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omments2.xml" ContentType="application/vnd.openxmlformats-officedocument.spreadsheetml.comments+xml"/>
  <Override PartName="/xl/drawings/drawing22.xml" ContentType="application/vnd.openxmlformats-officedocument.drawing+xml"/>
  <Override PartName="/xl/drawings/drawing23.xml" ContentType="application/vnd.openxmlformats-officedocument.drawing+xml"/>
  <Override PartName="/xl/comments3.xml" ContentType="application/vnd.openxmlformats-officedocument.spreadsheetml.comment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Jorge Fernando Ramos\Desktop\2026\Timana\pavimentacion vias urbanas\"/>
    </mc:Choice>
  </mc:AlternateContent>
  <xr:revisionPtr revIDLastSave="0" documentId="13_ncr:1_{4D6503E9-2DB0-4DBC-9956-86E8A28032B4}" xr6:coauthVersionLast="47" xr6:coauthVersionMax="47" xr10:uidLastSave="{00000000-0000-0000-0000-000000000000}"/>
  <bookViews>
    <workbookView xWindow="-108" yWindow="-108" windowWidth="23256" windowHeight="12576" firstSheet="3" activeTab="3" xr2:uid="{00000000-000D-0000-FFFF-FFFF00000000}"/>
  </bookViews>
  <sheets>
    <sheet name="PPTOETAPAS" sheetId="1" state="hidden" r:id="rId1"/>
    <sheet name="COTIZACIÓN MATERIALES" sheetId="2" state="hidden" r:id="rId2"/>
    <sheet name="Hoja1" sheetId="60" state="hidden" r:id="rId3"/>
    <sheet name="PRESUPUESTO OFICIAL (Entidad)" sheetId="73" r:id="rId4"/>
    <sheet name="PROPUESTA ECONOMICA(Proponente)" sheetId="74" r:id="rId5"/>
    <sheet name="INDICAR CÓDIGO DEL ITEM DE PAGO" sheetId="72" r:id="rId6"/>
    <sheet name="LISTA TRANSPORTES" sheetId="26" state="hidden" r:id="rId7"/>
    <sheet name="PROGRAMACION" sheetId="4" state="hidden" r:id="rId8"/>
    <sheet name="PRESUPUESTO Bloque 1" sheetId="5" state="hidden" r:id="rId9"/>
    <sheet name="MEMORIA DE CANTIDADES BLOQUE 1" sheetId="6" state="hidden" r:id="rId10"/>
    <sheet name="PRESUPUESTO Bloque 2" sheetId="7" state="hidden" r:id="rId11"/>
    <sheet name="MEMORIA DE CANTIDADES BLOQUE 2" sheetId="8" state="hidden" r:id="rId12"/>
    <sheet name="MEMORIA DE CANTIDADES BLOQUE 3" sheetId="9" state="hidden" r:id="rId13"/>
    <sheet name="PRESUPUESTO Bloque 3" sheetId="10" state="hidden" r:id="rId14"/>
    <sheet name="MEMORIA DE CANTIDADES GENER (2)" sheetId="11" state="hidden" r:id="rId15"/>
    <sheet name="CANT ESTRUCUT" sheetId="12" state="hidden" r:id="rId16"/>
    <sheet name="DESPIECE ACERO" sheetId="14" state="hidden" r:id="rId17"/>
    <sheet name="PGIO (0,5%)" sheetId="17" state="hidden" r:id="rId18"/>
    <sheet name="PRESUP. INTERVENTORIA" sheetId="18" state="hidden" r:id="rId19"/>
    <sheet name="F.M." sheetId="19" state="hidden" r:id="rId20"/>
    <sheet name="PRESUPUESTO DOTACIÓN" sheetId="20" state="hidden" r:id="rId21"/>
    <sheet name="ESTUDIO DE MERCADO - DOTACIÓN" sheetId="21" state="hidden" r:id="rId22"/>
    <sheet name="M.O" sheetId="27" state="hidden" r:id="rId23"/>
    <sheet name="TRASIEGO" sheetId="30" state="hidden" r:id="rId24"/>
    <sheet name="apu trasiego" sheetId="31" state="hidden" r:id="rId25"/>
    <sheet name="2 - DEMOLICIONES" sheetId="32" state="hidden" r:id="rId26"/>
    <sheet name="4 - CIMENTACIÓN - CONCRETOS" sheetId="35" state="hidden" r:id="rId27"/>
    <sheet name="6 - MAMPOSTERIA - ESTRUCT. ESP." sheetId="37" state="hidden" r:id="rId28"/>
    <sheet name="7 - ESTRUCTURA CUBIERTA" sheetId="38" state="hidden" r:id="rId29"/>
    <sheet name="10-ACABADOS" sheetId="39" state="hidden" r:id="rId30"/>
    <sheet name="11 - HIDROSANITARIOS" sheetId="40" state="hidden" r:id="rId31"/>
    <sheet name="12- ACCESORIOS VARIAS" sheetId="41" state="hidden" r:id="rId32"/>
    <sheet name=" CANCHA - " sheetId="42" state="hidden" r:id="rId33"/>
    <sheet name="14. RED CONTRAINCENDIO" sheetId="43" state="hidden" r:id="rId34"/>
    <sheet name="8 - PISOS - CONCRETO-ENCHAPES" sheetId="44" state="hidden" r:id="rId35"/>
    <sheet name="9 - PAÑETES - PINTURA" sheetId="45" state="hidden" r:id="rId36"/>
    <sheet name="13 - INST ELECTRICAS" sheetId="46" state="hidden" r:id="rId37"/>
    <sheet name="MANO DE OBRA" sheetId="47" state="hidden" r:id="rId38"/>
    <sheet name="CRONOGRAMA DE OBRA" sheetId="57" state="hidden" r:id="rId39"/>
    <sheet name="PRESUPUESTO PMT" sheetId="22" state="hidden" r:id="rId40"/>
    <sheet name="insumos ELÉCTRICOS " sheetId="48" state="hidden" r:id="rId41"/>
    <sheet name="INSUMOS" sheetId="49" state="hidden" r:id="rId42"/>
    <sheet name="PRESUPUESTO OPERACIÓN TK" sheetId="51" state="hidden" r:id="rId43"/>
    <sheet name="ANALISIS BASICOS" sheetId="52" state="hidden" r:id="rId44"/>
    <sheet name="LISTADO MATERIALES" sheetId="53" state="hidden" r:id="rId45"/>
    <sheet name="LISTADO EQUIPOS" sheetId="54" state="hidden" r:id="rId46"/>
  </sheets>
  <externalReferences>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s>
  <definedNames>
    <definedName name="\0" localSheetId="3">#REF!</definedName>
    <definedName name="\0" localSheetId="4">#REF!</definedName>
    <definedName name="\0">#REF!</definedName>
    <definedName name="\00" localSheetId="3">#REF!</definedName>
    <definedName name="\00" localSheetId="4">#REF!</definedName>
    <definedName name="\00">#REF!</definedName>
    <definedName name="\a" localSheetId="5">#REF!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5">#REF!</definedName>
    <definedName name="\s">#REF!</definedName>
    <definedName name="\V">#REF!</definedName>
    <definedName name="\X" localSheetId="5">'INDICAR CÓDIGO DEL ITEM DE PAGO'!ERR</definedName>
    <definedName name="\X" localSheetId="3">'PRESUPUESTO OFICIAL (Entidad)'!ERR</definedName>
    <definedName name="\X" localSheetId="4">'PROPUESTA ECONOMICA(Proponente)'!ERR</definedName>
    <definedName name="\X">[0]!ERR</definedName>
    <definedName name="\Z" localSheetId="5">'INDICAR CÓDIGO DEL ITEM DE PAGO'!ERR</definedName>
    <definedName name="\Z" localSheetId="3">'PRESUPUESTO OFICIAL (Entidad)'!ERR</definedName>
    <definedName name="\Z" localSheetId="4">'PROPUESTA ECONOMICA(Proponente)'!ERR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5">#REF!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5">#REF!</definedName>
    <definedName name="________MA2">#REF!</definedName>
    <definedName name="________PJ50" localSheetId="5">#REF!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5">#REF!</definedName>
    <definedName name="_______MA2">#REF!</definedName>
    <definedName name="_______PJ50" localSheetId="5">#REF!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5">#REF!</definedName>
    <definedName name="______MA2">#REF!</definedName>
    <definedName name="______PJ50" localSheetId="5">#REF!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4">[9]!_xlbgnm.ane7</definedName>
    <definedName name="_____ane7">[9]!_xlbgnm.ane7</definedName>
    <definedName name="_____ane8" localSheetId="4">[9]!_xlbgnm.ane8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5">#REF!</definedName>
    <definedName name="_____MA2">#REF!</definedName>
    <definedName name="_____OCD1">[11]Tablas!#REF!</definedName>
    <definedName name="_____OCI1">[11]Tablas!#REF!</definedName>
    <definedName name="_____PJ50" localSheetId="5">#REF!</definedName>
    <definedName name="_____PJ50" localSheetId="3">#REF!</definedName>
    <definedName name="_____PJ50" localSheetId="4">#REF!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 localSheetId="24">#REF!</definedName>
    <definedName name="_____PR1" localSheetId="39">#REF!</definedName>
    <definedName name="_____PR1">#REF!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4">[13]!_xlbgnm.ane7</definedName>
    <definedName name="____ane7">[13]!_xlbgnm.ane7</definedName>
    <definedName name="____ane8" localSheetId="4">[13]!_xlbgnm.ane8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5">#REF!</definedName>
    <definedName name="____MA2">#REF!</definedName>
    <definedName name="____OCD1">[11]Tablas!#REF!</definedName>
    <definedName name="____OCI1">[11]Tablas!#REF!</definedName>
    <definedName name="____PJ50" localSheetId="5">#REF!</definedName>
    <definedName name="____PJ50" localSheetId="3">#REF!</definedName>
    <definedName name="____PJ50" localSheetId="4">#REF!</definedName>
    <definedName name="____PJ50">#REF!</definedName>
    <definedName name="____pj51" localSheetId="5">#REF!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 localSheetId="29">#REF!</definedName>
    <definedName name="____PR1" localSheetId="31">#REF!</definedName>
    <definedName name="____PR1" localSheetId="24">#REF!</definedName>
    <definedName name="____PR1" localSheetId="39">#REF!</definedName>
    <definedName name="____PR1">#REF!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4">[15]!_xlbgnm.ane7</definedName>
    <definedName name="___ane7">[15]!_xlbgnm.ane7</definedName>
    <definedName name="___ane8" localSheetId="4">[15]!_xlbgnm.ane8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EST12">#REF!</definedName>
    <definedName name="___ICP1">[11]Tablas!#REF!</definedName>
    <definedName name="___key2" hidden="1">[8]INST!#REF!</definedName>
    <definedName name="___key3" hidden="1">#REF!</definedName>
    <definedName name="___key31" hidden="1">#REF!</definedName>
    <definedName name="___LEY80">#REF!</definedName>
    <definedName name="___MA2" localSheetId="5">#REF!</definedName>
    <definedName name="___MA2">#REF!</definedName>
    <definedName name="___OCD1">[11]Tablas!#REF!</definedName>
    <definedName name="___OCI1">[11]Tablas!#REF!</definedName>
    <definedName name="___PJ50" localSheetId="5">#REF!</definedName>
    <definedName name="___PJ50" localSheetId="3">#REF!</definedName>
    <definedName name="___PJ50" localSheetId="4">#REF!</definedName>
    <definedName name="___PJ50">#REF!</definedName>
    <definedName name="___pj51" localSheetId="5">#REF!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 localSheetId="29">#REF!</definedName>
    <definedName name="___PR1" localSheetId="31">#REF!</definedName>
    <definedName name="___PR1" localSheetId="24">#REF!</definedName>
    <definedName name="___PR1" localSheetId="39">#REF!</definedName>
    <definedName name="___PR1">#REF!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iu2">[17]AIU!$J$105</definedName>
    <definedName name="__ane7" localSheetId="4">[13]!_xlbgnm.ane7</definedName>
    <definedName name="__ane7">[13]!_xlbgnm.ane7</definedName>
    <definedName name="__ane8" localSheetId="4">[13]!_xlbgnm.ane8</definedName>
    <definedName name="__ane8">[13]!_xlbgnm.ane8</definedName>
    <definedName name="__Atp2">[18]EMPRESA!$F$22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5">'INDICAR CÓDIGO DEL ITEM DE PAGO'!ERR</definedName>
    <definedName name="__F" localSheetId="3">'PRESUPUESTO OFICIAL (Entidad)'!ERR</definedName>
    <definedName name="__F" localSheetId="4">'PROPUESTA ECONOMICA(Proponente)'!ERR</definedName>
    <definedName name="__F">[0]!ERR</definedName>
    <definedName name="__FS01" localSheetId="5">'INDICAR CÓDIGO DEL ITEM DE PAGO'!ERR</definedName>
    <definedName name="__FS01" localSheetId="3">'PRESUPUESTO OFICIAL (Entidad)'!ERR</definedName>
    <definedName name="__FS01" localSheetId="4">'PROPUESTA ECONOMICA(Proponente)'!ERR</definedName>
    <definedName name="__FS01">[0]!ERR</definedName>
    <definedName name="__ICP1" localSheetId="3">[11]Tablas!#REF!</definedName>
    <definedName name="__ICP1" localSheetId="4">[11]Tablas!#REF!</definedName>
    <definedName name="__ICP1">[11]Tablas!#REF!</definedName>
    <definedName name="__key2" localSheetId="3" hidden="1">[19]INST!#REF!</definedName>
    <definedName name="__key2" localSheetId="4" hidden="1">[19]INST!#REF!</definedName>
    <definedName name="__key2" hidden="1">[19]INST!#REF!</definedName>
    <definedName name="__key21" localSheetId="3" hidden="1">[8]INST!#REF!</definedName>
    <definedName name="__key21" localSheetId="4" hidden="1">[8]INST!#REF!</definedName>
    <definedName name="__key21" hidden="1">[8]INST!#REF!</definedName>
    <definedName name="__key3" localSheetId="3" hidden="1">#REF!</definedName>
    <definedName name="__key3" localSheetId="4" hidden="1">#REF!</definedName>
    <definedName name="__key3" hidden="1">#REF!</definedName>
    <definedName name="__key31" localSheetId="3" hidden="1">#REF!</definedName>
    <definedName name="__key31" localSheetId="4" hidden="1">#REF!</definedName>
    <definedName name="__key31" hidden="1">#REF!</definedName>
    <definedName name="__LEY80">#REF!</definedName>
    <definedName name="__MA2" localSheetId="5">#REF!</definedName>
    <definedName name="__MA2">#REF!</definedName>
    <definedName name="__mun2" localSheetId="5">[20]PESOS!#REF!</definedName>
    <definedName name="__mun2">[20]PESOS!#REF!</definedName>
    <definedName name="__num10" localSheetId="5">#REF!</definedName>
    <definedName name="__num10">#REF!</definedName>
    <definedName name="__num2" localSheetId="5">#REF!</definedName>
    <definedName name="__num2">#REF!</definedName>
    <definedName name="__num3" localSheetId="5">#REF!</definedName>
    <definedName name="__num3">#REF!</definedName>
    <definedName name="__num4" localSheetId="5">#REF!</definedName>
    <definedName name="__num4">#REF!</definedName>
    <definedName name="__num5" localSheetId="5">#REF!</definedName>
    <definedName name="__num5">#REF!</definedName>
    <definedName name="__num6" localSheetId="5">#REF!</definedName>
    <definedName name="__num6">#REF!</definedName>
    <definedName name="__num7" localSheetId="5">#REF!</definedName>
    <definedName name="__num7">#REF!</definedName>
    <definedName name="__num8" localSheetId="5">#REF!</definedName>
    <definedName name="__num8">#REF!</definedName>
    <definedName name="__num9" localSheetId="5">#REF!</definedName>
    <definedName name="__num9">#REF!</definedName>
    <definedName name="__OCD1">[11]Tablas!#REF!</definedName>
    <definedName name="__OCI1">[11]Tablas!#REF!</definedName>
    <definedName name="__Pa1">'[21]Paral. 1'!$E$1:$E$65536</definedName>
    <definedName name="__Pa2">'[21]Paral. 2'!$E$1:$E$65536</definedName>
    <definedName name="__Pa3">'[21]Paral. 3'!$E$1:$E$65536</definedName>
    <definedName name="__Pa4">[21]Paral.4!$E$1:$E$65536</definedName>
    <definedName name="__PJ50" localSheetId="5">#REF!</definedName>
    <definedName name="__PJ50" localSheetId="3">#REF!</definedName>
    <definedName name="__PJ50" localSheetId="4">#REF!</definedName>
    <definedName name="__PJ50">#REF!</definedName>
    <definedName name="__pj51" localSheetId="5">#REF!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 localSheetId="31">#REF!</definedName>
    <definedName name="__PR1" localSheetId="24">#REF!</definedName>
    <definedName name="__PR1" localSheetId="39">#REF!</definedName>
    <definedName name="__PR1">#REF!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5">#REF!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_xlnm.Print_Area_1">#REF!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5"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hidden="1">{"TAB1",#N/A,TRUE,"GENERAL";"TAB2",#N/A,TRUE,"GENERAL";"TAB3",#N/A,TRUE,"GENERAL";"TAB4",#N/A,TRUE,"GENERAL";"TAB5",#N/A,TRUE,"GENERAL"}</definedName>
    <definedName name="_a3" localSheetId="5"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hidden="1">{"TAB1",#N/A,TRUE,"GENERAL";"TAB2",#N/A,TRUE,"GENERAL";"TAB3",#N/A,TRUE,"GENERAL";"TAB4",#N/A,TRUE,"GENERAL";"TAB5",#N/A,TRUE,"GENERAL"}</definedName>
    <definedName name="_a4" localSheetId="5"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hidden="1">{"via1",#N/A,TRUE,"general";"via2",#N/A,TRUE,"general";"via3",#N/A,TRUE,"general"}</definedName>
    <definedName name="_a5" localSheetId="5"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6" localSheetId="5"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AS1" localSheetId="5" hidden="1">{#N/A,#N/A,TRUE,"INGENIERIA";#N/A,#N/A,TRUE,"COMPRAS";#N/A,#N/A,TRUE,"DIRECCION";#N/A,#N/A,TRUE,"RESUMEN"}</definedName>
    <definedName name="_AAS1" localSheetId="3" hidden="1">{#N/A,#N/A,TRUE,"INGENIERIA";#N/A,#N/A,TRUE,"COMPRAS";#N/A,#N/A,TRUE,"DIRECCION";#N/A,#N/A,TRUE,"RESUMEN"}</definedName>
    <definedName name="_AAS1" localSheetId="4" hidden="1">{#N/A,#N/A,TRUE,"INGENIERIA";#N/A,#N/A,TRUE,"COMPRAS";#N/A,#N/A,TRUE,"DIRECCION";#N/A,#N/A,TRUE,"RESUMEN"}</definedName>
    <definedName name="_AAS1" hidden="1">{#N/A,#N/A,TRUE,"INGENIERIA";#N/A,#N/A,TRUE,"COMPRAS";#N/A,#N/A,TRUE,"DIRECCION";#N/A,#N/A,TRUE,"RESUMEN"}</definedName>
    <definedName name="_ABC1" localSheetId="5" hidden="1">{#N/A,#N/A,TRUE,"1842CWN0"}</definedName>
    <definedName name="_ABC1" localSheetId="3" hidden="1">{#N/A,#N/A,TRUE,"1842CWN0"}</definedName>
    <definedName name="_ABC1" localSheetId="4" hidden="1">{#N/A,#N/A,TRUE,"1842CWN0"}</definedName>
    <definedName name="_ABC1" hidden="1">{#N/A,#N/A,TRUE,"1842CWN0"}</definedName>
    <definedName name="_abc2" localSheetId="5" hidden="1">{#N/A,#N/A,TRUE,"1842CWN0"}</definedName>
    <definedName name="_abc2" localSheetId="3" hidden="1">{#N/A,#N/A,TRUE,"1842CWN0"}</definedName>
    <definedName name="_abc2" localSheetId="4" hidden="1">{#N/A,#N/A,TRUE,"1842CWN0"}</definedName>
    <definedName name="_abc2" hidden="1">{#N/A,#N/A,TRUE,"1842CWN0"}</definedName>
    <definedName name="_AFC1">[6]INV!$A$25:$D$28</definedName>
    <definedName name="_AFC3">[6]INV!$F$25:$I$28</definedName>
    <definedName name="_AFC5">[6]INV!$K$25:$N$28</definedName>
    <definedName name="_aiu2">[17]AIU!$J$105</definedName>
    <definedName name="_ALM1">#REF!</definedName>
    <definedName name="_AND1">#REF!</definedName>
    <definedName name="_ane7" localSheetId="4">[13]!_xlbgnm.ane7</definedName>
    <definedName name="_ane7">[13]!_xlbgnm.ane7</definedName>
    <definedName name="_ane8" localSheetId="4">[13]!_xlbgnm.ane8</definedName>
    <definedName name="_ane8">[13]!_xlbgnm.ane8</definedName>
    <definedName name="_APU221" localSheetId="5">#REF!</definedName>
    <definedName name="_APU221" localSheetId="3">#REF!</definedName>
    <definedName name="_APU221" localSheetId="4">#REF!</definedName>
    <definedName name="_APU221">#REF!</definedName>
    <definedName name="_APU465" localSheetId="4">[22]!absc</definedName>
    <definedName name="_APU465">[22]!absc</definedName>
    <definedName name="_Atp2">[18]EMPRESA!$F$22</definedName>
    <definedName name="_b2" localSheetId="5"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5"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5"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5"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5"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5"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hidden="1">{"via1",#N/A,TRUE,"general";"via2",#N/A,TRUE,"general";"via3",#N/A,TRUE,"general"}</definedName>
    <definedName name="_b8" localSheetId="5"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b9" localSheetId="5"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5"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5">#REF!</definedName>
    <definedName name="_EST1" localSheetId="3">#REF!</definedName>
    <definedName name="_EST1" localSheetId="4">#REF!</definedName>
    <definedName name="_EST1">#REF!</definedName>
    <definedName name="_EST10" localSheetId="5">#REF!</definedName>
    <definedName name="_EST10" localSheetId="3">#REF!</definedName>
    <definedName name="_EST10" localSheetId="4">#REF!</definedName>
    <definedName name="_EST10">#REF!</definedName>
    <definedName name="_EST11" localSheetId="5">#REF!</definedName>
    <definedName name="_EST11" localSheetId="3">#REF!</definedName>
    <definedName name="_EST11" localSheetId="4">#REF!</definedName>
    <definedName name="_EST11">#REF!</definedName>
    <definedName name="_EST12" localSheetId="5">#REF!</definedName>
    <definedName name="_EST12">#REF!</definedName>
    <definedName name="_EST13" localSheetId="5">#REF!</definedName>
    <definedName name="_EST13">#REF!</definedName>
    <definedName name="_EST14" localSheetId="5">#REF!</definedName>
    <definedName name="_EST14">#REF!</definedName>
    <definedName name="_EST15" localSheetId="5">#REF!</definedName>
    <definedName name="_EST15">#REF!</definedName>
    <definedName name="_EST16" localSheetId="5">#REF!</definedName>
    <definedName name="_EST16">#REF!</definedName>
    <definedName name="_EST17" localSheetId="5">#REF!</definedName>
    <definedName name="_EST17">#REF!</definedName>
    <definedName name="_EST18" localSheetId="5">#REF!</definedName>
    <definedName name="_EST18">#REF!</definedName>
    <definedName name="_EST19" localSheetId="5">#REF!</definedName>
    <definedName name="_EST19">#REF!</definedName>
    <definedName name="_EST2" localSheetId="5">#REF!</definedName>
    <definedName name="_EST2">#REF!</definedName>
    <definedName name="_EST23">#REF!</definedName>
    <definedName name="_EST3" localSheetId="5">#REF!</definedName>
    <definedName name="_EST3">#REF!</definedName>
    <definedName name="_EST4" localSheetId="5">#REF!</definedName>
    <definedName name="_EST4">#REF!</definedName>
    <definedName name="_EST5" localSheetId="5">#REF!</definedName>
    <definedName name="_EST5">#REF!</definedName>
    <definedName name="_EST6" localSheetId="5">#REF!</definedName>
    <definedName name="_EST6">#REF!</definedName>
    <definedName name="_EST7" localSheetId="5">#REF!</definedName>
    <definedName name="_EST7">#REF!</definedName>
    <definedName name="_EST8" localSheetId="5">#REF!</definedName>
    <definedName name="_EST8">#REF!</definedName>
    <definedName name="_EST9" localSheetId="5">#REF!</definedName>
    <definedName name="_EST9">#REF!</definedName>
    <definedName name="_EXC1" localSheetId="5">#REF!</definedName>
    <definedName name="_EXC1">#REF!</definedName>
    <definedName name="_EXC10" localSheetId="5">#REF!</definedName>
    <definedName name="_EXC10">#REF!</definedName>
    <definedName name="_EXC11" localSheetId="5">#REF!</definedName>
    <definedName name="_EXC11">#REF!</definedName>
    <definedName name="_EXC12" localSheetId="5">#REF!</definedName>
    <definedName name="_EXC12">#REF!</definedName>
    <definedName name="_EXC2" localSheetId="5">#REF!</definedName>
    <definedName name="_EXC2">#REF!</definedName>
    <definedName name="_EXC3" localSheetId="5">#REF!</definedName>
    <definedName name="_EXC3">#REF!</definedName>
    <definedName name="_EXC4" localSheetId="5">#REF!</definedName>
    <definedName name="_EXC4">#REF!</definedName>
    <definedName name="_EXC5" localSheetId="5">#REF!</definedName>
    <definedName name="_EXC5">#REF!</definedName>
    <definedName name="_EXC6" localSheetId="5">#REF!</definedName>
    <definedName name="_EXC6">#REF!</definedName>
    <definedName name="_EXC7" localSheetId="5">#REF!</definedName>
    <definedName name="_EXC7">#REF!</definedName>
    <definedName name="_EXC8" localSheetId="5">#REF!</definedName>
    <definedName name="_EXC8">#REF!</definedName>
    <definedName name="_EXC9" localSheetId="5">#REF!</definedName>
    <definedName name="_EXC9">#REF!</definedName>
    <definedName name="_F" localSheetId="5">'INDICAR CÓDIGO DEL ITEM DE PAGO'!ERR</definedName>
    <definedName name="_F" localSheetId="3">'PRESUPUESTO OFICIAL (Entidad)'!ERR</definedName>
    <definedName name="_F" localSheetId="4">'PROPUESTA ECONOMICA(Proponente)'!ERR</definedName>
    <definedName name="_F">[0]!ERR</definedName>
    <definedName name="_F10" localSheetId="3">#REF!</definedName>
    <definedName name="_F10" localSheetId="4">#REF!</definedName>
    <definedName name="_F10">#REF!</definedName>
    <definedName name="_FC" localSheetId="3">#REF!</definedName>
    <definedName name="_FC" localSheetId="4">#REF!</definedName>
    <definedName name="_FC">#REF!</definedName>
    <definedName name="_Fill" localSheetId="5" hidden="1">#REF!</definedName>
    <definedName name="_Fill" hidden="1">#REF!</definedName>
    <definedName name="_xlnm._FilterDatabase" localSheetId="3" hidden="1">'PRESUPUESTO OFICIAL (Entidad)'!$I$12:$I$55</definedName>
    <definedName name="_xlnm._FilterDatabase" localSheetId="4" hidden="1">'PROPUESTA ECONOMICA(Proponente)'!$I$12:$I$55</definedName>
    <definedName name="_FS01" localSheetId="5">'INDICAR CÓDIGO DEL ITEM DE PAGO'!ERR</definedName>
    <definedName name="_FS01" localSheetId="3">'PRESUPUESTO OFICIAL (Entidad)'!ERR</definedName>
    <definedName name="_FS01" localSheetId="4">'PROPUESTA ECONOMICA(Proponente)'!ERR</definedName>
    <definedName name="_FS01">[0]!ERR</definedName>
    <definedName name="_g2" localSheetId="5"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5"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hidden="1">{"via1",#N/A,TRUE,"general";"via2",#N/A,TRUE,"general";"via3",#N/A,TRUE,"general"}</definedName>
    <definedName name="_g4" localSheetId="5"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5"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5"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5"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oBack" localSheetId="4">'PROPUESTA ECONOMICA(Proponente)'!$F$1</definedName>
    <definedName name="_GoBack">#REF!</definedName>
    <definedName name="_GR1" localSheetId="5"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tr4" localSheetId="5"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hidden="1">{"via1",#N/A,TRUE,"general";"via2",#N/A,TRUE,"general";"via3",#N/A,TRUE,"general"}</definedName>
    <definedName name="_h2" localSheetId="5"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hidden="1">{"via1",#N/A,TRUE,"general";"via2",#N/A,TRUE,"general";"via3",#N/A,TRUE,"general"}</definedName>
    <definedName name="_h3" localSheetId="5"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5"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5"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5"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hidden="1">{"via1",#N/A,TRUE,"general";"via2",#N/A,TRUE,"general";"via3",#N/A,TRUE,"general"}</definedName>
    <definedName name="_h7" localSheetId="5"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5"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hidden="1">{"via1",#N/A,TRUE,"general";"via2",#N/A,TRUE,"general";"via3",#N/A,TRUE,"general"}</definedName>
    <definedName name="_hfh7" localSheetId="5"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hidden="1">{"via1",#N/A,TRUE,"general";"via2",#N/A,TRUE,"general";"via3",#N/A,TRUE,"general"}</definedName>
    <definedName name="_hhg1" localSheetId="5" hidden="1">{#N/A,#N/A,TRUE,"1842CWN0"}</definedName>
    <definedName name="_hhg1" localSheetId="3" hidden="1">{#N/A,#N/A,TRUE,"1842CWN0"}</definedName>
    <definedName name="_hhg1" localSheetId="4" hidden="1">{#N/A,#N/A,TRUE,"1842CWN0"}</definedName>
    <definedName name="_hhg1" hidden="1">{#N/A,#N/A,TRUE,"1842CWN0"}</definedName>
    <definedName name="_i4" localSheetId="5"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hidden="1">{"via1",#N/A,TRUE,"general";"via2",#N/A,TRUE,"general";"via3",#N/A,TRUE,"general"}</definedName>
    <definedName name="_i5" localSheetId="5"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5"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5"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hidden="1">{"via1",#N/A,TRUE,"general";"via2",#N/A,TRUE,"general";"via3",#N/A,TRUE,"general"}</definedName>
    <definedName name="_i77" localSheetId="5"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5"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hidden="1">{"via1",#N/A,TRUE,"general";"via2",#N/A,TRUE,"general";"via3",#N/A,TRUE,"general"}</definedName>
    <definedName name="_i9" localSheetId="5"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5">#REF!</definedName>
    <definedName name="_IPC2002">#REF!</definedName>
    <definedName name="_IVA1">#REF!</definedName>
    <definedName name="_k3" localSheetId="5"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5"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hidden="1">{"via1",#N/A,TRUE,"general";"via2",#N/A,TRUE,"general";"via3",#N/A,TRUE,"general"}</definedName>
    <definedName name="_k5" localSheetId="5"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5"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5"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hidden="1">{"via1",#N/A,TRUE,"general";"via2",#N/A,TRUE,"general";"via3",#N/A,TRUE,"general"}</definedName>
    <definedName name="_k8" localSheetId="5"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5"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ey1" localSheetId="5" hidden="1">#REF!</definedName>
    <definedName name="_Key1" localSheetId="3" hidden="1">#REF!</definedName>
    <definedName name="_Key1" localSheetId="4" hidden="1">#REF!</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jk6" localSheetId="5"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lar03" localSheetId="5">#REF!</definedName>
    <definedName name="_lar03">#REF!</definedName>
    <definedName name="_LEY80">#REF!</definedName>
    <definedName name="_m3" localSheetId="5"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hidden="1">{"via1",#N/A,TRUE,"general";"via2",#N/A,TRUE,"general";"via3",#N/A,TRUE,"general"}</definedName>
    <definedName name="_m4" localSheetId="5"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5"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hidden="1">{"via1",#N/A,TRUE,"general";"via2",#N/A,TRUE,"general";"via3",#N/A,TRUE,"general"}</definedName>
    <definedName name="_m6" localSheetId="5"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5"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5"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hidden="1">{"via1",#N/A,TRUE,"general";"via2",#N/A,TRUE,"general";"via3",#N/A,TRUE,"general"}</definedName>
    <definedName name="_m9" localSheetId="5"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 localSheetId="5">#REF!</definedName>
    <definedName name="_MA2">#REF!</definedName>
    <definedName name="_MAT1">#REF!</definedName>
    <definedName name="_MOD1">#REF!</definedName>
    <definedName name="_mun2" localSheetId="5">[20]PESOS!#REF!</definedName>
    <definedName name="_mun2">[20]PESOS!#REF!</definedName>
    <definedName name="_n3" localSheetId="5"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5"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hidden="1">{"via1",#N/A,TRUE,"general";"via2",#N/A,TRUE,"general";"via3",#N/A,TRUE,"general"}</definedName>
    <definedName name="_n5" localSheetId="5"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5">#REF!</definedName>
    <definedName name="_num10">#REF!</definedName>
    <definedName name="_num2" localSheetId="5">#REF!</definedName>
    <definedName name="_num2">#REF!</definedName>
    <definedName name="_num3" localSheetId="5">#REF!</definedName>
    <definedName name="_num3">#REF!</definedName>
    <definedName name="_num4" localSheetId="5">#REF!</definedName>
    <definedName name="_num4">#REF!</definedName>
    <definedName name="_num5" localSheetId="5">#REF!</definedName>
    <definedName name="_num5">#REF!</definedName>
    <definedName name="_num6" localSheetId="5">#REF!</definedName>
    <definedName name="_num6">#REF!</definedName>
    <definedName name="_num7" localSheetId="5">#REF!</definedName>
    <definedName name="_num7">#REF!</definedName>
    <definedName name="_num8" localSheetId="5">#REF!</definedName>
    <definedName name="_num8">#REF!</definedName>
    <definedName name="_num9" localSheetId="5">#REF!</definedName>
    <definedName name="_num9">#REF!</definedName>
    <definedName name="_nyn7" localSheetId="5"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hidden="1">{"via1",#N/A,TRUE,"general";"via2",#N/A,TRUE,"general";"via3",#N/A,TRUE,"general"}</definedName>
    <definedName name="_o4" localSheetId="5"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hidden="1">{"via1",#N/A,TRUE,"general";"via2",#N/A,TRUE,"general";"via3",#N/A,TRUE,"general"}</definedName>
    <definedName name="_o5" localSheetId="5"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5"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5"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5"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hidden="1">{"via1",#N/A,TRUE,"general";"via2",#N/A,TRUE,"general";"via3",#N/A,TRUE,"general"}</definedName>
    <definedName name="_o9" localSheetId="5"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5"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hidden="1">{"via1",#N/A,TRUE,"general";"via2",#N/A,TRUE,"general";"via3",#N/A,TRUE,"general"}</definedName>
    <definedName name="_p7" localSheetId="5"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5"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 localSheetId="5">#REF!</definedName>
    <definedName name="_PJ50" localSheetId="3">#REF!</definedName>
    <definedName name="_PJ50" localSheetId="4">#REF!</definedName>
    <definedName name="_PJ50">#REF!</definedName>
    <definedName name="_pj51" localSheetId="5">#REF!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 localSheetId="24">#REF!</definedName>
    <definedName name="_PR1" localSheetId="39">#REF!</definedName>
    <definedName name="_PR1">#REF!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5">#REF!</definedName>
    <definedName name="_PRE1">#REF!</definedName>
    <definedName name="_PTO97">#REF!</definedName>
    <definedName name="_PW2">#REF!</definedName>
    <definedName name="_QTY1">#REF!</definedName>
    <definedName name="_r" localSheetId="5"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hidden="1">{"TAB1",#N/A,TRUE,"GENERAL";"TAB2",#N/A,TRUE,"GENERAL";"TAB3",#N/A,TRUE,"GENERAL";"TAB4",#N/A,TRUE,"GENERAL";"TAB5",#N/A,TRUE,"GENERAL"}</definedName>
    <definedName name="_r4r" localSheetId="5"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hidden="1">{"via1",#N/A,TRUE,"general";"via2",#N/A,TRUE,"general";"via3",#N/A,TRUE,"general"}</definedName>
    <definedName name="_REC1">"Rectángulo 31"</definedName>
    <definedName name="_ref4" localSheetId="5">#REF!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5"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hidden="1">{"via1",#N/A,TRUE,"general";"via2",#N/A,TRUE,"general";"via3",#N/A,TRUE,"general"}</definedName>
    <definedName name="_s1" localSheetId="5"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hidden="1">{"via1",#N/A,TRUE,"general";"via2",#N/A,TRUE,"general";"via3",#N/A,TRUE,"general"}</definedName>
    <definedName name="_s2" localSheetId="5"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5"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5"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hidden="1">{"via1",#N/A,TRUE,"general";"via2",#N/A,TRUE,"general";"via3",#N/A,TRUE,"general"}</definedName>
    <definedName name="_s5" localSheetId="5"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5"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5"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5" hidden="1">#REF!</definedName>
    <definedName name="_Sort" localSheetId="3" hidden="1">#REF!</definedName>
    <definedName name="_Sort" localSheetId="4" hidden="1">#REF!</definedName>
    <definedName name="_Sort" hidden="1">#REF!</definedName>
    <definedName name="_srn001" localSheetId="5">#REF!</definedName>
    <definedName name="_srn001">#REF!</definedName>
    <definedName name="_SUM1">#REF!</definedName>
    <definedName name="_SUM2">#REF!</definedName>
    <definedName name="_t3" localSheetId="5"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5"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hidden="1">{"via1",#N/A,TRUE,"general";"via2",#N/A,TRUE,"general";"via3",#N/A,TRUE,"general"}</definedName>
    <definedName name="_t5" localSheetId="5"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5"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hidden="1">{"via1",#N/A,TRUE,"general";"via2",#N/A,TRUE,"general";"via3",#N/A,TRUE,"general"}</definedName>
    <definedName name="_t66" localSheetId="5"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5"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hidden="1">{"via1",#N/A,TRUE,"general";"via2",#N/A,TRUE,"general";"via3",#N/A,TRUE,"general"}</definedName>
    <definedName name="_t77" localSheetId="5"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5"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5"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hidden="1">{"via1",#N/A,TRUE,"general";"via2",#N/A,TRUE,"general";"via3",#N/A,TRUE,"general"}</definedName>
    <definedName name="_t9" localSheetId="5"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5"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5"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5"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5"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5"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hidden="1">{"via1",#N/A,TRUE,"general";"via2",#N/A,TRUE,"general";"via3",#N/A,TRUE,"general"}</definedName>
    <definedName name="_u8" localSheetId="5"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5"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5"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v2" localSheetId="5"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hidden="1">{"via1",#N/A,TRUE,"general";"via2",#N/A,TRUE,"general";"via3",#N/A,TRUE,"general"}</definedName>
    <definedName name="_v3" localSheetId="5"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5"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5"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5"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5"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hidden="1">{"via1",#N/A,TRUE,"general";"via2",#N/A,TRUE,"general";"via3",#N/A,TRUE,"general"}</definedName>
    <definedName name="_v8" localSheetId="5"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5"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5"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5"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5"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hidden="1">{"via1",#N/A,TRUE,"general";"via2",#N/A,TRUE,"general";"via3",#N/A,TRUE,"general"}</definedName>
    <definedName name="_x3" localSheetId="5"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5"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5"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5"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5"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5"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hidden="1">{"via1",#N/A,TRUE,"general";"via2",#N/A,TRUE,"general";"via3",#N/A,TRUE,"general"}</definedName>
    <definedName name="_x9" localSheetId="5"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y2" localSheetId="5"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5"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hidden="1">{"via1",#N/A,TRUE,"general";"via2",#N/A,TRUE,"general";"via3",#N/A,TRUE,"general"}</definedName>
    <definedName name="_y4" localSheetId="5"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5"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5"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hidden="1">{"via1",#N/A,TRUE,"general";"via2",#N/A,TRUE,"general";"via3",#N/A,TRUE,"general"}</definedName>
    <definedName name="_y7" localSheetId="5"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5"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5"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1" localSheetId="5"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5"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hidden="1">{"via1",#N/A,TRUE,"general";"via2",#N/A,TRUE,"general";"via3",#N/A,TRUE,"general"}</definedName>
    <definedName name="_z3" localSheetId="5"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5"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5"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hidden="1">{"via1",#N/A,TRUE,"general";"via2",#N/A,TRUE,"general";"via3",#N/A,TRUE,"general"}</definedName>
    <definedName name="_z6" localSheetId="5"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A" localSheetId="24">#REF!</definedName>
    <definedName name="a" localSheetId="5">'[24]DUB-823'!#REF!</definedName>
    <definedName name="a" localSheetId="3">'[24]DUB-823'!#REF!</definedName>
    <definedName name="A" localSheetId="39">#REF!</definedName>
    <definedName name="a" localSheetId="4">'[24]DUB-823'!#REF!</definedName>
    <definedName name="A">#REF!</definedName>
    <definedName name="A_1">#REF!</definedName>
    <definedName name="A_impresión_IM" localSheetId="5">#REF!</definedName>
    <definedName name="A_impresión_IM" localSheetId="3">#REF!</definedName>
    <definedName name="A_impresión_IM" localSheetId="4">#REF!</definedName>
    <definedName name="A_impresión_IM">#REF!</definedName>
    <definedName name="A18A200">[25]ESPEC!#REF!</definedName>
    <definedName name="a2a" localSheetId="5"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a" localSheetId="5">'INDICAR CÓDIGO DEL ITEM DE PAGO'!ERR</definedName>
    <definedName name="aa" localSheetId="3">'PRESUPUESTO OFICIAL (Entidad)'!ERR</definedName>
    <definedName name="aa" localSheetId="4">'PROPUESTA ECONOMICA(Proponente)'!ERR</definedName>
    <definedName name="aa">[0]!ERR</definedName>
    <definedName name="AAA" localSheetId="5">'INDICAR CÓDIGO DEL ITEM DE PAGO'!ERR</definedName>
    <definedName name="AAA" localSheetId="3">'PRESUPUESTO OFICIAL (Entidad)'!ERR</definedName>
    <definedName name="AAA" localSheetId="4">'PROPUESTA ECONOMICA(Proponente)'!ERR</definedName>
    <definedName name="AAA">#REF!</definedName>
    <definedName name="AAAA" localSheetId="3">#REF!</definedName>
    <definedName name="AAAA" localSheetId="4">#REF!</definedName>
    <definedName name="AAAA">#REF!</definedName>
    <definedName name="aaaaaa">[26]otros!$C$5</definedName>
    <definedName name="aaaaas" localSheetId="5"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5"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hidden="1">{"TAB1",#N/A,TRUE,"GENERAL";"TAB2",#N/A,TRUE,"GENERAL";"TAB3",#N/A,TRUE,"GENERAL";"TAB4",#N/A,TRUE,"GENERAL";"TAB5",#N/A,TRUE,"GENERAL"}</definedName>
    <definedName name="AB" localSheetId="5">#REF!</definedName>
    <definedName name="AB" localSheetId="3">#REF!</definedName>
    <definedName name="AB" localSheetId="4">#REF!</definedName>
    <definedName name="ab">#REF!</definedName>
    <definedName name="aba_1">#REF!</definedName>
    <definedName name="aba_2">#REF!</definedName>
    <definedName name="abc" localSheetId="5">#REF!</definedName>
    <definedName name="abc">#REF!</definedName>
    <definedName name="ABCD" hidden="1">#REF!</definedName>
    <definedName name="ABCDE" hidden="1">#REF!</definedName>
    <definedName name="ABG">[6]AASHTO!$A$2:$F$5</definedName>
    <definedName name="absc">#N/A</definedName>
    <definedName name="absc1" localSheetId="4">[27]!absc</definedName>
    <definedName name="absc1">[27]!absc</definedName>
    <definedName name="ac">#REF!</definedName>
    <definedName name="AccessDatabase" localSheetId="5" hidden="1">"C:\C-314\VOLUMENES\volfin4.mdb"</definedName>
    <definedName name="AccessDatabase" localSheetId="3" hidden="1">"C:\C-314\VOLUMENES\volfin4.mdb"</definedName>
    <definedName name="AccessDatabase" localSheetId="4" hidden="1">"C:\C-314\VOLUMENES\volfin4.mdb"</definedName>
    <definedName name="AccessDatabase" hidden="1">"A:\SAIN.mdb"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 localSheetId="5">#REF!</definedName>
    <definedName name="ad">#REF!</definedName>
    <definedName name="adasd">#REF!</definedName>
    <definedName name="ADE">#REF!</definedName>
    <definedName name="ADFGSDB" localSheetId="5"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hidden="1">{"via1",#N/A,TRUE,"general";"via2",#N/A,TRUE,"general";"via3",#N/A,TRUE,"general"}</definedName>
    <definedName name="ADM" localSheetId="5">[26]otros!$C$2</definedName>
    <definedName name="ADM" localSheetId="3">[26]otros!$C$2</definedName>
    <definedName name="ADM" localSheetId="4">[26]otros!$C$2</definedName>
    <definedName name="ADM">'[29]DATOS SEMANALES'!$F$11:$Y$17</definedName>
    <definedName name="administrador">[30]Informacion!$B$15</definedName>
    <definedName name="ADMON">#REF!</definedName>
    <definedName name="ADMON1">#REF!</definedName>
    <definedName name="adoc1" localSheetId="4">[27]!absc</definedName>
    <definedName name="adoc1">[27]!absc</definedName>
    <definedName name="ADOC125" localSheetId="4">[31]!absc</definedName>
    <definedName name="ADOC125">[31]!absc</definedName>
    <definedName name="adoq" localSheetId="4">[32]!absc</definedName>
    <definedName name="adoq">[32]!absc</definedName>
    <definedName name="ADSAD" localSheetId="5"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efa" localSheetId="5"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hidden="1">{"via1",#N/A,TRUE,"general";"via2",#N/A,TRUE,"general";"via3",#N/A,TRUE,"general"}</definedName>
    <definedName name="afdsw" localSheetId="5"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gdsgg" localSheetId="5"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hidden="1">{"via1",#N/A,TRUE,"general";"via2",#N/A,TRUE,"general";"via3",#N/A,TRUE,"general"}</definedName>
    <definedName name="aida">#REF!</definedName>
    <definedName name="aida1">#REF!</definedName>
    <definedName name="AIU" localSheetId="5">#REF!</definedName>
    <definedName name="AIU">#REF!</definedName>
    <definedName name="AIU_01">#REF!</definedName>
    <definedName name="AIU_1">#REF!</definedName>
    <definedName name="AIU_2">#REF!</definedName>
    <definedName name="AjustDelAIU" localSheetId="5">#REF!</definedName>
    <definedName name="AjustDelAIU">#REF!</definedName>
    <definedName name="alam">#REF!</definedName>
    <definedName name="alc" localSheetId="4">[33]!absc</definedName>
    <definedName name="alc">[33]!absc</definedName>
    <definedName name="AlcanceProyecto">#REF!</definedName>
    <definedName name="ALM">#REF!</definedName>
    <definedName name="ALTO">[34]Tabla!$A$1:$A$5</definedName>
    <definedName name="Amount">#REF!</definedName>
    <definedName name="ANCLAJE" localSheetId="5">'[35]MC SF GAVIONES'!#REF!</definedName>
    <definedName name="ANCLAJE">'[35]MC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[36]COMPARATIVO!#REF!</definedName>
    <definedName name="anexo8">#REF!</definedName>
    <definedName name="anexo9">#REF!</definedName>
    <definedName name="anexů7">#REF!</definedName>
    <definedName name="Antic">[37]BASES!$B$33</definedName>
    <definedName name="ANTICIPO">[38]BASES!$B$33</definedName>
    <definedName name="AÑO">[26]PRESUPUESTO!$D$13</definedName>
    <definedName name="AÑOWUIE">'[39]Res-Accide-10'!$R$2:$R$7</definedName>
    <definedName name="apaiy">#REF!</definedName>
    <definedName name="APB" localSheetId="24">#REF!</definedName>
    <definedName name="APB" localSheetId="39">#REF!</definedName>
    <definedName name="APB">#REF!</definedName>
    <definedName name="APELLIDOS">#REF!</definedName>
    <definedName name="API">#REF!</definedName>
    <definedName name="APU" localSheetId="5">[40]!absc</definedName>
    <definedName name="APU" localSheetId="3">[40]!absc</definedName>
    <definedName name="APU" localSheetId="4">[40]!absc</definedName>
    <definedName name="APU">[41]!absc</definedName>
    <definedName name="APU_directos" localSheetId="5">#REF!</definedName>
    <definedName name="APU_directos" localSheetId="3">#REF!</definedName>
    <definedName name="APU_directos" localSheetId="4">#REF!</definedName>
    <definedName name="APU_directos">#REF!</definedName>
    <definedName name="APU221.1" localSheetId="5">#REF!</definedName>
    <definedName name="APU221.1" localSheetId="3">#REF!</definedName>
    <definedName name="APU221.1" localSheetId="4">#REF!</definedName>
    <definedName name="APU221.1">#REF!</definedName>
    <definedName name="APU221.2" localSheetId="5">#REF!</definedName>
    <definedName name="APU221.2" localSheetId="3">#REF!</definedName>
    <definedName name="APU221.2" localSheetId="4">#REF!</definedName>
    <definedName name="APU221.2">#REF!</definedName>
    <definedName name="aq" localSheetId="5">'INDICAR CÓDIGO DEL ITEM DE PAGO'!ERR</definedName>
    <definedName name="aq" localSheetId="3">'PRESUPUESTO OFICIAL (Entidad)'!ERR</definedName>
    <definedName name="aq" localSheetId="4">'PROPUESTA ECONOMICA(Proponente)'!ERR</definedName>
    <definedName name="aq">[0]!ERR</definedName>
    <definedName name="aqaq" localSheetId="5"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8">'CRONOGRAMA DE OBRA'!$A$1:$P$114</definedName>
    <definedName name="_xlnm.Print_Area" localSheetId="5">'INDICAR CÓDIGO DEL ITEM DE PAGO'!$A$1:$Q$94</definedName>
    <definedName name="_xlnm.Print_Area" localSheetId="3">'PRESUPUESTO OFICIAL (Entidad)'!$A$1:$M$74</definedName>
    <definedName name="_xlnm.Print_Area" localSheetId="4">'PROPUESTA ECONOMICA(Proponente)'!$A$1:$M$76</definedName>
    <definedName name="_xlnm.Print_Area">#REF!</definedName>
    <definedName name="Area_Impresión" localSheetId="3">#REF!</definedName>
    <definedName name="Area_Impresión" localSheetId="4">#REF!</definedName>
    <definedName name="Area_Impresión">#REF!</definedName>
    <definedName name="AreaLimpiar">'[42]Info-Portaf'!$N$4,'[42]Info-Portaf'!$C$10:$AE$24,'[42]Info-Portaf'!$C$26:$AE$28,'[42]Info-Portaf'!$C$31:$AE$40,'[42]Info-Portaf'!$C$41:$H$41,'[42]Info-Portaf'!$C$42:$AE$51,'[42]Info-Portaf'!$C$53:$AE$54,'[42]Info-Portaf'!$C$57:$AE$57,'[42]Info-Portaf'!$C$59:$AE$59,'[42]Info-Portaf'!$B$10:$B$61</definedName>
    <definedName name="Areatotal" localSheetId="3">#REF!</definedName>
    <definedName name="Areatotal" localSheetId="4">#REF!</definedName>
    <definedName name="Areatotal">#REF!</definedName>
    <definedName name="Aref" localSheetId="3">#REF!</definedName>
    <definedName name="Aref" localSheetId="4">#REF!</definedName>
    <definedName name="Aref">#REF!</definedName>
    <definedName name="Arial">#REF!</definedName>
    <definedName name="armuve" localSheetId="5">'INDICAR CÓDIGO DEL ITEM DE PAGO'!ERR</definedName>
    <definedName name="armuve" localSheetId="3">'PRESUPUESTO OFICIAL (Entidad)'!ERR</definedName>
    <definedName name="armuve" localSheetId="4">'PROPUESTA ECONOMICA(Proponente)'!ERR</definedName>
    <definedName name="armuve">[0]!ERR</definedName>
    <definedName name="ARP" localSheetId="3">#REF!</definedName>
    <definedName name="ARP" localSheetId="4">#REF!</definedName>
    <definedName name="ARP">#REF!</definedName>
    <definedName name="ARS" localSheetId="3">#REF!</definedName>
    <definedName name="ARS" localSheetId="4">#REF!</definedName>
    <definedName name="ARS">#REF!</definedName>
    <definedName name="as" localSheetId="5">'INDICAR CÓDIGO DEL ITEM DE PAGO'!ERR</definedName>
    <definedName name="as" localSheetId="3">'PRESUPUESTO OFICIAL (Entidad)'!ERR</definedName>
    <definedName name="as" localSheetId="4">'PROPUESTA ECONOMICA(Proponente)'!ERR</definedName>
    <definedName name="AS">#REF!</definedName>
    <definedName name="ASB">[6]AASHTO!$A$8:$F$11</definedName>
    <definedName name="ASD" localSheetId="5"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hidden="1">{"via1",#N/A,TRUE,"general";"via2",#N/A,TRUE,"general";"via3",#N/A,TRUE,"general"}</definedName>
    <definedName name="ASDA" localSheetId="5"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hidden="1">{"via1",#N/A,TRUE,"general";"via2",#N/A,TRUE,"general";"via3",#N/A,TRUE,"general"}</definedName>
    <definedName name="asdasd" localSheetId="5"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f" localSheetId="5"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hidden="1">{"via1",#N/A,TRUE,"general";"via2",#N/A,TRUE,"general";"via3",#N/A,TRUE,"general"}</definedName>
    <definedName name="asdfa" localSheetId="5"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DFGHJKLÑ" localSheetId="5">'INDICAR CÓDIGO DEL ITEM DE PAGO'!ERR</definedName>
    <definedName name="ASDFGHJKLÑ" localSheetId="3">'PRESUPUESTO OFICIAL (Entidad)'!ERR</definedName>
    <definedName name="ASDFGHJKLÑ" localSheetId="4">'PROPUESTA ECONOMICA(Proponente)'!ERR</definedName>
    <definedName name="ASDFGHJKLÑ">[0]!ERR</definedName>
    <definedName name="asdfñk">[43]!absc</definedName>
    <definedName name="asfasd" localSheetId="5"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hidden="1">{"via1",#N/A,TRUE,"general";"via2",#N/A,TRUE,"general";"via3",#N/A,TRUE,"general"}</definedName>
    <definedName name="asfasdl" localSheetId="5"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dfe" localSheetId="5" hidden="1">{#N/A,#N/A,TRUE,"INGENIERIA";#N/A,#N/A,TRUE,"COMPRAS";#N/A,#N/A,TRUE,"DIRECCION";#N/A,#N/A,TRUE,"RESUMEN"}</definedName>
    <definedName name="asfdfe" localSheetId="3" hidden="1">{#N/A,#N/A,TRUE,"INGENIERIA";#N/A,#N/A,TRUE,"COMPRAS";#N/A,#N/A,TRUE,"DIRECCION";#N/A,#N/A,TRUE,"RESUMEN"}</definedName>
    <definedName name="asfdfe" localSheetId="4" hidden="1">{#N/A,#N/A,TRUE,"INGENIERIA";#N/A,#N/A,TRUE,"COMPRAS";#N/A,#N/A,TRUE,"DIRECCION";#N/A,#N/A,TRUE,"RESUMEN"}</definedName>
    <definedName name="asfdfe" hidden="1">{#N/A,#N/A,TRUE,"INGENIERIA";#N/A,#N/A,TRUE,"COMPRAS";#N/A,#N/A,TRUE,"DIRECCION";#N/A,#N/A,TRUE,"RESUMEN"}</definedName>
    <definedName name="asff" localSheetId="5"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5"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hidden="1">{"via1",#N/A,TRUE,"general";"via2",#N/A,TRUE,"general";"via3",#N/A,TRUE,"general"}</definedName>
    <definedName name="asojkdr" localSheetId="5"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SXA">#REF!</definedName>
    <definedName name="Atp">[10]EMPRESA!$F$20</definedName>
    <definedName name="_xlnm.Auto_Open" localSheetId="5">MODULO10.auto_abrir</definedName>
    <definedName name="_xlnm.Auto_Open" localSheetId="3">MODULO10.auto_abrir</definedName>
    <definedName name="_xlnm.Auto_Open" localSheetId="4">MODULO10.auto_abrir</definedName>
    <definedName name="_xlnm.Auto_Open">MODULO10.auto_abrir</definedName>
    <definedName name="auto1" localSheetId="5">#REF!</definedName>
    <definedName name="auto1" localSheetId="3">#REF!</definedName>
    <definedName name="auto1" localSheetId="4">#REF!</definedName>
    <definedName name="auto1">#REF!</definedName>
    <definedName name="auto123" localSheetId="5">#REF!</definedName>
    <definedName name="auto123">#REF!</definedName>
    <definedName name="auto2" localSheetId="5">#REF!</definedName>
    <definedName name="auto2" localSheetId="3">#REF!</definedName>
    <definedName name="auto2" localSheetId="4">#REF!</definedName>
    <definedName name="auto2">#REF!</definedName>
    <definedName name="AUTOMOTOR">#REF!</definedName>
    <definedName name="AUTOMOTOR1">#REF!</definedName>
    <definedName name="AUX">'[29]DATOS SEMANALES'!$F$32:$Y$38</definedName>
    <definedName name="AuxAlim">'[10]DATOS CONTRATO'!$E$18</definedName>
    <definedName name="auxalimentacion">[44]CONTRATO!$E$18</definedName>
    <definedName name="AuxCom">'[10]DATOS CONTRATO'!$I$16</definedName>
    <definedName name="auxcomisariato">[44]CONTRATO!$I$16</definedName>
    <definedName name="AuxDot">'[10]DATOS CONTRATO'!$I$17</definedName>
    <definedName name="auxdotacion">[44]CONTRATO!$I$17</definedName>
    <definedName name="AuxHab">'[10]DATOS CONTRATO'!$E$17</definedName>
    <definedName name="auxhabi">[45]CONTRATO!$E$17</definedName>
    <definedName name="auxhabitacion">[44]CONTRATO!$E$17</definedName>
    <definedName name="auxtransporte">[44]CONTRATO!$E$16</definedName>
    <definedName name="Avance_por_item" localSheetId="3">#REF!,#REF!,#REF!,#REF!,#REF!,#REF!,#REF!,#REF!,#REF!,#REF!,#REF!,#REF!,#REF!,#REF!,#REF!,#REF!,#REF!,#REF!</definedName>
    <definedName name="Avance_por_item" localSheetId="4">#REF!,#REF!,#REF!,#REF!,#REF!,#REF!,#REF!,#REF!,#REF!,#REF!,#REF!,#REF!,#REF!,#REF!,#REF!,#REF!,#REF!,#REF!</definedName>
    <definedName name="Avance_por_item">#REF!,#REF!,#REF!,#REF!,#REF!,#REF!,#REF!,#REF!,#REF!,#REF!,#REF!,#REF!,#REF!,#REF!,#REF!,#REF!,#REF!,#REF!</definedName>
    <definedName name="Avances_Totales" localSheetId="3">#REF!,#REF!,#REF!,#REF!,#REF!,#REF!,#REF!,#REF!,#REF!,#REF!,#REF!,#REF!,#REF!,#REF!,#REF!,#REF!,#REF!,#REF!</definedName>
    <definedName name="Avances_Totales" localSheetId="4">#REF!,#REF!,#REF!,#REF!,#REF!,#REF!,#REF!,#REF!,#REF!,#REF!,#REF!,#REF!,#REF!,#REF!,#REF!,#REF!,#REF!,#REF!</definedName>
    <definedName name="Avances_Totales">#REF!,#REF!,#REF!,#REF!,#REF!,#REF!,#REF!,#REF!,#REF!,#REF!,#REF!,#REF!,#REF!,#REF!,#REF!,#REF!,#REF!,#REF!</definedName>
    <definedName name="AW" localSheetId="5">#REF!</definedName>
    <definedName name="AW">#REF!</definedName>
    <definedName name="AY" localSheetId="24">#REF!</definedName>
    <definedName name="AY" localSheetId="39">#REF!</definedName>
    <definedName name="AY">#REF!</definedName>
    <definedName name="AYU" localSheetId="24">#REF!</definedName>
    <definedName name="AYU" localSheetId="39">#REF!</definedName>
    <definedName name="AYU">#REF!</definedName>
    <definedName name="Ayudante">[46]MATERIALES!$M$84</definedName>
    <definedName name="azaz" localSheetId="5"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B" localSheetId="5"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#REF!</definedName>
    <definedName name="Bajo_L">[34]Tabla!$A$1:$A$5</definedName>
    <definedName name="bASE" localSheetId="5">#REF!</definedName>
    <definedName name="Base">#REF!</definedName>
    <definedName name="Base_datos_IM">#REF!</definedName>
    <definedName name="base1">#REF!</definedName>
    <definedName name="base2">#REF!</definedName>
    <definedName name="basedatos">[47]Hoja1!$A$4:$BZ$55</definedName>
    <definedName name="_xlnm.Database" localSheetId="5">#REF!</definedName>
    <definedName name="_xlnm.Database" localSheetId="3">#REF!</definedName>
    <definedName name="_xlnm.Database" localSheetId="4">#REF!</definedName>
    <definedName name="_xlnm.Database">#REF!</definedName>
    <definedName name="BaseDeDatos1">#REF!</definedName>
    <definedName name="basep">[48]PRESUPUESTAL!$A$4:$P$190</definedName>
    <definedName name="Basica_Centro_costo_2001" localSheetId="3">#REF!</definedName>
    <definedName name="Basica_Centro_costo_2001" localSheetId="4">#REF!</definedName>
    <definedName name="Basica_Centro_costo_2001">#REF!</definedName>
    <definedName name="Basica_Facturacion_2001" localSheetId="3">#REF!</definedName>
    <definedName name="Basica_Facturacion_2001" localSheetId="4">#REF!</definedName>
    <definedName name="Basica_Facturacion_2001">#REF!</definedName>
    <definedName name="Basica_Reserva_2001" localSheetId="3">#REF!</definedName>
    <definedName name="Basica_Reserva_2001" localSheetId="4">#REF!</definedName>
    <definedName name="Basica_Reserva_2001">#REF!</definedName>
    <definedName name="Básico">#REF!</definedName>
    <definedName name="BB" localSheetId="5">'INDICAR CÓDIGO DEL ITEM DE PAGO'!ERR</definedName>
    <definedName name="BB" localSheetId="3">'PRESUPUESTO OFICIAL (Entidad)'!ERR</definedName>
    <definedName name="BB" localSheetId="4">'PROPUESTA ECONOMICA(Proponente)'!ERR</definedName>
    <definedName name="BB">[0]!ERR</definedName>
    <definedName name="bbbbbb" localSheetId="5"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hidden="1">{"via1",#N/A,TRUE,"general";"via2",#N/A,TRUE,"general";"via3",#N/A,TRUE,"general"}</definedName>
    <definedName name="bbbbbh" localSheetId="5"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5"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5"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5"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hidden="1">{"via1",#N/A,TRUE,"general";"via2",#N/A,TRUE,"general";"via3",#N/A,TRUE,"general"}</definedName>
    <definedName name="BDFGDG" localSheetId="5"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DLICITACION" localSheetId="24">#REF!</definedName>
    <definedName name="BDLICITACION" localSheetId="16">#REF!</definedName>
    <definedName name="BDLICITACION" localSheetId="39">#REF!</definedName>
    <definedName name="BDLICITACION">#REF!</definedName>
    <definedName name="be" localSheetId="5"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NEFICIARIOS">[49]BENEFICIARIOS!$B$12:$B$667</definedName>
    <definedName name="bfnfv" localSheetId="5"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b" localSheetId="5"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5"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hidden="1">{"via1",#N/A,TRUE,"general";"via2",#N/A,TRUE,"general";"via3",#N/A,TRUE,"general"}</definedName>
    <definedName name="BGFBFH" localSheetId="5"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T">#REF!</definedName>
    <definedName name="bgvfcdx" localSheetId="5"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'[50]Ejecutado%'!#REF!</definedName>
    <definedName name="blEjecutadoPorcen">'[50]Ejecutado$'!$D$1:$CE$45</definedName>
    <definedName name="blEqCantiInf1" localSheetId="3">#REF!</definedName>
    <definedName name="blEqCantiInf1" localSheetId="4">#REF!</definedName>
    <definedName name="blEqCantiInf1">#REF!</definedName>
    <definedName name="blEqCantiInf2" localSheetId="3">#REF!</definedName>
    <definedName name="blEqCantiInf2" localSheetId="4">#REF!</definedName>
    <definedName name="blEqCantiInf2">#REF!</definedName>
    <definedName name="blEqClaseInf1" localSheetId="3">#REF!</definedName>
    <definedName name="blEqClaseInf1" localSheetId="4">#REF!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'[50]Programado$'!$I$1:$CK$45</definedName>
    <definedName name="blReferenciaInforme" localSheetId="3">#REF!</definedName>
    <definedName name="blReferenciaInforme" localSheetId="4">#REF!</definedName>
    <definedName name="blReferenciaInforme">#REF!</definedName>
    <definedName name="bn" localSheetId="5">#REF!</definedName>
    <definedName name="bn" localSheetId="3">#REF!</definedName>
    <definedName name="bn" localSheetId="4">#REF!</definedName>
    <definedName name="bn">#REF!</definedName>
    <definedName name="Bombas">#REF!</definedName>
    <definedName name="BONO">#REF!</definedName>
    <definedName name="BORDER1">[51]steel!#REF!</definedName>
    <definedName name="BORDET" localSheetId="3">#REF!</definedName>
    <definedName name="BORDET" localSheetId="4">#REF!</definedName>
    <definedName name="BORDET">#REF!</definedName>
    <definedName name="BORSHE">'[3]7422CW00'!#REF!</definedName>
    <definedName name="BORSUM">'[3]7422CW00'!#REF!</definedName>
    <definedName name="boxes">#REF!</definedName>
    <definedName name="BQ">#REF!</definedName>
    <definedName name="br" localSheetId="5"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5"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hidden="1">{"via1",#N/A,TRUE,"general";"via2",#N/A,TRUE,"general";"via3",#N/A,TRUE,"general"}</definedName>
    <definedName name="bspoi" localSheetId="5"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SW">[52]medelo!$D$37</definedName>
    <definedName name="bt" localSheetId="5"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hidden="1">{"via1",#N/A,TRUE,"general";"via2",#N/A,TRUE,"general";"via3",#N/A,TRUE,"general"}</definedName>
    <definedName name="BTYJHTR" localSheetId="5"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uiltIn_Print_Area">'[53]Form5 _Pág_ 1'!#REF!</definedName>
    <definedName name="BuiltIn_Print_Area___0">'[53]Form5 _Pág_ 2'!#REF!</definedName>
    <definedName name="bustos" localSheetId="24">#REF!</definedName>
    <definedName name="bustos" localSheetId="3">#REF!</definedName>
    <definedName name="bustos" localSheetId="39">#REF!</definedName>
    <definedName name="bustos" localSheetId="4">#REF!</definedName>
    <definedName name="bustos">#REF!</definedName>
    <definedName name="bvbc" localSheetId="5"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5"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hidden="1">{"via1",#N/A,TRUE,"general";"via2",#N/A,TRUE,"general";"via3",#N/A,TRUE,"general"}</definedName>
    <definedName name="bvn" localSheetId="5"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hidden="1">{"via1",#N/A,TRUE,"general";"via2",#N/A,TRUE,"general";"via3",#N/A,TRUE,"general"}</definedName>
    <definedName name="by" localSheetId="5"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hidden="1">{"via1",#N/A,TRUE,"general";"via2",#N/A,TRUE,"general";"via3",#N/A,TRUE,"general"}</definedName>
    <definedName name="C._C.">#REF!</definedName>
    <definedName name="C_" localSheetId="5">#REF!</definedName>
    <definedName name="C_" localSheetId="3">#REF!</definedName>
    <definedName name="C_" localSheetId="4">#REF!</definedName>
    <definedName name="C_">#REF!</definedName>
    <definedName name="CA" localSheetId="24">#REF!</definedName>
    <definedName name="CA" localSheetId="39">#REF!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5">#REF!</definedName>
    <definedName name="CANT">#REF!</definedName>
    <definedName name="CANT_IT_1">[46]MATERIALES!$L$43</definedName>
    <definedName name="CANT_IT_10">[46]MATERIALES!$U$43</definedName>
    <definedName name="CANT_IT_11">[46]MATERIALES!$V$43</definedName>
    <definedName name="CANT_IT_12">[46]MATERIALES!$W$43</definedName>
    <definedName name="CANT_IT_13">[46]MATERIALES!$X$43</definedName>
    <definedName name="CANT_IT_14">[46]MATERIALES!$Y$43</definedName>
    <definedName name="CANT_IT_15">[46]MATERIALES!$Z$43</definedName>
    <definedName name="CANT_IT_16">[46]MATERIALES!$AA$43</definedName>
    <definedName name="CANT_IT_17">[46]MATERIALES!$AB$43</definedName>
    <definedName name="CANT_IT_18">[46]MATERIALES!$AC$43</definedName>
    <definedName name="CANT_IT_19">[46]MATERIALES!$AD$43</definedName>
    <definedName name="CANT_IT_2">[46]MATERIALES!$M$43</definedName>
    <definedName name="CANT_IT_20">[46]MATERIALES!$AE$43</definedName>
    <definedName name="CANT_IT_21">[46]MATERIALES!$AF$43</definedName>
    <definedName name="CANT_IT_3">[46]MATERIALES!$N$43</definedName>
    <definedName name="CANT_IT_4">[46]MATERIALES!$O$43</definedName>
    <definedName name="CANT_IT_5">[46]MATERIALES!$P$43</definedName>
    <definedName name="CANT_IT_6">[46]MATERIALES!$Q$43</definedName>
    <definedName name="CANT_IT_7">[46]MATERIALES!$R$43</definedName>
    <definedName name="CANT_IT_8">[46]MATERIALES!$S$43</definedName>
    <definedName name="CANT_IT_9">[46]MATERIALES!$T$43</definedName>
    <definedName name="cantidad" localSheetId="3">'[54]TRAMO 03'!$F:$F,'[54]TRAMO 03'!$I:$I,'[54]TRAMO 03'!$K:$K,'[54]TRAMO 03'!#REF!,'[54]TRAMO 03'!#REF!,'[54]TRAMO 03'!#REF!,'[54]TRAMO 03'!#REF!,'[54]TRAMO 03'!#REF!,'[54]TRAMO 03'!#REF!,'[54]TRAMO 03'!#REF!,'[54]TRAMO 03'!#REF!,'[54]TRAMO 03'!#REF!,'[54]TRAMO 03'!#REF!,'[54]TRAMO 03'!#REF!,'[54]TRAMO 03'!#REF!,'[54]TRAMO 03'!#REF!</definedName>
    <definedName name="cantidad" localSheetId="4">'[54]TRAMO 03'!$F:$F,'[54]TRAMO 03'!$I:$I,'[54]TRAMO 03'!$K:$K,'[54]TRAMO 03'!#REF!,'[54]TRAMO 03'!#REF!,'[54]TRAMO 03'!#REF!,'[54]TRAMO 03'!#REF!,'[54]TRAMO 03'!#REF!,'[54]TRAMO 03'!#REF!,'[54]TRAMO 03'!#REF!,'[54]TRAMO 03'!#REF!,'[54]TRAMO 03'!#REF!,'[54]TRAMO 03'!#REF!,'[54]TRAMO 03'!#REF!,'[54]TRAMO 03'!#REF!,'[54]TRAMO 03'!#REF!</definedName>
    <definedName name="cantidad">'[54]TRAMO 03'!$F:$F,'[54]TRAMO 03'!$I:$I,'[54]TRAMO 03'!$K:$K,'[54]TRAMO 03'!#REF!,'[54]TRAMO 03'!#REF!,'[54]TRAMO 03'!#REF!,'[54]TRAMO 03'!#REF!,'[54]TRAMO 03'!#REF!,'[54]TRAMO 03'!#REF!,'[54]TRAMO 03'!#REF!,'[54]TRAMO 03'!#REF!,'[54]TRAMO 03'!#REF!,'[54]TRAMO 03'!#REF!,'[54]TRAMO 03'!#REF!,'[54]TRAMO 03'!#REF!,'[54]TRAMO 03'!#REF!</definedName>
    <definedName name="CANTIDADES" localSheetId="24">#REF!</definedName>
    <definedName name="CANTIDADES" localSheetId="16">#REF!</definedName>
    <definedName name="CANTIDADES" localSheetId="39">#REF!</definedName>
    <definedName name="CANTIDADES">#REF!</definedName>
    <definedName name="cap" localSheetId="5">#REF!</definedName>
    <definedName name="CAP">#REF!</definedName>
    <definedName name="CAPAC._HSE">#REF!</definedName>
    <definedName name="Capataz">[46]MATERIALES!$M$81</definedName>
    <definedName name="CARGA" localSheetId="3">#REF!</definedName>
    <definedName name="CARGA" localSheetId="4">#REF!</definedName>
    <definedName name="CARGA">#REF!</definedName>
    <definedName name="CARGOS" localSheetId="3">#REF!</definedName>
    <definedName name="CARGOS" localSheetId="4">#REF!</definedName>
    <definedName name="CARGOS">#REF!</definedName>
    <definedName name="carlos" localSheetId="5">MODULO10.auto_abrir</definedName>
    <definedName name="carlos" localSheetId="3">MODULO10.auto_abrir</definedName>
    <definedName name="carlos" localSheetId="4">MODULO10.auto_abrir</definedName>
    <definedName name="carlos">MODULO10.auto_abrir</definedName>
    <definedName name="CBLES" localSheetId="3">#REF!</definedName>
    <definedName name="CBLES" localSheetId="4">#REF!</definedName>
    <definedName name="CBLES">#REF!</definedName>
    <definedName name="CBLES1" localSheetId="3">#REF!</definedName>
    <definedName name="CBLES1" localSheetId="4">#REF!</definedName>
    <definedName name="CBLES1">#REF!</definedName>
    <definedName name="CBRDISEÑO">[55]SECTORIZACIÓN!$A$12:$G$20</definedName>
    <definedName name="CBWorkbookPriority" hidden="1">-1602700874</definedName>
    <definedName name="CC">[56]Personalizar!$G$22:$G$25</definedName>
    <definedName name="ccccc" localSheetId="5"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hidden="1">{"TAB1",#N/A,TRUE,"GENERAL";"TAB2",#N/A,TRUE,"GENERAL";"TAB3",#N/A,TRUE,"GENERAL";"TAB4",#N/A,TRUE,"GENERAL";"TAB5",#N/A,TRUE,"GENERAL"}</definedName>
    <definedName name="CCCCCC" localSheetId="5">'[57]A. P. U.'!#REF!</definedName>
    <definedName name="CCCCCC" localSheetId="3">'[57]A. P. U.'!#REF!</definedName>
    <definedName name="CCCCCC" localSheetId="4">'[57]A. P. U.'!#REF!</definedName>
    <definedName name="CCCCCC">'[57]A. P. U.'!#REF!</definedName>
    <definedName name="CCT" localSheetId="3">#REF!</definedName>
    <definedName name="CCT" localSheetId="4">#REF!</definedName>
    <definedName name="CCT">#REF!</definedName>
    <definedName name="ccto210" localSheetId="5">#REF!</definedName>
    <definedName name="ccto210" localSheetId="3">#REF!</definedName>
    <definedName name="ccto210" localSheetId="4">#REF!</definedName>
    <definedName name="ccto210">#REF!</definedName>
    <definedName name="cd">[58]Hoja1!$C$81</definedName>
    <definedName name="cdcdc" localSheetId="5"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hidden="1">{"via1",#N/A,TRUE,"general";"via2",#N/A,TRUE,"general";"via3",#N/A,TRUE,"general"}</definedName>
    <definedName name="CDctrl">[37]CDItem!$G$8</definedName>
    <definedName name="CDE" localSheetId="3">#REF!</definedName>
    <definedName name="CDE" localSheetId="4">#REF!</definedName>
    <definedName name="CDE">#REF!</definedName>
    <definedName name="cdfcs" localSheetId="3">#REF!</definedName>
    <definedName name="cdfcs" localSheetId="4">#REF!</definedName>
    <definedName name="cdfcs">#REF!</definedName>
    <definedName name="cdfgrtfd" localSheetId="3" hidden="1">#REF!</definedName>
    <definedName name="cdfgrtfd" localSheetId="4" hidden="1">#REF!</definedName>
    <definedName name="cdfgrtfd" hidden="1">#REF!</definedName>
    <definedName name="CDSC" localSheetId="3">'[29]DATOS SEMANALES'!#REF!</definedName>
    <definedName name="CDSC" localSheetId="4">'[29]DATOS SEMANALES'!#REF!</definedName>
    <definedName name="CDSC">'[29]DATOS SEMANALES'!#REF!</definedName>
    <definedName name="CE" localSheetId="3">[59]MAT!#REF!</definedName>
    <definedName name="CE" localSheetId="4">[59]MAT!#REF!</definedName>
    <definedName name="CE">[59]MAT!#REF!</definedName>
    <definedName name="ceerf" localSheetId="5"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MENTO" localSheetId="5">[60]Insum!$A$3:$H$63</definedName>
    <definedName name="CEMENTO">[61]Insum!$A$3:$H$63</definedName>
    <definedName name="CFG" localSheetId="3">#REF!</definedName>
    <definedName name="CFG" localSheetId="4">#REF!</definedName>
    <definedName name="CFG">#REF!</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iudades">[62]Insumos!$B$2:$B$2</definedName>
    <definedName name="CIV">'[29]DATOS SEMANALES'!$F$53:$Y$59</definedName>
    <definedName name="cjsa" hidden="1">#REF!</definedName>
    <definedName name="CL">#REF!</definedName>
    <definedName name="CLASIFICADORES">#REF!</definedName>
    <definedName name="CLASIFTODOS">#REF!</definedName>
    <definedName name="cmf">[63]Hoja1!$C$27</definedName>
    <definedName name="CMIBLE" localSheetId="3">#REF!</definedName>
    <definedName name="CMIBLE" localSheetId="4">#REF!</definedName>
    <definedName name="CMIBLE">#REF!</definedName>
    <definedName name="CMIBLE1" localSheetId="3">#REF!</definedName>
    <definedName name="CMIBLE1" localSheetId="4">#REF!</definedName>
    <definedName name="CMIBLE1">#REF!</definedName>
    <definedName name="CO" localSheetId="29">#REF!</definedName>
    <definedName name="CO" localSheetId="31">#REF!</definedName>
    <definedName name="CO" localSheetId="24">#REF!</definedName>
    <definedName name="CO" localSheetId="39">#REF!</definedName>
    <definedName name="CO">#REF!</definedName>
    <definedName name="Cod">#REF!</definedName>
    <definedName name="CodActEco">[10]EMPRESA!$F$10</definedName>
    <definedName name="CODBS">#REF!</definedName>
    <definedName name="CODG1">#REF!</definedName>
    <definedName name="CODG2">#REF!</definedName>
    <definedName name="CODG3">#REF!</definedName>
    <definedName name="codigo">#REF!,#REF!</definedName>
    <definedName name="CodigoInversion">#REF!</definedName>
    <definedName name="CodigoProyecto">#REF!</definedName>
    <definedName name="Codigos">#REF!</definedName>
    <definedName name="CodinsumosTodos">#REF!</definedName>
    <definedName name="CODOS">#REF!</definedName>
    <definedName name="cogvsiruj">[36]COMPARATIVO!#REF!</definedName>
    <definedName name="COLON">#REF!</definedName>
    <definedName name="ColTap">'[21]Coloc. e Interc. Tapones'!$E$1:$E$65536</definedName>
    <definedName name="Com">'[44]LIQUIDA-NOMINA'!$AL$4</definedName>
    <definedName name="COMIDA" localSheetId="3">#REF!</definedName>
    <definedName name="COMIDA" localSheetId="4">#REF!</definedName>
    <definedName name="COMIDA">#REF!</definedName>
    <definedName name="COMP">'[29]DATOS SEMANALES'!$F$123:$Y$164</definedName>
    <definedName name="complementaria">'[29]DATOS SEMANALES'!#REF!</definedName>
    <definedName name="Compresores">#REF!</definedName>
    <definedName name="COMTOP">'[29]DATOS SEMANALES'!$F$165:$Y$171</definedName>
    <definedName name="COMUNIC">'[29]DATOS SEMANALES'!$F$172:$Y$178</definedName>
    <definedName name="Concretos">[62]Insumos!#REF!</definedName>
    <definedName name="ConseqCat">0</definedName>
    <definedName name="ConseqForMitRisk">3</definedName>
    <definedName name="CONT">'[64]DATOS CONTRATO'!$G$13</definedName>
    <definedName name="Contratante">'[10]DATOS CONTRATO'!$E$6</definedName>
    <definedName name="CONTRATISTA">'[65]RESUMEN SEMANA 3'!$B$9</definedName>
    <definedName name="CONTRATO" localSheetId="5">[44]CONTRATO!$E$8</definedName>
    <definedName name="CONTRATO" localSheetId="3">[44]CONTRATO!$E$8</definedName>
    <definedName name="CONTRATO" localSheetId="4">[44]CONTRATO!$E$8</definedName>
    <definedName name="CONTRATO">'[65]RESUMEN SEMANA 1'!$M$9</definedName>
    <definedName name="COORTEC">'[29]DATOS SEMANALES'!#REF!</definedName>
    <definedName name="COPIA" localSheetId="5">'INDICAR CÓDIGO DEL ITEM DE PAGO'!ERR</definedName>
    <definedName name="COPIA" localSheetId="3">'PRESUPUESTO OFICIAL (Entidad)'!ERR</definedName>
    <definedName name="COPIA" localSheetId="4">'PROPUESTA ECONOMICA(Proponente)'!ERR</definedName>
    <definedName name="COPIA">[0]!ERR</definedName>
    <definedName name="COPIA1" localSheetId="3">#REF!</definedName>
    <definedName name="COPIA1" localSheetId="4">#REF!</definedName>
    <definedName name="COPIA1">#REF!</definedName>
    <definedName name="COPIA2" localSheetId="3">#REF!</definedName>
    <definedName name="COPIA2" localSheetId="4">#REF!</definedName>
    <definedName name="COPIA2">#REF!</definedName>
    <definedName name="copiao4" localSheetId="5">'INDICAR CÓDIGO DEL ITEM DE PAGO'!ERR</definedName>
    <definedName name="copiao4" localSheetId="3">'PRESUPUESTO OFICIAL (Entidad)'!ERR</definedName>
    <definedName name="copiao4" localSheetId="4">'PROPUESTA ECONOMICA(Proponente)'!ERR</definedName>
    <definedName name="copiao4">[0]!ERR</definedName>
    <definedName name="corri" localSheetId="5">'INDICAR CÓDIGO DEL ITEM DE PAGO'!ERR</definedName>
    <definedName name="corri" localSheetId="3">'PRESUPUESTO OFICIAL (Entidad)'!ERR</definedName>
    <definedName name="corri" localSheetId="4">'PROPUESTA ECONOMICA(Proponente)'!ERR</definedName>
    <definedName name="corri">[0]!ERR</definedName>
    <definedName name="COSTO_FRENTE">[66]BITACORA!$E$1:$E$65536</definedName>
    <definedName name="costo2" localSheetId="3" hidden="1">#REF!</definedName>
    <definedName name="costo2" localSheetId="4" hidden="1">#REF!</definedName>
    <definedName name="costo2" hidden="1">#REF!</definedName>
    <definedName name="COSTODIRECTO" localSheetId="5">#REF!</definedName>
    <definedName name="COSTODIRECTO" localSheetId="3">#REF!</definedName>
    <definedName name="COSTODIRECTO" localSheetId="4">#REF!</definedName>
    <definedName name="COSTODIRECTO">#REF!</definedName>
    <definedName name="COSTOS">[67]TARIFAS!$A$1:$F$52</definedName>
    <definedName name="CRIT" localSheetId="3">#REF!</definedName>
    <definedName name="CRIT" localSheetId="4">#REF!</definedName>
    <definedName name="CRIT">#REF!</definedName>
    <definedName name="CRIT_APIAY" localSheetId="3">#REF!</definedName>
    <definedName name="CRIT_APIAY" localSheetId="4">#REF!</definedName>
    <definedName name="CRIT_APIAY">#REF!</definedName>
    <definedName name="CRIT_CHICHI" localSheetId="3">#REF!</definedName>
    <definedName name="CRIT_CHICHI" localSheetId="4">#REF!</definedName>
    <definedName name="CRIT_CHICHI">#REF!</definedName>
    <definedName name="CRIT_CHICHI1">#REF!</definedName>
    <definedName name="CRIT_DOL">#REF!</definedName>
    <definedName name="CRIT_DOL1">#REF!</definedName>
    <definedName name="CRIT1">#REF!</definedName>
    <definedName name="Criteria_MI">[68]civ_roma!$C$803:$G$804</definedName>
    <definedName name="Criterios_IM">'[3]7422CW00'!#REF!</definedName>
    <definedName name="Criticidad">[69]Tabla!$A$1:$A$5</definedName>
    <definedName name="cs" localSheetId="5">#REF!</definedName>
    <definedName name="cs" localSheetId="3">#REF!</definedName>
    <definedName name="cs" localSheetId="4">#REF!</definedName>
    <definedName name="CS">#REF!</definedName>
    <definedName name="CS_AVG_SIZE">#REF!</definedName>
    <definedName name="CS_WELDING">#REF!</definedName>
    <definedName name="CSD">'[29]DATOS SEMANALES'!#REF!</definedName>
    <definedName name="CTA" localSheetId="5">#REF!</definedName>
    <definedName name="CTA">#REF!</definedName>
    <definedName name="CTE">#REF!</definedName>
    <definedName name="CTR">'[3]7422CW00'!#REF!</definedName>
    <definedName name="CTRPAG">'[3]7422CW00'!#REF!</definedName>
    <definedName name="CUADG1">#REF!</definedName>
    <definedName name="CUAL" localSheetId="5">'INDICAR CÓDIGO DEL ITEM DE PAGO'!ERR</definedName>
    <definedName name="CUAL" localSheetId="3">'PRESUPUESTO OFICIAL (Entidad)'!ERR</definedName>
    <definedName name="CUAL" localSheetId="4">'PROPUESTA ECONOMICA(Proponente)'!ERR</definedName>
    <definedName name="CUAL">[0]!ERR</definedName>
    <definedName name="CUBS" localSheetId="5">#REF!</definedName>
    <definedName name="CUBS" localSheetId="3">#REF!</definedName>
    <definedName name="CUBS" localSheetId="4">#REF!</definedName>
    <definedName name="CUBS">#REF!</definedName>
    <definedName name="CUNET" localSheetId="5"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hidden="1">{"via1",#N/A,TRUE,"general";"via2",#N/A,TRUE,"general";"via3",#N/A,TRUE,"general"}</definedName>
    <definedName name="Customize" localSheetId="4">[56]!Customize</definedName>
    <definedName name="Customize">[56]!Customize</definedName>
    <definedName name="cv" localSheetId="5">#REF!</definedName>
    <definedName name="cv" localSheetId="3">#REF!</definedName>
    <definedName name="cv" localSheetId="4">#REF!</definedName>
    <definedName name="cv">#REF!</definedName>
    <definedName name="CVa">'[21]Cambio de Valv.'!$E$1:$E$65536</definedName>
    <definedName name="cvbcvbf" localSheetId="5" hidden="1">{#N/A,#N/A,TRUE,"INGENIERIA";#N/A,#N/A,TRUE,"COMPRAS";#N/A,#N/A,TRUE,"DIRECCION";#N/A,#N/A,TRUE,"RESUMEN"}</definedName>
    <definedName name="cvbcvbf" localSheetId="3" hidden="1">{#N/A,#N/A,TRUE,"INGENIERIA";#N/A,#N/A,TRUE,"COMPRAS";#N/A,#N/A,TRUE,"DIRECCION";#N/A,#N/A,TRUE,"RESUMEN"}</definedName>
    <definedName name="cvbcvbf" localSheetId="4" hidden="1">{#N/A,#N/A,TRUE,"INGENIERIA";#N/A,#N/A,TRUE,"COMPRAS";#N/A,#N/A,TRUE,"DIRECCION";#N/A,#N/A,TRUE,"RESUMEN"}</definedName>
    <definedName name="cvbcvbf" hidden="1">{#N/A,#N/A,TRUE,"INGENIERIA";#N/A,#N/A,TRUE,"COMPRAS";#N/A,#N/A,TRUE,"DIRECCION";#N/A,#N/A,TRUE,"RESUMEN"}</definedName>
    <definedName name="cvfvd" localSheetId="5"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hidden="1">{"via1",#N/A,TRUE,"general";"via2",#N/A,TRUE,"general";"via3",#N/A,TRUE,"general"}</definedName>
    <definedName name="cvn" localSheetId="5"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XC" localSheetId="5"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hidden="1">{"via1",#N/A,TRUE,"general";"via2",#N/A,TRUE,"general";"via3",#N/A,TRUE,"general"}</definedName>
    <definedName name="d" localSheetId="5"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#REF!</definedName>
    <definedName name="D_1">#REF!</definedName>
    <definedName name="DAFT">#REF!</definedName>
    <definedName name="DANODO">#REF!</definedName>
    <definedName name="DANODOF">#REF!</definedName>
    <definedName name="DANODOFT">#REF!</definedName>
    <definedName name="dario" localSheetId="5">'[24]GPI 526'!#REF!</definedName>
    <definedName name="dario">'[24]GPI 526'!#REF!</definedName>
    <definedName name="DASD" localSheetId="5"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[68]civ_roma!$C$9:$G$799</definedName>
    <definedName name="DATO1">'[70]46'!$D$3:$CK$429</definedName>
    <definedName name="DATOS" localSheetId="5">#REF!</definedName>
    <definedName name="datos" localSheetId="3">#REF!</definedName>
    <definedName name="datos" localSheetId="4">#REF!</definedName>
    <definedName name="DATOS">[71]C_ESTE_1!$A$2:$DY$130</definedName>
    <definedName name="DBASE1" localSheetId="3">#REF!</definedName>
    <definedName name="DBASE1" localSheetId="4">#REF!</definedName>
    <definedName name="DBASE1">#REF!</definedName>
    <definedName name="DBASE2" localSheetId="3">#REF!</definedName>
    <definedName name="DBASE2" localSheetId="4">#REF!</definedName>
    <definedName name="DBASE2">#REF!</definedName>
    <definedName name="DBASE3" localSheetId="3">#REF!</definedName>
    <definedName name="DBASE3" localSheetId="4">#REF!</definedName>
    <definedName name="DBASE3">#REF!</definedName>
    <definedName name="dbfdfbi" localSheetId="5"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bgcm" localSheetId="5">#REF!</definedName>
    <definedName name="Dbgcm">#REF!</definedName>
    <definedName name="dc">#REF!</definedName>
    <definedName name="Dcacm" localSheetId="5">#REF!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'[72]Pta a tierra'!#REF!</definedName>
    <definedName name="DCSDCTV" localSheetId="5"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hidden="1">{"via1",#N/A,TRUE,"general";"via2",#N/A,TRUE,"general";"via3",#N/A,TRUE,"general"}</definedName>
    <definedName name="dd" localSheetId="5">#REF!</definedName>
    <definedName name="dd" localSheetId="3">#REF!</definedName>
    <definedName name="dd" localSheetId="4">#REF!</definedName>
    <definedName name="DD">#REF!</definedName>
    <definedName name="ddd" localSheetId="5"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hidden="1">{"via1",#N/A,TRUE,"general";"via2",#N/A,TRUE,"general";"via3",#N/A,TRUE,"general"}</definedName>
    <definedName name="DDDD" localSheetId="5" hidden="1">{#N/A,#N/A,FALSE,"Estatico";#N/A,#N/A,FALSE,"Tuberia";#N/A,#N/A,FALSE,"Instrumentación";#N/A,#N/A,FALSE,"Mecanica";#N/A,#N/A,FALSE,"Electrico";#N/A,#N/A,FALSE,"Ofic.Civiles"}</definedName>
    <definedName name="DDDD" localSheetId="3" hidden="1">{#N/A,#N/A,FALSE,"Estatico";#N/A,#N/A,FALSE,"Tuberia";#N/A,#N/A,FALSE,"Instrumentación";#N/A,#N/A,FALSE,"Mecanica";#N/A,#N/A,FALSE,"Electrico";#N/A,#N/A,FALSE,"Ofic.Civiles"}</definedName>
    <definedName name="DDDD" localSheetId="4"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5"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5"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hidden="1">{"via1",#N/A,TRUE,"general";"via2",#N/A,TRUE,"general";"via3",#N/A,TRUE,"general"}</definedName>
    <definedName name="ddewdw" localSheetId="5"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h" localSheetId="5"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5"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fd" localSheetId="5"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hidden="1">{"via1",#N/A,TRUE,"general";"via2",#N/A,TRUE,"general";"via3",#N/A,TRUE,"general"}</definedName>
    <definedName name="demanto" localSheetId="5">#REF!</definedName>
    <definedName name="demanto">#REF!</definedName>
    <definedName name="DEMOLICIÓN">'[73]BASE-LISTAS'!$B$24:$B$29</definedName>
    <definedName name="dens">[74]Hoja2!$C$9</definedName>
    <definedName name="DEP_VPR_GRM" localSheetId="3">#REF!</definedName>
    <definedName name="DEP_VPR_GRM" localSheetId="4">#REF!</definedName>
    <definedName name="DEP_VPR_GRM">#REF!</definedName>
    <definedName name="DEP_VPR_GRN" localSheetId="3">#REF!</definedName>
    <definedName name="DEP_VPR_GRN" localSheetId="4">#REF!</definedName>
    <definedName name="DEP_VPR_GRN">#REF!</definedName>
    <definedName name="DEP_VPR_GRS" localSheetId="3">#REF!</definedName>
    <definedName name="DEP_VPR_GRS" localSheetId="4">#REF!</definedName>
    <definedName name="DEP_VPR_GRS">#REF!</definedName>
    <definedName name="DEP_VPR_GTP">#REF!</definedName>
    <definedName name="DEP_VPR_NA">#REF!</definedName>
    <definedName name="DEPEND">[69]Tabla!$B$1:$B$397</definedName>
    <definedName name="DEPENDENCIA">[69]Tabla!$B$1:$B$397</definedName>
    <definedName name="DEPENDENCIAS">[69]Tabla!$B$1:$B$397</definedName>
    <definedName name="DERFE" localSheetId="3">#REF!</definedName>
    <definedName name="DERFE" localSheetId="4">#REF!</definedName>
    <definedName name="DERFE">#REF!</definedName>
    <definedName name="desarrolladas">'[28]Reservas de Petróleo'!$A$2,'[28]Reservas de Petróleo'!$A$1,'[28]Reservas de Petróleo'!$D$4,'[28]Reservas de Petróleo'!$F$1:$F$65536</definedName>
    <definedName name="DESCUNMI">#REF!</definedName>
    <definedName name="DEST_ART">[51]steel!#REF!</definedName>
    <definedName name="DESTCOD">'[3]7422CW00'!#REF!</definedName>
    <definedName name="DESTFG">'[3]7422CW00'!#REF!</definedName>
    <definedName name="DESTQTY">'[3]7422CW00'!#REF!</definedName>
    <definedName name="DETAIL">#REF!</definedName>
    <definedName name="Detalle_Reserva">#REF!</definedName>
    <definedName name="DEX" localSheetId="5">#REF!</definedName>
    <definedName name="DEX">#REF!</definedName>
    <definedName name="DF" localSheetId="5">[75]Cronograma!#REF!</definedName>
    <definedName name="DF" localSheetId="3">[75]Cronograma!#REF!</definedName>
    <definedName name="DF" localSheetId="4">[75]Cronograma!#REF!</definedName>
    <definedName name="DF">#REF!</definedName>
    <definedName name="dfa" localSheetId="5"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5"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BNJ" localSheetId="5"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hidden="1">{"via1",#N/A,TRUE,"general";"via2",#N/A,TRUE,"general";"via3",#N/A,TRUE,"general"}</definedName>
    <definedName name="dfds" localSheetId="5"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5"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hidden="1">{"via1",#N/A,TRUE,"general";"via2",#N/A,TRUE,"general";"via3",#N/A,TRUE,"general"}</definedName>
    <definedName name="dffffe" localSheetId="5"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G" localSheetId="5"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hidden="1">{"via1",#N/A,TRUE,"general";"via2",#N/A,TRUE,"general";"via3",#N/A,TRUE,"general"}</definedName>
    <definedName name="DFGBHJ" localSheetId="5"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hidden="1">{"via1",#N/A,TRUE,"general";"via2",#N/A,TRUE,"general";"via3",#N/A,TRUE,"general"}</definedName>
    <definedName name="DFGDFG" localSheetId="5"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hidden="1">{"via1",#N/A,TRUE,"general";"via2",#N/A,TRUE,"general";"via3",#N/A,TRUE,"general"}</definedName>
    <definedName name="DFGDYYB" localSheetId="5"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5"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hidden="1">{"via1",#N/A,TRUE,"general";"via2",#N/A,TRUE,"general";"via3",#N/A,TRUE,"general"}</definedName>
    <definedName name="DFGFBOP" localSheetId="5"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V" localSheetId="5"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5"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r" localSheetId="5"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hidden="1">{"via1",#N/A,TRUE,"general";"via2",#N/A,TRUE,"general";"via3",#N/A,TRUE,"general"}</definedName>
    <definedName name="dfhgh" localSheetId="5"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hidden="1">{"via1",#N/A,TRUE,"general";"via2",#N/A,TRUE,"general";"via3",#N/A,TRUE,"general"}</definedName>
    <definedName name="dfj" localSheetId="5"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lt1">[56]Personalizar!$E$22</definedName>
    <definedName name="dflt2">[56]Personalizar!$E$23</definedName>
    <definedName name="dflt3">[56]Personalizar!$D$24</definedName>
    <definedName name="dflt4">[56]Personalizar!$E$26</definedName>
    <definedName name="dflt5">[56]Personalizar!$E$27</definedName>
    <definedName name="dflt6">[56]Personalizar!$D$28</definedName>
    <definedName name="dflt7">[56]Personalizar!$G$27</definedName>
    <definedName name="DFRFRF" localSheetId="5"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hidden="1">{"via1",#N/A,TRUE,"general";"via2",#N/A,TRUE,"general";"via3",#N/A,TRUE,"general"}</definedName>
    <definedName name="DFVUI" localSheetId="5"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hidden="1">{"via1",#N/A,TRUE,"general";"via2",#N/A,TRUE,"general";"via3",#N/A,TRUE,"general"}</definedName>
    <definedName name="dg" localSheetId="5"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dgr" localSheetId="5"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hidden="1">{"via1",#N/A,TRUE,"general";"via2",#N/A,TRUE,"general";"via3",#N/A,TRUE,"general"}</definedName>
    <definedName name="dgfd" localSheetId="5"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5"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hidden="1">{"via1",#N/A,TRUE,"general";"via2",#N/A,TRUE,"general";"via3",#N/A,TRUE,"general"}</definedName>
    <definedName name="dgfdg" localSheetId="5"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G" localSheetId="5"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hidden="1">{"via1",#N/A,TRUE,"general";"via2",#N/A,TRUE,"general";"via3",#N/A,TRUE,"general"}</definedName>
    <definedName name="dgfsado" localSheetId="5"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5"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5"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hidden="1">{"via1",#N/A,TRUE,"general";"via2",#N/A,TRUE,"general";"via3",#N/A,TRUE,"general"}</definedName>
    <definedName name="DH" localSheetId="5"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hidden="1">{"via1",#N/A,TRUE,"general";"via2",#N/A,TRUE,"general";"via3",#N/A,TRUE,"general"}</definedName>
    <definedName name="dhdth" localSheetId="5"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5"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hidden="1">{"via1",#N/A,TRUE,"general";"via2",#N/A,TRUE,"general";"via3",#N/A,TRUE,"general"}</definedName>
    <definedName name="DIA">[26]PRESUPUESTO!$B$13</definedName>
    <definedName name="Diametro">[76]Cantidades!$L$56:$L$61</definedName>
    <definedName name="Diámetro" localSheetId="3">#REF!</definedName>
    <definedName name="Diámetro" localSheetId="4">#REF!</definedName>
    <definedName name="Diámetro">#REF!</definedName>
    <definedName name="diámetroft" localSheetId="3">#REF!</definedName>
    <definedName name="diámetroft" localSheetId="4">#REF!</definedName>
    <definedName name="diámetroft">#REF!</definedName>
    <definedName name="diametros" localSheetId="3">#REF!</definedName>
    <definedName name="diametros" localSheetId="4">#REF!</definedName>
    <definedName name="diametros">#REF!</definedName>
    <definedName name="diego" localSheetId="24">#REF!</definedName>
    <definedName name="diego" localSheetId="39">#REF!</definedName>
    <definedName name="diego">#REF!</definedName>
    <definedName name="diego1">#REF!</definedName>
    <definedName name="diferencia" localSheetId="3">'[77]MEDIA GEOMETRICA'!$J$8,'[77]MEDIA GEOMETRICA'!$N$8,'[77]MEDIA GEOMETRICA'!$R$8,'[77]MEDIA GEOMETRICA'!$V$8,'[77]MEDIA GEOMETRICA'!$Z$8,'[77]MEDIA GEOMETRICA'!$AD$8,'[77]MEDIA GEOMETRICA'!$AH$8,'[77]MEDIA GEOMETRICA'!$AL$8,'[77]MEDIA GEOMETRICA'!#REF!,'[77]MEDIA GEOMETRICA'!#REF!</definedName>
    <definedName name="diferencia" localSheetId="4">'[77]MEDIA GEOMETRICA'!$J$8,'[77]MEDIA GEOMETRICA'!$N$8,'[77]MEDIA GEOMETRICA'!$R$8,'[77]MEDIA GEOMETRICA'!$V$8,'[77]MEDIA GEOMETRICA'!$Z$8,'[77]MEDIA GEOMETRICA'!$AD$8,'[77]MEDIA GEOMETRICA'!$AH$8,'[77]MEDIA GEOMETRICA'!$AL$8,'[77]MEDIA GEOMETRICA'!#REF!,'[77]MEDIA GEOMETRICA'!#REF!</definedName>
    <definedName name="diferencia">'[77]MEDIA GEOMETRICA'!$J$8,'[77]MEDIA GEOMETRICA'!$N$8,'[77]MEDIA GEOMETRICA'!$R$8,'[77]MEDIA GEOMETRICA'!$V$8,'[77]MEDIA GEOMETRICA'!$Z$8,'[77]MEDIA GEOMETRICA'!$AD$8,'[77]MEDIA GEOMETRICA'!$AH$8,'[77]MEDIA GEOMETRICA'!$AL$8,'[77]MEDIA GEOMETRICA'!#REF!,'[77]MEDIA GEOMETRICA'!#REF!</definedName>
    <definedName name="DIJ" localSheetId="3">[12]Tablas!#REF!</definedName>
    <definedName name="DIJ" localSheetId="4">[12]Tablas!#REF!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'[29]DATOS SEMANALES'!$F$4:$Y$10</definedName>
    <definedName name="Direccion">[44]EMPRESA!$F$14</definedName>
    <definedName name="display_area_2" localSheetId="3">#REF!</definedName>
    <definedName name="display_area_2" localSheetId="4">#REF!</definedName>
    <definedName name="display_area_2">#REF!</definedName>
    <definedName name="djdytj" localSheetId="5"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[78]CÁLCULOS!$H$34</definedName>
    <definedName name="DOTACIÓN" localSheetId="3">#REF!</definedName>
    <definedName name="DOTACIÓN" localSheetId="4">#REF!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5"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hidden="1">{"via1",#N/A,TRUE,"general";"via2",#N/A,TRUE,"general";"via3",#N/A,TRUE,"general"}</definedName>
    <definedName name="DS" localSheetId="5">[75]Cronograma!#REF!</definedName>
    <definedName name="DS" localSheetId="3">[75]Cronograma!#REF!</definedName>
    <definedName name="DS" localSheetId="4">[75]Cronograma!#REF!</definedName>
    <definedName name="DS">#REF!</definedName>
    <definedName name="DSAD" localSheetId="5"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hidden="1">{"via1",#N/A,TRUE,"general";"via2",#N/A,TRUE,"general";"via3",#N/A,TRUE,"general"}</definedName>
    <definedName name="dsadfp" localSheetId="5"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AGASG" localSheetId="32">#REF!</definedName>
    <definedName name="DSAGASG" localSheetId="31">#REF!</definedName>
    <definedName name="DSAGASG" localSheetId="24">#REF!</definedName>
    <definedName name="DSAGASG" localSheetId="9">#REF!</definedName>
    <definedName name="DSAGASG" localSheetId="11">#REF!</definedName>
    <definedName name="DSAGASG" localSheetId="12">#REF!</definedName>
    <definedName name="DSAGASG" localSheetId="14">#REF!</definedName>
    <definedName name="DSAGASG" localSheetId="8">#REF!</definedName>
    <definedName name="DSAGASG" localSheetId="10">#REF!</definedName>
    <definedName name="DSAGASG" localSheetId="13">#REF!</definedName>
    <definedName name="DSAGASG" localSheetId="39">#REF!</definedName>
    <definedName name="DSAGASG">#REF!</definedName>
    <definedName name="Dsbcm" localSheetId="5">#REF!</definedName>
    <definedName name="Dsbcm">#REF!</definedName>
    <definedName name="DsctoFondo">[79]EMPRESA!$I$25</definedName>
    <definedName name="DsctoPension">[79]EMPRESA!$I$23</definedName>
    <definedName name="DsctoSalud">[79]EMPRESA!$I$24</definedName>
    <definedName name="DSD" localSheetId="5"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hidden="1">{"via1",#N/A,TRUE,"general";"via2",#N/A,TRUE,"general";"via3",#N/A,TRUE,"general"}</definedName>
    <definedName name="dsdads4" localSheetId="5"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F" localSheetId="5"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hidden="1">{"via1",#N/A,TRUE,"general";"via2",#N/A,TRUE,"general";"via3",#N/A,TRUE,"general"}</definedName>
    <definedName name="DSFCVTY" localSheetId="5"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g" localSheetId="5"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hidden="1">{"via1",#N/A,TRUE,"general";"via2",#N/A,TRUE,"general";"via3",#N/A,TRUE,"general"}</definedName>
    <definedName name="dsfhgfdh" localSheetId="5"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f" localSheetId="5"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hidden="1">{"via1",#N/A,TRUE,"general";"via2",#N/A,TRUE,"general";"via3",#N/A,TRUE,"general"}</definedName>
    <definedName name="DSFSDFCXV" localSheetId="5"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5"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5"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hidden="1">{"via1",#N/A,TRUE,"general";"via2",#N/A,TRUE,"general";"via3",#N/A,TRUE,"general"}</definedName>
    <definedName name="dxfgg" localSheetId="5"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hidden="1">{"via1",#N/A,TRUE,"general";"via2",#N/A,TRUE,"general";"via3",#N/A,TRUE,"general"}</definedName>
    <definedName name="E" localSheetId="5">#REF!</definedName>
    <definedName name="E" localSheetId="3">#REF!</definedName>
    <definedName name="E" localSheetId="4">#REF!</definedName>
    <definedName name="e">#REF!</definedName>
    <definedName name="e3e33" localSheetId="5"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 localSheetId="32">#REF!</definedName>
    <definedName name="ed" localSheetId="31">#REF!</definedName>
    <definedName name="ed" localSheetId="24">#REF!</definedName>
    <definedName name="ed" localSheetId="9">#REF!</definedName>
    <definedName name="ed" localSheetId="11">#REF!</definedName>
    <definedName name="ed" localSheetId="12">#REF!</definedName>
    <definedName name="ed" localSheetId="14">#REF!</definedName>
    <definedName name="ed" localSheetId="8">#REF!</definedName>
    <definedName name="ed" localSheetId="10">#REF!</definedName>
    <definedName name="ed" localSheetId="13">#REF!</definedName>
    <definedName name="ed" localSheetId="39">#REF!</definedName>
    <definedName name="ed">#REF!</definedName>
    <definedName name="EDC">#REF!</definedName>
    <definedName name="EDEDWSWQA" localSheetId="5"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gfhmn" localSheetId="5"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hidden="1">{"via1",#N/A,TRUE,"general";"via2",#N/A,TRUE,"general";"via3",#N/A,TRUE,"general"}</definedName>
    <definedName name="EE" localSheetId="5">'INDICAR CÓDIGO DEL ITEM DE PAGO'!ERR</definedName>
    <definedName name="EE" localSheetId="3">'PRESUPUESTO OFICIAL (Entidad)'!ERR</definedName>
    <definedName name="EE" localSheetId="4">'PROPUESTA ECONOMICA(Proponente)'!ERR</definedName>
    <definedName name="EE">[0]!ERR</definedName>
    <definedName name="eeedfr" localSheetId="5"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EEE">#REF!</definedName>
    <definedName name="EEEEEEEEEEEEEEEEEEEEEE">#REF!</definedName>
    <definedName name="eeeeer" localSheetId="5"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rfd" localSheetId="5"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hidden="1">{"via1",#N/A,TRUE,"general";"via2",#N/A,TRUE,"general";"via3",#N/A,TRUE,"general"}</definedName>
    <definedName name="EF">#REF!</definedName>
    <definedName name="EFA">#REF!</definedName>
    <definedName name="efef" localSheetId="5"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5"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hidden="1">{"via1",#N/A,TRUE,"general";"via2",#N/A,TRUE,"general";"via3",#N/A,TRUE,"general"}</definedName>
    <definedName name="egeg" localSheetId="5"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'[80]Info Ejec'!$A$1:$AV$153</definedName>
    <definedName name="elaborado">"Cuadro de texto 84"</definedName>
    <definedName name="elaborado1">"Cuadro de texto 84"</definedName>
    <definedName name="ELEC">'[29]DATOS SEMANALES'!$F$46:$Y$52</definedName>
    <definedName name="ELIMINACIONPROYC">#REF!</definedName>
    <definedName name="emanto" localSheetId="5">#REF!</definedName>
    <definedName name="emanto">#REF!</definedName>
    <definedName name="eme" localSheetId="5">'INDICAR CÓDIGO DEL ITEM DE PAGO'!ERR</definedName>
    <definedName name="eme" localSheetId="3">'PRESUPUESTO OFICIAL (Entidad)'!ERR</definedName>
    <definedName name="eme" localSheetId="4">'PROPUESTA ECONOMICA(Proponente)'!ERR</definedName>
    <definedName name="eme">[0]!ERR</definedName>
    <definedName name="EMPLEADO" localSheetId="3">#REF!</definedName>
    <definedName name="EMPLEADO" localSheetId="4">#REF!</definedName>
    <definedName name="EMPLEADO">#REF!</definedName>
    <definedName name="Empresa">[44]EMPRESA!$F$6</definedName>
    <definedName name="EMULSION" localSheetId="3">#REF!</definedName>
    <definedName name="EMULSION" localSheetId="4">#REF!</definedName>
    <definedName name="EMULSION">#REF!</definedName>
    <definedName name="End_Bal" localSheetId="3">#REF!</definedName>
    <definedName name="End_Bal" localSheetId="4">#REF!</definedName>
    <definedName name="End_Bal">#REF!</definedName>
    <definedName name="ene" localSheetId="3">#REF!</definedName>
    <definedName name="ene" localSheetId="4">#REF!</definedName>
    <definedName name="ene">#REF!</definedName>
    <definedName name="Ensayos">#REF!</definedName>
    <definedName name="ENTRADASP" localSheetId="5">#REF!</definedName>
    <definedName name="ENTRADASP">#REF!</definedName>
    <definedName name="EPECIALIDAD_SIDOE">[12]Tablas!#REF!</definedName>
    <definedName name="EQUI" localSheetId="3">#REF!</definedName>
    <definedName name="EQUI" localSheetId="4">#REF!</definedName>
    <definedName name="EQUI">#REF!</definedName>
    <definedName name="equipo" localSheetId="5">[81]Equipo!$A$7:$A$65536</definedName>
    <definedName name="equipo" localSheetId="3">[81]Equipo!$A$7:$A$65536</definedName>
    <definedName name="equipo" localSheetId="4">[81]Equipo!$A$7:$A$65536</definedName>
    <definedName name="EQUIPO">#REF!</definedName>
    <definedName name="EQUIPO_1" localSheetId="3">#REF!</definedName>
    <definedName name="EQUIPO_1" localSheetId="4">#REF!</definedName>
    <definedName name="EQUIPO_1">#REF!</definedName>
    <definedName name="EQUIPO1" localSheetId="3">#REF!</definedName>
    <definedName name="EQUIPO1" localSheetId="4">#REF!</definedName>
    <definedName name="EQUIPO1">#REF!</definedName>
    <definedName name="EQUIPOS" localSheetId="5">'[82]TABLA EQUIPOS'!$A$3:$D$70</definedName>
    <definedName name="Equipos" localSheetId="3">#REF!</definedName>
    <definedName name="Equipos" localSheetId="4">#REF!</definedName>
    <definedName name="Equipos">#REF!</definedName>
    <definedName name="EQUIPOS1" localSheetId="3">#REF!</definedName>
    <definedName name="EQUIPOS1" localSheetId="4">#REF!</definedName>
    <definedName name="EQUIPOS1">#REF!</definedName>
    <definedName name="eqw" localSheetId="5"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hidden="1">{"via1",#N/A,TRUE,"general";"via2",#N/A,TRUE,"general";"via3",#N/A,TRUE,"general"}</definedName>
    <definedName name="ERE_ART">[51]steel!$B$8:$B$47</definedName>
    <definedName name="erfg" localSheetId="5" hidden="1">{#N/A,#N/A,FALSE,"Hoja1";#N/A,#N/A,FALSE,"Hoja2"}</definedName>
    <definedName name="erfg" localSheetId="3" hidden="1">{#N/A,#N/A,FALSE,"Hoja1";#N/A,#N/A,FALSE,"Hoja2"}</definedName>
    <definedName name="erfg" localSheetId="4" hidden="1">{#N/A,#N/A,FALSE,"Hoja1";#N/A,#N/A,FALSE,"Hoja2"}</definedName>
    <definedName name="erfg" hidden="1">{#N/A,#N/A,FALSE,"Hoja1";#N/A,#N/A,FALSE,"Hoja2"}</definedName>
    <definedName name="erg" localSheetId="5"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5"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hidden="1">{"via1",#N/A,TRUE,"general";"via2",#N/A,TRUE,"general";"via3",#N/A,TRUE,"general"}</definedName>
    <definedName name="ergerg" localSheetId="5"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fegr" localSheetId="5"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hidden="1">{"via1",#N/A,TRUE,"general";"via2",#N/A,TRUE,"general";"via3",#N/A,TRUE,"general"}</definedName>
    <definedName name="ergge" localSheetId="5"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5"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hidden="1">{"via1",#N/A,TRUE,"general";"via2",#N/A,TRUE,"general";"via3",#N/A,TRUE,"general"}</definedName>
    <definedName name="ergreg" localSheetId="5"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5"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hidden="1">{"via1",#N/A,TRUE,"general";"via2",#N/A,TRUE,"general";"via3",#N/A,TRUE,"general"}</definedName>
    <definedName name="ergrg" localSheetId="5"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5"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hidden="1">{"via1",#N/A,TRUE,"general";"via2",#N/A,TRUE,"general";"via3",#N/A,TRUE,"general"}</definedName>
    <definedName name="erheyh" localSheetId="5"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5">{"TAB1",#N/A,TRUE,"GENERAL";"TAB2",#N/A,TRUE,"GENERAL";"TAB3",#N/A,TRUE,"GENERAL";"TAB4",#N/A,TRUE,"GENERAL";"TAB5",#N/A,TRUE,"GENERAL"}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{"TAB1",#N/A,TRUE,"GENERAL";"TAB2",#N/A,TRUE,"GENERAL";"TAB3",#N/A,TRUE,"GENERAL";"TAB4",#N/A,TRUE,"GENERAL";"TAB5",#N/A,TRUE,"GENERAL"}</definedName>
    <definedName name="erradas">[74]Hoja2!$C$4</definedName>
    <definedName name="ERRORE" localSheetId="3">#REF!</definedName>
    <definedName name="ERRORE" localSheetId="4">#REF!</definedName>
    <definedName name="ERRORE">#REF!</definedName>
    <definedName name="ert" localSheetId="5"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hidden="1">{"via1",#N/A,TRUE,"general";"via2",#N/A,TRUE,"general";"via3",#N/A,TRUE,"general"}</definedName>
    <definedName name="erte" localSheetId="5"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hidden="1">{"via1",#N/A,TRUE,"general";"via2",#N/A,TRUE,"general";"via3",#N/A,TRUE,"general"}</definedName>
    <definedName name="erter" localSheetId="5"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5"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hidden="1">{"via1",#N/A,TRUE,"general";"via2",#N/A,TRUE,"general";"via3",#N/A,TRUE,"general"}</definedName>
    <definedName name="ertgyhik" localSheetId="5"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5"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hidden="1">{"via1",#N/A,TRUE,"general";"via2",#N/A,TRUE,"general";"via3",#N/A,TRUE,"general"}</definedName>
    <definedName name="ertret" localSheetId="5"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5"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hidden="1">{"via1",#N/A,TRUE,"general";"via2",#N/A,TRUE,"general";"via3",#N/A,TRUE,"general"}</definedName>
    <definedName name="ertuiy" localSheetId="5"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5"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u" localSheetId="5"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5"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hidden="1">{"via1",#N/A,TRUE,"general";"via2",#N/A,TRUE,"general";"via3",#N/A,TRUE,"general"}</definedName>
    <definedName name="erware" localSheetId="5"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5"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5"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5"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5"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hidden="1">{"via1",#N/A,TRUE,"general";"via2",#N/A,TRUE,"general";"via3",#N/A,TRUE,"general"}</definedName>
    <definedName name="ery" localSheetId="5"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5"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5"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5"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5"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5"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hidden="1">{"via1",#N/A,TRUE,"general";"via2",#N/A,TRUE,"general";"via3",#N/A,TRUE,"general"}</definedName>
    <definedName name="eryty" localSheetId="5"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5"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 localSheetId="5">'INDICAR CÓDIGO DEL ITEM DE PAGO'!ERR</definedName>
    <definedName name="ES" localSheetId="3">'PRESUPUESTO OFICIAL (Entidad)'!ERR</definedName>
    <definedName name="ES" localSheetId="4">'PROPUESTA ECONOMICA(Proponente)'!ERR</definedName>
    <definedName name="ES">[0]!ERR</definedName>
    <definedName name="ESA" localSheetId="3">#REF!</definedName>
    <definedName name="ESA" localSheetId="4">#REF!</definedName>
    <definedName name="ESA">#REF!</definedName>
    <definedName name="ESE" localSheetId="3">#REF!</definedName>
    <definedName name="ESE" localSheetId="4">#REF!</definedName>
    <definedName name="ESE">#REF!</definedName>
    <definedName name="ESPE">#REF!</definedName>
    <definedName name="ESPECIFICACION" localSheetId="5">#REF!</definedName>
    <definedName name="ESPECIFICACION">#REF!</definedName>
    <definedName name="Especificación" localSheetId="5">#REF!</definedName>
    <definedName name="Especificación">#REF!</definedName>
    <definedName name="ESPOP">'[29]DATOS SEMANALES'!$F$81:$Y$87</definedName>
    <definedName name="ESTA">#REF!</definedName>
    <definedName name="Estados">#REF!</definedName>
    <definedName name="Estimate_Factor">1</definedName>
    <definedName name="ESTRAE">'[3]7422CW00'!#REF!</definedName>
    <definedName name="ESTRU">[83]Estructura!$C$7:$E$2570</definedName>
    <definedName name="ESTRUCTURA" localSheetId="5" hidden="1">{#N/A,#N/A,TRUE,"INGENIERIA";#N/A,#N/A,TRUE,"COMPRAS";#N/A,#N/A,TRUE,"DIRECCION";#N/A,#N/A,TRUE,"RESUMEN"}</definedName>
    <definedName name="ESTRUCTURA" localSheetId="3" hidden="1">{#N/A,#N/A,TRUE,"INGENIERIA";#N/A,#N/A,TRUE,"COMPRAS";#N/A,#N/A,TRUE,"DIRECCION";#N/A,#N/A,TRUE,"RESUMEN"}</definedName>
    <definedName name="ESTRUCTURA" localSheetId="4" hidden="1">{#N/A,#N/A,TRUE,"INGENIERIA";#N/A,#N/A,TRUE,"COMPRAS";#N/A,#N/A,TRUE,"DIRECCION";#N/A,#N/A,TRUE,"RESUMEN"}</definedName>
    <definedName name="ESTRUCTURA" hidden="1">{#N/A,#N/A,TRUE,"INGENIERIA";#N/A,#N/A,TRUE,"COMPRAS";#N/A,#N/A,TRUE,"DIRECCION";#N/A,#N/A,TRUE,"RESUMEN"}</definedName>
    <definedName name="ESTRUCTURAS">[84]Hoja3!$B$7:$B$15</definedName>
    <definedName name="ETAP" localSheetId="3">#REF!</definedName>
    <definedName name="ETAP" localSheetId="4">#REF!</definedName>
    <definedName name="ETAP">#REF!</definedName>
    <definedName name="ETAPA_PACC" localSheetId="3">#REF!</definedName>
    <definedName name="ETAPA_PACC" localSheetId="4">#REF!</definedName>
    <definedName name="ETAPA_PACC">#REF!</definedName>
    <definedName name="ETAPA1" localSheetId="32">#REF!</definedName>
    <definedName name="ETAPA1" localSheetId="29">#REF!</definedName>
    <definedName name="ETAPA1" localSheetId="31">#REF!</definedName>
    <definedName name="ETAPA1" localSheetId="25">#REF!</definedName>
    <definedName name="ETAPA1" localSheetId="26">#REF!</definedName>
    <definedName name="ETAPA1" localSheetId="27">#REF!</definedName>
    <definedName name="ETAPA1" localSheetId="28">#REF!</definedName>
    <definedName name="ETAPA1" localSheetId="34">#REF!</definedName>
    <definedName name="ETAPA1" localSheetId="35">#REF!</definedName>
    <definedName name="ETAPA1" localSheetId="43">#REF!</definedName>
    <definedName name="ETAPA1" localSheetId="24">#REF!</definedName>
    <definedName name="ETAPA1" localSheetId="45">#REF!</definedName>
    <definedName name="ETAPA1" localSheetId="44">#REF!</definedName>
    <definedName name="ETAPA1" localSheetId="37">#REF!</definedName>
    <definedName name="ETAPA1" localSheetId="9">#REF!</definedName>
    <definedName name="ETAPA1" localSheetId="11">#REF!</definedName>
    <definedName name="ETAPA1" localSheetId="12">#REF!</definedName>
    <definedName name="ETAPA1" localSheetId="14">#REF!</definedName>
    <definedName name="ETAPA1" localSheetId="8">#REF!</definedName>
    <definedName name="ETAPA1" localSheetId="10">#REF!</definedName>
    <definedName name="ETAPA1" localSheetId="13">#REF!</definedName>
    <definedName name="ETAPA1" localSheetId="39">#REF!</definedName>
    <definedName name="ETAPA1">#REF!</definedName>
    <definedName name="ETAPA2" localSheetId="32">#REF!</definedName>
    <definedName name="ETAPA2" localSheetId="29">#REF!</definedName>
    <definedName name="ETAPA2" localSheetId="31">#REF!</definedName>
    <definedName name="ETAPA2" localSheetId="25">#REF!</definedName>
    <definedName name="ETAPA2" localSheetId="26">#REF!</definedName>
    <definedName name="ETAPA2" localSheetId="27">#REF!</definedName>
    <definedName name="ETAPA2" localSheetId="28">#REF!</definedName>
    <definedName name="ETAPA2" localSheetId="34">#REF!</definedName>
    <definedName name="ETAPA2" localSheetId="35">#REF!</definedName>
    <definedName name="ETAPA2" localSheetId="43">#REF!</definedName>
    <definedName name="ETAPA2" localSheetId="24">#REF!</definedName>
    <definedName name="ETAPA2" localSheetId="45">#REF!</definedName>
    <definedName name="ETAPA2" localSheetId="44">#REF!</definedName>
    <definedName name="ETAPA2" localSheetId="37">#REF!</definedName>
    <definedName name="ETAPA2" localSheetId="9">#REF!</definedName>
    <definedName name="ETAPA2" localSheetId="11">#REF!</definedName>
    <definedName name="ETAPA2" localSheetId="12">#REF!</definedName>
    <definedName name="ETAPA2" localSheetId="14">#REF!</definedName>
    <definedName name="ETAPA2" localSheetId="8">#REF!</definedName>
    <definedName name="ETAPA2" localSheetId="10">#REF!</definedName>
    <definedName name="ETAPA2" localSheetId="13">#REF!</definedName>
    <definedName name="ETAPA2" localSheetId="39">#REF!</definedName>
    <definedName name="ETAPA2">#REF!</definedName>
    <definedName name="ETAPA3" localSheetId="32">#REF!</definedName>
    <definedName name="ETAPA3" localSheetId="29">#REF!</definedName>
    <definedName name="ETAPA3" localSheetId="31">#REF!</definedName>
    <definedName name="ETAPA3" localSheetId="25">#REF!</definedName>
    <definedName name="ETAPA3" localSheetId="26">#REF!</definedName>
    <definedName name="ETAPA3" localSheetId="27">#REF!</definedName>
    <definedName name="ETAPA3" localSheetId="28">#REF!</definedName>
    <definedName name="ETAPA3" localSheetId="34">#REF!</definedName>
    <definedName name="ETAPA3" localSheetId="35">#REF!</definedName>
    <definedName name="ETAPA3" localSheetId="43">#REF!</definedName>
    <definedName name="ETAPA3" localSheetId="24">#REF!</definedName>
    <definedName name="ETAPA3" localSheetId="45">#REF!</definedName>
    <definedName name="ETAPA3" localSheetId="44">#REF!</definedName>
    <definedName name="ETAPA3" localSheetId="37">#REF!</definedName>
    <definedName name="ETAPA3" localSheetId="9">#REF!</definedName>
    <definedName name="ETAPA3" localSheetId="11">#REF!</definedName>
    <definedName name="ETAPA3" localSheetId="12">#REF!</definedName>
    <definedName name="ETAPA3" localSheetId="14">#REF!</definedName>
    <definedName name="ETAPA3" localSheetId="8">#REF!</definedName>
    <definedName name="ETAPA3" localSheetId="10">#REF!</definedName>
    <definedName name="ETAPA3" localSheetId="13">#REF!</definedName>
    <definedName name="ETAPA3" localSheetId="39">#REF!</definedName>
    <definedName name="ETAPA3">#REF!</definedName>
    <definedName name="ETAPA4" localSheetId="32">#REF!</definedName>
    <definedName name="ETAPA4" localSheetId="24">#REF!</definedName>
    <definedName name="ETAPA4" localSheetId="9">#REF!</definedName>
    <definedName name="ETAPA4" localSheetId="11">#REF!</definedName>
    <definedName name="ETAPA4" localSheetId="12">#REF!</definedName>
    <definedName name="ETAPA4" localSheetId="14">#REF!</definedName>
    <definedName name="ETAPA4" localSheetId="8">#REF!</definedName>
    <definedName name="ETAPA4" localSheetId="10">#REF!</definedName>
    <definedName name="ETAPA4" localSheetId="13">#REF!</definedName>
    <definedName name="ETAPA4" localSheetId="39">#REF!</definedName>
    <definedName name="ETAPA4">#REF!</definedName>
    <definedName name="etertgg" localSheetId="5"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hidden="1">{"via1",#N/A,TRUE,"general";"via2",#N/A,TRUE,"general";"via3",#N/A,TRUE,"general"}</definedName>
    <definedName name="etertt" localSheetId="5" hidden="1">{#N/A,#N/A,TRUE,"1842CWN0"}</definedName>
    <definedName name="etertt" localSheetId="3" hidden="1">{#N/A,#N/A,TRUE,"1842CWN0"}</definedName>
    <definedName name="etertt" localSheetId="4" hidden="1">{#N/A,#N/A,TRUE,"1842CWN0"}</definedName>
    <definedName name="etertt" hidden="1">{#N/A,#N/A,TRUE,"1842CWN0"}</definedName>
    <definedName name="etewt" localSheetId="5"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u" localSheetId="5"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hidden="1">{"via1",#N/A,TRUE,"general";"via2",#N/A,TRUE,"general";"via3",#N/A,TRUE,"general"}</definedName>
    <definedName name="etueh" localSheetId="5"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ty" localSheetId="5"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hidden="1">{"via1",#N/A,TRUE,"general";"via2",#N/A,TRUE,"general";"via3",#N/A,TRUE,"general"}</definedName>
    <definedName name="etyu" localSheetId="5"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u" localSheetId="5"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hidden="1">{"via1",#N/A,TRUE,"general";"via2",#N/A,TRUE,"general";"via3",#N/A,TRUE,"general"}</definedName>
    <definedName name="eut" localSheetId="5"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hidden="1">{"via1",#N/A,TRUE,"general";"via2",#N/A,TRUE,"general";"via3",#N/A,TRUE,"general"}</definedName>
    <definedName name="euyt" localSheetId="5"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5"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re" localSheetId="5"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5"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5"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5">#REF!</definedName>
    <definedName name="EXC">#REF!</definedName>
    <definedName name="EXCAV_1">#REF!</definedName>
    <definedName name="EXCAV_2">#REF!</definedName>
    <definedName name="exCEL" localSheetId="5">#REF!</definedName>
    <definedName name="exCEL">#REF!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 localSheetId="5">#REF!</definedName>
    <definedName name="Excel_BuiltIn_Print_Area_3">#REF!</definedName>
    <definedName name="Excel_BuiltIn_Print_Area_3_X" localSheetId="5">#REF!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 localSheetId="5">[24]SKJ452!#REF!</definedName>
    <definedName name="Excel_BuiltIn_Print_Titles_10">[24]SKJ452!#REF!</definedName>
    <definedName name="Excel_BuiltIn_Print_Titles_11" localSheetId="5">[24]ITA878!#REF!</definedName>
    <definedName name="Excel_BuiltIn_Print_Titles_11">[24]ITA878!#REF!</definedName>
    <definedName name="Excel_BuiltIn_Print_Titles_12" localSheetId="5">'[24]AEA-944'!#REF!</definedName>
    <definedName name="Excel_BuiltIn_Print_Titles_12">'[24]AEA-944'!#REF!</definedName>
    <definedName name="Excel_BuiltIn_Print_Titles_13" localSheetId="5">'[24]DUB-823'!#REF!</definedName>
    <definedName name="Excel_BuiltIn_Print_Titles_13">'[24]DUB-823'!#REF!</definedName>
    <definedName name="Excel_BuiltIn_Print_Titles_14" localSheetId="5">'[24]GPI 526'!#REF!</definedName>
    <definedName name="Excel_BuiltIn_Print_Titles_14">'[24]GPI 526'!#REF!</definedName>
    <definedName name="Excel_BuiltIn_Print_Titles_15" localSheetId="5">#REF!</definedName>
    <definedName name="Excel_BuiltIn_Print_Titles_15" localSheetId="3">#REF!</definedName>
    <definedName name="Excel_BuiltIn_Print_Titles_15" localSheetId="4">#REF!</definedName>
    <definedName name="Excel_BuiltIn_Print_Titles_15">#REF!</definedName>
    <definedName name="Excel_BuiltIn_Print_Titles_16" localSheetId="5">#REF!</definedName>
    <definedName name="Excel_BuiltIn_Print_Titles_16">#REF!</definedName>
    <definedName name="Excel_BuiltIn_Print_Titles_17" localSheetId="5">#REF!</definedName>
    <definedName name="Excel_BuiltIn_Print_Titles_17">#REF!</definedName>
    <definedName name="Excel_BuiltIn_Print_Titles_18" localSheetId="5">#REF!</definedName>
    <definedName name="Excel_BuiltIn_Print_Titles_18">#REF!</definedName>
    <definedName name="Excel_BuiltIn_Print_Titles_19" localSheetId="5">[24]XXJ617!#REF!</definedName>
    <definedName name="Excel_BuiltIn_Print_Titles_19">[24]XXJ617!#REF!</definedName>
    <definedName name="Excel_BuiltIn_Print_Titles_2" localSheetId="3">#REF!</definedName>
    <definedName name="Excel_BuiltIn_Print_Titles_2" localSheetId="4">#REF!</definedName>
    <definedName name="Excel_BuiltIn_Print_Titles_2">#REF!</definedName>
    <definedName name="Excel_BuiltIn_Print_Titles_20" localSheetId="5">#REF!</definedName>
    <definedName name="Excel_BuiltIn_Print_Titles_20" localSheetId="3">#REF!</definedName>
    <definedName name="Excel_BuiltIn_Print_Titles_20" localSheetId="4">#REF!</definedName>
    <definedName name="Excel_BuiltIn_Print_Titles_20">#REF!</definedName>
    <definedName name="Excel_BuiltIn_Print_Titles_21" localSheetId="5">[24]SNG_855!#REF!</definedName>
    <definedName name="Excel_BuiltIn_Print_Titles_21" localSheetId="3">[24]SNG_855!#REF!</definedName>
    <definedName name="Excel_BuiltIn_Print_Titles_21" localSheetId="4">[24]SNG_855!#REF!</definedName>
    <definedName name="Excel_BuiltIn_Print_Titles_21">[24]SNG_855!#REF!</definedName>
    <definedName name="Excel_BuiltIn_Print_Titles_23" localSheetId="5">#REF!</definedName>
    <definedName name="Excel_BuiltIn_Print_Titles_23" localSheetId="3">#REF!</definedName>
    <definedName name="Excel_BuiltIn_Print_Titles_23" localSheetId="4">#REF!</definedName>
    <definedName name="Excel_BuiltIn_Print_Titles_23">#REF!</definedName>
    <definedName name="Excel_BuiltIn_Print_Titles_3" localSheetId="5">#REF!</definedName>
    <definedName name="Excel_BuiltIn_Print_Titles_3" localSheetId="3">#REF!</definedName>
    <definedName name="Excel_BuiltIn_Print_Titles_3" localSheetId="4">#REF!</definedName>
    <definedName name="Excel_BuiltIn_Print_Titles_3">'[85]COSTOS OFICINA'!#REF!</definedName>
    <definedName name="Excel_BuiltIn_Print_Titles_4">'[85]COSTOS CAMPAMENTO'!#REF!</definedName>
    <definedName name="Excel_BuiltIn_Print_Titles_5" localSheetId="5">'[24]VEA 374'!#REF!</definedName>
    <definedName name="Excel_BuiltIn_Print_Titles_5">'[24]VEA 374'!#REF!</definedName>
    <definedName name="Excel_BuiltIn_Print_Titles_5_XX" localSheetId="5">'[24]VEA 374'!#REF!</definedName>
    <definedName name="Excel_BuiltIn_Print_Titles_5_XX">'[24]VEA 374'!#REF!</definedName>
    <definedName name="Excel_BuiltIn_Print_Titles_6" localSheetId="5">#REF!</definedName>
    <definedName name="Excel_BuiltIn_Print_Titles_6" localSheetId="3">#REF!</definedName>
    <definedName name="Excel_BuiltIn_Print_Titles_6" localSheetId="4">#REF!</definedName>
    <definedName name="Excel_BuiltIn_Print_Titles_6">#REF!</definedName>
    <definedName name="Excel_BuiltIn_Print_Titles_7" localSheetId="5">[24]HFB024!#REF!</definedName>
    <definedName name="Excel_BuiltIn_Print_Titles_7" localSheetId="3">[24]HFB024!#REF!</definedName>
    <definedName name="Excel_BuiltIn_Print_Titles_7" localSheetId="4">[24]HFB024!#REF!</definedName>
    <definedName name="Excel_BuiltIn_Print_Titles_7">[24]HFB024!#REF!</definedName>
    <definedName name="Excel_BuiltIn_Print_Titles_8" localSheetId="5">#REF!</definedName>
    <definedName name="Excel_BuiltIn_Print_Titles_8" localSheetId="3">#REF!</definedName>
    <definedName name="Excel_BuiltIn_Print_Titles_8" localSheetId="4">#REF!</definedName>
    <definedName name="Excel_BuiltIn_Print_Titles_8">#REF!</definedName>
    <definedName name="Excel_BuiltIn_Print_Titles_9" localSheetId="5">[24]PAJ825!#REF!</definedName>
    <definedName name="Excel_BuiltIn_Print_Titles_9" localSheetId="3">[24]PAJ825!#REF!</definedName>
    <definedName name="Excel_BuiltIn_Print_Titles_9" localSheetId="4">[24]PAJ825!#REF!</definedName>
    <definedName name="Excel_BuiltIn_Print_Titles_9">[24]PAJ825!#REF!</definedName>
    <definedName name="EXCROC" localSheetId="5">'[86]Análisis de precios'!$H$52</definedName>
    <definedName name="EXCROC" localSheetId="3">'[86]Análisis de precios'!$H$52</definedName>
    <definedName name="EXCROC" localSheetId="4">'[86]Análisis de precios'!$H$52</definedName>
    <definedName name="EXCROC">'[87]Análisis de precios'!$H$52</definedName>
    <definedName name="ExtensionCoordinador" localSheetId="3">#REF!</definedName>
    <definedName name="ExtensionCoordinador" localSheetId="4">#REF!</definedName>
    <definedName name="ExtensionCoordinador">#REF!</definedName>
    <definedName name="Extra_Pay" localSheetId="3">#REF!</definedName>
    <definedName name="Extra_Pay" localSheetId="4">#REF!</definedName>
    <definedName name="Extra_Pay">#REF!</definedName>
    <definedName name="Extracción_IM" localSheetId="3">#REF!</definedName>
    <definedName name="Extracción_IM" localSheetId="4">#REF!</definedName>
    <definedName name="Extracción_IM">#REF!</definedName>
    <definedName name="Extras">'[44]LIQUIDA-NOMINA'!$AH$4</definedName>
    <definedName name="F._INGRESO" localSheetId="3">#REF!</definedName>
    <definedName name="F._INGRESO" localSheetId="4">#REF!</definedName>
    <definedName name="F._INGRESO">#REF!</definedName>
    <definedName name="F._RETIRO" localSheetId="3">#REF!</definedName>
    <definedName name="F._RETIRO" localSheetId="4">#REF!</definedName>
    <definedName name="F._RETIRO">#REF!</definedName>
    <definedName name="F.L" localSheetId="3">#REF!</definedName>
    <definedName name="F.L" localSheetId="4">#REF!</definedName>
    <definedName name="F.L">#REF!</definedName>
    <definedName name="Facilidades">#REF!</definedName>
    <definedName name="factor">#REF!</definedName>
    <definedName name="FACTURADO">'[88]Itemes Renovación'!#REF!</definedName>
    <definedName name="FAL" localSheetId="3" hidden="1">{#N/A,#N/A,FALSE,"Hoja1";#N/A,#N/A,FALSE,"Hoja2"}</definedName>
    <definedName name="FAL" localSheetId="4" hidden="1">{#N/A,#N/A,FALSE,"Hoja1";#N/A,#N/A,FALSE,"Hoja2"}</definedName>
    <definedName name="FAL" hidden="1">{#N/A,#N/A,FALSE,"Hoja1";#N/A,#N/A,FALSE,"Hoja2"}</definedName>
    <definedName name="FareWellStmnt" localSheetId="4">[56]!FareWellStmnt</definedName>
    <definedName name="FareWellStmnt">[56]!FareWellStmnt</definedName>
    <definedName name="FaseProyecto" localSheetId="3">#REF!</definedName>
    <definedName name="FaseProyecto" localSheetId="4">#REF!</definedName>
    <definedName name="FaseProyecto">#REF!</definedName>
    <definedName name="FD" localSheetId="5">'INDICAR CÓDIGO DEL ITEM DE PAGO'!ERR</definedName>
    <definedName name="FD" localSheetId="3">'PRESUPUESTO OFICIAL (Entidad)'!ERR</definedName>
    <definedName name="FD" localSheetId="4">'PROPUESTA ECONOMICA(Proponente)'!ERR</definedName>
    <definedName name="fd">'[57]A. P. U.'!#REF!</definedName>
    <definedName name="fda" localSheetId="5"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hidden="1">{"TAB1",#N/A,TRUE,"GENERAL";"TAB2",#N/A,TRUE,"GENERAL";"TAB3",#N/A,TRUE,"GENERAL";"TAB4",#N/A,TRUE,"GENERAL";"TAB5",#N/A,TRUE,"GENERAL"}</definedName>
    <definedName name="fdbjp" localSheetId="5"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f" localSheetId="5"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hidden="1">{"TAB1",#N/A,TRUE,"GENERAL";"TAB2",#N/A,TRUE,"GENERAL";"TAB3",#N/A,TRUE,"GENERAL";"TAB4",#N/A,TRUE,"GENERAL";"TAB5",#N/A,TRUE,"GENERAL"}</definedName>
    <definedName name="fdg" localSheetId="5"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hidden="1">{"via1",#N/A,TRUE,"general";"via2",#N/A,TRUE,"general";"via3",#N/A,TRUE,"general"}</definedName>
    <definedName name="FDGD" localSheetId="5"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h" localSheetId="5"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sf" localSheetId="5"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5"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hidden="1">{"via1",#N/A,TRUE,"general";"via2",#N/A,TRUE,"general";"via3",#N/A,TRUE,"general"}</definedName>
    <definedName name="fdsgfds" localSheetId="5"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hidden="1">{"via1",#N/A,TRUE,"general";"via2",#N/A,TRUE,"general";"via3",#N/A,TRUE,"general"}</definedName>
    <definedName name="fdsgsdfu" localSheetId="5"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5"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 localSheetId="5">[89]Tablas!$B$1:$B$65536</definedName>
    <definedName name="Fecha" localSheetId="3">[89]Tablas!$B$1:$B$65536</definedName>
    <definedName name="Fecha" localSheetId="4">[89]Tablas!$B$1:$B$65536</definedName>
    <definedName name="FECHA">'[29]DATOS SEMANALES'!$E$181:$Y$181</definedName>
    <definedName name="FechaInicio">[44]CONTRATO!$E$10</definedName>
    <definedName name="FechaTermina">[44]CONTRATO!$E$11</definedName>
    <definedName name="FechaTerminacion" localSheetId="3">#REF!</definedName>
    <definedName name="FechaTerminacion" localSheetId="4">#REF!</definedName>
    <definedName name="FechaTerminacion">#REF!</definedName>
    <definedName name="FEL" localSheetId="3" hidden="1">{#N/A,#N/A,FALSE,"Hoja1";#N/A,#N/A,FALSE,"Hoja2"}</definedName>
    <definedName name="FEL" localSheetId="4" hidden="1">{#N/A,#N/A,FALSE,"Hoja1";#N/A,#N/A,FALSE,"Hoja2"}</definedName>
    <definedName name="FEL" hidden="1">{#N/A,#N/A,FALSE,"Hoja1";#N/A,#N/A,FALSE,"Hoja2"}</definedName>
    <definedName name="fer" localSheetId="5">'[39]Res-Accide-10'!#REF!</definedName>
    <definedName name="fer">'[39]Res-Accide-10'!#REF!</definedName>
    <definedName name="ferfer" localSheetId="5"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hidden="1">{"via1",#N/A,TRUE,"general";"via2",#N/A,TRUE,"general";"via3",#N/A,TRUE,"general"}</definedName>
    <definedName name="Festivos">'[90]días habiles 2015'!$D$2:$D$21</definedName>
    <definedName name="ff" localSheetId="5">'INDICAR CÓDIGO DEL ITEM DE PAGO'!ERR</definedName>
    <definedName name="ff" localSheetId="3">'PRESUPUESTO OFICIAL (Entidad)'!ERR</definedName>
    <definedName name="ff" localSheetId="4">'PROPUESTA ECONOMICA(Proponente)'!ERR</definedName>
    <definedName name="ff">[0]!ERR</definedName>
    <definedName name="fff" localSheetId="5"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hidden="1">{"via1",#N/A,TRUE,"general";"via2",#N/A,TRUE,"general";"via3",#N/A,TRUE,"general"}</definedName>
    <definedName name="ffffd" localSheetId="5"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hidden="1">{"via1",#N/A,TRUE,"general";"via2",#N/A,TRUE,"general";"via3",#N/A,TRUE,"general"}</definedName>
    <definedName name="fffffft" localSheetId="5"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5"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hidden="1">{"via1",#N/A,TRUE,"general";"via2",#N/A,TRUE,"general";"via3",#N/A,TRUE,"general"}</definedName>
    <definedName name="ffffy" localSheetId="5"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5"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g" localSheetId="5">'INDICAR CÓDIGO DEL ITEM DE PAGO'!ERR</definedName>
    <definedName name="fg" localSheetId="3">'PRESUPUESTO OFICIAL (Entidad)'!ERR</definedName>
    <definedName name="fg" localSheetId="4">'PROPUESTA ECONOMICA(Proponente)'!ERR</definedName>
    <definedName name="fg">[0]!ERR</definedName>
    <definedName name="fgdfg" localSheetId="5"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5"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hidden="1">{"via1",#N/A,TRUE,"general";"via2",#N/A,TRUE,"general";"via3",#N/A,TRUE,"general"}</definedName>
    <definedName name="fgdsfg" localSheetId="5"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FDH" localSheetId="5"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hidden="1">{"via1",#N/A,TRUE,"general";"via2",#N/A,TRUE,"general";"via3",#N/A,TRUE,"general"}</definedName>
    <definedName name="fgghhj" localSheetId="5"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hidden="1">{"via1",#N/A,TRUE,"general";"via2",#N/A,TRUE,"general";"via3",#N/A,TRUE,"general"}</definedName>
    <definedName name="fgh">'[91]7422CW00'!#REF!</definedName>
    <definedName name="FGHFBC" localSheetId="5"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hidden="1">{"via1",#N/A,TRUE,"general";"via2",#N/A,TRUE,"general";"via3",#N/A,TRUE,"general"}</definedName>
    <definedName name="fghfg" localSheetId="5"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5"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hidden="1">{"via1",#N/A,TRUE,"general";"via2",#N/A,TRUE,"general";"via3",#N/A,TRUE,"general"}</definedName>
    <definedName name="FGHFW" localSheetId="5"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5"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5"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hidden="1">{"via1",#N/A,TRUE,"general";"via2",#N/A,TRUE,"general";"via3",#N/A,TRUE,"general"}</definedName>
    <definedName name="fght" localSheetId="5"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hfg" localSheetId="5"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5"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hidden="1">{"via1",#N/A,TRUE,"general";"via2",#N/A,TRUE,"general";"via3",#N/A,TRUE,"general"}</definedName>
    <definedName name="fhg" localSheetId="5" hidden="1">{#N/A,#N/A,TRUE,"1842CWN0"}</definedName>
    <definedName name="fhg" localSheetId="3" hidden="1">{#N/A,#N/A,TRUE,"1842CWN0"}</definedName>
    <definedName name="fhg" localSheetId="4" hidden="1">{#N/A,#N/A,TRUE,"1842CWN0"}</definedName>
    <definedName name="fhg" hidden="1">{#N/A,#N/A,TRUE,"1842CWN0"}</definedName>
    <definedName name="fhgh" localSheetId="5"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hidden="1">{"via1",#N/A,TRUE,"general";"via2",#N/A,TRUE,"general";"via3",#N/A,TRUE,"general"}</definedName>
    <definedName name="fhpltyunh" localSheetId="5"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_de_semana">'[90]días habiles 2015'!$M$1:$M$2</definedName>
    <definedName name="FINANCIACION" localSheetId="5">'INDICAR CÓDIGO DEL ITEM DE PAGO'!ERR</definedName>
    <definedName name="FINANCIACION" localSheetId="3">'PRESUPUESTO OFICIAL (Entidad)'!ERR</definedName>
    <definedName name="FINANCIACION" localSheetId="4">'PROPUESTA ECONOMICA(Proponente)'!ERR</definedName>
    <definedName name="FINANCIACION">[0]!ERR</definedName>
    <definedName name="FinePrint" localSheetId="4">[56]!FinePrint</definedName>
    <definedName name="FinePrint">[56]!FinePrint</definedName>
    <definedName name="FM">1.18</definedName>
    <definedName name="fnic">[63]Hoja1!$C$13</definedName>
    <definedName name="FO">1.32</definedName>
    <definedName name="FORDESCR">'[3]7422CW00'!#REF!</definedName>
    <definedName name="FORM_C3">[92]Hoja1!$A$33:$N$51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5"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efr" localSheetId="5"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hidden="1">{"via1",#N/A,TRUE,"general";"via2",#N/A,TRUE,"general";"via3",#N/A,TRUE,"general"}</definedName>
    <definedName name="frfa" localSheetId="5"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hidden="1">{"via1",#N/A,TRUE,"general";"via2",#N/A,TRUE,"general";"via3",#N/A,TRUE,"general"}</definedName>
    <definedName name="frfr" localSheetId="5"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5">'INDICAR CÓDIGO DEL ITEM DE PAGO'!ERR</definedName>
    <definedName name="fu" localSheetId="3">'PRESUPUESTO OFICIAL (Entidad)'!ERR</definedName>
    <definedName name="fu" localSheetId="4">'PROPUESTA ECONOMICA(Proponente)'!ERR</definedName>
    <definedName name="fu">[0]!ERR</definedName>
    <definedName name="Full_Print" localSheetId="3">#REF!</definedName>
    <definedName name="Full_Print" localSheetId="4">#REF!</definedName>
    <definedName name="Full_Print">#REF!</definedName>
    <definedName name="fvf" localSheetId="3">[59]MAT!#REF!</definedName>
    <definedName name="fvf" localSheetId="4">[59]MAT!#REF!</definedName>
    <definedName name="fvf">[59]MAT!#REF!</definedName>
    <definedName name="fwff" localSheetId="5"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hidden="1">{"via1",#N/A,TRUE,"general";"via2",#N/A,TRUE,"general";"via3",#N/A,TRUE,"general"}</definedName>
    <definedName name="fwwe" localSheetId="5"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G" localSheetId="5">#REF!</definedName>
    <definedName name="G" localSheetId="3">#REF!</definedName>
    <definedName name="G" localSheetId="4">#REF!</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5">#REF!</definedName>
    <definedName name="GAJ">#REF!</definedName>
    <definedName name="GAS">[12]Tablas!#REF!</definedName>
    <definedName name="gba" localSheetId="5"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5"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5"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5"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5"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hidden="1">{"via1",#N/A,TRUE,"general";"via2",#N/A,TRUE,"general";"via3",#N/A,TRUE,"general"}</definedName>
    <definedName name="GENERAL">#REF!</definedName>
    <definedName name="GENERAL1">#REF!</definedName>
    <definedName name="Geotex" localSheetId="5">#REF!</definedName>
    <definedName name="Geotex">#REF!</definedName>
    <definedName name="GERENCIA">#REF!</definedName>
    <definedName name="GERENCIA1">#REF!</definedName>
    <definedName name="GERENCIA2">#REF!</definedName>
    <definedName name="Gerente">[44]EMPRESA!$F$12</definedName>
    <definedName name="gerg" localSheetId="5"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5"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hidden="1">{"via1",#N/A,TRUE,"general";"via2",#N/A,TRUE,"general";"via3",#N/A,TRUE,"general"}</definedName>
    <definedName name="gergew" localSheetId="5"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5"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fd" localSheetId="5"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hidden="1">{"TAB1",#N/A,TRUE,"GENERAL";"TAB2",#N/A,TRUE,"GENERAL";"TAB3",#N/A,TRUE,"GENERAL";"TAB4",#N/A,TRUE,"GENERAL";"TAB5",#N/A,TRUE,"GENERAL"}</definedName>
    <definedName name="gfdg" localSheetId="5"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hidden="1">{"via1",#N/A,TRUE,"general";"via2",#N/A,TRUE,"general";"via3",#N/A,TRUE,"general"}</definedName>
    <definedName name="gffgfhhf" localSheetId="5" hidden="1">{#N/A,#N/A,TRUE,"INGENIERIA";#N/A,#N/A,TRUE,"COMPRAS";#N/A,#N/A,TRUE,"DIRECCION";#N/A,#N/A,TRUE,"RESUMEN"}</definedName>
    <definedName name="gffgfhhf" localSheetId="3" hidden="1">{#N/A,#N/A,TRUE,"INGENIERIA";#N/A,#N/A,TRUE,"COMPRAS";#N/A,#N/A,TRUE,"DIRECCION";#N/A,#N/A,TRUE,"RESUMEN"}</definedName>
    <definedName name="gffgfhhf" localSheetId="4" hidden="1">{#N/A,#N/A,TRUE,"INGENIERIA";#N/A,#N/A,TRUE,"COMPRAS";#N/A,#N/A,TRUE,"DIRECCION";#N/A,#N/A,TRUE,"RESUMEN"}</definedName>
    <definedName name="gffgfhhf" hidden="1">{#N/A,#N/A,TRUE,"INGENIERIA";#N/A,#N/A,TRUE,"COMPRAS";#N/A,#N/A,TRUE,"DIRECCION";#N/A,#N/A,TRUE,"RESUMEN"}</definedName>
    <definedName name="gfgfgr" localSheetId="5"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hidden="1">{"via1",#N/A,TRUE,"general";"via2",#N/A,TRUE,"general";"via3",#N/A,TRUE,"general"}</definedName>
    <definedName name="gfhf" localSheetId="5"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5"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5"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hidden="1">{"via1",#N/A,TRUE,"general";"via2",#N/A,TRUE,"general";"via3",#N/A,TRUE,"general"}</definedName>
    <definedName name="GFN">[12]Tablas!#REF!</definedName>
    <definedName name="gfutyj6" localSheetId="5"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hidden="1">{"via1",#N/A,TRUE,"general";"via2",#N/A,TRUE,"general";"via3",#N/A,TRUE,"general"}</definedName>
    <definedName name="gg" localSheetId="5"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hidden="1">{"TAB1",#N/A,TRUE,"GENERAL";"TAB2",#N/A,TRUE,"GENERAL";"TAB3",#N/A,TRUE,"GENERAL";"TAB4",#N/A,TRUE,"GENERAL";"TAB5",#N/A,TRUE,"GENERAL"}</definedName>
    <definedName name="ggdr" localSheetId="5"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hidden="1">{"via1",#N/A,TRUE,"general";"via2",#N/A,TRUE,"general";"via3",#N/A,TRUE,"general"}</definedName>
    <definedName name="ggerg" localSheetId="5"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 localSheetId="5">'INDICAR CÓDIGO DEL ITEM DE PAGO'!ERR</definedName>
    <definedName name="GGG" localSheetId="3">'PRESUPUESTO OFICIAL (Entidad)'!ERR</definedName>
    <definedName name="GGG" localSheetId="4">'PROPUESTA ECONOMICA(Proponente)'!ERR</definedName>
    <definedName name="GGG">[0]!ERR</definedName>
    <definedName name="gggb" localSheetId="5"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localSheetId="5"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hidden="1">{"via1",#N/A,TRUE,"general";"via2",#N/A,TRUE,"general";"via3",#N/A,TRUE,"general"}</definedName>
    <definedName name="ggggd" localSheetId="5"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t" localSheetId="5"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hidden="1">{"via1",#N/A,TRUE,"general";"via2",#N/A,TRUE,"general";"via3",#N/A,TRUE,"general"}</definedName>
    <definedName name="gggghn" localSheetId="5"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t" localSheetId="5"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5"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5"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hidden="1">{"via1",#N/A,TRUE,"general";"via2",#N/A,TRUE,"general";"via3",#N/A,TRUE,"general"}</definedName>
    <definedName name="ggjgjkg" localSheetId="5" hidden="1">{#N/A,#N/A,TRUE,"1842CWN0"}</definedName>
    <definedName name="ggjgjkg" localSheetId="3" hidden="1">{#N/A,#N/A,TRUE,"1842CWN0"}</definedName>
    <definedName name="ggjgjkg" localSheetId="4" hidden="1">{#N/A,#N/A,TRUE,"1842CWN0"}</definedName>
    <definedName name="ggjgjkg" hidden="1">{#N/A,#N/A,TRUE,"1842CWN0"}</definedName>
    <definedName name="ggtgt" localSheetId="5"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hidden="1">{"via1",#N/A,TRUE,"general";"via2",#N/A,TRUE,"general";"via3",#N/A,TRUE,"general"}</definedName>
    <definedName name="ghdghuy" localSheetId="5"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hidden="1">{"via1",#N/A,TRUE,"general";"via2",#N/A,TRUE,"general";"via3",#N/A,TRUE,"general"}</definedName>
    <definedName name="ghdk">#REF!</definedName>
    <definedName name="GHDP" localSheetId="5"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f">'[91]7422CW00'!#REF!</definedName>
    <definedName name="ghfg" localSheetId="5"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hidden="1">{"via1",#N/A,TRUE,"general";"via2",#N/A,TRUE,"general";"via3",#N/A,TRUE,"general"}</definedName>
    <definedName name="ghghy">#REF!</definedName>
    <definedName name="ghjghj" localSheetId="5"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hnbbfr" localSheetId="5" hidden="1">{#N/A,#N/A,TRUE,"1842CWN0"}</definedName>
    <definedName name="ghnbbfr" localSheetId="3" hidden="1">{#N/A,#N/A,TRUE,"1842CWN0"}</definedName>
    <definedName name="ghnbbfr" localSheetId="4" hidden="1">{#N/A,#N/A,TRUE,"1842CWN0"}</definedName>
    <definedName name="ghnbbfr" hidden="1">{#N/A,#N/A,TRUE,"1842CWN0"}</definedName>
    <definedName name="GJHVCB" localSheetId="5"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 localSheetId="5"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5"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hidden="1">{"via1",#N/A,TRUE,"general";"via2",#N/A,TRUE,"general";"via3",#N/A,TRUE,"general"}</definedName>
    <definedName name="GRAF1AÑO" localSheetId="5"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AF2" localSheetId="5">#REF!</definedName>
    <definedName name="GRAF2">#REF!</definedName>
    <definedName name="GRAF3" localSheetId="5">#REF!</definedName>
    <definedName name="GRAF3">#REF!</definedName>
    <definedName name="GRC">[12]Tablas!#REF!</definedName>
    <definedName name="GRC_ON_ASO">[12]Tablas!#REF!</definedName>
    <definedName name="GRC_ON_DAPIAY">#REF!</definedName>
    <definedName name="GRC_ON_GER">#REF!</definedName>
    <definedName name="gregds" localSheetId="5"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ggwero" localSheetId="5"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5"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RUPO1" localSheetId="5">#REF!</definedName>
    <definedName name="GRUPO1" localSheetId="3">#REF!</definedName>
    <definedName name="GRUPO1" localSheetId="4">#REF!</definedName>
    <definedName name="GRUPO1">#REF!</definedName>
    <definedName name="GRUPO123" localSheetId="5">#REF!</definedName>
    <definedName name="GRUPO123">#REF!</definedName>
    <definedName name="GRUPO13" localSheetId="5">#REF!</definedName>
    <definedName name="GRUPO13">#REF!</definedName>
    <definedName name="GRUPO2" localSheetId="5">#REF!</definedName>
    <definedName name="GRUPO2" localSheetId="3">#REF!</definedName>
    <definedName name="GRUPO2" localSheetId="4">#REF!</definedName>
    <definedName name="GRUPO2">#REF!</definedName>
    <definedName name="grupo3">[63]Hoja1!$F$6</definedName>
    <definedName name="grupo4">[63]Hoja1!$F$7</definedName>
    <definedName name="grupo5">[63]Hoja1!$F$10</definedName>
    <definedName name="grupo6">[63]Hoja1!$F$11</definedName>
    <definedName name="grupo7">[63]Hoja1!$F$12</definedName>
    <definedName name="grupo8">[63]Hoja1!$F$13</definedName>
    <definedName name="grupo9">[63]Hoja1!$F$14</definedName>
    <definedName name="GSDG" localSheetId="5"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fsf" localSheetId="5"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hidden="1">{"via1",#N/A,TRUE,"general";"via2",#N/A,TRUE,"general";"via3",#N/A,TRUE,"general"}</definedName>
    <definedName name="GT">[93]BASE!$C$4:$H$255</definedName>
    <definedName name="GTC">[12]Tablas!#REF!</definedName>
    <definedName name="GTE">[12]Tablas!#REF!</definedName>
    <definedName name="gtgt" localSheetId="5"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hidden="1">{"via1",#N/A,TRUE,"general";"via2",#N/A,TRUE,"general";"via3",#N/A,TRUE,"general"}</definedName>
    <definedName name="gtgtg" localSheetId="5"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5"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yh" localSheetId="5"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5"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5">#REF!</definedName>
    <definedName name="GTRE">#REF!</definedName>
    <definedName name="h" localSheetId="5">#REF!</definedName>
    <definedName name="h" localSheetId="3">#REF!</definedName>
    <definedName name="h" localSheetId="4">#REF!</definedName>
    <definedName name="h">'[29]DATOS SEMANALES'!#REF!</definedName>
    <definedName name="H_pump">#REF!</definedName>
    <definedName name="h9h" localSheetId="5"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hidden="1">{"via1",#N/A,TRUE,"general";"via2",#N/A,TRUE,"general";"via3",#N/A,TRUE,"general"}</definedName>
    <definedName name="Hazards">#REF!</definedName>
    <definedName name="hbfdhrw" localSheetId="5"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dfh" localSheetId="5"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hidden="1">{"via1",#N/A,TRUE,"general";"via2",#N/A,TRUE,"general";"via3",#N/A,TRUE,"general"}</definedName>
    <definedName name="hdfh4" localSheetId="5"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5"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hidden="1">{"via1",#N/A,TRUE,"general";"via2",#N/A,TRUE,"general";"via3",#N/A,TRUE,"general"}</definedName>
    <definedName name="hdhf" localSheetId="5"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[63]Datos!$D$8</definedName>
    <definedName name="hen">[63]Datos!$D$9</definedName>
    <definedName name="Herr._Menor">[46]MATERIALES!$M$88</definedName>
    <definedName name="Herr._Tendido">[46]MATERIALES!$M$91</definedName>
    <definedName name="HERRERO" localSheetId="3">#REF!</definedName>
    <definedName name="HERRERO" localSheetId="4">#REF!</definedName>
    <definedName name="HERRERO">#REF!</definedName>
    <definedName name="hfgh" localSheetId="5"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hidden="1">{"via1",#N/A,TRUE,"general";"via2",#N/A,TRUE,"general";"via3",#N/A,TRUE,"general"}</definedName>
    <definedName name="hfh" localSheetId="5"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g" localSheetId="5"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thr" localSheetId="5"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hidden="1">{"via1",#N/A,TRUE,"general";"via2",#N/A,TRUE,"general";"via3",#N/A,TRUE,"general"}</definedName>
    <definedName name="hg" localSheetId="5"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hidden="1">{"via1",#N/A,TRUE,"general";"via2",#N/A,TRUE,"general";"via3",#N/A,TRUE,"general"}</definedName>
    <definedName name="HGFH" localSheetId="5"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hidden="1">{"via1",#N/A,TRUE,"general";"via2",#N/A,TRUE,"general";"via3",#N/A,TRUE,"general"}</definedName>
    <definedName name="hgfhty" localSheetId="5"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HFH7" localSheetId="5"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5"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5"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hidden="1">{"via1",#N/A,TRUE,"general";"via2",#N/A,TRUE,"general";"via3",#N/A,TRUE,"general"}</definedName>
    <definedName name="hgjfjw" localSheetId="5"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hidden="1">{"via1",#N/A,TRUE,"general";"via2",#N/A,TRUE,"general";"via3",#N/A,TRUE,"general"}</definedName>
    <definedName name="HGJG" localSheetId="5"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h" localSheetId="5">'INDICAR CÓDIGO DEL ITEM DE PAGO'!ERR</definedName>
    <definedName name="hh" localSheetId="3">'PRESUPUESTO OFICIAL (Entidad)'!ERR</definedName>
    <definedName name="hh" localSheetId="4">'PROPUESTA ECONOMICA(Proponente)'!ERR</definedName>
    <definedName name="hh">'[29]DATOS SEMANALES'!#REF!</definedName>
    <definedName name="hhg" localSheetId="5" hidden="1">{#N/A,#N/A,TRUE,"1842CWN0"}</definedName>
    <definedName name="hhg" localSheetId="3" hidden="1">{#N/A,#N/A,TRUE,"1842CWN0"}</definedName>
    <definedName name="hhg" localSheetId="4" hidden="1">{#N/A,#N/A,TRUE,"1842CWN0"}</definedName>
    <definedName name="hhg" hidden="1">{#N/A,#N/A,TRUE,"1842CWN0"}</definedName>
    <definedName name="hhh" localSheetId="5"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hh" localSheetId="5"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hidden="1">{"via1",#N/A,TRUE,"general";"via2",#N/A,TRUE,"general";"via3",#N/A,TRUE,"general"}</definedName>
    <definedName name="hhhhhho" localSheetId="5"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5"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hidden="1">{"via1",#N/A,TRUE,"general";"via2",#N/A,TRUE,"general";"via3",#N/A,TRUE,"general"}</definedName>
    <definedName name="hhhyhyh" localSheetId="5"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trhreh" localSheetId="5"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hidden="1">{"via1",#N/A,TRUE,"general";"via2",#N/A,TRUE,"general";"via3",#N/A,TRUE,"general"}</definedName>
    <definedName name="Hid">'[21]Interc de Hidr.'!$E$1:$E$65536</definedName>
    <definedName name="HIDE1">[51]steel!$F$7:$J$7</definedName>
    <definedName name="hjfg" localSheetId="5"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hidden="1">{"via1",#N/A,TRUE,"general";"via2",#N/A,TRUE,"general";"via3",#N/A,TRUE,"general"}</definedName>
    <definedName name="hjgh" localSheetId="5"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5"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KH" localSheetId="5"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hidden="1">{"via1",#N/A,TRUE,"general";"via2",#N/A,TRUE,"general";"via3",#N/A,TRUE,"general"}</definedName>
    <definedName name="hjkjk" localSheetId="5"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hidden="1">{"via1",#N/A,TRUE,"general";"via2",#N/A,TRUE,"general";"via3",#N/A,TRUE,"general"}</definedName>
    <definedName name="HK" localSheetId="5">'INDICAR CÓDIGO DEL ITEM DE PAGO'!ERR</definedName>
    <definedName name="HK" localSheetId="3">'PRESUPUESTO OFICIAL (Entidad)'!ERR</definedName>
    <definedName name="HK" localSheetId="4">'PROPUESTA ECONOMICA(Proponente)'!ERR</definedName>
    <definedName name="hk">#REF!</definedName>
    <definedName name="HM" localSheetId="24">#REF!</definedName>
    <definedName name="HM" localSheetId="5">#REF!</definedName>
    <definedName name="HM" localSheetId="3">#REF!</definedName>
    <definedName name="HM" localSheetId="39">#REF!</definedName>
    <definedName name="HM" localSheetId="4">#REF!</definedName>
    <definedName name="HM">#REF!</definedName>
    <definedName name="hn" localSheetId="5"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OJA1" localSheetId="5">#REF!</definedName>
    <definedName name="HOJA1" localSheetId="3">#REF!</definedName>
    <definedName name="HOJA1" localSheetId="4">#REF!</definedName>
    <definedName name="HOJA1">#REF!</definedName>
    <definedName name="HORASHOMBRE">'[94]DATOS SEMANALES'!$F$234:$Y$238</definedName>
    <definedName name="horat">'[21]Itemes Renovación'!#REF!</definedName>
    <definedName name="Hornos" localSheetId="3">#REF!</definedName>
    <definedName name="Hornos" localSheetId="4">#REF!</definedName>
    <definedName name="Hornos">#REF!</definedName>
    <definedName name="HP_stg_Hz" localSheetId="3">#REF!</definedName>
    <definedName name="HP_stg_Hz" localSheetId="4">#REF!</definedName>
    <definedName name="HP_stg_Hz">#REF!</definedName>
    <definedName name="hreer" localSheetId="5"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hth" localSheetId="5"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n">[63]Datos!$D$7</definedName>
    <definedName name="hrthtrh" localSheetId="5"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5"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hidden="1">{"via1",#N/A,TRUE,"general";"via2",#N/A,TRUE,"general";"via3",#N/A,TRUE,"general"}</definedName>
    <definedName name="HTAS">#REF!</definedName>
    <definedName name="HTAS1">#REF!</definedName>
    <definedName name="hthdrf" localSheetId="5"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ryrt7" localSheetId="5"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hidden="1">{"via1",#N/A,TRUE,"general";"via2",#N/A,TRUE,"general";"via3",#N/A,TRUE,"general"}</definedName>
    <definedName name="hut">#REF!</definedName>
    <definedName name="hxdfk">#REF!</definedName>
    <definedName name="hyhjop" localSheetId="5"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5"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tirs" localSheetId="5"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hidden="1">{"via1",#N/A,TRUE,"general";"via2",#N/A,TRUE,"general";"via3",#N/A,TRUE,"general"}</definedName>
    <definedName name="I" localSheetId="24">#REF!</definedName>
    <definedName name="I" localSheetId="5">#REF!</definedName>
    <definedName name="I" localSheetId="3">#REF!</definedName>
    <definedName name="I" localSheetId="39">#REF!</definedName>
    <definedName name="I" localSheetId="4">#REF!</definedName>
    <definedName name="I">#REF!</definedName>
    <definedName name="i0">#REF!</definedName>
    <definedName name="i8i" localSheetId="5"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c">[63]Hoja1!$C$17</definedName>
    <definedName name="icbf">[63]Hoja1!$C$15</definedName>
    <definedName name="Icct" localSheetId="3">#REF!</definedName>
    <definedName name="Icct" localSheetId="4">#REF!</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5">'INDICAR CÓDIGO DEL ITEM DE PAGO'!ERR</definedName>
    <definedName name="ID" localSheetId="3">'PRESUPUESTO OFICIAL (Entidad)'!ERR</definedName>
    <definedName name="ID" localSheetId="4">'PROPUESTA ECONOMICA(Proponente)'!ERR</definedName>
    <definedName name="ID">[0]!ERR</definedName>
    <definedName name="IF" localSheetId="5">'[57]A. P. U.'!#REF!</definedName>
    <definedName name="IF" localSheetId="3">'[57]A. P. U.'!#REF!</definedName>
    <definedName name="IF" localSheetId="4">'[57]A. P. U.'!#REF!</definedName>
    <definedName name="IF">'[57]A. P. U.'!#REF!</definedName>
    <definedName name="Ig" localSheetId="3">#REF!</definedName>
    <definedName name="Ig" localSheetId="4">#REF!</definedName>
    <definedName name="Ig">#REF!</definedName>
    <definedName name="ii" localSheetId="5"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hidden="1">{"TAB1",#N/A,TRUE,"GENERAL";"TAB2",#N/A,TRUE,"GENERAL";"TAB3",#N/A,TRUE,"GENERAL";"TAB4",#N/A,TRUE,"GENERAL";"TAB5",#N/A,TRUE,"GENERAL"}</definedName>
    <definedName name="iii" localSheetId="5"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hidden="1">{"via1",#N/A,TRUE,"general";"via2",#N/A,TRUE,"general";"via3",#N/A,TRUE,"general"}</definedName>
    <definedName name="iiii" localSheetId="5"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hidden="1">{"via1",#N/A,TRUE,"general";"via2",#N/A,TRUE,"general";"via3",#N/A,TRUE,"general"}</definedName>
    <definedName name="iiiiiiik" localSheetId="5"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hidden="1">{"via1",#N/A,TRUE,"general";"via2",#N/A,TRUE,"general";"via3",#N/A,TRUE,"general"}</definedName>
    <definedName name="iiiiuh" localSheetId="5"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'[95]1'!$N$41</definedName>
    <definedName name="IMP">[26]otros!$C$3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5">#REF!</definedName>
    <definedName name="INDICE">#REF!</definedName>
    <definedName name="inf" localSheetId="32">#REF!</definedName>
    <definedName name="inf" localSheetId="24">#REF!</definedName>
    <definedName name="inf" localSheetId="5">#REF!</definedName>
    <definedName name="inf" localSheetId="9">#REF!</definedName>
    <definedName name="inf" localSheetId="11">#REF!</definedName>
    <definedName name="inf" localSheetId="12">#REF!</definedName>
    <definedName name="inf" localSheetId="14">#REF!</definedName>
    <definedName name="inf" localSheetId="8">#REF!</definedName>
    <definedName name="inf" localSheetId="10">#REF!</definedName>
    <definedName name="inf" localSheetId="13">#REF!</definedName>
    <definedName name="inf" localSheetId="39">#REF!</definedName>
    <definedName name="inf">#REF!</definedName>
    <definedName name="INFG">#REF!</definedName>
    <definedName name="infiltra">[74]Hoja2!$C$5</definedName>
    <definedName name="INFORME">[96]TABLAS!$A$1:$A$65536</definedName>
    <definedName name="Informe_semanal" localSheetId="3">#REF!</definedName>
    <definedName name="Informe_semanal" localSheetId="4">#REF!</definedName>
    <definedName name="Informe_semanal">#REF!</definedName>
    <definedName name="INGENIERIA1" localSheetId="3" hidden="1">#REF!</definedName>
    <definedName name="INGENIERIA1" localSheetId="4" hidden="1">#REF!</definedName>
    <definedName name="INGENIERIA1" hidden="1">#REF!</definedName>
    <definedName name="INGENIERIA11" localSheetId="3" hidden="1">#REF!</definedName>
    <definedName name="INGENIERIA11" localSheetId="4" hidden="1">#REF!</definedName>
    <definedName name="INGENIERIA11" hidden="1">#REF!</definedName>
    <definedName name="iniciales">'[28]Reservas de Petróleo'!$A$2,'[28]Reservas de Petróleo'!$A$1,'[28]Reservas de Petróleo'!$D$4,'[28]Reservas de Petróleo'!$D$1:$D$65536</definedName>
    <definedName name="Inicio">[37]BASES!$E$26</definedName>
    <definedName name="INPU">#REF!</definedName>
    <definedName name="INPUT">'[3]7422CW00'!#REF!</definedName>
    <definedName name="INSU">[97]INSUMOS!$A$1:$E$65536</definedName>
    <definedName name="INSUMOS" localSheetId="3">#REF!</definedName>
    <definedName name="INSUMOS" localSheetId="4">#REF!</definedName>
    <definedName name="INSUMOS">#REF!</definedName>
    <definedName name="Insumos_auxiliares" localSheetId="5">[98]Insumos!#REF!</definedName>
    <definedName name="Insumos_auxiliares">[98]Insumos!#REF!</definedName>
    <definedName name="Insumos_basicos" localSheetId="5">#REF!</definedName>
    <definedName name="Insumos_basicos" localSheetId="3">#REF!</definedName>
    <definedName name="Insumos_basicos" localSheetId="4">#REF!</definedName>
    <definedName name="Insumos_basicos">#REF!</definedName>
    <definedName name="Int" localSheetId="3">#REF!</definedName>
    <definedName name="Int" localSheetId="4">#REF!</definedName>
    <definedName name="Int">#REF!</definedName>
    <definedName name="InTap">[21]Interc.tapones!$E$1:$E$65536</definedName>
    <definedName name="INTER">[84]Hoja3!$F$7:$F$9</definedName>
    <definedName name="Intercambiadores" localSheetId="3">#REF!</definedName>
    <definedName name="Intercambiadores" localSheetId="4">#REF!</definedName>
    <definedName name="Intercambiadores">#REF!</definedName>
    <definedName name="Interest_Rate" localSheetId="3">#REF!</definedName>
    <definedName name="Interest_Rate" localSheetId="4">#REF!</definedName>
    <definedName name="Interest_Rate">#REF!</definedName>
    <definedName name="INTERMEDIA_I" localSheetId="3">#REF!</definedName>
    <definedName name="INTERMEDIA_I" localSheetId="4">#REF!</definedName>
    <definedName name="INTERMEDIA_I">#REF!</definedName>
    <definedName name="Interventor">[44]CONTRATO!$E$12</definedName>
    <definedName name="IntVal">[21]Interc.válv.!$E$1:$E$65536</definedName>
    <definedName name="INV_11" localSheetId="5">'[99]PR 1'!$A$2:$N$655</definedName>
    <definedName name="INV_11" localSheetId="3">'[99]PR 1'!$A$2:$N$655</definedName>
    <definedName name="INV_11" localSheetId="4">'[99]PR 1'!$A$2:$N$655</definedName>
    <definedName name="INV_11">'[100]PR 1'!$A$2:$N$655</definedName>
    <definedName name="INV_Payments" localSheetId="4">[56]!INV_Payments</definedName>
    <definedName name="INV_Payments">[56]!INV_Payments</definedName>
    <definedName name="InvDol1" localSheetId="3">#REF!</definedName>
    <definedName name="InvDol1" localSheetId="4">#REF!</definedName>
    <definedName name="InvDol1">#REF!</definedName>
    <definedName name="InvDol2" localSheetId="3">#REF!</definedName>
    <definedName name="InvDol2" localSheetId="4">#REF!</definedName>
    <definedName name="InvDol2">#REF!</definedName>
    <definedName name="InvDol3" localSheetId="3">#REF!</definedName>
    <definedName name="InvDol3" localSheetId="4">#REF!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5">'INDICAR CÓDIGO DEL ITEM DE PAGO'!ERR</definedName>
    <definedName name="IOUHH" localSheetId="3">'PRESUPUESTO OFICIAL (Entidad)'!ERR</definedName>
    <definedName name="IOUHH" localSheetId="4">'PROPUESTA ECONOMICA(Proponente)'!ERR</definedName>
    <definedName name="IOUHH">[0]!ERR</definedName>
    <definedName name="IP" localSheetId="3">#REF!</definedName>
    <definedName name="IP" localSheetId="4">#REF!</definedName>
    <definedName name="IP">#REF!</definedName>
    <definedName name="irng" localSheetId="3" hidden="1">#REF!</definedName>
    <definedName name="irng" localSheetId="4" hidden="1">#REF!</definedName>
    <definedName name="irng" hidden="1">#REF!</definedName>
    <definedName name="Iss">'[44]LIQUIDA-NOMINA'!$AT$4</definedName>
    <definedName name="issafp">[63]Hoja1!$C$19</definedName>
    <definedName name="isscs">[63]Hoja1!$C$21</definedName>
    <definedName name="isseps">[63]Hoja1!$C$20</definedName>
    <definedName name="ITEM" localSheetId="5">[93]BASE!$C$4:$H$255</definedName>
    <definedName name="ITEM" localSheetId="3">[93]BASE!$C$4:$H$255</definedName>
    <definedName name="ITEM" localSheetId="4">[93]BASE!$C$4:$H$255</definedName>
    <definedName name="ITEM">#REF!</definedName>
    <definedName name="ITEM1" localSheetId="5">#REF!</definedName>
    <definedName name="ITEM1" localSheetId="3">#REF!</definedName>
    <definedName name="ITEM1" localSheetId="4">#REF!</definedName>
    <definedName name="ITEM1">#REF!</definedName>
    <definedName name="ITEM15" localSheetId="5">#REF!</definedName>
    <definedName name="ITEM15">#REF!</definedName>
    <definedName name="ITEM2" localSheetId="5">#REF!</definedName>
    <definedName name="ITEM2">#REF!</definedName>
    <definedName name="item210.3" localSheetId="5">#REF!</definedName>
    <definedName name="item210.3">#REF!</definedName>
    <definedName name="item230.1" localSheetId="5">#REF!</definedName>
    <definedName name="item230.1">#REF!</definedName>
    <definedName name="ITEM3" localSheetId="5">#REF!</definedName>
    <definedName name="ITEM3">#REF!</definedName>
    <definedName name="item310" localSheetId="5">#REF!</definedName>
    <definedName name="item310">#REF!</definedName>
    <definedName name="item320.2" localSheetId="5">#REF!</definedName>
    <definedName name="item320.2">#REF!</definedName>
    <definedName name="item330.1" localSheetId="5">#REF!</definedName>
    <definedName name="item330.1">#REF!</definedName>
    <definedName name="item420" localSheetId="5">#REF!</definedName>
    <definedName name="item420">#REF!</definedName>
    <definedName name="item450.2P" localSheetId="5">#REF!</definedName>
    <definedName name="item450.2P">#REF!</definedName>
    <definedName name="item600.1" localSheetId="5">#REF!</definedName>
    <definedName name="item600.1">#REF!</definedName>
    <definedName name="item610.1" localSheetId="5">#REF!</definedName>
    <definedName name="item610.1">#REF!</definedName>
    <definedName name="item610.2" localSheetId="5">#REF!</definedName>
    <definedName name="item610.2">#REF!</definedName>
    <definedName name="item630.4" localSheetId="5">#REF!</definedName>
    <definedName name="item630.4">#REF!</definedName>
    <definedName name="item630.6" localSheetId="5">#REF!</definedName>
    <definedName name="item630.6">#REF!</definedName>
    <definedName name="item630.7" localSheetId="5">#REF!</definedName>
    <definedName name="item630.7">#REF!</definedName>
    <definedName name="item640.3" localSheetId="5">#REF!</definedName>
    <definedName name="item640.3">#REF!</definedName>
    <definedName name="item661" localSheetId="5">#REF!</definedName>
    <definedName name="item661">#REF!</definedName>
    <definedName name="item671" localSheetId="5">#REF!</definedName>
    <definedName name="item671">#REF!</definedName>
    <definedName name="item673.1" localSheetId="5">#REF!</definedName>
    <definedName name="item673.1">#REF!</definedName>
    <definedName name="item673.3" localSheetId="5">#REF!</definedName>
    <definedName name="item673.3">#REF!</definedName>
    <definedName name="item681" localSheetId="5">#REF!</definedName>
    <definedName name="item681">#REF!</definedName>
    <definedName name="item700.1" localSheetId="5">#REF!</definedName>
    <definedName name="item700.1">#REF!</definedName>
    <definedName name="item710.1" localSheetId="5">#REF!</definedName>
    <definedName name="item710.1">#REF!</definedName>
    <definedName name="item710.2" localSheetId="5">#REF!</definedName>
    <definedName name="item710.2">#REF!</definedName>
    <definedName name="item730.1" localSheetId="5">#REF!</definedName>
    <definedName name="item730.1">#REF!</definedName>
    <definedName name="item730.2" localSheetId="5">#REF!</definedName>
    <definedName name="item730.2">#REF!</definedName>
    <definedName name="item730.2.4" localSheetId="5">#REF!</definedName>
    <definedName name="item730.2.4">#REF!</definedName>
    <definedName name="item900.2" localSheetId="5">#REF!</definedName>
    <definedName name="item900.2">#REF!</definedName>
    <definedName name="ItemCodos">#REF!</definedName>
    <definedName name="ITEMS">'[101]PPTO OBRA CD'!$A$8:$F$367</definedName>
    <definedName name="IUI" localSheetId="5"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5"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l" localSheetId="5"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hidden="1">{"via1",#N/A,TRUE,"general";"via2",#N/A,TRUE,"general";"via3",#N/A,TRUE,"general"}</definedName>
    <definedName name="iuouio" localSheetId="5"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i9" localSheetId="5"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A" localSheetId="5">#REF!</definedName>
    <definedName name="IVA">#REF!</definedName>
    <definedName name="iwjer">#REF!</definedName>
    <definedName name="iyuiuyi" localSheetId="5"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hidden="1">{"via1",#N/A,TRUE,"general";"via2",#N/A,TRUE,"general";"via3",#N/A,TRUE,"general"}</definedName>
    <definedName name="j" localSheetId="5"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hidden="1">'[102]Datos-Gráfica'!#REF!</definedName>
    <definedName name="jd" localSheetId="5"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hidden="1">{"via1",#N/A,TRUE,"general";"via2",#N/A,TRUE,"general";"via3",#N/A,TRUE,"general"}</definedName>
    <definedName name="jdh" localSheetId="5"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eytj" localSheetId="5"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5"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gfj" localSheetId="5"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hidden="1">{"via1",#N/A,TRUE,"general";"via2",#N/A,TRUE,"general";"via3",#N/A,TRUE,"general"}</definedName>
    <definedName name="jghj" localSheetId="5"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5"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hg" localSheetId="5"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jyj" localSheetId="5"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hidden="1">{"via1",#N/A,TRUE,"general";"via2",#N/A,TRUE,"general";"via3",#N/A,TRUE,"general"}</definedName>
    <definedName name="JHK" localSheetId="5"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j" localSheetId="5">'INDICAR CÓDIGO DEL ITEM DE PAGO'!ERR</definedName>
    <definedName name="jj" localSheetId="3">'PRESUPUESTO OFICIAL (Entidad)'!ERR</definedName>
    <definedName name="jj" localSheetId="4">'PROPUESTA ECONOMICA(Proponente)'!ERR</definedName>
    <definedName name="jj">[0]!ERR</definedName>
    <definedName name="jjfq" localSheetId="5"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hidden="1">{"via1",#N/A,TRUE,"general";"via2",#N/A,TRUE,"general";"via3",#N/A,TRUE,"general"}</definedName>
    <definedName name="JJJ" localSheetId="5" hidden="1">{#N/A,#N/A,FALSE,"Hoja1";#N/A,#N/A,FALSE,"Hoja2"}</definedName>
    <definedName name="JJJ" localSheetId="3" hidden="1">{#N/A,#N/A,FALSE,"Hoja1";#N/A,#N/A,FALSE,"Hoja2"}</definedName>
    <definedName name="JJJ" localSheetId="4" hidden="1">{#N/A,#N/A,FALSE,"Hoja1";#N/A,#N/A,FALSE,"Hoja2"}</definedName>
    <definedName name="JJJ" hidden="1">{#N/A,#N/A,FALSE,"Hoja1";#N/A,#N/A,FALSE,"Hoja2"}</definedName>
    <definedName name="jjjhjddfg" localSheetId="5"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hidden="1">{"via1",#N/A,TRUE,"general";"via2",#N/A,TRUE,"general";"via3",#N/A,TRUE,"general"}</definedName>
    <definedName name="jjjjju" localSheetId="5"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hidden="1">{"via1",#N/A,TRUE,"general";"via2",#N/A,TRUE,"general";"via3",#N/A,TRUE,"general"}</definedName>
    <definedName name="jjujujty" localSheetId="5"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5"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hidden="1">{"via1",#N/A,TRUE,"general";"via2",#N/A,TRUE,"general";"via3",#N/A,TRUE,"general"}</definedName>
    <definedName name="jkk" localSheetId="5"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l" localSheetId="5">#REF!</definedName>
    <definedName name="jkl">#REF!</definedName>
    <definedName name="JOHNNY" localSheetId="5">'INDICAR CÓDIGO DEL ITEM DE PAGO'!ERR</definedName>
    <definedName name="JOHNNY" localSheetId="3">'PRESUPUESTO OFICIAL (Entidad)'!ERR</definedName>
    <definedName name="JOHNNY" localSheetId="4">'PROPUESTA ECONOMICA(Proponente)'!ERR</definedName>
    <definedName name="JOHNNY">[0]!ERR</definedName>
    <definedName name="JRYJ" localSheetId="5"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hidden="1">{"via1",#N/A,TRUE,"general";"via2",#N/A,TRUE,"general";"via3",#N/A,TRUE,"general"}</definedName>
    <definedName name="jtyj" localSheetId="5"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5"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j" localSheetId="5"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hidden="1">{"via1",#N/A,TRUE,"general";"via2",#N/A,TRUE,"general";"via3",#N/A,TRUE,"general"}</definedName>
    <definedName name="jujcx" localSheetId="5"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5"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5"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vv" localSheetId="5">#REF!</definedName>
    <definedName name="jvv">#REF!</definedName>
    <definedName name="jyjt7" localSheetId="5"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hidden="1">{"via1",#N/A,TRUE,"general";"via2",#N/A,TRUE,"general";"via3",#N/A,TRUE,"general"}</definedName>
    <definedName name="jyt" localSheetId="5"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5"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5"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5"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[59]MAT!#REF!</definedName>
    <definedName name="K0F1" localSheetId="5">#REF!</definedName>
    <definedName name="K0F1" localSheetId="3">#REF!</definedName>
    <definedName name="K0F1" localSheetId="4">#REF!</definedName>
    <definedName name="K0F1">#REF!</definedName>
    <definedName name="K0F2" localSheetId="5">#REF!</definedName>
    <definedName name="K0F2" localSheetId="3">#REF!</definedName>
    <definedName name="K0F2" localSheetId="4">#REF!</definedName>
    <definedName name="K0F2">#REF!</definedName>
    <definedName name="K10ALO" localSheetId="5">#REF!</definedName>
    <definedName name="K10ALO" localSheetId="3">#REF!</definedName>
    <definedName name="K10ALO" localSheetId="4">#REF!</definedName>
    <definedName name="K10ALO">#REF!</definedName>
    <definedName name="K11ALO" localSheetId="5">#REF!</definedName>
    <definedName name="K11ALO">#REF!</definedName>
    <definedName name="K1F1" localSheetId="5">#REF!</definedName>
    <definedName name="K1F1">#REF!</definedName>
    <definedName name="K1F2" localSheetId="5">#REF!</definedName>
    <definedName name="K1F2">#REF!</definedName>
    <definedName name="K2F1" localSheetId="5">#REF!</definedName>
    <definedName name="K2F1">#REF!</definedName>
    <definedName name="K2F2" localSheetId="5">#REF!</definedName>
    <definedName name="K2F2">#REF!</definedName>
    <definedName name="K3F1" localSheetId="5">#REF!</definedName>
    <definedName name="K3F1">#REF!</definedName>
    <definedName name="K3F2" localSheetId="5">#REF!</definedName>
    <definedName name="K3F2">#REF!</definedName>
    <definedName name="K4F1" localSheetId="5">#REF!</definedName>
    <definedName name="K4F1">#REF!</definedName>
    <definedName name="K4F2" localSheetId="5">#REF!</definedName>
    <definedName name="K4F2">#REF!</definedName>
    <definedName name="K5F1" localSheetId="5">#REF!</definedName>
    <definedName name="K5F1">#REF!</definedName>
    <definedName name="K5F2" localSheetId="5">#REF!</definedName>
    <definedName name="K5F2">#REF!</definedName>
    <definedName name="K6F1" localSheetId="5">#REF!</definedName>
    <definedName name="K6F1">#REF!</definedName>
    <definedName name="K6F2" localSheetId="5">#REF!</definedName>
    <definedName name="K6F2">#REF!</definedName>
    <definedName name="K7F1" localSheetId="5">#REF!</definedName>
    <definedName name="K7F1">#REF!</definedName>
    <definedName name="K7F2" localSheetId="5">#REF!</definedName>
    <definedName name="K7F2">#REF!</definedName>
    <definedName name="K8ALO" localSheetId="5">#REF!</definedName>
    <definedName name="K8ALO">#REF!</definedName>
    <definedName name="K8F1" localSheetId="5">#REF!</definedName>
    <definedName name="K8F1">#REF!</definedName>
    <definedName name="K8F2" localSheetId="5">#REF!</definedName>
    <definedName name="K8F2">#REF!</definedName>
    <definedName name="K9ALO" localSheetId="5">#REF!</definedName>
    <definedName name="K9ALO">#REF!</definedName>
    <definedName name="kdmfm" hidden="1">#REF!</definedName>
    <definedName name="kf">#REF!</definedName>
    <definedName name="kh">#REF!</definedName>
    <definedName name="KHGGH" localSheetId="5"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hidden="1">{"via1",#N/A,TRUE,"general";"via2",#N/A,TRUE,"general";"via3",#N/A,TRUE,"general"}</definedName>
    <definedName name="khjk7" localSheetId="5"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ikik" localSheetId="5"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hidden="1">{"via1",#N/A,TRUE,"general";"via2",#N/A,TRUE,"general";"via3",#N/A,TRUE,"general"}</definedName>
    <definedName name="kj">#REF!</definedName>
    <definedName name="kjhkd" localSheetId="5"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hidden="1">{"via1",#N/A,TRUE,"general";"via2",#N/A,TRUE,"general";"via3",#N/A,TRUE,"general"}</definedName>
    <definedName name="kjj">#REF!</definedName>
    <definedName name="kjk" localSheetId="5"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hidden="1">{"via1",#N/A,TRUE,"general";"via2",#N/A,TRUE,"general";"via3",#N/A,TRUE,"general"}</definedName>
    <definedName name="kjtrkjr" localSheetId="5"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hidden="1">{"via1",#N/A,TRUE,"general";"via2",#N/A,TRUE,"general";"via3",#N/A,TRUE,"general"}</definedName>
    <definedName name="kk">#REF!</definedName>
    <definedName name="kkkki" localSheetId="5"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hidden="1">{"via1",#N/A,TRUE,"general";"via2",#N/A,TRUE,"general";"via3",#N/A,TRUE,"general"}</definedName>
    <definedName name="kkkkkki" localSheetId="5"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kuu">#REF!</definedName>
    <definedName name="kl" localSheetId="5">'INDICAR CÓDIGO DEL ITEM DE PAGO'!ERR</definedName>
    <definedName name="kl" localSheetId="3">'PRESUPUESTO OFICIAL (Entidad)'!ERR</definedName>
    <definedName name="kl" localSheetId="4">'PROPUESTA ECONOMICA(Proponente)'!ERR</definedName>
    <definedName name="kl">[0]!ERR</definedName>
    <definedName name="klklk" localSheetId="5">#REF!</definedName>
    <definedName name="klklk" localSheetId="3">#REF!</definedName>
    <definedName name="klklk" localSheetId="4">#REF!</definedName>
    <definedName name="klklk">#REF!</definedName>
    <definedName name="km">#REF!</definedName>
    <definedName name="krtrk" localSheetId="5"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hidden="1">{"via1",#N/A,TRUE,"general";"via2",#N/A,TRUE,"general";"via3",#N/A,TRUE,"general"}</definedName>
    <definedName name="ks">#REF!</definedName>
    <definedName name="ksogtk">#REF!</definedName>
    <definedName name="ku">#REF!</definedName>
    <definedName name="kuyhgbe">#REF!</definedName>
    <definedName name="kyr" localSheetId="5"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[103]LISTADO!#REF!</definedName>
    <definedName name="LICITACION" localSheetId="5">#REF!</definedName>
    <definedName name="LICITACION" localSheetId="3">#REF!</definedName>
    <definedName name="LICITACION" localSheetId="4">#REF!</definedName>
    <definedName name="LICITACION">#REF!</definedName>
    <definedName name="LINEA" localSheetId="5">[104]CONT_ADI!#REF!</definedName>
    <definedName name="LINEA">[104]CONT_ADI!#REF!</definedName>
    <definedName name="ListaCantidad" localSheetId="3">#REF!</definedName>
    <definedName name="ListaCantidad" localSheetId="4">#REF!</definedName>
    <definedName name="ListaCantidad">#REF!</definedName>
    <definedName name="Listado" localSheetId="3">#REF!</definedName>
    <definedName name="Listado" localSheetId="4">#REF!</definedName>
    <definedName name="Listado">#REF!</definedName>
    <definedName name="Listado1" localSheetId="3">#REF!</definedName>
    <definedName name="Listado1" localSheetId="4">#REF!</definedName>
    <definedName name="Listado1">#REF!</definedName>
    <definedName name="ListaItem">#REF!</definedName>
    <definedName name="ListaUni">[105]TOTALES!$D$7:$D$654</definedName>
    <definedName name="liuoo" localSheetId="5"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kj" localSheetId="5"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hidden="1">{"via1",#N/A,TRUE,"general";"via2",#N/A,TRUE,"general";"via3",#N/A,TRUE,"general"}</definedName>
    <definedName name="LKJLJK" localSheetId="5"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L" localSheetId="5" hidden="1">{#N/A,#N/A,FALSE,"orthoflow";#N/A,#N/A,FALSE,"Miscelaneos";#N/A,#N/A,FALSE,"Instrumentacio";#N/A,#N/A,FALSE,"Electrico";#N/A,#N/A,FALSE,"Valv. Seguridad"}</definedName>
    <definedName name="LL" localSheetId="3" hidden="1">{#N/A,#N/A,FALSE,"orthoflow";#N/A,#N/A,FALSE,"Miscelaneos";#N/A,#N/A,FALSE,"Instrumentacio";#N/A,#N/A,FALSE,"Electrico";#N/A,#N/A,FALSE,"Valv. Seguridad"}</definedName>
    <definedName name="LL" localSheetId="4"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[106]tub!$C$1:$J$39</definedName>
    <definedName name="lllllh" localSheetId="5"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hidden="1">{"via1",#N/A,TRUE,"general";"via2",#N/A,TRUE,"general";"via3",#N/A,TRUE,"general"}</definedName>
    <definedName name="lllllllo" localSheetId="5"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5">[27]!absc</definedName>
    <definedName name="LOCA" localSheetId="3">[27]!absc</definedName>
    <definedName name="LOCA" localSheetId="4">[27]!absc</definedName>
    <definedName name="LOCA">[41]!absc</definedName>
    <definedName name="LOCA1" localSheetId="5">[40]!absc</definedName>
    <definedName name="LOCA1" localSheetId="3">[40]!absc</definedName>
    <definedName name="LOCA1" localSheetId="4">[40]!absc</definedName>
    <definedName name="LOCA1">[41]!absc</definedName>
    <definedName name="LOCALIZACION_Y_REPLANTEO" localSheetId="5">#REF!</definedName>
    <definedName name="LOCALIZACION_Y_REPLANTEO" localSheetId="3">#REF!</definedName>
    <definedName name="LOCALIZACION_Y_REPLANTEO" localSheetId="4">#REF!</definedName>
    <definedName name="LOCALIZACION_Y_REPLANTEO">#REF!</definedName>
    <definedName name="LOGO" localSheetId="5">'INDICAR CÓDIGO DEL ITEM DE PAGO'!ERR</definedName>
    <definedName name="LOGO" localSheetId="3">'PRESUPUESTO OFICIAL (Entidad)'!ERR</definedName>
    <definedName name="LOGO" localSheetId="4">'PROPUESTA ECONOMICA(Proponente)'!ERR</definedName>
    <definedName name="LOGO">[0]!ERR</definedName>
    <definedName name="lolol" localSheetId="5"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5"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hidden="1">{"via1",#N/A,TRUE,"general";"via2",#N/A,TRUE,"general";"via3",#N/A,TRUE,"general"}</definedName>
    <definedName name="lt">#REF!</definedName>
    <definedName name="lun" localSheetId="5">'[39]Res-Accide-10'!#REF!</definedName>
    <definedName name="lun">'[39]Res-Accide-10'!#REF!</definedName>
    <definedName name="lv">#REF!</definedName>
    <definedName name="m">#REF!</definedName>
    <definedName name="M.O." localSheetId="32">#REF!</definedName>
    <definedName name="M.O." localSheetId="24">#REF!</definedName>
    <definedName name="M.O." localSheetId="9">#REF!</definedName>
    <definedName name="M.O." localSheetId="11">#REF!</definedName>
    <definedName name="M.O." localSheetId="12">#REF!</definedName>
    <definedName name="M.O." localSheetId="14">#REF!</definedName>
    <definedName name="M.O." localSheetId="8">#REF!</definedName>
    <definedName name="M.O." localSheetId="10">#REF!</definedName>
    <definedName name="M.O." localSheetId="13">#REF!</definedName>
    <definedName name="M.O." localSheetId="39">#REF!</definedName>
    <definedName name="M.O.">#REF!</definedName>
    <definedName name="MA" localSheetId="5">'[39]Res-Accide-10'!#REF!</definedName>
    <definedName name="MA">'[39]Res-Accide-10'!#REF!</definedName>
    <definedName name="mac">#REF!</definedName>
    <definedName name="MACR">#REF!</definedName>
    <definedName name="MACRDEL">'[3]7422CW00'!#REF!</definedName>
    <definedName name="Macroactividad">#REF!</definedName>
    <definedName name="mafdsf" localSheetId="5"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hidden="1">{"via1",#N/A,TRUE,"general";"via2",#N/A,TRUE,"general";"via3",#N/A,TRUE,"general"}</definedName>
    <definedName name="MAL">'[107]Estado Resumen'!#REF!&lt;2.5</definedName>
    <definedName name="MALO">'[108]ESTADO VÍA-CRIT.TECNICO'!#REF!&lt;2.5</definedName>
    <definedName name="mama" hidden="1">'[109]Datos-Gráfica-Apartada'!#REF!</definedName>
    <definedName name="MANUAL" localSheetId="3">#REF!</definedName>
    <definedName name="MANUAL" localSheetId="4">#REF!</definedName>
    <definedName name="MANUAL">#REF!</definedName>
    <definedName name="mao" localSheetId="5"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w" localSheetId="5"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hidden="1">{"via1",#N/A,TRUE,"general";"via2",#N/A,TRUE,"general";"via3",#N/A,TRUE,"general"}</definedName>
    <definedName name="MAQ" localSheetId="24">#REF!</definedName>
    <definedName name="MAQ" localSheetId="39">#REF!</definedName>
    <definedName name="MAQ">#REF!</definedName>
    <definedName name="MAQUINAR" localSheetId="5">[60]Insum!$A$68:$H$98</definedName>
    <definedName name="MAQUINAR">[61]Insum!$A$68:$H$98</definedName>
    <definedName name="mar" localSheetId="5">'[39]Res-Accide-10'!#REF!</definedName>
    <definedName name="mar">'[39]Res-Accide-10'!#REF!</definedName>
    <definedName name="MARCO_H">#REF!</definedName>
    <definedName name="marina" localSheetId="5">'[110]Informe Semanal 1'!#REF!</definedName>
    <definedName name="marina" localSheetId="3">'[110]Informe Semanal 1'!#REF!</definedName>
    <definedName name="marina" localSheetId="4">'[110]Informe Semanal 1'!#REF!</definedName>
    <definedName name="marina">'[111]INF-SEM-INT'!$V$44</definedName>
    <definedName name="masor" localSheetId="5"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hidden="1">{"via1",#N/A,TRUE,"general";"via2",#N/A,TRUE,"general";"via3",#N/A,TRUE,"general"}</definedName>
    <definedName name="MAT" localSheetId="24">#REF!</definedName>
    <definedName name="MAT" localSheetId="5">#REF!</definedName>
    <definedName name="MAT" localSheetId="3">#REF!</definedName>
    <definedName name="MAT" localSheetId="39">#REF!</definedName>
    <definedName name="MAT" localSheetId="4">#REF!</definedName>
    <definedName name="MAT">#REF!</definedName>
    <definedName name="MAT_IT_1">[46]MATERIALES!$L$73</definedName>
    <definedName name="MAT_IT_10">[46]MATERIALES!$U$73</definedName>
    <definedName name="MAT_IT_11">[46]MATERIALES!$V$73</definedName>
    <definedName name="MAT_IT_12">[46]MATERIALES!$W$73</definedName>
    <definedName name="MAT_IT_13">[46]MATERIALES!$X$73</definedName>
    <definedName name="MAT_IT_14">[46]MATERIALES!$Y$73</definedName>
    <definedName name="MAT_IT_15">[46]MATERIALES!$Z$73</definedName>
    <definedName name="MAT_IT_16">[46]MATERIALES!$AA$73</definedName>
    <definedName name="MAT_IT_17">[46]MATERIALES!$AB$73</definedName>
    <definedName name="MAT_IT_18">[46]MATERIALES!$AC$73</definedName>
    <definedName name="MAT_IT_19">[46]MATERIALES!$AD$73</definedName>
    <definedName name="MAT_IT_2">[46]MATERIALES!$M$73</definedName>
    <definedName name="MAT_IT_20">[46]MATERIALES!$AE$73</definedName>
    <definedName name="MAT_IT_21">[46]MATERIALES!$AF$73</definedName>
    <definedName name="MAT_IT_22">[46]MATERIALES!$AG$73</definedName>
    <definedName name="MAT_IT_23">[46]MATERIALES!$AH$73</definedName>
    <definedName name="MAT_IT_24">[46]MATERIALES!$AI$73</definedName>
    <definedName name="MAT_IT_3">[46]MATERIALES!$N$73</definedName>
    <definedName name="MAT_IT_4">[46]MATERIALES!$O$73</definedName>
    <definedName name="MAT_IT_5">[46]MATERIALES!$P$73</definedName>
    <definedName name="MAT_IT_6">[46]MATERIALES!$Q$73</definedName>
    <definedName name="MAT_IT_7">[46]MATERIALES!$R$73</definedName>
    <definedName name="MAT_IT_8">[46]MATERIALES!$S$73</definedName>
    <definedName name="MAT_IT_9">[46]MATERIALES!$T$73</definedName>
    <definedName name="mate">[112]Mat!$A$2:$G$76</definedName>
    <definedName name="MATER" localSheetId="3">#REF!</definedName>
    <definedName name="MATER" localSheetId="4">#REF!</definedName>
    <definedName name="MATER">#REF!</definedName>
    <definedName name="MATERIAL">'[82]TABLA MATERIALES'!$A$3:$D$654</definedName>
    <definedName name="materiales" localSheetId="5">[81]materiales!$A$7:$A$1317</definedName>
    <definedName name="materiales" localSheetId="3">[81]materiales!$A$7:$A$1317</definedName>
    <definedName name="materiales" localSheetId="4">[81]materiales!$A$7:$A$1317</definedName>
    <definedName name="MATERIALES">#REF!</definedName>
    <definedName name="materiales1" localSheetId="3">#REF!</definedName>
    <definedName name="materiales1" localSheetId="4">#REF!</definedName>
    <definedName name="materiales1">#REF!</definedName>
    <definedName name="MaterialTub" localSheetId="3">#REF!</definedName>
    <definedName name="MaterialTub" localSheetId="4">#REF!</definedName>
    <definedName name="MaterialTub">#REF!</definedName>
    <definedName name="MATRIZ">#REF!</definedName>
    <definedName name="MATRIZ_DE_DATOS">#REF!</definedName>
    <definedName name="MCCs">#REF!</definedName>
    <definedName name="mdd" localSheetId="5"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hidden="1">{"via1",#N/A,TRUE,"general";"via2",#N/A,TRUE,"general";"via3",#N/A,TRUE,"general"}</definedName>
    <definedName name="MEC">'[29]DATOS SEMANALES'!$F$39:$Y$45</definedName>
    <definedName name="mediah_reposo_comida">'[113]CCP,LEYES, Y DEC.'!#REF!</definedName>
    <definedName name="meg" localSheetId="5"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EMO" localSheetId="24">#REF!</definedName>
    <definedName name="MEMO" localSheetId="39">#REF!</definedName>
    <definedName name="MEMO">#REF!</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[26]PRESUPUESTO!$C$13</definedName>
    <definedName name="MesCotiz">'[10]LIQ-NOM'!$H$3</definedName>
    <definedName name="MesCotizacion">'[44]LIQUIDA-NOMINA'!$H$3</definedName>
    <definedName name="MESES" localSheetId="5">#REF!</definedName>
    <definedName name="MESES" localSheetId="3">#REF!</definedName>
    <definedName name="MESES" localSheetId="4">#REF!</definedName>
    <definedName name="MESES">#REF!</definedName>
    <definedName name="MesesMora">'[10]LIQ-NOM'!$I$3</definedName>
    <definedName name="Meta1" localSheetId="3">#REF!</definedName>
    <definedName name="Meta1" localSheetId="4">#REF!</definedName>
    <definedName name="Meta1">#REF!</definedName>
    <definedName name="Meta2" localSheetId="3">#REF!</definedName>
    <definedName name="Meta2" localSheetId="4">#REF!</definedName>
    <definedName name="Meta2">#REF!</definedName>
    <definedName name="Meta3" localSheetId="3">#REF!</definedName>
    <definedName name="Meta3" localSheetId="4">#REF!</definedName>
    <definedName name="Meta3">#REF!</definedName>
    <definedName name="mfgjrdt" localSheetId="5"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ghm" localSheetId="5"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hidden="1">{"via1",#N/A,TRUE,"general";"via2",#N/A,TRUE,"general";"via3",#N/A,TRUE,"general"}</definedName>
    <definedName name="MI" localSheetId="29">#REF!,#REF!,#REF!,#REF!,#REF!,#REF!,#REF!</definedName>
    <definedName name="MI" localSheetId="24">#REF!,#REF!,#REF!,#REF!,#REF!,#REF!,#REF!</definedName>
    <definedName name="MI" localSheetId="16">#REF!,#REF!,#REF!,#REF!,#REF!,#REF!,#REF!</definedName>
    <definedName name="MI" localSheetId="39">#REF!,#REF!,#REF!,#REF!,#REF!,#REF!,#REF!</definedName>
    <definedName name="MI">#REF!,#REF!,#REF!,#REF!,#REF!,#REF!,#REF!</definedName>
    <definedName name="Mi_Salida">#REF!</definedName>
    <definedName name="Mi_Salida1">#REF!</definedName>
    <definedName name="MICR">#REF!</definedName>
    <definedName name="MIN_MAX_sma">#REF!</definedName>
    <definedName name="mjmj" localSheetId="5"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hidden="1">{"via1",#N/A,TRUE,"general";"via2",#N/A,TRUE,"general";"via3",#N/A,TRUE,"general"}</definedName>
    <definedName name="mjmjmn" localSheetId="5"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5"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JU">#REF!</definedName>
    <definedName name="ML" localSheetId="29">#REF!,#REF!,#REF!,#REF!,#REF!,#REF!,#REF!</definedName>
    <definedName name="ML" localSheetId="24">#REF!,#REF!,#REF!,#REF!,#REF!,#REF!,#REF!</definedName>
    <definedName name="ML" localSheetId="16">#REF!,#REF!,#REF!,#REF!,#REF!,#REF!,#REF!</definedName>
    <definedName name="ML" localSheetId="39">#REF!,#REF!,#REF!,#REF!,#REF!,#REF!,#REF!</definedName>
    <definedName name="ML">#REF!,#REF!,#REF!,#REF!,#REF!,#REF!,#REF!</definedName>
    <definedName name="mmjmjh" localSheetId="5"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m" localSheetId="5"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hidden="1">{"TAB1",#N/A,TRUE,"GENERAL";"TAB2",#N/A,TRUE,"GENERAL";"TAB3",#N/A,TRUE,"GENERAL";"TAB4",#N/A,TRUE,"GENERAL";"TAB5",#N/A,TRUE,"GENERAL"}</definedName>
    <definedName name="mmmh" localSheetId="5"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hidden="1">{"via1",#N/A,TRUE,"general";"via2",#N/A,TRUE,"general";"via3",#N/A,TRUE,"general"}</definedName>
    <definedName name="mmmmmjyt" localSheetId="5"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5"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hidden="1">{"via1",#N/A,TRUE,"general";"via2",#N/A,TRUE,"general";"via3",#N/A,TRUE,"general"}</definedName>
    <definedName name="MN" localSheetId="5"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hidden="1">{"via1",#N/A,TRUE,"general";"via2",#N/A,TRUE,"general";"via3",#N/A,TRUE,"general"}</definedName>
    <definedName name="MOA" localSheetId="5" hidden="1">{#N/A,#N/A,FALSE,"Hoja1";#N/A,#N/A,FALSE,"Hoja2"}</definedName>
    <definedName name="MOA" localSheetId="3" hidden="1">{#N/A,#N/A,FALSE,"Hoja1";#N/A,#N/A,FALSE,"Hoja2"}</definedName>
    <definedName name="MOA" localSheetId="4" hidden="1">{#N/A,#N/A,FALSE,"Hoja1";#N/A,#N/A,FALSE,"Hoja2"}</definedName>
    <definedName name="MOA" hidden="1">{#N/A,#N/A,FALSE,"Hoja1";#N/A,#N/A,FALSE,"Hoja2"}</definedName>
    <definedName name="MOD">#REF!</definedName>
    <definedName name="MODIVejec" localSheetId="5" hidden="1">{#N/A,#N/A,FALSE,"Hoja1";#N/A,#N/A,FALSE,"Hoja2"}</definedName>
    <definedName name="MODIVejec" localSheetId="3" hidden="1">{#N/A,#N/A,FALSE,"Hoja1";#N/A,#N/A,FALSE,"Hoja2"}</definedName>
    <definedName name="MODIVejec" localSheetId="4" hidden="1">{#N/A,#N/A,FALSE,"Hoja1";#N/A,#N/A,FALSE,"Hoja2"}</definedName>
    <definedName name="MODIVejec" hidden="1">{#N/A,#N/A,FALSE,"Hoja1";#N/A,#N/A,FALSE,"Hoja2"}</definedName>
    <definedName name="Módulo3.anexo1" localSheetId="4">[9]!Módulo3.anexo1</definedName>
    <definedName name="Módulo3.anexo1">[9]!Módulo3.anexo1</definedName>
    <definedName name="Módulo3.anexo10" localSheetId="4">[9]!Módulo3.anexo10</definedName>
    <definedName name="Módulo3.anexo10">[9]!Módulo3.anexo10</definedName>
    <definedName name="Módulo3.anexo11" localSheetId="4">[9]!Módulo3.anexo11</definedName>
    <definedName name="Módulo3.anexo11">[9]!Módulo3.anexo11</definedName>
    <definedName name="Módulo3.anexo12" localSheetId="4">[9]!Módulo3.anexo12</definedName>
    <definedName name="Módulo3.anexo12">[9]!Módulo3.anexo12</definedName>
    <definedName name="Módulo3.anexo3" localSheetId="4">[9]!Módulo3.anexo3</definedName>
    <definedName name="Módulo3.anexo3">[9]!Módulo3.anexo3</definedName>
    <definedName name="Módulo3.anexo4" localSheetId="4">[9]!Módulo3.anexo4</definedName>
    <definedName name="Módulo3.anexo4">[9]!Módulo3.anexo4</definedName>
    <definedName name="Módulo3.anexo5" localSheetId="4">[9]!Módulo3.anexo5</definedName>
    <definedName name="Módulo3.anexo5">[9]!Módulo3.anexo5</definedName>
    <definedName name="Módulo3.anexo6" localSheetId="4">[9]!Módulo3.anexo6</definedName>
    <definedName name="Módulo3.anexo6">[9]!Módulo3.anexo6</definedName>
    <definedName name="Módulo8.anexo16" localSheetId="4">[9]!Módulo8.anexo16</definedName>
    <definedName name="Módulo8.anexo16">[9]!Módulo8.anexo16</definedName>
    <definedName name="MOE" localSheetId="5" hidden="1">{#N/A,#N/A,FALSE,"Hoja1";#N/A,#N/A,FALSE,"Hoja2"}</definedName>
    <definedName name="MOE" localSheetId="3" hidden="1">{#N/A,#N/A,FALSE,"Hoja1";#N/A,#N/A,FALSE,"Hoja2"}</definedName>
    <definedName name="MOE" localSheetId="4" hidden="1">{#N/A,#N/A,FALSE,"Hoja1";#N/A,#N/A,FALSE,"Hoja2"}</definedName>
    <definedName name="MOE" hidden="1">{#N/A,#N/A,FALSE,"Hoja1";#N/A,#N/A,FALSE,"Hoja2"}</definedName>
    <definedName name="MONEDA">[114]Tablas!$AO$6:$AO$7</definedName>
    <definedName name="mono" localSheetId="3">#REF!</definedName>
    <definedName name="mono" localSheetId="4">#REF!</definedName>
    <definedName name="mono">#REF!</definedName>
    <definedName name="MontoVigenciasA1" localSheetId="3">#REF!</definedName>
    <definedName name="MontoVigenciasA1" localSheetId="4">#REF!</definedName>
    <definedName name="MontoVigenciasA1">#REF!</definedName>
    <definedName name="MontoVigenciasA2" localSheetId="3">#REF!</definedName>
    <definedName name="MontoVigenciasA2" localSheetId="4">#REF!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[51]steel!#REF!</definedName>
    <definedName name="Mtz_Avance" localSheetId="3">#REF!</definedName>
    <definedName name="Mtz_Avance" localSheetId="4">#REF!</definedName>
    <definedName name="Mtz_Avance">#REF!</definedName>
    <definedName name="Mv" localSheetId="3">#REF!</definedName>
    <definedName name="Mv" localSheetId="4">#REF!</definedName>
    <definedName name="Mv">#REF!</definedName>
    <definedName name="n" localSheetId="5"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#REF!</definedName>
    <definedName name="Nada" localSheetId="4">[56]!Nada</definedName>
    <definedName name="Nada">[56]!Nada</definedName>
    <definedName name="Nafta_2">'[115] ASR+Nafta'!$K$19:$AS$19</definedName>
    <definedName name="Nafta2">'[115] ASR+Nafta'!$K$19:$AS$19</definedName>
    <definedName name="Nafta3">'[115]Todos+Nafta'!$K$19:$AS$19</definedName>
    <definedName name="nbvnv" localSheetId="5"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hidden="1">{"via1",#N/A,TRUE,"general";"via2",#N/A,TRUE,"general";"via3",#N/A,TRUE,"general"}</definedName>
    <definedName name="NDHS" localSheetId="5"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f" localSheetId="5"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5"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hidden="1">{"via1",#N/A,TRUE,"general";"via2",#N/A,TRUE,"general";"via3",#N/A,TRUE,"general"}</definedName>
    <definedName name="nfgn" localSheetId="5"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hidden="1">{"via1",#N/A,TRUE,"general";"via2",#N/A,TRUE,"general";"via3",#N/A,TRUE,"general"}</definedName>
    <definedName name="NFHUHF">#REF!</definedName>
    <definedName name="ng">#REF!</definedName>
    <definedName name="ngdn" localSheetId="5"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5"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hidden="1">{"via1",#N/A,TRUE,"general";"via2",#N/A,TRUE,"general";"via3",#N/A,TRUE,"general"}</definedName>
    <definedName name="NH">#REF!</definedName>
    <definedName name="nhn" localSheetId="5"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hidden="1">{"via1",#N/A,TRUE,"general";"via2",#N/A,TRUE,"general";"via3",#N/A,TRUE,"general"}</definedName>
    <definedName name="nhncfgn" localSheetId="5"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5"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hidden="1">{"via1",#N/A,TRUE,"general";"via2",#N/A,TRUE,"general";"via3",#N/A,TRUE,"general"}</definedName>
    <definedName name="Nit">[44]EMPRESA!$F$8</definedName>
    <definedName name="NM" localSheetId="3">#REF!</definedName>
    <definedName name="NM" localSheetId="4">#REF!</definedName>
    <definedName name="NM">#REF!</definedName>
    <definedName name="Nmax" localSheetId="3">#REF!</definedName>
    <definedName name="Nmax" localSheetId="4">#REF!</definedName>
    <definedName name="Nmax">#REF!</definedName>
    <definedName name="nmdlf" localSheetId="3">#REF!</definedName>
    <definedName name="nmdlf" localSheetId="4">#REF!</definedName>
    <definedName name="nmdlf">#REF!</definedName>
    <definedName name="nmmmm" localSheetId="5"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hidden="1">{"via1",#N/A,TRUE,"general";"via2",#N/A,TRUE,"general";"via3",#N/A,TRUE,"general"}</definedName>
    <definedName name="NN" localSheetId="5"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hidden="1">{"TAB1",#N/A,TRUE,"GENERAL";"TAB2",#N/A,TRUE,"GENERAL";"TAB3",#N/A,TRUE,"GENERAL";"TAB4",#N/A,TRUE,"GENERAL";"TAB5",#N/A,TRUE,"GENERAL"}</definedName>
    <definedName name="nndng" localSheetId="5"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 localSheetId="5"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[22]!absc</definedName>
    <definedName name="nnnhd" localSheetId="5"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hidden="1">{"via1",#N/A,TRUE,"general";"via2",#N/A,TRUE,"general";"via3",#N/A,TRUE,"general"}</definedName>
    <definedName name="nnnnn" localSheetId="5"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hidden="1">{"via1",#N/A,TRUE,"general";"via2",#N/A,TRUE,"general";"via3",#N/A,TRUE,"general"}</definedName>
    <definedName name="nnnnnd" localSheetId="5"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5"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hidden="1">{"via1",#N/A,TRUE,"general";"via2",#N/A,TRUE,"general";"via3",#N/A,TRUE,"general"}</definedName>
    <definedName name="NO" localSheetId="5">'INDICAR CÓDIGO DEL ITEM DE PAGO'!ERR</definedName>
    <definedName name="NO" localSheetId="3">'PRESUPUESTO OFICIAL (Entidad)'!ERR</definedName>
    <definedName name="NO" localSheetId="4">'PROPUESTA ECONOMICA(Proponente)'!ERR</definedName>
    <definedName name="NO">[0]!ERR</definedName>
    <definedName name="No_desarrolladas">'[28]Reservas de Petróleo'!$A$2,'[28]Reservas de Petróleo'!$A$1,'[28]Reservas de Petróleo'!$D$4,'[28]Reservas de Petróleo'!$G$1:$G$65536</definedName>
    <definedName name="NOMBRE" localSheetId="5">#REF!</definedName>
    <definedName name="NOMBRE" localSheetId="3">#REF!</definedName>
    <definedName name="NOMBRE" localSheetId="4">#REF!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5">#REF!</definedName>
    <definedName name="NUEVO">#REF!</definedName>
    <definedName name="Num_Pmt_Per_Year">#REF!</definedName>
    <definedName name="Number_of_Payments" localSheetId="5">MATCH(0.01,End_Bal,-1)+1</definedName>
    <definedName name="Number_of_Payments" localSheetId="3">MATCH(0.01,'PRESUPUESTO OFICIAL (Entidad)'!End_Bal,-1)+1</definedName>
    <definedName name="Number_of_Payments" localSheetId="4">MATCH(0.01,'PROPUESTA ECONOMICA(Proponente)'!End_Bal,-1)+1</definedName>
    <definedName name="Number_of_Payments">MATCH(0.01,End_Bal,-1)+1</definedName>
    <definedName name="NUMERO">'[29]DATOS SEMANALES'!$E$180:$Y$180</definedName>
    <definedName name="nxn" localSheetId="5"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hidden="1">{"via1",#N/A,TRUE,"general";"via2",#N/A,TRUE,"general";"via3",#N/A,TRUE,"general"}</definedName>
    <definedName name="ñpñpñ" localSheetId="5"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hidden="1">{"via1",#N/A,TRUE,"general";"via2",#N/A,TRUE,"general";"via3",#N/A,TRUE,"general"}</definedName>
    <definedName name="O" localSheetId="31">#REF!</definedName>
    <definedName name="O" localSheetId="24">#REF!</definedName>
    <definedName name="O" localSheetId="39">#REF!</definedName>
    <definedName name="O">#REF!</definedName>
    <definedName name="º1" localSheetId="5">#REF!</definedName>
    <definedName name="º1">#REF!</definedName>
    <definedName name="o9o9" localSheetId="5"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hidden="1">{"via1",#N/A,TRUE,"general";"via2",#N/A,TRUE,"general";"via3",#N/A,TRUE,"general"}</definedName>
    <definedName name="OBJ">[26]PRESUPUESTO!$C$10</definedName>
    <definedName name="ObjetivoProyecto">#REF!</definedName>
    <definedName name="OBJETO">'[65]RESUMEN SEMANA 1'!$H$4</definedName>
    <definedName name="Obra" localSheetId="5">#REF!</definedName>
    <definedName name="Obra" localSheetId="3">#REF!</definedName>
    <definedName name="Obra" localSheetId="4">#REF!</definedName>
    <definedName name="Obra">#REF!</definedName>
    <definedName name="obras" localSheetId="3" hidden="1">#REF!</definedName>
    <definedName name="obras" localSheetId="4" hidden="1">#REF!</definedName>
    <definedName name="obras" hidden="1">#REF!</definedName>
    <definedName name="obras1" localSheetId="5">DATE(YEAR([116]!Loan_Start),MONTH([116]!Loan_Start)+Payment_Number,DAY([116]!Loan_Start))</definedName>
    <definedName name="obras1" localSheetId="3">DATE(YEAR([116]!Loan_Start),MONTH([116]!Loan_Start)+Payment_Number,DAY([116]!Loan_Start))</definedName>
    <definedName name="obras1" localSheetId="4">DATE(YEAR([116]!Loan_Start),MONTH([116]!Loan_Start)+Payment_Number,DAY([116]!Loan_Start))</definedName>
    <definedName name="obras1">DATE(YEAR([116]!Loan_Start),MONTH([116]!Loan_Start)+Payment_Number,DAY([116]!Loan_Start))</definedName>
    <definedName name="obras11" localSheetId="3" hidden="1">#REF!</definedName>
    <definedName name="obras11" localSheetId="4" hidden="1">#REF!</definedName>
    <definedName name="obras11" hidden="1">#REF!</definedName>
    <definedName name="obras111" localSheetId="5">DATE(YEAR([117]!Loan_Start),MONTH([117]!Loan_Start)+Payment_Number,DAY([117]!Loan_Start))</definedName>
    <definedName name="obras111" localSheetId="3">DATE(YEAR([117]!Loan_Start),MONTH([117]!Loan_Start)+Payment_Number,DAY([117]!Loan_Start))</definedName>
    <definedName name="obras111" localSheetId="4">DATE(YEAR([117]!Loan_Start),MONTH([117]!Loan_Start)+Payment_Number,DAY([117]!Loan_Start))</definedName>
    <definedName name="obras111">DATE(YEAR([117]!Loan_Start),MONTH([117]!Loan_Start)+Payment_Number,DAY([117]!Loan_Start))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5"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 localSheetId="24">#REF!</definedName>
    <definedName name="OF" localSheetId="39">#REF!</definedName>
    <definedName name="OF">#REF!</definedName>
    <definedName name="oiret" localSheetId="5"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5"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hidden="1">{"via1",#N/A,TRUE,"general";"via2",#N/A,TRUE,"general";"via3",#N/A,TRUE,"general"}</definedName>
    <definedName name="OnceThru">0</definedName>
    <definedName name="OÑ">#REF!</definedName>
    <definedName name="ooo" localSheetId="5"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#REF!</definedName>
    <definedName name="ooooiii" localSheetId="5"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s" localSheetId="5"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5"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[81]otros!$A$6:$A$1235</definedName>
    <definedName name="OTROS1" localSheetId="3">#REF!</definedName>
    <definedName name="OTROS1" localSheetId="4">#REF!</definedName>
    <definedName name="OTROS1">#REF!</definedName>
    <definedName name="OUT" localSheetId="3">#REF!</definedName>
    <definedName name="OUT" localSheetId="4">#REF!</definedName>
    <definedName name="OUT">#REF!</definedName>
    <definedName name="P" localSheetId="24">#REF!</definedName>
    <definedName name="P" localSheetId="5">#REF!</definedName>
    <definedName name="P" localSheetId="3">#REF!</definedName>
    <definedName name="P" localSheetId="39">#REF!</definedName>
    <definedName name="P" localSheetId="4">#REF!</definedName>
    <definedName name="P">#REF!</definedName>
    <definedName name="P_Yacimiento">#REF!</definedName>
    <definedName name="p0p0" localSheetId="5"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hidden="1">{"via1",#N/A,TRUE,"general";"via2",#N/A,TRUE,"general";"via3",#N/A,TRUE,"general"}</definedName>
    <definedName name="Page____1____of____2">#REF!</definedName>
    <definedName name="PAPOFI">'[29]DATOS SEMANALES'!#REF!</definedName>
    <definedName name="Parametro_Peso">[66]Tablas!$A$1:$A$65536</definedName>
    <definedName name="Pay_Date" localSheetId="3">#REF!</definedName>
    <definedName name="Pay_Date" localSheetId="4">#REF!</definedName>
    <definedName name="Pay_Date">#REF!</definedName>
    <definedName name="Pay_Num" localSheetId="3">#REF!</definedName>
    <definedName name="Pay_Num" localSheetId="4">#REF!</definedName>
    <definedName name="Pay_Num">#REF!</definedName>
    <definedName name="Payment_Date" localSheetId="5">DATE(YEAR(Loan_Start),MONTH(Loan_Start)+Payment_Number,DAY(Loan_Start))</definedName>
    <definedName name="Payment_Date" localSheetId="3">DATE(YEAR(Loan_Start),MONTH(Loan_Start)+Payment_Number,DAY(Loan_Start))</definedName>
    <definedName name="Payment_Date" localSheetId="4">DATE(YEAR([0]!Loan_Start),MONTH([0]!Loan_Start)+Payment_Number,DAY([0]!Loan_Start))</definedName>
    <definedName name="Payment_Date">DATE(YEAR(Loan_Start),MONTH(Loan_Start)+Payment_Number,DAY(Loan_Start))</definedName>
    <definedName name="Payment_Date1" localSheetId="5">DATE(YEAR([117]!Loan_Start),MONTH([117]!Loan_Start)+Payment_Number,DAY([117]!Loan_Start))</definedName>
    <definedName name="Payment_Date1" localSheetId="3">DATE(YEAR([117]!Loan_Start),MONTH([117]!Loan_Start)+Payment_Number,DAY([117]!Loan_Start))</definedName>
    <definedName name="Payment_Date1" localSheetId="4">DATE(YEAR([117]!Loan_Start),MONTH([117]!Loan_Start)+Payment_Number,DAY([117]!Loan_Start))</definedName>
    <definedName name="Payment_Date1">DATE(YEAR([117]!Loan_Start),MONTH([117]!Loan_Start)+Payment_Number,DAY([117]!Loan_Start))</definedName>
    <definedName name="Payment_Needed">"Pago necesario"</definedName>
    <definedName name="Pb">#REF!</definedName>
    <definedName name="Pd">#REF!</definedName>
    <definedName name="PEPE" localSheetId="5">'INDICAR CÓDIGO DEL ITEM DE PAGO'!ERR</definedName>
    <definedName name="PEPE" localSheetId="3">'PRESUPUESTO OFICIAL (Entidad)'!ERR</definedName>
    <definedName name="PEPE" localSheetId="4">'PROPUESTA ECONOMICA(Proponente)'!ERR</definedName>
    <definedName name="PEPE">[0]!ERR</definedName>
    <definedName name="Periodo">[47]Hoja1!$C$1</definedName>
    <definedName name="PeriodoPago">'[44]LIQUIDA-NOMINA'!$C$4</definedName>
    <definedName name="PeriodoRepago" localSheetId="3">#REF!</definedName>
    <definedName name="PeriodoRepago" localSheetId="4">#REF!</definedName>
    <definedName name="PeriodoRepago">#REF!</definedName>
    <definedName name="PeriodoRepagoCCP" localSheetId="3">#REF!</definedName>
    <definedName name="PeriodoRepagoCCP" localSheetId="4">#REF!</definedName>
    <definedName name="PeriodoRepagoCCP">#REF!</definedName>
    <definedName name="PESO_IT_1">[46]MATERIALES!$L$75</definedName>
    <definedName name="PESO_IT_10">[46]MATERIALES!$U$75</definedName>
    <definedName name="PESO_IT_11">[46]MATERIALES!$V$75</definedName>
    <definedName name="PESO_IT_12">[46]MATERIALES!$W$75</definedName>
    <definedName name="PESO_IT_13">[46]MATERIALES!$X$75</definedName>
    <definedName name="PESO_IT_14">[46]MATERIALES!$Y$75</definedName>
    <definedName name="PESO_IT_15">[46]MATERIALES!$Z$75</definedName>
    <definedName name="PESO_IT_16">[46]MATERIALES!$AA$75</definedName>
    <definedName name="PESO_IT_17">[46]MATERIALES!$AB$75</definedName>
    <definedName name="PESO_IT_18">[46]MATERIALES!$AC$75</definedName>
    <definedName name="PESO_IT_19">[46]MATERIALES!$AD$75</definedName>
    <definedName name="PESO_IT_2">[46]MATERIALES!$M$75</definedName>
    <definedName name="PESO_IT_20">[46]MATERIALES!$AE$75</definedName>
    <definedName name="PESO_IT_21">[46]MATERIALES!$AF$75</definedName>
    <definedName name="PESO_IT_22">[46]MATERIALES!$AG$75</definedName>
    <definedName name="PESO_IT_23">[46]MATERIALES!$AH$75</definedName>
    <definedName name="PESO_IT_24">[46]MATERIALES!$AI$75</definedName>
    <definedName name="PESO_IT_3">[46]MATERIALES!$N$75</definedName>
    <definedName name="PESO_IT_4">[46]MATERIALES!$O$75</definedName>
    <definedName name="PESO_IT_5">[46]MATERIALES!$P$75</definedName>
    <definedName name="PESO_IT_6">[46]MATERIALES!$Q$75</definedName>
    <definedName name="PESO_IT_7">[46]MATERIALES!$R$75</definedName>
    <definedName name="PESO_IT_8">[46]MATERIALES!$S$75</definedName>
    <definedName name="PESO_IT_9">[46]MATERIALES!$T$75</definedName>
    <definedName name="phed">[63]Hoja1!$C$4</definedName>
    <definedName name="phen">[63]Hoja1!$C$5</definedName>
    <definedName name="Pindis" localSheetId="3">#REF!</definedName>
    <definedName name="Pindis" localSheetId="4">#REF!</definedName>
    <definedName name="Pindis">#REF!</definedName>
    <definedName name="pint">'[91]7422CW00'!#REF!</definedName>
    <definedName name="pintura">'[91]7422CW00'!#REF!</definedName>
    <definedName name="pintyura">[118]STRSUMM0!#REF!</definedName>
    <definedName name="PIP" localSheetId="3">#REF!</definedName>
    <definedName name="PIP" localSheetId="4">#REF!</definedName>
    <definedName name="PIP">#REF!</definedName>
    <definedName name="Piscinas" localSheetId="3">#REF!</definedName>
    <definedName name="Piscinas" localSheetId="4">#REF!</definedName>
    <definedName name="Piscinas">#REF!</definedName>
    <definedName name="PKHK" localSheetId="5"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5"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5"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[37]BASES!$E$27</definedName>
    <definedName name="PlazoAIU" localSheetId="5">#REF!</definedName>
    <definedName name="PlazoAIU">#REF!</definedName>
    <definedName name="PLPLUNN" localSheetId="5"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5">#REF!</definedName>
    <definedName name="POCETAS">#REF!</definedName>
    <definedName name="POIUP" localSheetId="5"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hidden="1">{"via1",#N/A,TRUE,"general";"via2",#N/A,TRUE,"general";"via3",#N/A,TRUE,"general"}</definedName>
    <definedName name="POL" localSheetId="3" hidden="1">{#N/A,#N/A,FALSE,"Hoja1";#N/A,#N/A,FALSE,"Hoja2"}</definedName>
    <definedName name="POL" localSheetId="4" hidden="1">{#N/A,#N/A,FALSE,"Hoja1";#N/A,#N/A,FALSE,"Hoja2"}</definedName>
    <definedName name="POL" hidden="1">{#N/A,#N/A,FALSE,"Hoja1";#N/A,#N/A,FALSE,"Hoja2"}</definedName>
    <definedName name="popop" localSheetId="5"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hidden="1">{"via1",#N/A,TRUE,"general";"via2",#N/A,TRUE,"general";"via3",#N/A,TRUE,"general"}</definedName>
    <definedName name="popp" localSheetId="5"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u" localSheetId="5">#REF!</definedName>
    <definedName name="popu">#REF!</definedName>
    <definedName name="popvds" localSheetId="5"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c" localSheetId="5">#REF!</definedName>
    <definedName name="porc">#REF!</definedName>
    <definedName name="PORCE">[38]BASES!$E$26</definedName>
    <definedName name="Porcentaje">#REF!</definedName>
    <definedName name="PORCENTAJE1">#REF!</definedName>
    <definedName name="PORTADA2">'[119]Hoja 1 '!#REF!</definedName>
    <definedName name="POSICION_PRESUP">[11]Tablas!#REF!</definedName>
    <definedName name="POSICIONES">#REF!</definedName>
    <definedName name="pouig" localSheetId="5"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hidden="1">{"via1",#N/A,TRUE,"general";"via2",#N/A,TRUE,"general";"via3",#N/A,TRUE,"general"}</definedName>
    <definedName name="POZO">[66]Tablas!$C$1:$C$65536</definedName>
    <definedName name="PPPP" localSheetId="5" hidden="1">{#N/A,#N/A,FALSE,"orthoflow";#N/A,#N/A,FALSE,"Miscelaneos";#N/A,#N/A,FALSE,"Instrumentacio";#N/A,#N/A,FALSE,"Electrico";#N/A,#N/A,FALSE,"Valv. Seguridad"}</definedName>
    <definedName name="PPPP" localSheetId="3" hidden="1">{#N/A,#N/A,FALSE,"orthoflow";#N/A,#N/A,FALSE,"Miscelaneos";#N/A,#N/A,FALSE,"Instrumentacio";#N/A,#N/A,FALSE,"Electrico";#N/A,#N/A,FALSE,"Valv. Seguridad"}</definedName>
    <definedName name="PPPP" localSheetId="4"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5"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hidden="1">{"via1",#N/A,TRUE,"general";"via2",#N/A,TRUE,"general";"via3",#N/A,TRUE,"general"}</definedName>
    <definedName name="pppppd" localSheetId="5"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5"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hidden="1">{"via1",#N/A,TRUE,"general";"via2",#N/A,TRUE,"general";"via3",#N/A,TRUE,"general"}</definedName>
    <definedName name="Pr">[52]medelo!$D$46</definedName>
    <definedName name="PRE" localSheetId="5">#REF!</definedName>
    <definedName name="PRE" localSheetId="3">#REF!</definedName>
    <definedName name="PRE" localSheetId="4">#REF!</definedName>
    <definedName name="PRE">#REF!</definedName>
    <definedName name="Precio">#REF!</definedName>
    <definedName name="precio2">#REF!</definedName>
    <definedName name="PrecioS">#REF!</definedName>
    <definedName name="PREST" localSheetId="5">#REF!</definedName>
    <definedName name="PREST">#REF!</definedName>
    <definedName name="PRESUPUESTO">[120]Presupuesto!$B$10:$D$231</definedName>
    <definedName name="PRIMER" localSheetId="5"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hidden="1">{"via1",#N/A,TRUE,"general";"via2",#N/A,TRUE,"general";"via3",#N/A,TRUE,"general"}</definedName>
    <definedName name="PRIMERO" localSheetId="5">'[110]Informe Semanal 1'!$V$43:$W$43</definedName>
    <definedName name="PRIMERO" localSheetId="3">'[110]Informe Semanal 1'!$V$43:$W$43</definedName>
    <definedName name="PRIMERO" localSheetId="4">'[110]Informe Semanal 1'!$V$43:$W$43</definedName>
    <definedName name="PRIMERO">'[111]INF-SEM-INT'!$V$48:$W$48</definedName>
    <definedName name="PRIMET" localSheetId="5"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5">#REF!</definedName>
    <definedName name="Print_Area_MI" localSheetId="3">#REF!</definedName>
    <definedName name="Print_Area_MI" localSheetId="4">#REF!</definedName>
    <definedName name="PRINT_AREA_MI">#N/A</definedName>
    <definedName name="Print_Area_Reset" localSheetId="5">OFFSET(Full_Print,0,0,Last_Row)</definedName>
    <definedName name="Print_Area_Reset" localSheetId="3">OFFSET('PRESUPUESTO OFICIAL (Entidad)'!Full_Print,0,0,Last_Row)</definedName>
    <definedName name="Print_Area_Reset" localSheetId="4">OFFSET('PROPUESTA ECONOMICA(Proponente)'!Full_Print,0,0,Last_Row)</definedName>
    <definedName name="Print_Area_Reset">OFFSET(Full_Print,0,0,Last_Row)</definedName>
    <definedName name="PRINT_TITLES">#N/A</definedName>
    <definedName name="PRINT_TITLES_MI">#N/A</definedName>
    <definedName name="PRINT1" localSheetId="3">'[3]7422CW00'!#REF!</definedName>
    <definedName name="PRINT1" localSheetId="4">'[3]7422CW00'!#REF!</definedName>
    <definedName name="PRINT1">'[3]7422CW00'!#REF!</definedName>
    <definedName name="PRINT2" localSheetId="3">'[3]7422CW00'!#REF!</definedName>
    <definedName name="PRINT2" localSheetId="4">'[3]7422CW00'!#REF!</definedName>
    <definedName name="PRINT2">'[3]7422CW00'!#REF!</definedName>
    <definedName name="PRIVADO" localSheetId="3">#REF!</definedName>
    <definedName name="PRIVADO" localSheetId="4">#REF!</definedName>
    <definedName name="PRIVADO">#REF!</definedName>
    <definedName name="prn">[63]Hoja1!$C$3</definedName>
    <definedName name="prnf">[63]Hoja1!$C$6</definedName>
    <definedName name="ProbRange">0</definedName>
    <definedName name="ProbRangeMit">0</definedName>
    <definedName name="PROC">#REF!</definedName>
    <definedName name="PROCEDIM_SELECC">#REF!</definedName>
    <definedName name="PROCESO">#REF!</definedName>
    <definedName name="PRODUCTO">#REF!</definedName>
    <definedName name="PrOfic">[37]BASES!$B$31</definedName>
    <definedName name="PROG">'[29]DATOS SEMANALES'!$F$25:$Y$31</definedName>
    <definedName name="PROGDES">#REF!</definedName>
    <definedName name="Programa">#REF!</definedName>
    <definedName name="programainv" localSheetId="5">'INDICAR CÓDIGO DEL ITEM DE PAGO'!ERR</definedName>
    <definedName name="programainv" localSheetId="3">'PRESUPUESTO OFICIAL (Entidad)'!ERR</definedName>
    <definedName name="programainv" localSheetId="4">'PROPUESTA ECONOMICA(Proponente)'!ERR</definedName>
    <definedName name="programainv">[0]!ERR</definedName>
    <definedName name="Proponente" localSheetId="5">#REF!</definedName>
    <definedName name="Proponente" localSheetId="3">#REF!</definedName>
    <definedName name="Proponente" localSheetId="4">#REF!</definedName>
    <definedName name="Proponente">#REF!</definedName>
    <definedName name="PRUEBA" localSheetId="5">[121]!absc</definedName>
    <definedName name="PRUEBA" localSheetId="3">[121]!absc</definedName>
    <definedName name="PRUEBA" localSheetId="4">[121]!absc</definedName>
    <definedName name="prueba">#REF!</definedName>
    <definedName name="prueba1" localSheetId="4">[121]!absc</definedName>
    <definedName name="prueba1">[121]!absc</definedName>
    <definedName name="PRUEBA2" localSheetId="5">#REF!</definedName>
    <definedName name="PRUEBA2" localSheetId="3">#REF!</definedName>
    <definedName name="PRUEBA2" localSheetId="4">#REF!</definedName>
    <definedName name="PRUEBA2">#REF!</definedName>
    <definedName name="ps">#REF!</definedName>
    <definedName name="PSTRESS_RELIEVI">#REF!</definedName>
    <definedName name="PTAR" localSheetId="5"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5"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5"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hidden="1">{"via1",#N/A,TRUE,"general";"via2",#N/A,TRUE,"general";"via3",#N/A,TRUE,"general"}</definedName>
    <definedName name="PUL" localSheetId="3" hidden="1">{#N/A,#N/A,FALSE,"Hoja1";#N/A,#N/A,FALSE,"Hoja2"}</definedName>
    <definedName name="PUL" localSheetId="4" hidden="1">{#N/A,#N/A,FALSE,"Hoja1";#N/A,#N/A,FALSE,"Hoja2"}</definedName>
    <definedName name="PUL" hidden="1">{#N/A,#N/A,FALSE,"Hoja1";#N/A,#N/A,FALSE,"Hoja2"}</definedName>
    <definedName name="PW">#REF!</definedName>
    <definedName name="Pwf">'[122]ORITO 02 '!$A$12</definedName>
    <definedName name="Pwf_actual">'[122]ORITO 02 '!$E$6</definedName>
    <definedName name="Pwf_i">[52]medelo!$A$66:$A$83</definedName>
    <definedName name="Pwf_min">'[122]ORITO 02 '!$E$8</definedName>
    <definedName name="Pwfd" localSheetId="3">#REF!</definedName>
    <definedName name="Pwfd" localSheetId="4">#REF!</definedName>
    <definedName name="Pwfd">#REF!</definedName>
    <definedName name="Q" localSheetId="5">#REF!</definedName>
    <definedName name="Q" localSheetId="3">#REF!</definedName>
    <definedName name="Q" localSheetId="4">#REF!</definedName>
    <definedName name="Q">#REF!</definedName>
    <definedName name="Q_actual">'[122]ORITO 02 '!$E$7</definedName>
    <definedName name="Q_BRUTO" localSheetId="3">#REF!</definedName>
    <definedName name="Q_BRUTO" localSheetId="4">#REF!</definedName>
    <definedName name="Q_BRUTO">#REF!</definedName>
    <definedName name="q1q1q" localSheetId="5"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hidden="1">{"via1",#N/A,TRUE,"general";"via2",#N/A,TRUE,"general";"via3",#N/A,TRUE,"general"}</definedName>
    <definedName name="qaedtguj" localSheetId="5"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hidden="1">{"via1",#N/A,TRUE,"general";"via2",#N/A,TRUE,"general";"via3",#N/A,TRUE,"general"}</definedName>
    <definedName name="QAQSWS" localSheetId="5"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hidden="1">{"via1",#N/A,TRUE,"general";"via2",#N/A,TRUE,"general";"via3",#N/A,TRUE,"general"}</definedName>
    <definedName name="qaqwwxcr" localSheetId="5"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az" localSheetId="5">#REF!</definedName>
    <definedName name="qaz">#REF!</definedName>
    <definedName name="qedcd" localSheetId="5"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hidden="1">{"via1",#N/A,TRUE,"general";"via2",#N/A,TRUE,"general";"via3",#N/A,TRUE,"general"}</definedName>
    <definedName name="qeqewe" localSheetId="5"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wj" localSheetId="5"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hidden="1">{"via1",#N/A,TRUE,"general";"via2",#N/A,TRUE,"general";"via3",#N/A,TRUE,"general"}</definedName>
    <definedName name="Qmax">[52]medelo!$B$63</definedName>
    <definedName name="qqqqqw" localSheetId="5"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hidden="1">{"via1",#N/A,TRUE,"general";"via2",#N/A,TRUE,"general";"via3",#N/A,TRUE,"general"}</definedName>
    <definedName name="QS">#REF!</definedName>
    <definedName name="Qt">'[122]ORITO 02 '!$E$9</definedName>
    <definedName name="QTIES" localSheetId="3">#REF!</definedName>
    <definedName name="QTIES" localSheetId="4">#REF!</definedName>
    <definedName name="QTIES">#REF!</definedName>
    <definedName name="QTY" localSheetId="3">#REF!</definedName>
    <definedName name="QTY" localSheetId="4">#REF!</definedName>
    <definedName name="QTY">#REF!</definedName>
    <definedName name="qw" localSheetId="5"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hidden="1">{"via1",#N/A,TRUE,"general";"via2",#N/A,TRUE,"general";"via3",#N/A,TRUE,"general"}</definedName>
    <definedName name="qwdas2" localSheetId="5"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hidden="1">{"via1",#N/A,TRUE,"general";"via2",#N/A,TRUE,"general";"via3",#N/A,TRUE,"general"}</definedName>
    <definedName name="QWE">#REF!</definedName>
    <definedName name="qweqe" localSheetId="5"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RTY" localSheetId="5">'INDICAR CÓDIGO DEL ITEM DE PAGO'!ERR</definedName>
    <definedName name="QWERTY" localSheetId="3">'PRESUPUESTO OFICIAL (Entidad)'!ERR</definedName>
    <definedName name="QWERTY" localSheetId="4">'PROPUESTA ECONOMICA(Proponente)'!ERR</definedName>
    <definedName name="QWERTY">[0]!ERR</definedName>
    <definedName name="qwewertet" localSheetId="5" hidden="1">{#N/A,#N/A,TRUE,"1842CWN0"}</definedName>
    <definedName name="qwewertet" localSheetId="3" hidden="1">{#N/A,#N/A,TRUE,"1842CWN0"}</definedName>
    <definedName name="qwewertet" localSheetId="4" hidden="1">{#N/A,#N/A,TRUE,"1842CWN0"}</definedName>
    <definedName name="qwewertet" hidden="1">{#N/A,#N/A,TRUE,"1842CWN0"}</definedName>
    <definedName name="qwqwqwj" localSheetId="5"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#REF!</definedName>
    <definedName name="RANGO">[59]MAT!#REF!</definedName>
    <definedName name="RANGO_FECHA" localSheetId="3">#REF!</definedName>
    <definedName name="RANGO_FECHA" localSheetId="4">#REF!</definedName>
    <definedName name="RANGO_FECHA">#REF!</definedName>
    <definedName name="RANGOA" localSheetId="3">#REF!</definedName>
    <definedName name="RANGOA" localSheetId="4">#REF!</definedName>
    <definedName name="RANGOA">#REF!</definedName>
    <definedName name="RANGOB" localSheetId="3">#REF!</definedName>
    <definedName name="RANGOB" localSheetId="4">#REF!</definedName>
    <definedName name="RANGOB">#REF!</definedName>
    <definedName name="Rates">#REF!</definedName>
    <definedName name="RB">#REF!</definedName>
    <definedName name="RD">#REF!</definedName>
    <definedName name="RDN" localSheetId="24">#REF!</definedName>
    <definedName name="RDN" localSheetId="39">#REF!</definedName>
    <definedName name="RDN">#REF!</definedName>
    <definedName name="rdq">#REF!</definedName>
    <definedName name="RE" localSheetId="3" hidden="1">{#N/A,#N/A,FALSE,"Hoja1";#N/A,#N/A,FALSE,"Hoja2"}</definedName>
    <definedName name="RE" localSheetId="4" hidden="1">{#N/A,#N/A,FALSE,"Hoja1";#N/A,#N/A,FALSE,"Hoja2"}</definedName>
    <definedName name="RE" hidden="1">{#N/A,#N/A,FALSE,"Hoja1";#N/A,#N/A,FALSE,"Hoja2"}</definedName>
    <definedName name="Reactores">#REF!</definedName>
    <definedName name="Recall_2">'[115] ASR+Nafta'!$E$9:$E$21</definedName>
    <definedName name="Recall_3">'[115]Todos+Nafta'!$E$9:$E$21</definedName>
    <definedName name="Recorder" localSheetId="3">#REF!</definedName>
    <definedName name="Recorder" localSheetId="4">#REF!</definedName>
    <definedName name="Recorder">#REF!</definedName>
    <definedName name="recursos">[123]RECURSOS!$A$8:$A$204</definedName>
    <definedName name="REEMB">'[29]DATOS SEMANALES'!#REF!</definedName>
    <definedName name="REG">'[107]Estado Resumen'!XFC1&gt;2.5</definedName>
    <definedName name="rege" localSheetId="5"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IMEN_CONTRAT">[114]Tablas!$M$6:$M$8</definedName>
    <definedName name="REGIONAL">[114]Tablas!$I$6:$I$10</definedName>
    <definedName name="RegistroCoordinador" localSheetId="3">#REF!</definedName>
    <definedName name="RegistroCoordinador" localSheetId="4">#REF!</definedName>
    <definedName name="RegistroCoordinador">#REF!</definedName>
    <definedName name="regresd" localSheetId="5"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GULAR">'[108]ESTADO VÍA-CRIT.TECNICO'!XFC1&gt;2.5</definedName>
    <definedName name="REICIO" localSheetId="5">'INDICAR CÓDIGO DEL ITEM DE PAGO'!ERR</definedName>
    <definedName name="REICIO" localSheetId="3">'PRESUPUESTO OFICIAL (Entidad)'!ERR</definedName>
    <definedName name="REICIO" localSheetId="4">'PROPUESTA ECONOMICA(Proponente)'!ERR</definedName>
    <definedName name="REICIO">[0]!ERR</definedName>
    <definedName name="Reimbursement">"Reembolso"</definedName>
    <definedName name="reinicio" localSheetId="5">'INDICAR CÓDIGO DEL ITEM DE PAGO'!ERR</definedName>
    <definedName name="reinicio" localSheetId="3">'PRESUPUESTO OFICIAL (Entidad)'!ERR</definedName>
    <definedName name="reinicio" localSheetId="4">'PROPUESTA ECONOMICA(Proponente)'!ERR</definedName>
    <definedName name="reinicio">[0]!ERR</definedName>
    <definedName name="REJHE" localSheetId="5"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hidden="1">{"via1",#N/A,TRUE,"general";"via2",#N/A,TRUE,"general";"via3",#N/A,TRUE,"general"}</definedName>
    <definedName name="rell" localSheetId="5">#REF!</definedName>
    <definedName name="rell" localSheetId="3">#REF!</definedName>
    <definedName name="rell" localSheetId="4">#REF!</definedName>
    <definedName name="rell">#REF!</definedName>
    <definedName name="RELLG">#REF!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5"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hidden="1">{"via1",#N/A,TRUE,"general";"via2",#N/A,TRUE,"general";"via3",#N/A,TRUE,"general"}</definedName>
    <definedName name="rererw" localSheetId="5"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g" localSheetId="5"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ual">[74]Hoja2!$C$3</definedName>
    <definedName name="Resistividad" localSheetId="3">#REF!</definedName>
    <definedName name="Resistividad" localSheetId="4">#REF!</definedName>
    <definedName name="Resistividad">#REF!</definedName>
    <definedName name="RESOP">'[29]DATOS SEMANALES'!#REF!</definedName>
    <definedName name="resu" localSheetId="5">[124]original_sist!$B$1:$L$167</definedName>
    <definedName name="RESU" localSheetId="3">#REF!</definedName>
    <definedName name="RESU" localSheetId="4">#REF!</definedName>
    <definedName name="RESU">#REF!</definedName>
    <definedName name="resu8" localSheetId="4">[9]!resu8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[37]BASES!$E$31</definedName>
    <definedName name="RETTRE" localSheetId="5"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hidden="1">{"via1",#N/A,TRUE,"general";"via2",#N/A,TRUE,"general";"via3",#N/A,TRUE,"general"}</definedName>
    <definedName name="rety" localSheetId="5"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wfreg" localSheetId="5"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hidden="1">{"via1",#N/A,TRUE,"general";"via2",#N/A,TRUE,"general";"via3",#N/A,TRUE,"general"}</definedName>
    <definedName name="rewr" localSheetId="5"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hidden="1">{"via1",#N/A,TRUE,"general";"via2",#N/A,TRUE,"general";"via3",#N/A,TRUE,"general"}</definedName>
    <definedName name="REWWER" localSheetId="5"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5"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hidden="1">{"via1",#N/A,TRUE,"general";"via2",#N/A,TRUE,"general";"via3",#N/A,TRUE,"general"}</definedName>
    <definedName name="reyty" localSheetId="5"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5"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hnhjyu" localSheetId="5"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5"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hidden="1">{"via1",#N/A,TRUE,"general";"via2",#N/A,TRUE,"general";"via3",#N/A,TRUE,"general"}</definedName>
    <definedName name="RFV">#REF!</definedName>
    <definedName name="RG" localSheetId="5">#REF!</definedName>
    <definedName name="RG" localSheetId="3">#REF!</definedName>
    <definedName name="RG" localSheetId="4">#REF!</definedName>
    <definedName name="RG">'[29]DATOS SEMANALES'!#REF!</definedName>
    <definedName name="rge" localSheetId="5"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hidden="1">{"via1",#N/A,TRUE,"general";"via2",#N/A,TRUE,"general";"via3",#N/A,TRUE,"general"}</definedName>
    <definedName name="rgegg" localSheetId="5"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hh" localSheetId="5"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5"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5"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ID">[125]Ingenieria!#REF!</definedName>
    <definedName name="RISP">'[3]7422CW00'!#REF!</definedName>
    <definedName name="rj" localSheetId="5"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5"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5"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hidden="1">{"via1",#N/A,TRUE,"general";"via2",#N/A,TRUE,"general";"via3",#N/A,TRUE,"general"}</definedName>
    <definedName name="rkjyk" localSheetId="5"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5"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hidden="1">{"via1",#N/A,TRUE,"general";"via2",#N/A,TRUE,"general";"via3",#N/A,TRUE,"general"}</definedName>
    <definedName name="rky" localSheetId="5"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nf">[63]Datos!$D$12</definedName>
    <definedName name="Ro" localSheetId="3">#REF!,#REF!,#REF!</definedName>
    <definedName name="Ro" localSheetId="4">#REF!,#REF!,#REF!</definedName>
    <definedName name="Ro">#REF!,#REF!,#REF!</definedName>
    <definedName name="rr" localSheetId="5">'INDICAR CÓDIGO DEL ITEM DE PAGO'!ERR</definedName>
    <definedName name="rr" localSheetId="3">'PRESUPUESTO OFICIAL (Entidad)'!ERR</definedName>
    <definedName name="rr" localSheetId="4">'PROPUESTA ECONOMICA(Proponente)'!ERR</definedName>
    <definedName name="rr">[0]!ERR</definedName>
    <definedName name="rrr" localSheetId="5"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hidden="1">{"via1",#N/A,TRUE,"general";"via2",#N/A,TRUE,"general";"via3",#N/A,TRUE,"general"}</definedName>
    <definedName name="rrrr">'[126]Form5 _Pág_ 1'!#REF!</definedName>
    <definedName name="rrrrrb" localSheetId="5"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hidden="1">{"via1",#N/A,TRUE,"general";"via2",#N/A,TRUE,"general";"via3",#N/A,TRUE,"general"}</definedName>
    <definedName name="rrrrrrre" localSheetId="5"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t" localSheetId="5"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hidden="1">{"via1",#N/A,TRUE,"general";"via2",#N/A,TRUE,"general";"via3",#N/A,TRUE,"general"}</definedName>
    <definedName name="rrtewtr" localSheetId="32">#REF!</definedName>
    <definedName name="rrtewtr" localSheetId="31">#REF!</definedName>
    <definedName name="rrtewtr" localSheetId="24">#REF!</definedName>
    <definedName name="rrtewtr" localSheetId="9">#REF!</definedName>
    <definedName name="rrtewtr" localSheetId="11">#REF!</definedName>
    <definedName name="rrtewtr" localSheetId="12">#REF!</definedName>
    <definedName name="rrtewtr" localSheetId="14">#REF!</definedName>
    <definedName name="rrtewtr" localSheetId="8">#REF!</definedName>
    <definedName name="rrtewtr" localSheetId="10">#REF!</definedName>
    <definedName name="rrtewtr" localSheetId="13">#REF!</definedName>
    <definedName name="rrtewtr" localSheetId="39">#REF!</definedName>
    <definedName name="rrtewtr">#REF!</definedName>
    <definedName name="Rs">#REF!</definedName>
    <definedName name="rsdgsd5" localSheetId="5"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5"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hidden="1">{"TAB1",#N/A,TRUE,"GENERAL";"TAB2",#N/A,TRUE,"GENERAL";"TAB3",#N/A,TRUE,"GENERAL";"TAB4",#N/A,TRUE,"GENERAL";"TAB5",#N/A,TRUE,"GENERAL"}</definedName>
    <definedName name="rte" localSheetId="5"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hidden="1">{"TAB1",#N/A,TRUE,"GENERAL";"TAB2",#N/A,TRUE,"GENERAL";"TAB3",#N/A,TRUE,"GENERAL";"TAB4",#N/A,TRUE,"GENERAL";"TAB5",#N/A,TRUE,"GENERAL"}</definedName>
    <definedName name="rteg" localSheetId="5"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hidden="1">{"via1",#N/A,TRUE,"general";"via2",#N/A,TRUE,"general";"via3",#N/A,TRUE,"general"}</definedName>
    <definedName name="rtert" localSheetId="5"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5"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hidden="1">{"via1",#N/A,TRUE,"general";"via2",#N/A,TRUE,"general";"via3",#N/A,TRUE,"general"}</definedName>
    <definedName name="rtewth" localSheetId="5"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5"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hidden="1">{"via1",#N/A,TRUE,"general";"via2",#N/A,TRUE,"general";"via3",#N/A,TRUE,"general"}</definedName>
    <definedName name="rthtrh" localSheetId="5"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5"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tthy" localSheetId="5"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hidden="1">{"via1",#N/A,TRUE,"general";"via2",#N/A,TRUE,"general";"via3",#N/A,TRUE,"general"}</definedName>
    <definedName name="rtu" localSheetId="5"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5"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rtu" localSheetId="5"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hidden="1">{"via1",#N/A,TRUE,"general";"via2",#N/A,TRUE,"general";"via3",#N/A,TRUE,"general"}</definedName>
    <definedName name="rturu" localSheetId="5"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5"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5"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5"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hr" localSheetId="5"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5"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hidden="1">{"via1",#N/A,TRUE,"general";"via2",#N/A,TRUE,"general";"via3",#N/A,TRUE,"general"}</definedName>
    <definedName name="rtyrey" localSheetId="5"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5"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hidden="1">{"via1",#N/A,TRUE,"general";"via2",#N/A,TRUE,"general";"via3",#N/A,TRUE,"general"}</definedName>
    <definedName name="RTYRTY" localSheetId="5"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5"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5"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hidden="1">{"via1",#N/A,TRUE,"general";"via2",#N/A,TRUE,"general";"via3",#N/A,TRUE,"general"}</definedName>
    <definedName name="ruru" localSheetId="5"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5"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hidden="1">{"via1",#N/A,TRUE,"general";"via2",#N/A,TRUE,"general";"via3",#N/A,TRUE,"general"}</definedName>
    <definedName name="RV">#REF!</definedName>
    <definedName name="rwt" localSheetId="5"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hidden="1">{"via1",#N/A,TRUE,"general";"via2",#N/A,TRUE,"general";"via3",#N/A,TRUE,"general"}</definedName>
    <definedName name="ry" localSheetId="5"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hidden="1">{"via1",#N/A,TRUE,"general";"via2",#N/A,TRUE,"general";"via3",#N/A,TRUE,"general"}</definedName>
    <definedName name="ryeryb" localSheetId="5"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trsdg" localSheetId="5"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hidden="1">{"via1",#N/A,TRUE,"general";"via2",#N/A,TRUE,"general";"via3",#N/A,TRUE,"general"}</definedName>
    <definedName name="s" localSheetId="5">'INDICAR CÓDIGO DEL ITEM DE PAGO'!ERR</definedName>
    <definedName name="s" localSheetId="3">'PRESUPUESTO OFICIAL (Entidad)'!ERR</definedName>
    <definedName name="s" localSheetId="4">'PROPUESTA ECONOMICA(Proponente)'!ERR</definedName>
    <definedName name="S">#REF!</definedName>
    <definedName name="saa" localSheetId="5"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hidden="1">{"via1",#N/A,TRUE,"general";"via2",#N/A,TRUE,"general";"via3",#N/A,TRUE,"general"}</definedName>
    <definedName name="SAD" localSheetId="5"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hidden="1">{"via1",#N/A,TRUE,"general";"via2",#N/A,TRUE,"general";"via3",#N/A,TRUE,"general"}</definedName>
    <definedName name="SADF" localSheetId="5"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hidden="1">{"via1",#N/A,TRUE,"general";"via2",#N/A,TRUE,"general";"via3",#N/A,TRUE,"general"}</definedName>
    <definedName name="sadff" localSheetId="5"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5"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hidden="1">{"via1",#N/A,TRUE,"general";"via2",#N/A,TRUE,"general";"via3",#N/A,TRUE,"general"}</definedName>
    <definedName name="safdp" localSheetId="5"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larios" localSheetId="5">'INDICAR CÓDIGO DEL ITEM DE PAGO'!ERR</definedName>
    <definedName name="salarios" localSheetId="3">'PRESUPUESTO OFICIAL (Entidad)'!ERR</definedName>
    <definedName name="salarios" localSheetId="4">'PROPUESTA ECONOMICA(Proponente)'!ERR</definedName>
    <definedName name="salarios">[0]!ERR</definedName>
    <definedName name="SalConv">'[10]DATOS CONTRATO'!$G$14</definedName>
    <definedName name="SALID1" localSheetId="3">#REF!</definedName>
    <definedName name="SALID1" localSheetId="4">#REF!</definedName>
    <definedName name="SALID1">#REF!</definedName>
    <definedName name="SalMinimo">[37]BASES!$E$41</definedName>
    <definedName name="sbgfbgdr" localSheetId="5"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CIV">'[29]DATOS SEMANALES'!$F$74:$Y$80</definedName>
    <definedName name="sd" localSheetId="5"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#REF!</definedName>
    <definedName name="sdaf" localSheetId="5"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hidden="1">{"via1",#N/A,TRUE,"general";"via2",#N/A,TRUE,"general";"via3",#N/A,TRUE,"general"}</definedName>
    <definedName name="sdas" localSheetId="5"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hidden="1">{"via1",#N/A,TRUE,"general";"via2",#N/A,TRUE,"general";"via3",#N/A,TRUE,"general"}</definedName>
    <definedName name="sdasdf" localSheetId="5"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hidden="1">{"via1",#N/A,TRUE,"general";"via2",#N/A,TRUE,"general";"via3",#N/A,TRUE,"general"}</definedName>
    <definedName name="SDCDSCT" localSheetId="5"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DSAFF" localSheetId="5" hidden="1">{#N/A,#N/A,TRUE,"1842CWN0"}</definedName>
    <definedName name="SDDSAFF" localSheetId="3" hidden="1">{#N/A,#N/A,TRUE,"1842CWN0"}</definedName>
    <definedName name="SDDSAFF" localSheetId="4" hidden="1">{#N/A,#N/A,TRUE,"1842CWN0"}</definedName>
    <definedName name="SDDSAFF" hidden="1">{#N/A,#N/A,TRUE,"1842CWN0"}</definedName>
    <definedName name="sdf">#REF!</definedName>
    <definedName name="SDFCE" localSheetId="5"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5"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hidden="1">{"via1",#N/A,TRUE,"general";"via2",#N/A,TRUE,"general";"via3",#N/A,TRUE,"general"}</definedName>
    <definedName name="SDFDG" localSheetId="5" hidden="1">{#N/A,#N/A,TRUE,"1842CWN0"}</definedName>
    <definedName name="SDFDG" localSheetId="3" hidden="1">{#N/A,#N/A,TRUE,"1842CWN0"}</definedName>
    <definedName name="SDFDG" localSheetId="4" hidden="1">{#N/A,#N/A,TRUE,"1842CWN0"}</definedName>
    <definedName name="SDFDG" hidden="1">{#N/A,#N/A,TRUE,"1842CWN0"}</definedName>
    <definedName name="sdfds" localSheetId="5"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hidden="1">{"via1",#N/A,TRUE,"general";"via2",#N/A,TRUE,"general";"via3",#N/A,TRUE,"general"}</definedName>
    <definedName name="SDFDSO" localSheetId="5"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5"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EO" localSheetId="5"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hidden="1">{"via1",#N/A,TRUE,"general";"via2",#N/A,TRUE,"general";"via3",#N/A,TRUE,"general"}</definedName>
    <definedName name="sdfg" localSheetId="5"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sfk" localSheetId="5"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hidden="1">{"via1",#N/A,TRUE,"general";"via2",#N/A,TRUE,"general";"via3",#N/A,TRUE,"general"}</definedName>
    <definedName name="sdfgsg" localSheetId="5"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hidden="1">{"via1",#N/A,TRUE,"general";"via2",#N/A,TRUE,"general";"via3",#N/A,TRUE,"general"}</definedName>
    <definedName name="SDFLJK" localSheetId="5"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5"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hidden="1">{"via1",#N/A,TRUE,"general";"via2",#N/A,TRUE,"general";"via3",#N/A,TRUE,"general"}</definedName>
    <definedName name="SDFSDF" localSheetId="5"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5"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hidden="1">{"via1",#N/A,TRUE,"general";"via2",#N/A,TRUE,"general";"via3",#N/A,TRUE,"general"}</definedName>
    <definedName name="sdfsdgg" localSheetId="5" hidden="1">{#N/A,#N/A,TRUE,"INGENIERIA";#N/A,#N/A,TRUE,"COMPRAS";#N/A,#N/A,TRUE,"DIRECCION";#N/A,#N/A,TRUE,"RESUMEN"}</definedName>
    <definedName name="sdfsdgg" localSheetId="3" hidden="1">{#N/A,#N/A,TRUE,"INGENIERIA";#N/A,#N/A,TRUE,"COMPRAS";#N/A,#N/A,TRUE,"DIRECCION";#N/A,#N/A,TRUE,"RESUMEN"}</definedName>
    <definedName name="sdfsdgg" localSheetId="4" hidden="1">{#N/A,#N/A,TRUE,"INGENIERIA";#N/A,#N/A,TRUE,"COMPRAS";#N/A,#N/A,TRUE,"DIRECCION";#N/A,#N/A,TRUE,"RESUMEN"}</definedName>
    <definedName name="sdfsdgg" hidden="1">{#N/A,#N/A,TRUE,"INGENIERIA";#N/A,#N/A,TRUE,"COMPRAS";#N/A,#N/A,TRUE,"DIRECCION";#N/A,#N/A,TRUE,"RESUMEN"}</definedName>
    <definedName name="SDFSF" localSheetId="5"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5"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gfd" localSheetId="5"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gp" localSheetId="5"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hidden="1">{"via1",#N/A,TRUE,"general";"via2",#N/A,TRUE,"general";"via3",#N/A,TRUE,"general"}</definedName>
    <definedName name="sdgfiu" localSheetId="5"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FS">'[29]DATOS SEMANALES'!#REF!</definedName>
    <definedName name="sdgsd" localSheetId="5"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g" localSheetId="5"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hidden="1">{"via1",#N/A,TRUE,"general";"via2",#N/A,TRUE,"general";"via3",#N/A,TRUE,"general"}</definedName>
    <definedName name="SDIKOM" localSheetId="5"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sdfh" localSheetId="5"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hidden="1">{"via1",#N/A,TRUE,"general";"via2",#N/A,TRUE,"general";"via3",#N/A,TRUE,"general"}</definedName>
    <definedName name="sdsdfsdff" localSheetId="5" hidden="1">{#N/A,#N/A,TRUE,"1842CWN0"}</definedName>
    <definedName name="sdsdfsdff" localSheetId="3" hidden="1">{#N/A,#N/A,TRUE,"1842CWN0"}</definedName>
    <definedName name="sdsdfsdff" localSheetId="4" hidden="1">{#N/A,#N/A,TRUE,"1842CWN0"}</definedName>
    <definedName name="sdsdfsdff" hidden="1">{#N/A,#N/A,TRUE,"1842CWN0"}</definedName>
    <definedName name="SECTOR" localSheetId="5">#REF!</definedName>
    <definedName name="SECTOR">#REF!</definedName>
    <definedName name="SEMANA_C3">#REF!</definedName>
    <definedName name="sena">[63]Hoja1!$C$14</definedName>
    <definedName name="SERO" localSheetId="5">'INDICAR CÓDIGO DEL ITEM DE PAGO'!ERR</definedName>
    <definedName name="SERO" localSheetId="3">'PRESUPUESTO OFICIAL (Entidad)'!ERR</definedName>
    <definedName name="SERO" localSheetId="4">'PROPUESTA ECONOMICA(Proponente)'!ERR</definedName>
    <definedName name="SERO">[0]!ERR</definedName>
    <definedName name="setrj" localSheetId="5"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hidden="1">{"via1",#N/A,TRUE,"general";"via2",#N/A,TRUE,"general";"via3",#N/A,TRUE,"general"}</definedName>
    <definedName name="sett" localSheetId="5"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f">[63]Hoja1!$C$12</definedName>
    <definedName name="sfasf" localSheetId="5"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GDGD">'[29]DATOS SEMANALES'!#REF!</definedName>
    <definedName name="SFHSGFH" localSheetId="5"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sd" localSheetId="5"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hidden="1">{"via1",#N/A,TRUE,"general";"via2",#N/A,TRUE,"general";"via3",#N/A,TRUE,"general"}</definedName>
    <definedName name="sfsdf" localSheetId="5"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fv">#REF!</definedName>
    <definedName name="SHEE_INT">[51]steel!#REF!</definedName>
    <definedName name="SHEET">'[3]7422CW00'!#REF!</definedName>
    <definedName name="SHEET_KP">[51]steel!$C$7:$L$47</definedName>
    <definedName name="SHEET_MR">[51]steel!$C$7:$J$47</definedName>
    <definedName name="SHEET1" localSheetId="3">#REF!</definedName>
    <definedName name="SHEET1" localSheetId="4">#REF!</definedName>
    <definedName name="SHEET1">#REF!</definedName>
    <definedName name="SHEET10" localSheetId="3">#REF!</definedName>
    <definedName name="SHEET10" localSheetId="4">#REF!</definedName>
    <definedName name="SHEET10">#REF!</definedName>
    <definedName name="SHEET11" localSheetId="3">#REF!</definedName>
    <definedName name="SHEET11" localSheetId="4">#REF!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5">'INDICAR CÓDIGO DEL ITEM DE PAGO'!ERR</definedName>
    <definedName name="SI" localSheetId="3">'PRESUPUESTO OFICIAL (Entidad)'!ERR</definedName>
    <definedName name="SI" localSheetId="4">'PROPUESTA ECONOMICA(Proponente)'!ERR</definedName>
    <definedName name="SI">[0]!ERR</definedName>
    <definedName name="SINGOLO" localSheetId="3">'[3]7422CW00'!#REF!</definedName>
    <definedName name="SINGOLO" localSheetId="4">'[3]7422CW00'!#REF!</definedName>
    <definedName name="SINGOLO">'[3]7422CW00'!#REF!</definedName>
    <definedName name="SISISIS" localSheetId="5">'INDICAR CÓDIGO DEL ITEM DE PAGO'!ERR</definedName>
    <definedName name="SISISIS" localSheetId="3">'PRESUPUESTO OFICIAL (Entidad)'!ERR</definedName>
    <definedName name="SISISIS" localSheetId="4">'PROPUESTA ECONOMICA(Proponente)'!ERR</definedName>
    <definedName name="SISISIS">[0]!ERR</definedName>
    <definedName name="SMEC">'[29]DATOS SEMANALES'!$F$67:$Y$73</definedName>
    <definedName name="Smlv">'[10]DATOS CONTRATO'!$I$9</definedName>
    <definedName name="smlv01">[44]CONTRATO!$I$9</definedName>
    <definedName name="smlv2001">[44]CONTRATO!$H$9</definedName>
    <definedName name="SMML">'[77]ASPECTOS TECNICOS'!$O$12:$P$32</definedName>
    <definedName name="SN">[10]EMPRESA!$G$29</definedName>
    <definedName name="SOLD._4_">#REF!</definedName>
    <definedName name="SOLD._6_">#REF!</definedName>
    <definedName name="SOLD._8_">#REF!</definedName>
    <definedName name="solver_adj" localSheetId="5" hidden="1">'INDICAR CÓDIGO DEL ITEM DE PAGO'!#REF!</definedName>
    <definedName name="solver_adj" localSheetId="3" hidden="1">'PRESUPUESTO OFICIAL (Entidad)'!$K$57</definedName>
    <definedName name="solver_adj" localSheetId="4" hidden="1">'PROPUESTA ECONOMICA(Proponente)'!$K$57</definedName>
    <definedName name="solver_cvg" localSheetId="5" hidden="1">0.0001</definedName>
    <definedName name="solver_cvg" localSheetId="3" hidden="1">0.0001</definedName>
    <definedName name="solver_cvg" localSheetId="4" hidden="1">0.0001</definedName>
    <definedName name="solver_drv" localSheetId="5" hidden="1">1</definedName>
    <definedName name="solver_drv" localSheetId="3" hidden="1">1</definedName>
    <definedName name="solver_drv" localSheetId="4" hidden="1">1</definedName>
    <definedName name="solver_est" localSheetId="5" hidden="1">1</definedName>
    <definedName name="solver_est" localSheetId="3" hidden="1">1</definedName>
    <definedName name="solver_est" localSheetId="4" hidden="1">1</definedName>
    <definedName name="solver_itr" localSheetId="5" hidden="1">100</definedName>
    <definedName name="solver_itr" localSheetId="3" hidden="1">100</definedName>
    <definedName name="solver_itr" localSheetId="4" hidden="1">100</definedName>
    <definedName name="solver_lhs1" localSheetId="5" hidden="1">'INDICAR CÓDIGO DEL ITEM DE PAGO'!#REF!</definedName>
    <definedName name="solver_lhs1" localSheetId="3" hidden="1">'PRESUPUESTO OFICIAL (Entidad)'!$K$69</definedName>
    <definedName name="solver_lhs1" localSheetId="4" hidden="1">'PROPUESTA ECONOMICA(Proponente)'!$K$69</definedName>
    <definedName name="solver_lin" localSheetId="5" hidden="1">2</definedName>
    <definedName name="solver_lin" localSheetId="3" hidden="1">2</definedName>
    <definedName name="solver_lin" localSheetId="4" hidden="1">2</definedName>
    <definedName name="solver_neg" localSheetId="5" hidden="1">2</definedName>
    <definedName name="solver_neg" localSheetId="3" hidden="1">2</definedName>
    <definedName name="solver_neg" localSheetId="4" hidden="1">2</definedName>
    <definedName name="solver_num" localSheetId="5" hidden="1">1</definedName>
    <definedName name="solver_num" localSheetId="3" hidden="1">1</definedName>
    <definedName name="solver_num" localSheetId="4" hidden="1">1</definedName>
    <definedName name="solver_nwt" localSheetId="5" hidden="1">1</definedName>
    <definedName name="solver_nwt" localSheetId="3" hidden="1">1</definedName>
    <definedName name="solver_nwt" localSheetId="4" hidden="1">1</definedName>
    <definedName name="solver_opt" localSheetId="5" hidden="1">'INDICAR CÓDIGO DEL ITEM DE PAGO'!#REF!</definedName>
    <definedName name="solver_opt" localSheetId="3" hidden="1">'PRESUPUESTO OFICIAL (Entidad)'!$K$69</definedName>
    <definedName name="solver_opt" localSheetId="4" hidden="1">'PROPUESTA ECONOMICA(Proponente)'!$K$69</definedName>
    <definedName name="solver_pre" localSheetId="5" hidden="1">0.000001</definedName>
    <definedName name="solver_pre" localSheetId="3" hidden="1">0.000001</definedName>
    <definedName name="solver_pre" localSheetId="4" hidden="1">0.000001</definedName>
    <definedName name="solver_rel1" localSheetId="5" hidden="1">2</definedName>
    <definedName name="solver_rel1" localSheetId="3" hidden="1">2</definedName>
    <definedName name="solver_rel1" localSheetId="4" hidden="1">2</definedName>
    <definedName name="solver_rhs1" localSheetId="5" hidden="1">'INDICAR CÓDIGO DEL ITEM DE PAGO'!#REF!</definedName>
    <definedName name="solver_rhs1" localSheetId="3" hidden="1">'PRESUPUESTO OFICIAL (Entidad)'!$K$70</definedName>
    <definedName name="solver_rhs1" localSheetId="4" hidden="1">'PROPUESTA ECONOMICA(Proponente)'!$K$70</definedName>
    <definedName name="solver_scl" localSheetId="5" hidden="1">2</definedName>
    <definedName name="solver_scl" localSheetId="3" hidden="1">2</definedName>
    <definedName name="solver_scl" localSheetId="4" hidden="1">2</definedName>
    <definedName name="solver_sho" localSheetId="5" hidden="1">2</definedName>
    <definedName name="solver_sho" localSheetId="3" hidden="1">2</definedName>
    <definedName name="solver_sho" localSheetId="4" hidden="1">2</definedName>
    <definedName name="solver_tim" localSheetId="5" hidden="1">100</definedName>
    <definedName name="solver_tim" localSheetId="3" hidden="1">100</definedName>
    <definedName name="solver_tim" localSheetId="4" hidden="1">100</definedName>
    <definedName name="solver_tol" localSheetId="5" hidden="1">0.05</definedName>
    <definedName name="solver_tol" localSheetId="3" hidden="1">0.05</definedName>
    <definedName name="solver_tol" localSheetId="4" hidden="1">0.05</definedName>
    <definedName name="solver_typ" localSheetId="5" hidden="1">3</definedName>
    <definedName name="solver_typ" localSheetId="3" hidden="1">3</definedName>
    <definedName name="solver_typ" localSheetId="4" hidden="1">3</definedName>
    <definedName name="solver_val" localSheetId="5" hidden="1">490454</definedName>
    <definedName name="solver_val" localSheetId="3" hidden="1">63899000000</definedName>
    <definedName name="solver_val" localSheetId="4" hidden="1">63899000000</definedName>
    <definedName name="srwrwr" localSheetId="5"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 localSheetId="5">#REF!</definedName>
    <definedName name="SS" localSheetId="3">#REF!</definedName>
    <definedName name="SS" localSheetId="4">#REF!</definedName>
    <definedName name="SS">#REF!</definedName>
    <definedName name="SS_AVG_SIZE">#REF!</definedName>
    <definedName name="SS_WELDING">#REF!</definedName>
    <definedName name="ssa">[63]Hoja1!$C$25</definedName>
    <definedName name="ssh">[63]Hoja1!$C$24</definedName>
    <definedName name="sss" localSheetId="5">MODULO10.auto_abrir</definedName>
    <definedName name="sss" localSheetId="3">MODULO10.auto_abrir</definedName>
    <definedName name="sss" localSheetId="4">MODULO10.auto_abrir</definedName>
    <definedName name="SSS">#REF!</definedName>
    <definedName name="SSSS" localSheetId="5">'INDICAR CÓDIGO DEL ITEM DE PAGO'!ERR</definedName>
    <definedName name="SSSS" localSheetId="3">'PRESUPUESTO OFICIAL (Entidad)'!ERR</definedName>
    <definedName name="SSSS" localSheetId="4">'PROPUESTA ECONOMICA(Proponente)'!ERR</definedName>
    <definedName name="SSSS">[0]!ERR</definedName>
    <definedName name="sssss7" localSheetId="5"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hidden="1">{"via1",#N/A,TRUE,"general";"via2",#N/A,TRUE,"general";"via3",#N/A,TRUE,"general"}</definedName>
    <definedName name="sssssa" localSheetId="5"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y" localSheetId="5"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'[127]PxQ Cantidades'!#REF!</definedName>
    <definedName name="STONU">'[3]7422CW00'!#REF!</definedName>
    <definedName name="STRESS_RELIEVIN">#REF!</definedName>
    <definedName name="STSUMM">'[3]7422CW00'!#REF!</definedName>
    <definedName name="stt" localSheetId="5"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[58]Hoja1!$F$60</definedName>
    <definedName name="Summary" localSheetId="5">#REF!</definedName>
    <definedName name="Summary" localSheetId="3">#REF!</definedName>
    <definedName name="Summary" localSheetId="4">#REF!</definedName>
    <definedName name="Summary">#REF!</definedName>
    <definedName name="SUP_ART">[51]steel!#REF!</definedName>
    <definedName name="SUP_VEX" localSheetId="3">#REF!</definedName>
    <definedName name="SUP_VEX" localSheetId="4">#REF!</definedName>
    <definedName name="SUP_VEX">#REF!</definedName>
    <definedName name="SUP_VPR" localSheetId="3">#REF!</definedName>
    <definedName name="SUP_VPR" localSheetId="4">#REF!</definedName>
    <definedName name="SUP_VPR">#REF!</definedName>
    <definedName name="SUP_VPR_GEC" localSheetId="3">#REF!</definedName>
    <definedName name="SUP_VPR_GEC" localSheetId="4">#REF!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[66]Tablas!$H$1:$H$65536</definedName>
    <definedName name="SUPERFICIE" localSheetId="3">#REF!</definedName>
    <definedName name="SUPERFICIE" localSheetId="4">#REF!</definedName>
    <definedName name="SUPERFICIE">#REF!</definedName>
    <definedName name="sw" localSheetId="5">'INDICAR CÓDIGO DEL ITEM DE PAGO'!ERR</definedName>
    <definedName name="sw" localSheetId="3">'PRESUPUESTO OFICIAL (Entidad)'!ERR</definedName>
    <definedName name="sw" localSheetId="4">'PROPUESTA ECONOMICA(Proponente)'!ERR</definedName>
    <definedName name="sw">[0]!ERR</definedName>
    <definedName name="swsw" localSheetId="5"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hidden="1">{"via1",#N/A,TRUE,"general";"via2",#N/A,TRUE,"general";"via3",#N/A,TRUE,"general"}</definedName>
    <definedName name="swsw3" localSheetId="5"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T" localSheetId="24">#REF!</definedName>
    <definedName name="t" localSheetId="5">[22]!absc</definedName>
    <definedName name="t" localSheetId="3">[22]!absc</definedName>
    <definedName name="T" localSheetId="39">#REF!</definedName>
    <definedName name="t" localSheetId="4">[22]!absc</definedName>
    <definedName name="T">#REF!</definedName>
    <definedName name="t_1" localSheetId="5">Scheduled_Payment+Extra_Payment</definedName>
    <definedName name="t_1" localSheetId="3">Scheduled_Payment+Extra_Payment</definedName>
    <definedName name="t_1" localSheetId="4">Scheduled_Payment+Extra_Payment</definedName>
    <definedName name="t_1">Scheduled_Payment+Extra_Payment</definedName>
    <definedName name="t5t5" localSheetId="5"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AB_FECHA">[66]Tablas!$B$1:$B$65536</definedName>
    <definedName name="TABLA" localSheetId="5">#REF!</definedName>
    <definedName name="TABLA" localSheetId="3">#REF!</definedName>
    <definedName name="TABLA" localSheetId="4">#REF!</definedName>
    <definedName name="TABLA">#REF!</definedName>
    <definedName name="tabla1">[128]Hoja3!$B$4:$F$28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[44]EMPRESA!$F$24</definedName>
    <definedName name="TARIFAS">[129]TARIFAS!$A$1:$F$52</definedName>
    <definedName name="TarifaSalud">[44]EMPRESA!$F$26</definedName>
    <definedName name="Tasa" localSheetId="3">#REF!</definedName>
    <definedName name="Tasa" localSheetId="4">#REF!</definedName>
    <definedName name="Tasa">#REF!</definedName>
    <definedName name="TASA_DE_CAMBIO" localSheetId="3">#REF!</definedName>
    <definedName name="TASA_DE_CAMBIO" localSheetId="4">#REF!</definedName>
    <definedName name="TASA_DE_CAMBIO">#REF!</definedName>
    <definedName name="Tasa1">'[130]Bases 2A'!$C$20</definedName>
    <definedName name="TasaCCP" localSheetId="3">#REF!</definedName>
    <definedName name="TasaCCP" localSheetId="4">#REF!</definedName>
    <definedName name="TasaCCP">#REF!</definedName>
    <definedName name="Tax" localSheetId="3">#REF!</definedName>
    <definedName name="Tax" localSheetId="4">#REF!</definedName>
    <definedName name="Tax">#REF!</definedName>
    <definedName name="TB_EVENTOS_OTS_ANUAL" localSheetId="3">#REF!</definedName>
    <definedName name="TB_EVENTOS_OTS_ANUAL" localSheetId="4">#REF!</definedName>
    <definedName name="TB_EVENTOS_OTS_ANUAL">#REF!</definedName>
    <definedName name="tc">#REF!</definedName>
    <definedName name="tdy" localSheetId="5"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écnico_1">[46]MATERIALES!$M$82</definedName>
    <definedName name="Técnico_2">[46]MATERIALES!$M$83</definedName>
    <definedName name="telefono">[44]EMPRESA!$F$16</definedName>
    <definedName name="TEMA1" localSheetId="3">#REF!</definedName>
    <definedName name="TEMA1" localSheetId="4">#REF!</definedName>
    <definedName name="TEMA1">#REF!</definedName>
    <definedName name="TEMA10" localSheetId="3">#REF!</definedName>
    <definedName name="TEMA10" localSheetId="4">#REF!</definedName>
    <definedName name="TEMA10">#REF!</definedName>
    <definedName name="TEMA2" localSheetId="3">#REF!</definedName>
    <definedName name="TEMA2" localSheetId="4">#REF!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5">'INDICAR CÓDIGO DEL ITEM DE PAGO'!ERR</definedName>
    <definedName name="TER" localSheetId="3">'PRESUPUESTO OFICIAL (Entidad)'!ERR</definedName>
    <definedName name="TER" localSheetId="4">'PROPUESTA ECONOMICA(Proponente)'!ERR</definedName>
    <definedName name="TER">[0]!ERR</definedName>
    <definedName name="TERM" localSheetId="5">'INDICAR CÓDIGO DEL ITEM DE PAGO'!ERR</definedName>
    <definedName name="TERM" localSheetId="3">'PRESUPUESTO OFICIAL (Entidad)'!ERR</definedName>
    <definedName name="TERM" localSheetId="4">'PROPUESTA ECONOMICA(Proponente)'!ERR</definedName>
    <definedName name="TERM">[0]!ERR</definedName>
    <definedName name="TÉRMINOS" localSheetId="5">'INDICAR CÓDIGO DEL ITEM DE PAGO'!ERR</definedName>
    <definedName name="TÉRMINOS" localSheetId="3">'PRESUPUESTO OFICIAL (Entidad)'!ERR</definedName>
    <definedName name="TÉRMINOS" localSheetId="4">'PROPUESTA ECONOMICA(Proponente)'!ERR</definedName>
    <definedName name="TÉRMINOS">[0]!ERR</definedName>
    <definedName name="TERR">[26]PRESUPUESTO!$I$7</definedName>
    <definedName name="tewst" localSheetId="5"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ytrh" localSheetId="5"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hidden="1">{"via1",#N/A,TRUE,"general";"via2",#N/A,TRUE,"general";"via3",#N/A,TRUE,"general"}</definedName>
    <definedName name="TGB">#REF!</definedName>
    <definedName name="TH">#REF!</definedName>
    <definedName name="thdh" localSheetId="5"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5"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hidden="1">{"via1",#N/A,TRUE,"general";"via2",#N/A,TRUE,"general";"via3",#N/A,TRUE,"general"}</definedName>
    <definedName name="TIEMPO">[38]BASES!$E$27</definedName>
    <definedName name="TIPO">#REF!</definedName>
    <definedName name="TIPO_GRUPO">#REF!</definedName>
    <definedName name="TipoGC">[114]Tablas!$U$6:$U$15</definedName>
    <definedName name="TipoNeces">[114]Tablas!$Q$6:$Q$8</definedName>
    <definedName name="TipoPro" localSheetId="3">#REF!</definedName>
    <definedName name="TipoPro" localSheetId="4">#REF!</definedName>
    <definedName name="TipoPro">#REF!</definedName>
    <definedName name="Tipoproceso" localSheetId="3">#REF!</definedName>
    <definedName name="Tipoproceso" localSheetId="4">#REF!</definedName>
    <definedName name="Tipoproceso">#REF!</definedName>
    <definedName name="TIR" localSheetId="3">#REF!</definedName>
    <definedName name="TIR" localSheetId="4">#REF!</definedName>
    <definedName name="TIR">#REF!</definedName>
    <definedName name="TITLE">#REF!</definedName>
    <definedName name="titu">#REF!</definedName>
    <definedName name="titu2">#REF!</definedName>
    <definedName name="TITULO" localSheetId="5">#REF!</definedName>
    <definedName name="TITULO" localSheetId="3">#REF!</definedName>
    <definedName name="TITULO" localSheetId="4">#REF!</definedName>
    <definedName name="TITULO">#REF!</definedName>
    <definedName name="_xlnm.Print_Titles">#N/A</definedName>
    <definedName name="Títulos_a_imprimir_IM" localSheetId="5">#REF!</definedName>
    <definedName name="Títulos_a_imprimir_IM">#REF!</definedName>
    <definedName name="tk">'[10]DATOS CONTRATO'!$E$18</definedName>
    <definedName name="TK_1" hidden="1">[23]INST!#REF!</definedName>
    <definedName name="TKSLCI07">[10]EMPRESA!$F$22</definedName>
    <definedName name="tld">[63]Datos!$D$14</definedName>
    <definedName name="TodosBS" localSheetId="3">#REF!</definedName>
    <definedName name="TodosBS" localSheetId="4">#REF!</definedName>
    <definedName name="TodosBS">#REF!</definedName>
    <definedName name="TodosCodBS" localSheetId="3">#REF!</definedName>
    <definedName name="TodosCodBS" localSheetId="4">#REF!</definedName>
    <definedName name="TodosCodBS">#REF!</definedName>
    <definedName name="TodosCodG1" localSheetId="3">#REF!</definedName>
    <definedName name="TodosCodG1" localSheetId="4">#REF!</definedName>
    <definedName name="TodosCodG1">#REF!</definedName>
    <definedName name="TodosCodG2">#REF!</definedName>
    <definedName name="TodosCodG3">#REF!</definedName>
    <definedName name="TodosEQ">#REF!</definedName>
    <definedName name="TodosMat">#REF!</definedName>
    <definedName name="TodosMO">#REF!</definedName>
    <definedName name="todosprec">'[131] LISTADO DE  PRECIOS '!#REF!</definedName>
    <definedName name="TOP" localSheetId="31">#REF!</definedName>
    <definedName name="TOP" localSheetId="24">#REF!</definedName>
    <definedName name="TOP" localSheetId="39">#REF!</definedName>
    <definedName name="TOP">#REF!</definedName>
    <definedName name="TOPGENER">#REF!</definedName>
    <definedName name="TOPGENER1">#REF!</definedName>
    <definedName name="TOPMENU">#REF!</definedName>
    <definedName name="Torres">#REF!</definedName>
    <definedName name="tortas" localSheetId="5"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5"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hidden="1">{"via1",#N/A,TRUE,"general";"via2",#N/A,TRUE,"general";"via3",#N/A,TRUE,"general"}</definedName>
    <definedName name="TOT" localSheetId="5">#REF!</definedName>
    <definedName name="TOT" localSheetId="3">#REF!</definedName>
    <definedName name="TOT" localSheetId="4">#REF!</definedName>
    <definedName name="TOT">#REF!</definedName>
    <definedName name="TOTAL" localSheetId="5">#REF!</definedName>
    <definedName name="TOTAL" localSheetId="3">#REF!</definedName>
    <definedName name="TOTAL" localSheetId="4">#REF!</definedName>
    <definedName name="TOTAL">#REF!</definedName>
    <definedName name="Total_Interest">#REF!</definedName>
    <definedName name="Total_Pay">#REF!</definedName>
    <definedName name="Total_Payment" localSheetId="5">Scheduled_Payment+Extra_Payment</definedName>
    <definedName name="Total_Payment" localSheetId="3">Scheduled_Payment+Extra_Payment</definedName>
    <definedName name="Total_Payment" localSheetId="4">Scheduled_Payment+Extra_Payment</definedName>
    <definedName name="Total_Payment">Scheduled_Payment+Extra_Payment</definedName>
    <definedName name="Total_Payment1" localSheetId="5">Scheduled_Payment+Extra_Payment</definedName>
    <definedName name="Total_Payment1" localSheetId="3">Scheduled_Payment+Extra_Payment</definedName>
    <definedName name="Total_Payment1" localSheetId="4">Scheduled_Payment+Extra_Payment</definedName>
    <definedName name="Total_Payment1">Scheduled_Payment+Extra_Payment</definedName>
    <definedName name="total1" localSheetId="3">#REF!</definedName>
    <definedName name="total1" localSheetId="4">#REF!</definedName>
    <definedName name="total1">#REF!</definedName>
    <definedName name="TotalCesantias">'[44]NOMINA 1'!$N$38</definedName>
    <definedName name="TOTALHH" localSheetId="3">#REF!</definedName>
    <definedName name="TOTALHH" localSheetId="4">#REF!</definedName>
    <definedName name="TOTALHH">#REF!</definedName>
    <definedName name="TOTALHH1" localSheetId="3">#REF!</definedName>
    <definedName name="TOTALHH1" localSheetId="4">#REF!</definedName>
    <definedName name="TOTALHH1">#REF!</definedName>
    <definedName name="TotalVacaciones">'[44]NOMINA 1'!$N$37</definedName>
    <definedName name="TotAuxAlim">'[10]NOMINA-1'!$E$37</definedName>
    <definedName name="TotAuxAlimentacion">'[44]NOMINA 1'!$E$38</definedName>
    <definedName name="TotAuxCom">'[10]NOMINA-1'!$E$39</definedName>
    <definedName name="TotAuxComi">'[44]NOMINA 1'!$E$40</definedName>
    <definedName name="TotAuxDotacion">'[44]NOMINA 1'!$E$41</definedName>
    <definedName name="TotAuxHab">'[44]NOMINA 1'!$E$37</definedName>
    <definedName name="TotAuxTransporte">'[44]NOMINA 1'!$E$39</definedName>
    <definedName name="TotBasico">'[44]NOMINA 1'!$E$35</definedName>
    <definedName name="TotCom">'[10]NOMINA-1'!$E$41</definedName>
    <definedName name="TotComision">'[44]NOMINA 1'!$E$42</definedName>
    <definedName name="TotExtras">'[44]NOMINA 1'!$E$36</definedName>
    <definedName name="TotIntercesantias">'[44]NOMINA 1'!$N$39</definedName>
    <definedName name="TotPrimaServicios">'[44]NOMINA 1'!$N$36</definedName>
    <definedName name="TotPrimaServicos">'[44]NOMINA 1'!$N$36</definedName>
    <definedName name="TotPrimaVacaciones">'[44]NOMINA 1'!$N$41</definedName>
    <definedName name="TotPrimConv">'[10]NOMINA-1'!$N$39</definedName>
    <definedName name="TotPrimConvencional">'[44]NOMINA 1'!$N$40</definedName>
    <definedName name="TotPrimVac">'[10]NOMINA-1'!$N$40</definedName>
    <definedName name="TOTSHE1" localSheetId="3">#REF!</definedName>
    <definedName name="TOTSHE1" localSheetId="4">#REF!</definedName>
    <definedName name="TOTSHE1">#REF!</definedName>
    <definedName name="TOTSHE10" localSheetId="3">#REF!</definedName>
    <definedName name="TOTSHE10" localSheetId="4">#REF!</definedName>
    <definedName name="TOTSHE10">#REF!</definedName>
    <definedName name="TOTSHE11" localSheetId="3">#REF!</definedName>
    <definedName name="TOTSHE11" localSheetId="4">#REF!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5"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hidden="1">{"TAB1",#N/A,TRUE,"GENERAL";"TAB2",#N/A,TRUE,"GENERAL";"TAB3",#N/A,TRUE,"GENERAL";"TAB4",#N/A,TRUE,"GENERAL";"TAB5",#N/A,TRUE,"GENERAL"}</definedName>
    <definedName name="TRABEXC">'[29]DATOS SEMANALES'!$F$88:$Y$108</definedName>
    <definedName name="TrainSpec">#REF!</definedName>
    <definedName name="Transmisores">#REF!</definedName>
    <definedName name="Transporte">'[10]DATOS CONTRATO'!$E$16</definedName>
    <definedName name="TRAT" localSheetId="5">[132]desmonte!$E$48</definedName>
    <definedName name="TRAT">[133]desmonte!$E$48</definedName>
    <definedName name="TREM" localSheetId="3">#REF!</definedName>
    <definedName name="TREM" localSheetId="4">#REF!</definedName>
    <definedName name="TREM">#REF!</definedName>
    <definedName name="Trenes" localSheetId="3">#REF!</definedName>
    <definedName name="Trenes" localSheetId="4">#REF!</definedName>
    <definedName name="Trenes">#REF!</definedName>
    <definedName name="trest" localSheetId="5"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5"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h" localSheetId="5"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hidden="1">{"via1",#N/A,TRUE,"general";"via2",#N/A,TRUE,"general";"via3",#N/A,TRUE,"general"}</definedName>
    <definedName name="trhfh" localSheetId="5"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5"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hidden="1">{"via1",#N/A,TRUE,"general";"via2",#N/A,TRUE,"general";"via3",#N/A,TRUE,"general"}</definedName>
    <definedName name="TRM">[134]Tablas!$B$2</definedName>
    <definedName name="Trompo">[46]MATERIALES!$M$87</definedName>
    <definedName name="tru" localSheetId="5"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hidden="1">{"via1",#N/A,TRUE,"general";"via2",#N/A,TRUE,"general";"via3",#N/A,TRUE,"general"}</definedName>
    <definedName name="truds" localSheetId="5"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5"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W">#REF!</definedName>
    <definedName name="trydfg" localSheetId="5"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5"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5"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5"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5"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hidden="1">{"via1",#N/A,TRUE,"general";"via2",#N/A,TRUE,"general";"via3",#N/A,TRUE,"general"}</definedName>
    <definedName name="tsert" localSheetId="5"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tCD" localSheetId="5">#REF!</definedName>
    <definedName name="TtCD">#REF!</definedName>
    <definedName name="TTR" localSheetId="5"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hidden="1">{"via1",#N/A,TRUE,"general";"via2",#N/A,TRUE,"general";"via3",#N/A,TRUE,"general"}</definedName>
    <definedName name="ttrff" localSheetId="5"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 localSheetId="5"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hidden="1">{"TAB1",#N/A,TRUE,"GENERAL";"TAB2",#N/A,TRUE,"GENERAL";"TAB3",#N/A,TRUE,"GENERAL";"TAB4",#N/A,TRUE,"GENERAL";"TAB5",#N/A,TRUE,"GENERAL"}</definedName>
    <definedName name="tttt7" localSheetId="5"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hidden="1">{"via1",#N/A,TRUE,"general";"via2",#N/A,TRUE,"general";"via3",#N/A,TRUE,"general"}</definedName>
    <definedName name="tttthy" localSheetId="5"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5"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hidden="1">{"via1",#N/A,TRUE,"general";"via2",#N/A,TRUE,"general";"via3",#N/A,TRUE,"general"}</definedName>
    <definedName name="ttttt" localSheetId="5"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hidden="1">{"TAB1",#N/A,TRUE,"GENERAL";"TAB2",#N/A,TRUE,"GENERAL";"TAB3",#N/A,TRUE,"GENERAL";"TAB4",#N/A,TRUE,"GENERAL";"TAB5",#N/A,TRUE,"GENERAL"}</definedName>
    <definedName name="tu" localSheetId="5"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5"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u" localSheetId="5"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vmenor90min">'[113]CCP,LEYES, Y DEC.'!#REF!</definedName>
    <definedName name="twer" localSheetId="5"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5"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y" localSheetId="5"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hidden="1">{"via1",#N/A,TRUE,"general";"via2",#N/A,TRUE,"general";"via3",#N/A,TRUE,"general"}</definedName>
    <definedName name="tyery" localSheetId="5"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hidden="1">{"via1",#N/A,TRUE,"general";"via2",#N/A,TRUE,"general";"via3",#N/A,TRUE,"general"}</definedName>
    <definedName name="tyj" localSheetId="5"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5"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hidden="1">{"via1",#N/A,TRUE,"general";"via2",#N/A,TRUE,"general";"via3",#N/A,TRUE,"general"}</definedName>
    <definedName name="tym" localSheetId="5"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hidden="1">{"via1",#N/A,TRUE,"general";"via2",#N/A,TRUE,"general";"via3",#N/A,TRUE,"general"}</definedName>
    <definedName name="tyr" localSheetId="5"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hidden="1">{"via1",#N/A,TRUE,"general";"via2",#N/A,TRUE,"general";"via3",#N/A,TRUE,"general"}</definedName>
    <definedName name="tytgfhgfh" localSheetId="5"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y" localSheetId="5"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5"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y" localSheetId="5"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5"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hidden="1">{"via1",#N/A,TRUE,"general";"via2",#N/A,TRUE,"general";"via3",#N/A,TRUE,"general"}</definedName>
    <definedName name="tyxg" localSheetId="5"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hidden="1">{"via1",#N/A,TRUE,"general";"via2",#N/A,TRUE,"general";"via3",#N/A,TRUE,"general"}</definedName>
    <definedName name="U" localSheetId="24">#REF!</definedName>
    <definedName name="U" localSheetId="5">#REF!</definedName>
    <definedName name="U" localSheetId="3">#REF!</definedName>
    <definedName name="U" localSheetId="39">#REF!</definedName>
    <definedName name="U" localSheetId="4">#REF!</definedName>
    <definedName name="U">#REF!</definedName>
    <definedName name="u3u" localSheetId="5"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7u7" localSheetId="5"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bicación" localSheetId="5">#REF!</definedName>
    <definedName name="Ubicación">#REF!</definedName>
    <definedName name="UFrm2InUse">1</definedName>
    <definedName name="UI" localSheetId="5"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hidden="1">{"via1",#N/A,TRUE,"general";"via2",#N/A,TRUE,"general";"via3",#N/A,TRUE,"general"}</definedName>
    <definedName name="UIC">[12]Tablas!#REF!</definedName>
    <definedName name="uijhj" localSheetId="5"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hidden="1">{"via1",#N/A,TRUE,"general";"via2",#N/A,TRUE,"general";"via3",#N/A,TRUE,"general"}</definedName>
    <definedName name="uio" localSheetId="5"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5"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5"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hidden="1">{"via1",#N/A,TRUE,"general";"via2",#N/A,TRUE,"general";"via3",#N/A,TRUE,"general"}</definedName>
    <definedName name="uituii" localSheetId="5"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5"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hidden="1">{"via1",#N/A,TRUE,"general";"via2",#N/A,TRUE,"general";"via3",#N/A,TRUE,"general"}</definedName>
    <definedName name="uiufgj" localSheetId="5"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YI" localSheetId="5"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es">[135]Presup_Cancha!$J$13:$J$17</definedName>
    <definedName name="UNIT">'[136]Lista APU'!$A$3:$D$479</definedName>
    <definedName name="UNITARIO">[137]Unitarios!$A$3:$D$13</definedName>
    <definedName name="Unitarios" localSheetId="5">#REF!</definedName>
    <definedName name="Unitarios" localSheetId="3">#REF!</definedName>
    <definedName name="Unitarios" localSheetId="4">#REF!</definedName>
    <definedName name="Unitarios">#REF!</definedName>
    <definedName name="unj" localSheetId="3" hidden="1">[19]INST!#REF!</definedName>
    <definedName name="unj" localSheetId="4" hidden="1">[19]INST!#REF!</definedName>
    <definedName name="unj" hidden="1">[19]INST!#REF!</definedName>
    <definedName name="uno" localSheetId="5">'INDICAR CÓDIGO DEL ITEM DE PAGO'!ERR</definedName>
    <definedName name="uno" localSheetId="3">'PRESUPUESTO OFICIAL (Entidad)'!ERR</definedName>
    <definedName name="uno" localSheetId="4">'PROPUESTA ECONOMICA(Proponente)'!ERR</definedName>
    <definedName name="uno">[0]!ERR</definedName>
    <definedName name="UOUIV" localSheetId="5"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riel" localSheetId="5">'INDICAR CÓDIGO DEL ITEM DE PAGO'!ERR</definedName>
    <definedName name="uriel" localSheetId="3">'PRESUPUESTO OFICIAL (Entidad)'!ERR</definedName>
    <definedName name="uriel" localSheetId="4">'PROPUESTA ECONOMICA(Proponente)'!ERR</definedName>
    <definedName name="uriel">[0]!ERR</definedName>
    <definedName name="uryur" localSheetId="5"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'[95]1'!$N$42</definedName>
    <definedName name="UTL">[26]otros!$C$4</definedName>
    <definedName name="uu" localSheetId="5"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hidden="1">{"TAB1",#N/A,TRUE,"GENERAL";"TAB2",#N/A,TRUE,"GENERAL";"TAB3",#N/A,TRUE,"GENERAL";"TAB4",#N/A,TRUE,"GENERAL";"TAB5",#N/A,TRUE,"GENERAL"}</definedName>
    <definedName name="uuu" localSheetId="5"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uo" localSheetId="5"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uj" localSheetId="5"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hidden="1">{"via1",#N/A,TRUE,"general";"via2",#N/A,TRUE,"general";"via3",#N/A,TRUE,"general"}</definedName>
    <definedName name="uv">375000</definedName>
    <definedName name="uwkap" localSheetId="5"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tu" localSheetId="5"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 localSheetId="5"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hidden="1">{"via1",#N/A,TRUE,"general";"via2",#N/A,TRUE,"general";"via3",#N/A,TRUE,"general"}</definedName>
    <definedName name="v" localSheetId="5"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#REF!</definedName>
    <definedName name="VALDES" localSheetId="5">#REF!</definedName>
    <definedName name="VALDES">#REF!</definedName>
    <definedName name="valor1" localSheetId="5">#REF!</definedName>
    <definedName name="valor1" localSheetId="3">#REF!</definedName>
    <definedName name="valor1" localSheetId="4">#REF!</definedName>
    <definedName name="valor1">#REF!</definedName>
    <definedName name="valor2" localSheetId="5">#REF!</definedName>
    <definedName name="valor2" localSheetId="3">#REF!</definedName>
    <definedName name="valor2" localSheetId="4">#REF!</definedName>
    <definedName name="valor2">#REF!</definedName>
    <definedName name="VALOR3" localSheetId="5">#REF!</definedName>
    <definedName name="VALOR3">#REF!</definedName>
    <definedName name="ValorCto">[138]CONTRATO!$E$9</definedName>
    <definedName name="ValorEjecutado" localSheetId="3">#REF!</definedName>
    <definedName name="ValorEjecutado" localSheetId="4">#REF!</definedName>
    <definedName name="ValorEjecutado">#REF!</definedName>
    <definedName name="ValorProyecto" localSheetId="3">#REF!</definedName>
    <definedName name="ValorProyecto" localSheetId="4">#REF!</definedName>
    <definedName name="ValorProyecto">#REF!</definedName>
    <definedName name="ValorRecursosComprometidos" localSheetId="3">#REF!</definedName>
    <definedName name="ValorRecursosComprometidos" localSheetId="4">#REF!</definedName>
    <definedName name="ValorRecursosComprometidos">#REF!</definedName>
    <definedName name="Values_Entered" localSheetId="5">IF(Loan_Amount*Interest_Rate*Loan_Years*Loan_Start&gt;0,1,0)</definedName>
    <definedName name="Values_Entered" localSheetId="3">IF(Loan_Amount*'PRESUPUESTO OFICIAL (Entidad)'!Interest_Rate*Loan_Years*Loan_Start&gt;0,1,0)</definedName>
    <definedName name="Values_Entered" localSheetId="4">IF(Loan_Amount*'PROPUESTA ECONOMICA(Proponente)'!Interest_Rate*Loan_Years*Loan_Start&gt;0,1,0)</definedName>
    <definedName name="Values_Entered">IF(Loan_Amount*Interest_Rate*Loan_Years*Loan_Start&gt;0,1,0)</definedName>
    <definedName name="Válvulas" localSheetId="3">#REF!</definedName>
    <definedName name="Válvulas" localSheetId="4">#REF!</definedName>
    <definedName name="Válvulas">#REF!</definedName>
    <definedName name="Var">[21]Varios.!$E$1:$E$65536</definedName>
    <definedName name="VARIACION1" localSheetId="3">#REF!</definedName>
    <definedName name="VARIACION1" localSheetId="4">#REF!</definedName>
    <definedName name="VARIACION1">#REF!</definedName>
    <definedName name="Varios" localSheetId="3">#REF!</definedName>
    <definedName name="Varios" localSheetId="4">#REF!</definedName>
    <definedName name="Varios">#REF!</definedName>
    <definedName name="VAS" localSheetId="3">#REF!</definedName>
    <definedName name="VAS" localSheetId="4">#REF!</definedName>
    <definedName name="VAS">#REF!</definedName>
    <definedName name="vbvbvbvb" localSheetId="5"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5"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hidden="1">{"via1",#N/A,TRUE,"general";"via2",#N/A,TRUE,"general";"via3",#N/A,TRUE,"general"}</definedName>
    <definedName name="vdsvnj" localSheetId="5"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hidden="1">{"via1",#N/A,TRUE,"general";"via2",#N/A,TRUE,"general";"via3",#N/A,TRUE,"general"}</definedName>
    <definedName name="VEH">'[29]DATOS SEMANALES'!$F$109:$Y$122</definedName>
    <definedName name="VentaAiu" localSheetId="5">#REF!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5"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hidden="1">{"via1",#N/A,TRUE,"general";"via2",#N/A,TRUE,"general";"via3",#N/A,TRUE,"general"}</definedName>
    <definedName name="vfh">'[91]7422CW00'!#REF!</definedName>
    <definedName name="VFR" localSheetId="3">#REF!</definedName>
    <definedName name="VFR" localSheetId="4">#REF!</definedName>
    <definedName name="VFR">#REF!</definedName>
    <definedName name="vfvdv" localSheetId="5"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5"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[114]Tablas!$A$6:$A$26</definedName>
    <definedName name="VigenciaDolares" localSheetId="3">#REF!</definedName>
    <definedName name="VigenciaDolares" localSheetId="4">#REF!</definedName>
    <definedName name="VigenciaDolares">#REF!</definedName>
    <definedName name="VigenciaPesos" localSheetId="3">#REF!</definedName>
    <definedName name="VigenciaPesos" localSheetId="4">#REF!</definedName>
    <definedName name="VigenciaPesos">#REF!</definedName>
    <definedName name="VIGFUTURA">[114]Tablas!$J$6:$J$8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[56]Personalizar!$E$15</definedName>
    <definedName name="vk" localSheetId="5"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hidden="1">{"via1",#N/A,TRUE,"general";"via2",#N/A,TRUE,"general";"via3",#N/A,TRUE,"general"}</definedName>
    <definedName name="vnbvxb" localSheetId="5"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hidden="1">{"via1",#N/A,TRUE,"general";"via2",#N/A,TRUE,"general";"via3",#N/A,TRUE,"general"}</definedName>
    <definedName name="VNVBN" localSheetId="5"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#REF!</definedName>
    <definedName name="vsdfj" localSheetId="5"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5"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hidden="1">{"via1",#N/A,TRUE,"general";"via2",#N/A,TRUE,"general";"via3",#N/A,TRUE,"general"}</definedName>
    <definedName name="vutil">#REF!</definedName>
    <definedName name="vvcxv" localSheetId="5"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5">#REF!</definedName>
    <definedName name="VVV" localSheetId="3">#REF!</definedName>
    <definedName name="VVV" localSheetId="4">#REF!</definedName>
    <definedName name="VVV">#REF!</definedName>
    <definedName name="vvvvt" localSheetId="5"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hidden="1">{"via1",#N/A,TRUE,"general";"via2",#N/A,TRUE,"general";"via3",#N/A,TRUE,"general"}</definedName>
    <definedName name="vvvvvvf" localSheetId="5"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hidden="1">{"via1",#N/A,TRUE,"general";"via2",#N/A,TRUE,"general";"via3",#N/A,TRUE,"general"}</definedName>
    <definedName name="vy" localSheetId="5"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5"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'[139]2004'!#REF!</definedName>
    <definedName name="Wcut" localSheetId="3">#REF!</definedName>
    <definedName name="Wcut" localSheetId="4">#REF!</definedName>
    <definedName name="Wcut">#REF!</definedName>
    <definedName name="WD" localSheetId="3">#REF!</definedName>
    <definedName name="WD" localSheetId="4">#REF!</definedName>
    <definedName name="WD">#REF!</definedName>
    <definedName name="WDD" localSheetId="5"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5">'[39]Res-Accide-10'!#REF!</definedName>
    <definedName name="WDFSDF">'[39]Res-Accide-10'!#REF!</definedName>
    <definedName name="wedw">#REF!</definedName>
    <definedName name="WEFVETRE">#REF!</definedName>
    <definedName name="WEFWE" localSheetId="5">'[39]Res-Accide-10'!#REF!</definedName>
    <definedName name="WEFWE">'[39]Res-Accide-10'!#REF!</definedName>
    <definedName name="WER">'[39]Res-Accide-10'!$S$2:$S$7</definedName>
    <definedName name="werew" localSheetId="5"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5"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hidden="1">{"via1",#N/A,TRUE,"general";"via2",#N/A,TRUE,"general";"via3",#N/A,TRUE,"general"}</definedName>
    <definedName name="werfdsf" localSheetId="5"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5"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hidden="1">{"via1",#N/A,TRUE,"general";"via2",#N/A,TRUE,"general";"via3",#N/A,TRUE,"general"}</definedName>
    <definedName name="wersfdfrguyo" localSheetId="5"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wr" localSheetId="5"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hidden="1">{"via1",#N/A,TRUE,"general";"via2",#N/A,TRUE,"general";"via3",#N/A,TRUE,"general"}</definedName>
    <definedName name="WERWVN" localSheetId="5"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trew" localSheetId="5"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hidden="1">{"via1",#N/A,TRUE,"general";"via2",#N/A,TRUE,"general";"via3",#N/A,TRUE,"general"}</definedName>
    <definedName name="wettt" localSheetId="5"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retd" localSheetId="5"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hidden="1">{"via1",#N/A,TRUE,"general";"via2",#N/A,TRUE,"general";"via3",#N/A,TRUE,"general"}</definedName>
    <definedName name="wew" localSheetId="5"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hidden="1">{"via1",#N/A,TRUE,"general";"via2",#N/A,TRUE,"general";"via3",#N/A,TRUE,"general"}</definedName>
    <definedName name="wffag" localSheetId="5"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hidden="1">{"via1",#N/A,TRUE,"general";"via2",#N/A,TRUE,"general";"via3",#N/A,TRUE,"general"}</definedName>
    <definedName name="WILSON" localSheetId="5">'[39]Res-Accide-10'!#REF!</definedName>
    <definedName name="WILSON" localSheetId="3">'[39]Res-Accide-10'!#REF!</definedName>
    <definedName name="WILSON" localSheetId="4">'[39]Res-Accide-10'!#REF!</definedName>
    <definedName name="WILSON">'[39]Res-Accide-10'!#REF!</definedName>
    <definedName name="WQ">#REF!</definedName>
    <definedName name="WQEEWQ" localSheetId="5"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rn.civil._.works." localSheetId="5" hidden="1">{#N/A,#N/A,TRUE,"1842CWN0"}</definedName>
    <definedName name="wrn.civil._.works." localSheetId="3" hidden="1">{#N/A,#N/A,TRUE,"1842CWN0"}</definedName>
    <definedName name="wrn.civil._.works." localSheetId="4" hidden="1">{#N/A,#N/A,TRUE,"1842CWN0"}</definedName>
    <definedName name="wrn.civil._.works." hidden="1">{#N/A,#N/A,TRUE,"1842CWN0"}</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5"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GERENCIA." localSheetId="5" hidden="1">{#N/A,#N/A,TRUE,"INGENIERIA";#N/A,#N/A,TRUE,"COMPRAS";#N/A,#N/A,TRUE,"DIRECCION";#N/A,#N/A,TRUE,"RESUMEN"}</definedName>
    <definedName name="wrn.GERENCIA." localSheetId="3" hidden="1">{#N/A,#N/A,TRUE,"INGENIERIA";#N/A,#N/A,TRUE,"COMPRAS";#N/A,#N/A,TRUE,"DIRECCION";#N/A,#N/A,TRUE,"RESUMEN"}</definedName>
    <definedName name="wrn.GERENCIA." localSheetId="4" hidden="1">{#N/A,#N/A,TRUE,"INGENIERIA";#N/A,#N/A,TRUE,"COMPRAS";#N/A,#N/A,TRUE,"DIRECCION";#N/A,#N/A,TRUE,"RESUMEN"}</definedName>
    <definedName name="wrn.GERENCIA." hidden="1">{#N/A,#N/A,TRUE,"INGENIERIA";#N/A,#N/A,TRUE,"COMPRAS";#N/A,#N/A,TRUE,"DIRECCION";#N/A,#N/A,TRUE,"RESUMEN"}</definedName>
    <definedName name="wrn.OPERADORES." localSheetId="5" hidden="1">{#N/A,#N/A,TRUE,"T1"}</definedName>
    <definedName name="wrn.OPERADORES." localSheetId="3" hidden="1">{#N/A,#N/A,TRUE,"T1"}</definedName>
    <definedName name="wrn.OPERADORES." localSheetId="4" hidden="1">{#N/A,#N/A,TRUE,"T1"}</definedName>
    <definedName name="wrn.OPERADORES." hidden="1">{#N/A,#N/A,TRUE,"T1"}</definedName>
    <definedName name="wrn.res7" localSheetId="5" hidden="1">{#N/A,#N/A,FALSE,"Hoja1";#N/A,#N/A,FALSE,"Hoja2"}</definedName>
    <definedName name="wrn.res7" localSheetId="3" hidden="1">{#N/A,#N/A,FALSE,"Hoja1";#N/A,#N/A,FALSE,"Hoja2"}</definedName>
    <definedName name="wrn.res7" localSheetId="4" hidden="1">{#N/A,#N/A,FALSE,"Hoja1";#N/A,#N/A,FALSE,"Hoja2"}</definedName>
    <definedName name="wrn.res7" hidden="1">{#N/A,#N/A,FALSE,"Hoja1";#N/A,#N/A,FALSE,"Hoja2"}</definedName>
    <definedName name="wrn.Resumen." localSheetId="5" hidden="1">{#N/A,#N/A,FALSE,"Hoja1";#N/A,#N/A,FALSE,"Hoja2"}</definedName>
    <definedName name="wrn.Resumen." localSheetId="3" hidden="1">{#N/A,#N/A,FALSE,"Hoja1";#N/A,#N/A,FALSE,"Hoja2"}</definedName>
    <definedName name="wrn.Resumen." localSheetId="4" hidden="1">{#N/A,#N/A,FALSE,"Hoja1";#N/A,#N/A,FALSE,"Hoja2"}</definedName>
    <definedName name="wrn.Resumen." hidden="1">{#N/A,#N/A,FALSE,"Hoja1";#N/A,#N/A,FALSE,"Hoja2"}</definedName>
    <definedName name="wrn.TRABFENO." localSheetId="5"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5"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hidden="1">{"via1",#N/A,TRUE,"general";"via2",#N/A,TRUE,"general";"via3",#N/A,TRUE,"general"}</definedName>
    <definedName name="WSERWEER">'[85]COSTOS OFICINA'!#REF!</definedName>
    <definedName name="wsnhed" localSheetId="5"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hidden="1">{"via1",#N/A,TRUE,"general";"via2",#N/A,TRUE,"general";"via3",#N/A,TRUE,"general"}</definedName>
    <definedName name="wswswsqa" localSheetId="5"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SX">#REF!</definedName>
    <definedName name="Wtot">#REF!</definedName>
    <definedName name="wtt" localSheetId="5"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5"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hidden="1">{"via1",#N/A,TRUE,"general";"via2",#N/A,TRUE,"general";"via3",#N/A,TRUE,"general"}</definedName>
    <definedName name="wwwwe" localSheetId="5"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X">'[29]DATOS SEMANALES'!#REF!</definedName>
    <definedName name="wyty" localSheetId="5"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hidden="1">{"via1",#N/A,TRUE,"general";"via2",#N/A,TRUE,"general";"via3",#N/A,TRUE,"general"}</definedName>
    <definedName name="x" localSheetId="5">#REF!</definedName>
    <definedName name="x" localSheetId="3">#REF!</definedName>
    <definedName name="x" localSheetId="4">#REF!</definedName>
    <definedName name="x">'[29]DATOS SEMANALES'!#REF!</definedName>
    <definedName name="xcbvbs" localSheetId="5"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5" hidden="1">{#N/A,#N/A,TRUE,"1842CWN0"}</definedName>
    <definedName name="XSW" localSheetId="3" hidden="1">{#N/A,#N/A,TRUE,"1842CWN0"}</definedName>
    <definedName name="XSW" localSheetId="4" hidden="1">{#N/A,#N/A,TRUE,"1842CWN0"}</definedName>
    <definedName name="XSW" hidden="1">{#N/A,#N/A,TRUE,"1842CWN0"}</definedName>
    <definedName name="xsxs" localSheetId="5"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X" localSheetId="5">#REF!</definedName>
    <definedName name="XX" localSheetId="3">#REF!</definedName>
    <definedName name="XX" localSheetId="4">#REF!</definedName>
    <definedName name="XX">#REF!</definedName>
    <definedName name="xxfg" localSheetId="5"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hidden="1">{"via1",#N/A,TRUE,"general";"via2",#N/A,TRUE,"general";"via3",#N/A,TRUE,"general"}</definedName>
    <definedName name="XXXX" hidden="1">#REF!</definedName>
    <definedName name="xxxxx" localSheetId="4">[140]!absc</definedName>
    <definedName name="xxxxx">[140]!absc</definedName>
    <definedName name="xxxxxds" localSheetId="5"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hidden="1">{"via1",#N/A,TRUE,"general";"via2",#N/A,TRUE,"general";"via3",#N/A,TRUE,"general"}</definedName>
    <definedName name="XXXXXX" localSheetId="5"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5">#REF!</definedName>
    <definedName name="XXXXXXXXXX" localSheetId="3">#REF!</definedName>
    <definedName name="XXXXXXXXXX" localSheetId="4">#REF!</definedName>
    <definedName name="XXXXXXXXXX">#REF!</definedName>
    <definedName name="xxxxxxxxxx29" localSheetId="5"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hidden="1">{"via1",#N/A,TRUE,"general";"via2",#N/A,TRUE,"general";"via3",#N/A,TRUE,"general"}</definedName>
    <definedName name="XXXXXXXXXXXX" localSheetId="5">#REF!</definedName>
    <definedName name="XXXXXXXXXXXX" localSheetId="3">#REF!</definedName>
    <definedName name="XXXXXXXXXXXX" localSheetId="4">#REF!</definedName>
    <definedName name="XXXXXXXXXXXX">#REF!</definedName>
    <definedName name="xz">#REF!</definedName>
    <definedName name="XZS" hidden="1">#REF!</definedName>
    <definedName name="xzx">'[29]DATOS SEMANALES'!#REF!</definedName>
    <definedName name="XZXZV" localSheetId="5"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hidden="1">{"via1",#N/A,TRUE,"general";"via2",#N/A,TRUE,"general";"via3",#N/A,TRUE,"general"}</definedName>
    <definedName name="Y" localSheetId="4">[27]!absc</definedName>
    <definedName name="Y">[27]!absc</definedName>
    <definedName name="y6y6" localSheetId="5"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hidden="1">{"via1",#N/A,TRUE,"general";"via2",#N/A,TRUE,"general";"via3",#N/A,TRUE,"general"}</definedName>
    <definedName name="YA" localSheetId="5">#REF!</definedName>
    <definedName name="YA">#REF!</definedName>
    <definedName name="yery" localSheetId="5"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hidden="1">{"via1",#N/A,TRUE,"general";"via2",#N/A,TRUE,"general";"via3",#N/A,TRUE,"general"}</definedName>
    <definedName name="YHN">#REF!</definedName>
    <definedName name="yhy" localSheetId="5"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5"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OYO">'[141]AISLAMIENTO CATEGORIAS II Y III'!$G$1:$I$65536</definedName>
    <definedName name="yrey" localSheetId="5"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hidden="1">{"via1",#N/A,TRUE,"general";"via2",#N/A,TRUE,"general";"via3",#N/A,TRUE,"general"}</definedName>
    <definedName name="yry" localSheetId="5"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#REF!</definedName>
    <definedName name="ytj" localSheetId="5"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5"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hidden="1">{"via1",#N/A,TRUE,"general";"via2",#N/A,TRUE,"general";"via3",#N/A,TRUE,"general"}</definedName>
    <definedName name="ytrwyr" localSheetId="5"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5"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hidden="1">{"via1",#N/A,TRUE,"general";"via2",#N/A,TRUE,"general";"via3",#N/A,TRUE,"general"}</definedName>
    <definedName name="ytryrty" localSheetId="5"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5"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5"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5"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hidden="1">{"via1",#N/A,TRUE,"general";"via2",#N/A,TRUE,"general";"via3",#N/A,TRUE,"general"}</definedName>
    <definedName name="yty" localSheetId="5"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yh" localSheetId="5"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hidden="1">{"via1",#N/A,TRUE,"general";"via2",#N/A,TRUE,"general";"via3",#N/A,TRUE,"general"}</definedName>
    <definedName name="ytzacdfg" localSheetId="5"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 localSheetId="5"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tu" localSheetId="5"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hidden="1">{"via1",#N/A,TRUE,"general";"via2",#N/A,TRUE,"general";"via3",#N/A,TRUE,"general"}</definedName>
    <definedName name="yuuiiy" localSheetId="5"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5"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y" localSheetId="5"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hidden="1">{"via1",#N/A,TRUE,"general";"via2",#N/A,TRUE,"general";"via3",#N/A,TRUE,"general"}</definedName>
    <definedName name="yyy" localSheetId="5"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hidden="1">{"TAB1",#N/A,TRUE,"GENERAL";"TAB2",#N/A,TRUE,"GENERAL";"TAB3",#N/A,TRUE,"GENERAL";"TAB4",#N/A,TRUE,"GENERAL";"TAB5",#N/A,TRUE,"GENERAL"}</definedName>
    <definedName name="yyyuh" localSheetId="5"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f" localSheetId="5"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hidden="1">{"via1",#N/A,TRUE,"general";"via2",#N/A,TRUE,"general";"via3",#N/A,TRUE,"general"}</definedName>
    <definedName name="z">#REF!</definedName>
    <definedName name="ZAQ" localSheetId="5" hidden="1">{#N/A,#N/A,TRUE,"INGENIERIA";#N/A,#N/A,TRUE,"COMPRAS";#N/A,#N/A,TRUE,"DIRECCION";#N/A,#N/A,TRUE,"RESUMEN"}</definedName>
    <definedName name="ZAQ" localSheetId="3" hidden="1">{#N/A,#N/A,TRUE,"INGENIERIA";#N/A,#N/A,TRUE,"COMPRAS";#N/A,#N/A,TRUE,"DIRECCION";#N/A,#N/A,TRUE,"RESUMEN"}</definedName>
    <definedName name="ZAQ" localSheetId="4" hidden="1">{#N/A,#N/A,TRUE,"INGENIERIA";#N/A,#N/A,TRUE,"COMPRAS";#N/A,#N/A,TRUE,"DIRECCION";#N/A,#N/A,TRUE,"RESUMEN"}</definedName>
    <definedName name="ZAQ" hidden="1">{#N/A,#N/A,TRUE,"INGENIERIA";#N/A,#N/A,TRUE,"COMPRAS";#N/A,#N/A,TRUE,"DIRECCION";#N/A,#N/A,TRUE,"RESUMEN"}</definedName>
    <definedName name="zdervr" localSheetId="5"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hidden="1">{"via1",#N/A,TRUE,"general";"via2",#N/A,TRUE,"general";"via3",#N/A,TRUE,"general"}</definedName>
    <definedName name="ZDF" localSheetId="5">#REF!</definedName>
    <definedName name="ZDF">#REF!</definedName>
    <definedName name="ZONA1">#REF!</definedName>
    <definedName name="ZONA3">#REF!</definedName>
    <definedName name="ZONA4">#REF!</definedName>
    <definedName name="zx" localSheetId="5">'INDICAR CÓDIGO DEL ITEM DE PAGO'!ERR</definedName>
    <definedName name="zx" localSheetId="3">'PRESUPUESTO OFICIAL (Entidad)'!ERR</definedName>
    <definedName name="zx" localSheetId="4">'PROPUESTA ECONOMICA(Proponente)'!ERR</definedName>
    <definedName name="zx">#REF!</definedName>
    <definedName name="zxczds" localSheetId="5"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sdftyu" localSheetId="5"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hidden="1">{"via1",#N/A,TRUE,"general";"via2",#N/A,TRUE,"general";"via3",#N/A,TRUE,"general"}</definedName>
    <definedName name="zxvxczv" localSheetId="5"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hidden="1">{"via1",#N/A,TRUE,"general";"via2",#N/A,TRUE,"general";"via3",#N/A,TRUE,"general"}</definedName>
    <definedName name="ZZZZZZZZZZZ" localSheetId="5">'[57]A. P. U.'!#REF!</definedName>
    <definedName name="ZZZZZZZZZZZ" localSheetId="3">'[57]A. P. U.'!#REF!</definedName>
    <definedName name="ZZZZZZZZZZZ" localSheetId="4">'[57]A. P. U.'!#REF!</definedName>
    <definedName name="ZZZZZZZZZZZ">'[57]A. P. U.'!#REF!</definedName>
  </definedNames>
  <calcPr calcId="191029"/>
  <extLst>
    <ext uri="GoogleSheetsCustomDataVersion2">
      <go:sheetsCustomData xmlns:go="http://customooxmlschemas.google.com/" r:id="rId189" roundtripDataChecksum="P2SP868tdLFUnpI0RJgRSuB+wfoHL4cfQpsK0udVMS0="/>
    </ext>
  </extLst>
</workbook>
</file>

<file path=xl/calcChain.xml><?xml version="1.0" encoding="utf-8"?>
<calcChain xmlns="http://schemas.openxmlformats.org/spreadsheetml/2006/main">
  <c r="K71" i="73" l="1"/>
  <c r="J53" i="73"/>
  <c r="K53" i="73" s="1"/>
  <c r="J52" i="73"/>
  <c r="K52" i="73" s="1"/>
  <c r="J51" i="73"/>
  <c r="K51" i="73" s="1"/>
  <c r="K54" i="73" s="1"/>
  <c r="K48" i="73"/>
  <c r="J48" i="73"/>
  <c r="J47" i="73"/>
  <c r="K47" i="73" s="1"/>
  <c r="J46" i="73"/>
  <c r="K46" i="73" s="1"/>
  <c r="J45" i="73"/>
  <c r="K45" i="73" s="1"/>
  <c r="J44" i="73"/>
  <c r="K44" i="73" s="1"/>
  <c r="J43" i="73"/>
  <c r="K43" i="73" s="1"/>
  <c r="K49" i="73" s="1"/>
  <c r="K39" i="73"/>
  <c r="J39" i="73"/>
  <c r="J38" i="73"/>
  <c r="K38" i="73" s="1"/>
  <c r="J37" i="73"/>
  <c r="K37" i="73" s="1"/>
  <c r="J34" i="73"/>
  <c r="K34" i="73" s="1"/>
  <c r="J33" i="73"/>
  <c r="K33" i="73" s="1"/>
  <c r="K32" i="73"/>
  <c r="J32" i="73"/>
  <c r="J31" i="73"/>
  <c r="K31" i="73" s="1"/>
  <c r="J30" i="73"/>
  <c r="K30" i="73" s="1"/>
  <c r="J29" i="73"/>
  <c r="K29" i="73" s="1"/>
  <c r="K35" i="73" s="1"/>
  <c r="J25" i="73"/>
  <c r="K25" i="73" s="1"/>
  <c r="J24" i="73"/>
  <c r="K24" i="73" s="1"/>
  <c r="K26" i="73" s="1"/>
  <c r="K23" i="73"/>
  <c r="J23" i="73"/>
  <c r="J20" i="73"/>
  <c r="K20" i="73" s="1"/>
  <c r="J19" i="73"/>
  <c r="K19" i="73" s="1"/>
  <c r="J18" i="73"/>
  <c r="K18" i="73" s="1"/>
  <c r="J17" i="73"/>
  <c r="K17" i="73" s="1"/>
  <c r="K16" i="73"/>
  <c r="K21" i="73" s="1"/>
  <c r="J16" i="73"/>
  <c r="K40" i="73" l="1"/>
  <c r="K55" i="73"/>
  <c r="K64" i="73" s="1"/>
  <c r="C95" i="57"/>
  <c r="B95" i="57"/>
  <c r="O96" i="57"/>
  <c r="J95" i="57"/>
  <c r="K95" i="57"/>
  <c r="L95" i="57"/>
  <c r="M95" i="57"/>
  <c r="J74" i="57"/>
  <c r="K74" i="57"/>
  <c r="L74" i="57"/>
  <c r="M74" i="57"/>
  <c r="B74" i="57"/>
  <c r="C74" i="57"/>
  <c r="B71" i="57"/>
  <c r="B68" i="57"/>
  <c r="J68" i="57"/>
  <c r="K68" i="57"/>
  <c r="L68" i="57"/>
  <c r="C68" i="57"/>
  <c r="C80" i="57"/>
  <c r="C62" i="57"/>
  <c r="C24" i="57"/>
  <c r="C92" i="57"/>
  <c r="C89" i="57"/>
  <c r="C86" i="57"/>
  <c r="C83" i="57"/>
  <c r="C77" i="57"/>
  <c r="C71" i="57"/>
  <c r="C65" i="57"/>
  <c r="C59" i="57"/>
  <c r="C56" i="57"/>
  <c r="C53" i="57"/>
  <c r="C49" i="57"/>
  <c r="C46" i="57"/>
  <c r="C43" i="57"/>
  <c r="C40" i="57"/>
  <c r="C37" i="57"/>
  <c r="C34" i="57"/>
  <c r="C30" i="57"/>
  <c r="C27" i="57"/>
  <c r="C21" i="57"/>
  <c r="C18" i="57"/>
  <c r="C14" i="57"/>
  <c r="B92" i="57"/>
  <c r="B89" i="57"/>
  <c r="B86" i="57"/>
  <c r="B83" i="57"/>
  <c r="B80" i="57"/>
  <c r="B77" i="57"/>
  <c r="B65" i="57"/>
  <c r="B62" i="57"/>
  <c r="B59" i="57"/>
  <c r="B56" i="57"/>
  <c r="B53" i="57"/>
  <c r="B49" i="57"/>
  <c r="B46" i="57"/>
  <c r="B43" i="57"/>
  <c r="B40" i="57"/>
  <c r="B37" i="57"/>
  <c r="B34" i="57"/>
  <c r="A18" i="57"/>
  <c r="A14" i="57"/>
  <c r="B30" i="57"/>
  <c r="B27" i="57"/>
  <c r="K30" i="57"/>
  <c r="J30" i="57"/>
  <c r="K27" i="57"/>
  <c r="J27" i="57"/>
  <c r="B24" i="57"/>
  <c r="B21" i="57"/>
  <c r="B18" i="57"/>
  <c r="B14" i="57"/>
  <c r="L92" i="57"/>
  <c r="K92" i="57"/>
  <c r="J92" i="57"/>
  <c r="L89" i="57"/>
  <c r="K89" i="57"/>
  <c r="J89" i="57"/>
  <c r="L86" i="57"/>
  <c r="K86" i="57"/>
  <c r="J86" i="57"/>
  <c r="L83" i="57"/>
  <c r="K83" i="57"/>
  <c r="J83" i="57"/>
  <c r="L80" i="57"/>
  <c r="K80" i="57"/>
  <c r="J80" i="57"/>
  <c r="L77" i="57"/>
  <c r="K77" i="57"/>
  <c r="J77" i="57"/>
  <c r="L71" i="57"/>
  <c r="K71" i="57"/>
  <c r="J71" i="57"/>
  <c r="L65" i="57"/>
  <c r="K65" i="57"/>
  <c r="J65" i="57"/>
  <c r="K62" i="57"/>
  <c r="J62" i="57"/>
  <c r="K59" i="57"/>
  <c r="J59" i="57"/>
  <c r="K56" i="57"/>
  <c r="J56" i="57"/>
  <c r="K53" i="57"/>
  <c r="J53" i="57"/>
  <c r="K49" i="57"/>
  <c r="J49" i="57"/>
  <c r="L46" i="57"/>
  <c r="K46" i="57"/>
  <c r="J46" i="57"/>
  <c r="L43" i="57"/>
  <c r="K43" i="57"/>
  <c r="J43" i="57"/>
  <c r="J40" i="57"/>
  <c r="M37" i="57"/>
  <c r="L37" i="57"/>
  <c r="O33" i="57"/>
  <c r="M24" i="57"/>
  <c r="J24" i="57"/>
  <c r="M21" i="57"/>
  <c r="D74" i="57" l="1"/>
  <c r="D95" i="57"/>
  <c r="P96" i="57" s="1"/>
  <c r="D68" i="57"/>
  <c r="M69" i="57" s="1"/>
  <c r="M68" i="57" s="1"/>
  <c r="O75" i="57"/>
  <c r="O69" i="57" l="1"/>
  <c r="M18" i="57"/>
  <c r="E8" i="26" l="1"/>
  <c r="AD4" i="26" l="1"/>
  <c r="AC4" i="26"/>
  <c r="AB4" i="26"/>
  <c r="AA4" i="26"/>
  <c r="Z4" i="26"/>
  <c r="Y4" i="26"/>
  <c r="X4" i="26"/>
  <c r="W4" i="26"/>
  <c r="V4" i="26"/>
  <c r="U4" i="26"/>
  <c r="T4" i="26"/>
  <c r="Q4" i="26"/>
  <c r="M4" i="26"/>
  <c r="L4" i="26"/>
  <c r="K4" i="26"/>
  <c r="J4" i="26"/>
  <c r="I4" i="26"/>
  <c r="H4" i="26"/>
  <c r="G4" i="26"/>
  <c r="C124" i="45"/>
  <c r="C123" i="45"/>
  <c r="D124" i="45"/>
  <c r="D123" i="45"/>
  <c r="A124" i="45"/>
  <c r="A123" i="45"/>
  <c r="A118" i="45"/>
  <c r="D118" i="45"/>
  <c r="C86" i="45"/>
  <c r="C85" i="45"/>
  <c r="A86" i="45"/>
  <c r="A85" i="45"/>
  <c r="A80" i="45"/>
  <c r="D86" i="45"/>
  <c r="D80" i="45"/>
  <c r="A254" i="44"/>
  <c r="A250" i="44"/>
  <c r="A249" i="44"/>
  <c r="A248" i="44"/>
  <c r="A247" i="44"/>
  <c r="A246" i="44"/>
  <c r="D254" i="44"/>
  <c r="D249" i="44"/>
  <c r="D248" i="44"/>
  <c r="D247" i="44"/>
  <c r="D246" i="44"/>
  <c r="D241" i="44"/>
  <c r="D240" i="44"/>
  <c r="F240" i="44" s="1"/>
  <c r="D239" i="44"/>
  <c r="F239" i="44" s="1"/>
  <c r="D58" i="35"/>
  <c r="D57" i="35"/>
  <c r="D56" i="35"/>
  <c r="D55" i="35"/>
  <c r="D50" i="35"/>
  <c r="D49" i="35"/>
  <c r="D48" i="35"/>
  <c r="D250" i="44" l="1"/>
  <c r="D65" i="57" l="1"/>
  <c r="M66" i="57" s="1"/>
  <c r="M65" i="57" l="1"/>
  <c r="O66" i="57"/>
  <c r="J23" i="14"/>
  <c r="I23" i="14"/>
  <c r="J12" i="14"/>
  <c r="J11" i="14"/>
  <c r="J10" i="14"/>
  <c r="J9" i="14"/>
  <c r="J8" i="14"/>
  <c r="J7" i="14"/>
  <c r="I7" i="14"/>
  <c r="I8" i="14"/>
  <c r="I9" i="14"/>
  <c r="I10" i="14"/>
  <c r="I11" i="14"/>
  <c r="I12" i="14"/>
  <c r="I14" i="14"/>
  <c r="I15" i="14"/>
  <c r="I16" i="14"/>
  <c r="I17" i="14"/>
  <c r="I19" i="14"/>
  <c r="I20" i="14"/>
  <c r="I21" i="14"/>
  <c r="I24" i="14"/>
  <c r="I25" i="14"/>
  <c r="I26" i="14"/>
  <c r="I27" i="14"/>
  <c r="I28" i="14"/>
  <c r="I30" i="14"/>
  <c r="I31" i="14"/>
  <c r="I33" i="14"/>
  <c r="I34" i="14"/>
  <c r="I35" i="14"/>
  <c r="I36" i="14"/>
  <c r="I37" i="14"/>
  <c r="I38" i="14"/>
  <c r="I39" i="14"/>
  <c r="I40" i="14"/>
  <c r="I41" i="14"/>
  <c r="I42" i="14"/>
  <c r="I44" i="14"/>
  <c r="I45" i="14"/>
  <c r="I46" i="14"/>
  <c r="E52" i="14"/>
  <c r="I52" i="14"/>
  <c r="G52" i="14"/>
  <c r="J52" i="14" s="1"/>
  <c r="K52" i="14" s="1"/>
  <c r="D19" i="47"/>
  <c r="D16" i="47"/>
  <c r="G38" i="31" l="1"/>
  <c r="G543" i="38"/>
  <c r="G271" i="38"/>
  <c r="G232" i="38"/>
  <c r="G567" i="37"/>
  <c r="G528" i="37"/>
  <c r="J127" i="54"/>
  <c r="J126" i="54"/>
  <c r="J125" i="54"/>
  <c r="J124" i="54"/>
  <c r="J123" i="54"/>
  <c r="J122" i="54"/>
  <c r="J121" i="54"/>
  <c r="J120" i="54"/>
  <c r="J119" i="54"/>
  <c r="J118" i="54"/>
  <c r="J117" i="54"/>
  <c r="J116" i="54"/>
  <c r="J115" i="54"/>
  <c r="J114" i="54"/>
  <c r="J113" i="54"/>
  <c r="J112" i="54"/>
  <c r="J111" i="54"/>
  <c r="J110" i="54"/>
  <c r="J109" i="54"/>
  <c r="J108" i="54"/>
  <c r="J107" i="54"/>
  <c r="J106" i="54"/>
  <c r="J105" i="54"/>
  <c r="J104" i="54"/>
  <c r="J103" i="54"/>
  <c r="J102" i="54"/>
  <c r="J101" i="54"/>
  <c r="J100" i="54"/>
  <c r="J99" i="54"/>
  <c r="J98" i="54"/>
  <c r="J97" i="54"/>
  <c r="J96" i="54"/>
  <c r="J95" i="54"/>
  <c r="J94" i="54"/>
  <c r="J93" i="54"/>
  <c r="J92" i="54"/>
  <c r="J91" i="54"/>
  <c r="J90" i="54"/>
  <c r="J89" i="54"/>
  <c r="J88" i="54"/>
  <c r="J87" i="54"/>
  <c r="J86" i="54"/>
  <c r="J85" i="54"/>
  <c r="J84" i="54"/>
  <c r="J83" i="54"/>
  <c r="J82" i="54"/>
  <c r="J81" i="54"/>
  <c r="J80" i="54"/>
  <c r="J79" i="54"/>
  <c r="J78" i="54"/>
  <c r="J77" i="54"/>
  <c r="J76" i="54"/>
  <c r="J75" i="54"/>
  <c r="J74" i="54"/>
  <c r="J73" i="54"/>
  <c r="J72" i="54"/>
  <c r="J71" i="54"/>
  <c r="J70" i="54"/>
  <c r="J69" i="54"/>
  <c r="J68" i="54"/>
  <c r="J67" i="54"/>
  <c r="J66" i="54"/>
  <c r="J65" i="54"/>
  <c r="J64" i="54"/>
  <c r="J63" i="54"/>
  <c r="J62" i="54"/>
  <c r="J61" i="54"/>
  <c r="J60" i="54"/>
  <c r="J59" i="54"/>
  <c r="J58" i="54"/>
  <c r="J57" i="54"/>
  <c r="J56" i="54"/>
  <c r="J55" i="54"/>
  <c r="J54" i="54"/>
  <c r="J53" i="54"/>
  <c r="J52" i="54"/>
  <c r="J51" i="54"/>
  <c r="J50" i="54"/>
  <c r="J49" i="54"/>
  <c r="J48" i="54"/>
  <c r="J47" i="54"/>
  <c r="J46" i="54"/>
  <c r="J45" i="54"/>
  <c r="J44" i="54"/>
  <c r="J43" i="54"/>
  <c r="J42" i="54"/>
  <c r="E42" i="54"/>
  <c r="J41" i="54"/>
  <c r="E41" i="54" s="1"/>
  <c r="J40" i="54"/>
  <c r="E40" i="54" s="1"/>
  <c r="J39" i="54"/>
  <c r="E39" i="54" s="1"/>
  <c r="J38" i="54"/>
  <c r="E38" i="54"/>
  <c r="J37" i="54"/>
  <c r="E37" i="54" s="1"/>
  <c r="J36" i="54"/>
  <c r="E36" i="54"/>
  <c r="J35" i="54"/>
  <c r="E35" i="54" s="1"/>
  <c r="J34" i="54"/>
  <c r="E34" i="54"/>
  <c r="J33" i="54"/>
  <c r="E33" i="54"/>
  <c r="J32" i="54"/>
  <c r="E32" i="54"/>
  <c r="D348" i="44" s="1"/>
  <c r="J31" i="54"/>
  <c r="E31" i="54"/>
  <c r="J30" i="54"/>
  <c r="E30" i="54"/>
  <c r="I29" i="54"/>
  <c r="J29" i="54" s="1"/>
  <c r="E29" i="54" s="1"/>
  <c r="J28" i="54"/>
  <c r="E28" i="54"/>
  <c r="J27" i="54"/>
  <c r="E27" i="54" s="1"/>
  <c r="J26" i="54"/>
  <c r="E26" i="54"/>
  <c r="J25" i="54"/>
  <c r="E25" i="54" s="1"/>
  <c r="J24" i="54"/>
  <c r="E24" i="54" s="1"/>
  <c r="J23" i="54"/>
  <c r="E23" i="54" s="1"/>
  <c r="J22" i="54"/>
  <c r="E22" i="54"/>
  <c r="J21" i="54"/>
  <c r="E21" i="54" s="1"/>
  <c r="J20" i="54"/>
  <c r="E20" i="54"/>
  <c r="I19" i="54"/>
  <c r="J19" i="54" s="1"/>
  <c r="E19" i="54" s="1"/>
  <c r="J18" i="54"/>
  <c r="E18" i="54"/>
  <c r="D263" i="41" s="1"/>
  <c r="F263" i="41" s="1"/>
  <c r="G264" i="41" s="1"/>
  <c r="J17" i="54"/>
  <c r="E17" i="54"/>
  <c r="J16" i="54"/>
  <c r="E16" i="54" s="1"/>
  <c r="J15" i="54"/>
  <c r="E15" i="54" s="1"/>
  <c r="J14" i="54"/>
  <c r="E14" i="54"/>
  <c r="J13" i="54"/>
  <c r="E13" i="54" s="1"/>
  <c r="I12" i="54"/>
  <c r="J12" i="54" s="1"/>
  <c r="E12" i="54" s="1"/>
  <c r="J11" i="54"/>
  <c r="E11" i="54" s="1"/>
  <c r="J10" i="54"/>
  <c r="E10" i="54"/>
  <c r="J9" i="54"/>
  <c r="E9" i="54" s="1"/>
  <c r="J790" i="53"/>
  <c r="J789" i="53"/>
  <c r="E789" i="53" s="1"/>
  <c r="J788" i="53"/>
  <c r="E788" i="53" s="1"/>
  <c r="J787" i="53"/>
  <c r="E787" i="53" s="1"/>
  <c r="J786" i="53"/>
  <c r="E786" i="53"/>
  <c r="J785" i="53"/>
  <c r="E785" i="53"/>
  <c r="J784" i="53"/>
  <c r="E784" i="53"/>
  <c r="J783" i="53"/>
  <c r="E783" i="53"/>
  <c r="J782" i="53"/>
  <c r="E782" i="53" s="1"/>
  <c r="J781" i="53"/>
  <c r="E781" i="53" s="1"/>
  <c r="J780" i="53"/>
  <c r="E780" i="53" s="1"/>
  <c r="J779" i="53"/>
  <c r="E779" i="53" s="1"/>
  <c r="I778" i="53"/>
  <c r="J778" i="53" s="1"/>
  <c r="E778" i="53" s="1"/>
  <c r="J777" i="53"/>
  <c r="E777" i="53"/>
  <c r="J776" i="53"/>
  <c r="E776" i="53"/>
  <c r="J775" i="53"/>
  <c r="E775" i="53" s="1"/>
  <c r="J774" i="53"/>
  <c r="E774" i="53" s="1"/>
  <c r="J773" i="53"/>
  <c r="E773" i="53"/>
  <c r="J772" i="53"/>
  <c r="E772" i="53"/>
  <c r="J771" i="53"/>
  <c r="E771" i="53"/>
  <c r="J770" i="53"/>
  <c r="E770" i="53" s="1"/>
  <c r="J769" i="53"/>
  <c r="E769" i="53"/>
  <c r="J768" i="53"/>
  <c r="E768" i="53" s="1"/>
  <c r="D1628" i="44" s="1"/>
  <c r="F1628" i="44" s="1"/>
  <c r="J767" i="53"/>
  <c r="E767" i="53"/>
  <c r="D1595" i="44" s="1"/>
  <c r="F1595" i="44" s="1"/>
  <c r="J766" i="53"/>
  <c r="E766" i="53" s="1"/>
  <c r="J765" i="53"/>
  <c r="E765" i="53"/>
  <c r="J764" i="53"/>
  <c r="J763" i="53"/>
  <c r="E763" i="53" s="1"/>
  <c r="J762" i="53"/>
  <c r="E762" i="53"/>
  <c r="D344" i="52" s="1"/>
  <c r="F344" i="52" s="1"/>
  <c r="J761" i="53"/>
  <c r="E761" i="53"/>
  <c r="J760" i="53"/>
  <c r="E760" i="53"/>
  <c r="J759" i="53"/>
  <c r="E759" i="53"/>
  <c r="J758" i="53"/>
  <c r="E758" i="53"/>
  <c r="D161" i="45" s="1"/>
  <c r="J757" i="53"/>
  <c r="E757" i="53" s="1"/>
  <c r="J756" i="53"/>
  <c r="E756" i="53" s="1"/>
  <c r="J755" i="53"/>
  <c r="E755" i="53" s="1"/>
  <c r="J754" i="53"/>
  <c r="E754" i="53"/>
  <c r="J753" i="53"/>
  <c r="E753" i="53"/>
  <c r="J752" i="53"/>
  <c r="E752" i="53"/>
  <c r="J751" i="53"/>
  <c r="E751" i="53"/>
  <c r="J750" i="53"/>
  <c r="E750" i="53"/>
  <c r="J749" i="53"/>
  <c r="E749" i="53" s="1"/>
  <c r="J748" i="53"/>
  <c r="E748" i="53"/>
  <c r="J747" i="53"/>
  <c r="E747" i="53" s="1"/>
  <c r="D194" i="45" s="1"/>
  <c r="F194" i="45" s="1"/>
  <c r="J746" i="53"/>
  <c r="E746" i="53"/>
  <c r="J745" i="53"/>
  <c r="E745" i="53"/>
  <c r="J744" i="53"/>
  <c r="E744" i="53"/>
  <c r="J743" i="53"/>
  <c r="E743" i="53"/>
  <c r="J742" i="53"/>
  <c r="E742" i="53"/>
  <c r="J741" i="53"/>
  <c r="E741" i="53" s="1"/>
  <c r="D276" i="52" s="1"/>
  <c r="F276" i="52" s="1"/>
  <c r="J740" i="53"/>
  <c r="E740" i="53"/>
  <c r="J739" i="53"/>
  <c r="E739" i="53" s="1"/>
  <c r="J738" i="53"/>
  <c r="E738" i="53"/>
  <c r="D346" i="52" s="1"/>
  <c r="F346" i="52" s="1"/>
  <c r="J737" i="53"/>
  <c r="E737" i="53"/>
  <c r="J736" i="53"/>
  <c r="E736" i="53" s="1"/>
  <c r="J735" i="53"/>
  <c r="E735" i="53"/>
  <c r="J734" i="53"/>
  <c r="E734" i="53" s="1"/>
  <c r="J733" i="53"/>
  <c r="E733" i="53" s="1"/>
  <c r="J732" i="53"/>
  <c r="E732" i="53"/>
  <c r="J731" i="53"/>
  <c r="E731" i="53" s="1"/>
  <c r="J730" i="53"/>
  <c r="E730" i="53"/>
  <c r="J729" i="53"/>
  <c r="E729" i="53"/>
  <c r="J728" i="53"/>
  <c r="E728" i="53"/>
  <c r="J727" i="53"/>
  <c r="E727" i="53" s="1"/>
  <c r="J726" i="53"/>
  <c r="E726" i="53"/>
  <c r="J725" i="53"/>
  <c r="E725" i="53" s="1"/>
  <c r="J724" i="53"/>
  <c r="E724" i="53" s="1"/>
  <c r="J723" i="53"/>
  <c r="E723" i="53" s="1"/>
  <c r="J722" i="53"/>
  <c r="E722" i="53"/>
  <c r="J721" i="53"/>
  <c r="E721" i="53"/>
  <c r="J720" i="53"/>
  <c r="E720" i="53"/>
  <c r="D443" i="52" s="1"/>
  <c r="F443" i="52" s="1"/>
  <c r="J719" i="53"/>
  <c r="E719" i="53"/>
  <c r="J718" i="53"/>
  <c r="J717" i="53"/>
  <c r="J716" i="53"/>
  <c r="J715" i="53"/>
  <c r="J714" i="53"/>
  <c r="E714" i="53" s="1"/>
  <c r="J713" i="53"/>
  <c r="E713" i="53" s="1"/>
  <c r="J712" i="53"/>
  <c r="E712" i="53"/>
  <c r="J711" i="53"/>
  <c r="E711" i="53"/>
  <c r="J710" i="53"/>
  <c r="E710" i="53" s="1"/>
  <c r="J709" i="53"/>
  <c r="E709" i="53" s="1"/>
  <c r="J708" i="53"/>
  <c r="E708" i="53"/>
  <c r="J707" i="53"/>
  <c r="E707" i="53" s="1"/>
  <c r="J706" i="53"/>
  <c r="E706" i="53"/>
  <c r="J705" i="53"/>
  <c r="E705" i="53" s="1"/>
  <c r="J704" i="53"/>
  <c r="E704" i="53"/>
  <c r="J703" i="53"/>
  <c r="E703" i="53"/>
  <c r="J702" i="53"/>
  <c r="E702" i="53" s="1"/>
  <c r="J701" i="53"/>
  <c r="E701" i="53"/>
  <c r="J700" i="53"/>
  <c r="E700" i="53" s="1"/>
  <c r="J699" i="53"/>
  <c r="E699" i="53" s="1"/>
  <c r="J698" i="53"/>
  <c r="E698" i="53" s="1"/>
  <c r="J697" i="53"/>
  <c r="E697" i="53" s="1"/>
  <c r="J696" i="53"/>
  <c r="E696" i="53"/>
  <c r="J695" i="53"/>
  <c r="E695" i="53"/>
  <c r="J694" i="53"/>
  <c r="E694" i="53" s="1"/>
  <c r="J693" i="53"/>
  <c r="E693" i="53" s="1"/>
  <c r="J692" i="53"/>
  <c r="E692" i="53" s="1"/>
  <c r="J691" i="53"/>
  <c r="E691" i="53" s="1"/>
  <c r="J690" i="53"/>
  <c r="E690" i="53"/>
  <c r="J689" i="53"/>
  <c r="E689" i="53" s="1"/>
  <c r="J688" i="53"/>
  <c r="E688" i="53"/>
  <c r="J687" i="53"/>
  <c r="E687" i="53"/>
  <c r="J686" i="53"/>
  <c r="E686" i="53"/>
  <c r="J685" i="53"/>
  <c r="E685" i="53" s="1"/>
  <c r="J684" i="53"/>
  <c r="E684" i="53" s="1"/>
  <c r="J683" i="53"/>
  <c r="E683" i="53" s="1"/>
  <c r="J682" i="53"/>
  <c r="E682" i="53"/>
  <c r="J681" i="53"/>
  <c r="E681" i="53" s="1"/>
  <c r="J680" i="53"/>
  <c r="E680" i="53"/>
  <c r="J679" i="53"/>
  <c r="E679" i="53"/>
  <c r="J678" i="53"/>
  <c r="E678" i="53"/>
  <c r="J677" i="53"/>
  <c r="E677" i="53"/>
  <c r="J676" i="53"/>
  <c r="E676" i="53" s="1"/>
  <c r="J675" i="53"/>
  <c r="E675" i="53" s="1"/>
  <c r="J674" i="53"/>
  <c r="E674" i="53"/>
  <c r="J673" i="53"/>
  <c r="E673" i="53" s="1"/>
  <c r="J672" i="53"/>
  <c r="E672" i="53"/>
  <c r="J671" i="53"/>
  <c r="E671" i="53"/>
  <c r="J670" i="53"/>
  <c r="E670" i="53"/>
  <c r="J669" i="53"/>
  <c r="E669" i="53"/>
  <c r="J668" i="53"/>
  <c r="E668" i="53" s="1"/>
  <c r="J667" i="53"/>
  <c r="E667" i="53" s="1"/>
  <c r="J666" i="53"/>
  <c r="E666" i="53"/>
  <c r="J665" i="53"/>
  <c r="E665" i="53" s="1"/>
  <c r="J664" i="53"/>
  <c r="E664" i="53"/>
  <c r="J663" i="53"/>
  <c r="E663" i="53"/>
  <c r="J662" i="53"/>
  <c r="E662" i="53"/>
  <c r="J661" i="53"/>
  <c r="E661" i="53"/>
  <c r="J660" i="53"/>
  <c r="E660" i="53"/>
  <c r="J659" i="53"/>
  <c r="E659" i="53" s="1"/>
  <c r="J658" i="53"/>
  <c r="E658" i="53"/>
  <c r="J657" i="53"/>
  <c r="E657" i="53" s="1"/>
  <c r="J656" i="53"/>
  <c r="E656" i="53"/>
  <c r="J655" i="53"/>
  <c r="J654" i="53"/>
  <c r="E654" i="53"/>
  <c r="J653" i="53"/>
  <c r="E653" i="53"/>
  <c r="J652" i="53"/>
  <c r="E652" i="53" s="1"/>
  <c r="J651" i="53"/>
  <c r="E651" i="53" s="1"/>
  <c r="J650" i="53"/>
  <c r="E650" i="53"/>
  <c r="J649" i="53"/>
  <c r="E649" i="53"/>
  <c r="J648" i="53"/>
  <c r="E648" i="53"/>
  <c r="J647" i="53"/>
  <c r="E647" i="53" s="1"/>
  <c r="J646" i="53"/>
  <c r="E646" i="53" s="1"/>
  <c r="J645" i="53"/>
  <c r="E645" i="53" s="1"/>
  <c r="J644" i="53"/>
  <c r="E644" i="53"/>
  <c r="J643" i="53"/>
  <c r="J642" i="53"/>
  <c r="E642" i="53" s="1"/>
  <c r="J641" i="53"/>
  <c r="E641" i="53"/>
  <c r="J640" i="53"/>
  <c r="E640" i="53" s="1"/>
  <c r="J639" i="53"/>
  <c r="E639" i="53"/>
  <c r="J638" i="53"/>
  <c r="E638" i="53"/>
  <c r="J637" i="53"/>
  <c r="E637" i="53"/>
  <c r="J636" i="53"/>
  <c r="E636" i="53"/>
  <c r="J635" i="53"/>
  <c r="E635" i="53" s="1"/>
  <c r="J634" i="53"/>
  <c r="E634" i="53" s="1"/>
  <c r="J633" i="53"/>
  <c r="E633" i="53" s="1"/>
  <c r="J632" i="53"/>
  <c r="E632" i="53" s="1"/>
  <c r="J631" i="53"/>
  <c r="E631" i="53"/>
  <c r="J630" i="53"/>
  <c r="E630" i="53"/>
  <c r="J629" i="53"/>
  <c r="E629" i="53" s="1"/>
  <c r="J628" i="53"/>
  <c r="E628" i="53"/>
  <c r="J627" i="53"/>
  <c r="E627" i="53"/>
  <c r="J626" i="53"/>
  <c r="E626" i="53"/>
  <c r="J625" i="53"/>
  <c r="E625" i="53"/>
  <c r="J624" i="53"/>
  <c r="E624" i="53" s="1"/>
  <c r="J623" i="53"/>
  <c r="E623" i="53"/>
  <c r="J622" i="53"/>
  <c r="E622" i="53"/>
  <c r="J621" i="53"/>
  <c r="E621" i="53" s="1"/>
  <c r="J620" i="53"/>
  <c r="E620" i="53"/>
  <c r="J619" i="53"/>
  <c r="E619" i="53" s="1"/>
  <c r="J618" i="53"/>
  <c r="E618" i="53" s="1"/>
  <c r="J617" i="53"/>
  <c r="E617" i="53" s="1"/>
  <c r="J616" i="53"/>
  <c r="E616" i="53" s="1"/>
  <c r="J615" i="53"/>
  <c r="E615" i="53"/>
  <c r="J614" i="53"/>
  <c r="E614" i="53"/>
  <c r="J613" i="53"/>
  <c r="E613" i="53"/>
  <c r="D271" i="41" s="1"/>
  <c r="F271" i="41" s="1"/>
  <c r="J612" i="53"/>
  <c r="E612" i="53"/>
  <c r="J611" i="53"/>
  <c r="E611" i="53" s="1"/>
  <c r="J610" i="53"/>
  <c r="E610" i="53" s="1"/>
  <c r="J609" i="53"/>
  <c r="E609" i="53" s="1"/>
  <c r="J608" i="53"/>
  <c r="E608" i="53" s="1"/>
  <c r="J607" i="53"/>
  <c r="E607" i="53"/>
  <c r="J606" i="53"/>
  <c r="E606" i="53"/>
  <c r="J605" i="53"/>
  <c r="E605" i="53"/>
  <c r="J604" i="53"/>
  <c r="E604" i="53" s="1"/>
  <c r="J603" i="53"/>
  <c r="E603" i="53"/>
  <c r="J602" i="53"/>
  <c r="E602" i="53" s="1"/>
  <c r="J601" i="53"/>
  <c r="E601" i="53" s="1"/>
  <c r="J600" i="53"/>
  <c r="E600" i="53" s="1"/>
  <c r="J599" i="53"/>
  <c r="E599" i="53"/>
  <c r="J598" i="53"/>
  <c r="E598" i="53"/>
  <c r="J597" i="53"/>
  <c r="E597" i="53" s="1"/>
  <c r="J596" i="53"/>
  <c r="E596" i="53"/>
  <c r="J595" i="53"/>
  <c r="E595" i="53" s="1"/>
  <c r="J594" i="53"/>
  <c r="E594" i="53" s="1"/>
  <c r="J593" i="53"/>
  <c r="E593" i="53"/>
  <c r="J592" i="53"/>
  <c r="E592" i="53" s="1"/>
  <c r="J591" i="53"/>
  <c r="E591" i="53"/>
  <c r="J590" i="53"/>
  <c r="E590" i="53"/>
  <c r="J589" i="53"/>
  <c r="E589" i="53"/>
  <c r="J588" i="53"/>
  <c r="E588" i="53" s="1"/>
  <c r="J587" i="53"/>
  <c r="E587" i="53"/>
  <c r="J586" i="53"/>
  <c r="E586" i="53" s="1"/>
  <c r="J585" i="53"/>
  <c r="E585" i="53" s="1"/>
  <c r="J584" i="53"/>
  <c r="J583" i="53"/>
  <c r="J582" i="53"/>
  <c r="E582" i="53"/>
  <c r="J581" i="53"/>
  <c r="E581" i="53"/>
  <c r="J580" i="53"/>
  <c r="E580" i="53" s="1"/>
  <c r="J579" i="53"/>
  <c r="E579" i="53"/>
  <c r="J578" i="53"/>
  <c r="E577" i="53" s="1"/>
  <c r="E578" i="53"/>
  <c r="J577" i="53"/>
  <c r="J576" i="53"/>
  <c r="E576" i="53"/>
  <c r="J575" i="53"/>
  <c r="E575" i="53" s="1"/>
  <c r="J574" i="53"/>
  <c r="E574" i="53"/>
  <c r="J573" i="53"/>
  <c r="J572" i="53"/>
  <c r="E572" i="53"/>
  <c r="J571" i="53"/>
  <c r="E571" i="53" s="1"/>
  <c r="J570" i="53"/>
  <c r="E570" i="53"/>
  <c r="J569" i="53"/>
  <c r="E569" i="53" s="1"/>
  <c r="J568" i="53"/>
  <c r="E568" i="53"/>
  <c r="J567" i="53"/>
  <c r="E567" i="53"/>
  <c r="J566" i="53"/>
  <c r="E566" i="53"/>
  <c r="J565" i="53"/>
  <c r="E565" i="53" s="1"/>
  <c r="J564" i="53"/>
  <c r="E564" i="53"/>
  <c r="J563" i="53"/>
  <c r="E563" i="53" s="1"/>
  <c r="J562" i="53"/>
  <c r="E562" i="53" s="1"/>
  <c r="J561" i="53"/>
  <c r="E561" i="53" s="1"/>
  <c r="J560" i="53"/>
  <c r="E560" i="53"/>
  <c r="J559" i="53"/>
  <c r="E559" i="53"/>
  <c r="J558" i="53"/>
  <c r="E558" i="53"/>
  <c r="J557" i="53"/>
  <c r="E557" i="53" s="1"/>
  <c r="J556" i="53"/>
  <c r="E556" i="53" s="1"/>
  <c r="J555" i="53"/>
  <c r="E555" i="53"/>
  <c r="J554" i="53"/>
  <c r="E554" i="53"/>
  <c r="J553" i="53"/>
  <c r="E553" i="53" s="1"/>
  <c r="J552" i="53"/>
  <c r="E552" i="53"/>
  <c r="J551" i="53"/>
  <c r="E551" i="53"/>
  <c r="J550" i="53"/>
  <c r="E550" i="53"/>
  <c r="J549" i="53"/>
  <c r="E549" i="53" s="1"/>
  <c r="J548" i="53"/>
  <c r="E548" i="53"/>
  <c r="J547" i="53"/>
  <c r="E547" i="53" s="1"/>
  <c r="J546" i="53"/>
  <c r="E546" i="53"/>
  <c r="J545" i="53"/>
  <c r="E545" i="53" s="1"/>
  <c r="J544" i="53"/>
  <c r="E544" i="53"/>
  <c r="J543" i="53"/>
  <c r="E543" i="53" s="1"/>
  <c r="J542" i="53"/>
  <c r="E542" i="53"/>
  <c r="J541" i="53"/>
  <c r="E541" i="53" s="1"/>
  <c r="J540" i="53"/>
  <c r="E540" i="53"/>
  <c r="J539" i="53"/>
  <c r="E539" i="53"/>
  <c r="J538" i="53"/>
  <c r="E538" i="53"/>
  <c r="J537" i="53"/>
  <c r="E537" i="53" s="1"/>
  <c r="J536" i="53"/>
  <c r="E536" i="53"/>
  <c r="J535" i="53"/>
  <c r="E535" i="53"/>
  <c r="J534" i="53"/>
  <c r="E534" i="53"/>
  <c r="J533" i="53"/>
  <c r="E533" i="53" s="1"/>
  <c r="J532" i="53"/>
  <c r="E532" i="53" s="1"/>
  <c r="J531" i="53"/>
  <c r="E531" i="53"/>
  <c r="J530" i="53"/>
  <c r="E530" i="53" s="1"/>
  <c r="J529" i="53"/>
  <c r="E529" i="53" s="1"/>
  <c r="J528" i="53"/>
  <c r="E528" i="53"/>
  <c r="J527" i="53"/>
  <c r="E527" i="53" s="1"/>
  <c r="J526" i="53"/>
  <c r="E526" i="53"/>
  <c r="J525" i="53"/>
  <c r="E525" i="53" s="1"/>
  <c r="J524" i="53"/>
  <c r="E524" i="53"/>
  <c r="J523" i="53"/>
  <c r="E523" i="53" s="1"/>
  <c r="J522" i="53"/>
  <c r="E522" i="53"/>
  <c r="J521" i="53"/>
  <c r="E521" i="53" s="1"/>
  <c r="J520" i="53"/>
  <c r="E520" i="53"/>
  <c r="J519" i="53"/>
  <c r="E519" i="53"/>
  <c r="J518" i="53"/>
  <c r="E518" i="53"/>
  <c r="J517" i="53"/>
  <c r="E517" i="53" s="1"/>
  <c r="J516" i="53"/>
  <c r="E516" i="53"/>
  <c r="J515" i="53"/>
  <c r="E515" i="53"/>
  <c r="J514" i="53"/>
  <c r="E514" i="53" s="1"/>
  <c r="J513" i="53"/>
  <c r="E513" i="53" s="1"/>
  <c r="J512" i="53"/>
  <c r="E512" i="53"/>
  <c r="J511" i="53"/>
  <c r="E511" i="53"/>
  <c r="J510" i="53"/>
  <c r="E510" i="53"/>
  <c r="J509" i="53"/>
  <c r="E509" i="53" s="1"/>
  <c r="J508" i="53"/>
  <c r="E508" i="53"/>
  <c r="J507" i="53"/>
  <c r="E507" i="53" s="1"/>
  <c r="J506" i="53"/>
  <c r="E506" i="53"/>
  <c r="J505" i="53"/>
  <c r="E505" i="53" s="1"/>
  <c r="J504" i="53"/>
  <c r="E504" i="53"/>
  <c r="J503" i="53"/>
  <c r="E503" i="53"/>
  <c r="D247" i="52" s="1"/>
  <c r="F247" i="52" s="1"/>
  <c r="J502" i="53"/>
  <c r="E502" i="53"/>
  <c r="J501" i="53"/>
  <c r="J500" i="53"/>
  <c r="E500" i="53"/>
  <c r="E501" i="53" s="1"/>
  <c r="J499" i="53"/>
  <c r="E499" i="53"/>
  <c r="J498" i="53"/>
  <c r="E498" i="53" s="1"/>
  <c r="J497" i="53"/>
  <c r="E497" i="53" s="1"/>
  <c r="J496" i="53"/>
  <c r="E496" i="53"/>
  <c r="J495" i="53"/>
  <c r="E495" i="53"/>
  <c r="J494" i="53"/>
  <c r="E494" i="53"/>
  <c r="J493" i="53"/>
  <c r="E493" i="53" s="1"/>
  <c r="J492" i="53"/>
  <c r="E492" i="53" s="1"/>
  <c r="J491" i="53"/>
  <c r="E491" i="53"/>
  <c r="J490" i="53"/>
  <c r="E490" i="53"/>
  <c r="J489" i="53"/>
  <c r="E489" i="53" s="1"/>
  <c r="J488" i="53"/>
  <c r="E488" i="53"/>
  <c r="J487" i="53"/>
  <c r="E487" i="53"/>
  <c r="J486" i="53"/>
  <c r="E486" i="53"/>
  <c r="J485" i="53"/>
  <c r="E485" i="53" s="1"/>
  <c r="J484" i="53"/>
  <c r="E484" i="53" s="1"/>
  <c r="J483" i="53"/>
  <c r="E483" i="53" s="1"/>
  <c r="J482" i="53"/>
  <c r="E482" i="53" s="1"/>
  <c r="J481" i="53"/>
  <c r="E481" i="53" s="1"/>
  <c r="J480" i="53"/>
  <c r="E480" i="53"/>
  <c r="J479" i="53"/>
  <c r="E479" i="53" s="1"/>
  <c r="J478" i="53"/>
  <c r="E478" i="53"/>
  <c r="J477" i="53"/>
  <c r="E477" i="53" s="1"/>
  <c r="J476" i="53"/>
  <c r="J475" i="53"/>
  <c r="E475" i="53" s="1"/>
  <c r="J474" i="53"/>
  <c r="E474" i="53" s="1"/>
  <c r="J473" i="53"/>
  <c r="E473" i="53" s="1"/>
  <c r="J472" i="53"/>
  <c r="E472" i="53" s="1"/>
  <c r="J471" i="53"/>
  <c r="E471" i="53"/>
  <c r="J470" i="53"/>
  <c r="E470" i="53" s="1"/>
  <c r="J469" i="53"/>
  <c r="E469" i="53"/>
  <c r="J468" i="53"/>
  <c r="E468" i="53"/>
  <c r="J467" i="53"/>
  <c r="E467" i="53"/>
  <c r="J466" i="53"/>
  <c r="E466" i="53" s="1"/>
  <c r="J465" i="53"/>
  <c r="E465" i="53" s="1"/>
  <c r="J464" i="53"/>
  <c r="E464" i="53" s="1"/>
  <c r="J463" i="53"/>
  <c r="E463" i="53"/>
  <c r="J462" i="53"/>
  <c r="E462" i="53" s="1"/>
  <c r="J461" i="53"/>
  <c r="E461" i="53"/>
  <c r="J460" i="53"/>
  <c r="E460" i="53"/>
  <c r="J459" i="53"/>
  <c r="E459" i="53"/>
  <c r="J458" i="53"/>
  <c r="E458" i="53"/>
  <c r="J457" i="53"/>
  <c r="E457" i="53" s="1"/>
  <c r="J456" i="53"/>
  <c r="E456" i="53" s="1"/>
  <c r="J455" i="53"/>
  <c r="E455" i="53"/>
  <c r="J454" i="53"/>
  <c r="E454" i="53" s="1"/>
  <c r="J453" i="53"/>
  <c r="E453" i="53"/>
  <c r="J452" i="53"/>
  <c r="E452" i="53"/>
  <c r="J451" i="53"/>
  <c r="E451" i="53" s="1"/>
  <c r="J450" i="53"/>
  <c r="E450" i="53"/>
  <c r="J449" i="53"/>
  <c r="E449" i="53"/>
  <c r="J448" i="53"/>
  <c r="E448" i="53" s="1"/>
  <c r="J447" i="53"/>
  <c r="E447" i="53" s="1"/>
  <c r="J446" i="53"/>
  <c r="E446" i="53" s="1"/>
  <c r="J445" i="53"/>
  <c r="E445" i="53"/>
  <c r="J444" i="53"/>
  <c r="E444" i="53"/>
  <c r="J443" i="53"/>
  <c r="E443" i="53"/>
  <c r="J442" i="53"/>
  <c r="E442" i="53" s="1"/>
  <c r="J441" i="53"/>
  <c r="E441" i="53"/>
  <c r="J440" i="53"/>
  <c r="E440" i="53" s="1"/>
  <c r="J439" i="53"/>
  <c r="E439" i="53"/>
  <c r="J438" i="53"/>
  <c r="E438" i="53" s="1"/>
  <c r="E437" i="53"/>
  <c r="E436" i="53"/>
  <c r="J435" i="53"/>
  <c r="E435" i="53"/>
  <c r="J434" i="53"/>
  <c r="E434" i="53" s="1"/>
  <c r="J433" i="53"/>
  <c r="E433" i="53" s="1"/>
  <c r="J432" i="53"/>
  <c r="E432" i="53" s="1"/>
  <c r="J431" i="53"/>
  <c r="E431" i="53" s="1"/>
  <c r="J430" i="53"/>
  <c r="E430" i="53" s="1"/>
  <c r="J429" i="53"/>
  <c r="E429" i="53" s="1"/>
  <c r="J428" i="53"/>
  <c r="E428" i="53"/>
  <c r="J427" i="53"/>
  <c r="E427" i="53"/>
  <c r="J426" i="53"/>
  <c r="E426" i="53" s="1"/>
  <c r="J425" i="53"/>
  <c r="E425" i="53" s="1"/>
  <c r="J424" i="53"/>
  <c r="E424" i="53" s="1"/>
  <c r="J423" i="53"/>
  <c r="E423" i="53" s="1"/>
  <c r="J422" i="53"/>
  <c r="E422" i="53"/>
  <c r="J421" i="53"/>
  <c r="E421" i="53" s="1"/>
  <c r="J420" i="53"/>
  <c r="E420" i="53"/>
  <c r="J419" i="53"/>
  <c r="E419" i="53"/>
  <c r="J418" i="53"/>
  <c r="E418" i="53" s="1"/>
  <c r="J417" i="53"/>
  <c r="E417" i="53" s="1"/>
  <c r="J416" i="53"/>
  <c r="E416" i="53" s="1"/>
  <c r="J415" i="53"/>
  <c r="E415" i="53" s="1"/>
  <c r="J414" i="53"/>
  <c r="E414" i="53"/>
  <c r="J413" i="53"/>
  <c r="E413" i="53" s="1"/>
  <c r="J412" i="53"/>
  <c r="J411" i="53"/>
  <c r="J410" i="53"/>
  <c r="J409" i="53"/>
  <c r="J408" i="53"/>
  <c r="J407" i="53"/>
  <c r="E407" i="53"/>
  <c r="J406" i="53"/>
  <c r="E406" i="53"/>
  <c r="J405" i="53"/>
  <c r="E405" i="53" s="1"/>
  <c r="D321" i="45" s="1"/>
  <c r="J404" i="53"/>
  <c r="E404" i="53"/>
  <c r="J403" i="53"/>
  <c r="E403" i="53" s="1"/>
  <c r="J402" i="53"/>
  <c r="E402" i="53"/>
  <c r="J401" i="53"/>
  <c r="E401" i="53" s="1"/>
  <c r="J400" i="53"/>
  <c r="E400" i="53" s="1"/>
  <c r="J399" i="53"/>
  <c r="E399" i="53"/>
  <c r="D257" i="45" s="1"/>
  <c r="F257" i="45" s="1"/>
  <c r="J398" i="53"/>
  <c r="E398" i="53" s="1"/>
  <c r="J397" i="53"/>
  <c r="E397" i="53" s="1"/>
  <c r="J396" i="53"/>
  <c r="E396" i="53"/>
  <c r="J395" i="53"/>
  <c r="E395" i="53"/>
  <c r="J394" i="53"/>
  <c r="E394" i="53"/>
  <c r="J393" i="53"/>
  <c r="E393" i="53" s="1"/>
  <c r="J392" i="53"/>
  <c r="E392" i="53"/>
  <c r="J391" i="53"/>
  <c r="E391" i="53" s="1"/>
  <c r="J390" i="53"/>
  <c r="E390" i="53"/>
  <c r="J389" i="53"/>
  <c r="E389" i="53" s="1"/>
  <c r="J388" i="53"/>
  <c r="E388" i="53"/>
  <c r="J387" i="53"/>
  <c r="E387" i="53"/>
  <c r="J386" i="53"/>
  <c r="E386" i="53"/>
  <c r="J385" i="53"/>
  <c r="E385" i="53" s="1"/>
  <c r="J384" i="53"/>
  <c r="E384" i="53"/>
  <c r="J383" i="53"/>
  <c r="E383" i="53"/>
  <c r="J382" i="53"/>
  <c r="E382" i="53" s="1"/>
  <c r="J381" i="53"/>
  <c r="E381" i="53" s="1"/>
  <c r="J380" i="53"/>
  <c r="E380" i="53"/>
  <c r="J379" i="53"/>
  <c r="E379" i="53" s="1"/>
  <c r="J378" i="53"/>
  <c r="E378" i="53"/>
  <c r="J377" i="53"/>
  <c r="E377" i="53" s="1"/>
  <c r="J376" i="53"/>
  <c r="E376" i="53" s="1"/>
  <c r="J375" i="53"/>
  <c r="E375" i="53" s="1"/>
  <c r="J374" i="53"/>
  <c r="E374" i="53"/>
  <c r="J373" i="53"/>
  <c r="E373" i="53" s="1"/>
  <c r="J372" i="53"/>
  <c r="E372" i="53"/>
  <c r="J371" i="53"/>
  <c r="E371" i="53" s="1"/>
  <c r="J370" i="53"/>
  <c r="J369" i="53"/>
  <c r="E369" i="53"/>
  <c r="J368" i="53"/>
  <c r="E368" i="53"/>
  <c r="J367" i="53"/>
  <c r="J366" i="53"/>
  <c r="J365" i="53"/>
  <c r="J364" i="53"/>
  <c r="J363" i="53"/>
  <c r="E363" i="53"/>
  <c r="J362" i="53"/>
  <c r="E362" i="53" s="1"/>
  <c r="J361" i="53"/>
  <c r="E361" i="53"/>
  <c r="J360" i="53"/>
  <c r="E360" i="53" s="1"/>
  <c r="J359" i="53"/>
  <c r="E359" i="53"/>
  <c r="J358" i="53"/>
  <c r="E358" i="53"/>
  <c r="J357" i="53"/>
  <c r="E357" i="53" s="1"/>
  <c r="J356" i="53"/>
  <c r="E356" i="53" s="1"/>
  <c r="J355" i="53"/>
  <c r="E355" i="53" s="1"/>
  <c r="J354" i="53"/>
  <c r="E354" i="53" s="1"/>
  <c r="J353" i="53"/>
  <c r="E353" i="53"/>
  <c r="J352" i="53"/>
  <c r="E352" i="53" s="1"/>
  <c r="J351" i="53"/>
  <c r="E351" i="53"/>
  <c r="J350" i="53"/>
  <c r="E350" i="53"/>
  <c r="J349" i="53"/>
  <c r="E349" i="53"/>
  <c r="J348" i="53"/>
  <c r="J347" i="53"/>
  <c r="E347" i="53"/>
  <c r="J346" i="53"/>
  <c r="E346" i="53" s="1"/>
  <c r="J345" i="53"/>
  <c r="E345" i="53"/>
  <c r="J344" i="53"/>
  <c r="E344" i="53"/>
  <c r="J343" i="53"/>
  <c r="E343" i="53"/>
  <c r="J342" i="53"/>
  <c r="E342" i="53" s="1"/>
  <c r="J341" i="53"/>
  <c r="E341" i="53"/>
  <c r="J340" i="53"/>
  <c r="E340" i="53" s="1"/>
  <c r="D1333" i="44" s="1"/>
  <c r="J339" i="53"/>
  <c r="E339" i="53"/>
  <c r="J338" i="53"/>
  <c r="E338" i="53" s="1"/>
  <c r="J337" i="53"/>
  <c r="E337" i="53"/>
  <c r="J336" i="53"/>
  <c r="E336" i="53" s="1"/>
  <c r="D1269" i="44" s="1"/>
  <c r="J335" i="53"/>
  <c r="E335" i="53"/>
  <c r="J334" i="53"/>
  <c r="E334" i="53" s="1"/>
  <c r="J333" i="53"/>
  <c r="E333" i="53"/>
  <c r="J332" i="53"/>
  <c r="E332" i="53" s="1"/>
  <c r="J331" i="53"/>
  <c r="E331" i="53" s="1"/>
  <c r="J330" i="53"/>
  <c r="E330" i="53" s="1"/>
  <c r="J329" i="53"/>
  <c r="E329" i="53"/>
  <c r="J328" i="53"/>
  <c r="E328" i="53" s="1"/>
  <c r="J327" i="53"/>
  <c r="E327" i="53"/>
  <c r="J326" i="53"/>
  <c r="E326" i="53" s="1"/>
  <c r="J325" i="53"/>
  <c r="E325" i="53"/>
  <c r="J324" i="53"/>
  <c r="E324" i="53"/>
  <c r="J323" i="53"/>
  <c r="J322" i="53"/>
  <c r="E322" i="53" s="1"/>
  <c r="J321" i="53"/>
  <c r="E321" i="53" s="1"/>
  <c r="J320" i="53"/>
  <c r="E320" i="53" s="1"/>
  <c r="J319" i="53"/>
  <c r="E319" i="53" s="1"/>
  <c r="J318" i="53"/>
  <c r="E318" i="53"/>
  <c r="J317" i="53"/>
  <c r="E317" i="53"/>
  <c r="J316" i="53"/>
  <c r="E316" i="53"/>
  <c r="J315" i="53"/>
  <c r="E315" i="53" s="1"/>
  <c r="J314" i="53"/>
  <c r="E314" i="53"/>
  <c r="J313" i="53"/>
  <c r="E313" i="53" s="1"/>
  <c r="J312" i="53"/>
  <c r="E312" i="53" s="1"/>
  <c r="D715" i="44" s="1"/>
  <c r="F715" i="44" s="1"/>
  <c r="J311" i="53"/>
  <c r="E311" i="53" s="1"/>
  <c r="J310" i="53"/>
  <c r="E310" i="53"/>
  <c r="J309" i="53"/>
  <c r="E309" i="53"/>
  <c r="J308" i="53"/>
  <c r="E308" i="53"/>
  <c r="J307" i="53"/>
  <c r="E307" i="53"/>
  <c r="J306" i="53"/>
  <c r="E306" i="53" s="1"/>
  <c r="J305" i="53"/>
  <c r="E305" i="53" s="1"/>
  <c r="J304" i="53"/>
  <c r="J303" i="53"/>
  <c r="J302" i="53"/>
  <c r="J301" i="53"/>
  <c r="J300" i="53"/>
  <c r="J299" i="53"/>
  <c r="E299" i="53" s="1"/>
  <c r="J298" i="53"/>
  <c r="E298" i="53"/>
  <c r="J297" i="53"/>
  <c r="E297" i="53" s="1"/>
  <c r="J296" i="53"/>
  <c r="E296" i="53" s="1"/>
  <c r="J295" i="53"/>
  <c r="E295" i="53" s="1"/>
  <c r="J294" i="53"/>
  <c r="E294" i="53"/>
  <c r="J293" i="53"/>
  <c r="E293" i="53"/>
  <c r="J292" i="53"/>
  <c r="E292" i="53"/>
  <c r="J291" i="53"/>
  <c r="E291" i="53" s="1"/>
  <c r="J290" i="53"/>
  <c r="E290" i="53" s="1"/>
  <c r="J289" i="53"/>
  <c r="E289" i="53" s="1"/>
  <c r="J288" i="53"/>
  <c r="E288" i="53"/>
  <c r="J287" i="53"/>
  <c r="E287" i="53" s="1"/>
  <c r="J286" i="53"/>
  <c r="E286" i="53"/>
  <c r="J285" i="53"/>
  <c r="E285" i="53" s="1"/>
  <c r="J284" i="53"/>
  <c r="E284" i="53"/>
  <c r="J283" i="53"/>
  <c r="E283" i="53" s="1"/>
  <c r="J282" i="53"/>
  <c r="E282" i="53" s="1"/>
  <c r="J281" i="53"/>
  <c r="E281" i="53"/>
  <c r="J280" i="53"/>
  <c r="E280" i="53"/>
  <c r="J279" i="53"/>
  <c r="E279" i="53" s="1"/>
  <c r="J278" i="53"/>
  <c r="E278" i="53"/>
  <c r="J277" i="53"/>
  <c r="E277" i="53"/>
  <c r="J276" i="53"/>
  <c r="E276" i="53"/>
  <c r="J275" i="53"/>
  <c r="E275" i="53" s="1"/>
  <c r="J274" i="53"/>
  <c r="E274" i="53"/>
  <c r="J273" i="53"/>
  <c r="E273" i="53" s="1"/>
  <c r="J272" i="53"/>
  <c r="E272" i="53"/>
  <c r="J271" i="53"/>
  <c r="E271" i="53" s="1"/>
  <c r="J270" i="53"/>
  <c r="E270" i="53"/>
  <c r="J269" i="53"/>
  <c r="E269" i="53" s="1"/>
  <c r="J268" i="53"/>
  <c r="E268" i="53"/>
  <c r="J267" i="53"/>
  <c r="E267" i="53" s="1"/>
  <c r="J266" i="53"/>
  <c r="E266" i="53"/>
  <c r="J265" i="53"/>
  <c r="E265" i="53"/>
  <c r="J264" i="53"/>
  <c r="E264" i="53" s="1"/>
  <c r="J263" i="53"/>
  <c r="E263" i="53" s="1"/>
  <c r="J262" i="53"/>
  <c r="E262" i="53"/>
  <c r="J261" i="53"/>
  <c r="E261" i="53"/>
  <c r="J260" i="53"/>
  <c r="E260" i="53"/>
  <c r="J259" i="53"/>
  <c r="E259" i="53" s="1"/>
  <c r="J258" i="53"/>
  <c r="E258" i="53"/>
  <c r="J257" i="53"/>
  <c r="E257" i="53"/>
  <c r="J256" i="53"/>
  <c r="E256" i="53"/>
  <c r="J255" i="53"/>
  <c r="E255" i="53" s="1"/>
  <c r="J254" i="53"/>
  <c r="E254" i="53"/>
  <c r="J253" i="53"/>
  <c r="E253" i="53" s="1"/>
  <c r="J252" i="53"/>
  <c r="E252" i="53"/>
  <c r="J251" i="53"/>
  <c r="E251" i="53" s="1"/>
  <c r="J250" i="53"/>
  <c r="E250" i="53" s="1"/>
  <c r="J249" i="53"/>
  <c r="E249" i="53"/>
  <c r="J248" i="53"/>
  <c r="E248" i="53"/>
  <c r="J247" i="53"/>
  <c r="E247" i="53" s="1"/>
  <c r="J246" i="53"/>
  <c r="E246" i="53"/>
  <c r="J245" i="53"/>
  <c r="E245" i="53" s="1"/>
  <c r="J244" i="53"/>
  <c r="E244" i="53"/>
  <c r="J243" i="53"/>
  <c r="E243" i="53" s="1"/>
  <c r="J242" i="53"/>
  <c r="E242" i="53" s="1"/>
  <c r="J241" i="53"/>
  <c r="E241" i="53" s="1"/>
  <c r="J240" i="53"/>
  <c r="E240" i="53"/>
  <c r="J239" i="53"/>
  <c r="E239" i="53" s="1"/>
  <c r="J238" i="53"/>
  <c r="E238" i="53"/>
  <c r="J237" i="53"/>
  <c r="E237" i="53" s="1"/>
  <c r="J236" i="53"/>
  <c r="E236" i="53"/>
  <c r="J235" i="53"/>
  <c r="E235" i="53" s="1"/>
  <c r="J234" i="53"/>
  <c r="E234" i="53"/>
  <c r="J233" i="53"/>
  <c r="E233" i="53" s="1"/>
  <c r="J232" i="53"/>
  <c r="E232" i="53" s="1"/>
  <c r="J231" i="53"/>
  <c r="E231" i="53" s="1"/>
  <c r="J230" i="53"/>
  <c r="E230" i="53"/>
  <c r="J229" i="53"/>
  <c r="E229" i="53"/>
  <c r="J228" i="53"/>
  <c r="E228" i="53"/>
  <c r="J227" i="53"/>
  <c r="E227" i="53" s="1"/>
  <c r="J226" i="53"/>
  <c r="E226" i="53" s="1"/>
  <c r="J225" i="53"/>
  <c r="E225" i="53" s="1"/>
  <c r="J224" i="53"/>
  <c r="E224" i="53"/>
  <c r="J223" i="53"/>
  <c r="E223" i="53" s="1"/>
  <c r="J222" i="53"/>
  <c r="E222" i="53"/>
  <c r="J221" i="53"/>
  <c r="E221" i="53" s="1"/>
  <c r="J220" i="53"/>
  <c r="E220" i="53"/>
  <c r="J219" i="53"/>
  <c r="E219" i="53" s="1"/>
  <c r="J218" i="53"/>
  <c r="E218" i="53"/>
  <c r="J217" i="53"/>
  <c r="E217" i="53"/>
  <c r="J216" i="53"/>
  <c r="E216" i="53" s="1"/>
  <c r="J215" i="53"/>
  <c r="E215" i="53" s="1"/>
  <c r="J214" i="53"/>
  <c r="E214" i="53"/>
  <c r="J213" i="53"/>
  <c r="E213" i="53"/>
  <c r="J212" i="53"/>
  <c r="E212" i="53"/>
  <c r="J211" i="53"/>
  <c r="E211" i="53" s="1"/>
  <c r="J210" i="53"/>
  <c r="E210" i="53"/>
  <c r="J209" i="53"/>
  <c r="E209" i="53"/>
  <c r="J208" i="53"/>
  <c r="E208" i="53"/>
  <c r="J207" i="53"/>
  <c r="E207" i="53" s="1"/>
  <c r="J206" i="53"/>
  <c r="E206" i="53"/>
  <c r="J205" i="53"/>
  <c r="E205" i="53"/>
  <c r="J204" i="53"/>
  <c r="E204" i="53"/>
  <c r="J203" i="53"/>
  <c r="E203" i="53" s="1"/>
  <c r="J202" i="53"/>
  <c r="E202" i="53"/>
  <c r="J201" i="53"/>
  <c r="E201" i="53"/>
  <c r="J200" i="53"/>
  <c r="E200" i="53"/>
  <c r="J199" i="53"/>
  <c r="E199" i="53" s="1"/>
  <c r="J198" i="53"/>
  <c r="E198" i="53"/>
  <c r="J197" i="53"/>
  <c r="E197" i="53" s="1"/>
  <c r="J196" i="53"/>
  <c r="E196" i="53" s="1"/>
  <c r="J195" i="53"/>
  <c r="E195" i="53" s="1"/>
  <c r="J194" i="53"/>
  <c r="E194" i="53"/>
  <c r="J193" i="53"/>
  <c r="E193" i="53" s="1"/>
  <c r="J192" i="53"/>
  <c r="E192" i="53"/>
  <c r="J191" i="53"/>
  <c r="E191" i="53" s="1"/>
  <c r="J190" i="53"/>
  <c r="E190" i="53"/>
  <c r="J189" i="53"/>
  <c r="E189" i="53" s="1"/>
  <c r="J188" i="53"/>
  <c r="E188" i="53" s="1"/>
  <c r="J187" i="53"/>
  <c r="J186" i="53"/>
  <c r="J185" i="53"/>
  <c r="J184" i="53"/>
  <c r="J183" i="53"/>
  <c r="E183" i="53"/>
  <c r="J182" i="53"/>
  <c r="E182" i="53" s="1"/>
  <c r="D1463" i="44" s="1"/>
  <c r="J181" i="53"/>
  <c r="E181" i="53" s="1"/>
  <c r="J180" i="53"/>
  <c r="E180" i="53"/>
  <c r="J179" i="53"/>
  <c r="E179" i="53"/>
  <c r="J178" i="53"/>
  <c r="E178" i="53"/>
  <c r="J177" i="53"/>
  <c r="E177" i="53" s="1"/>
  <c r="J176" i="53"/>
  <c r="E176" i="53" s="1"/>
  <c r="J175" i="53"/>
  <c r="E175" i="53"/>
  <c r="J174" i="53"/>
  <c r="E174" i="53"/>
  <c r="J173" i="53"/>
  <c r="E173" i="53" s="1"/>
  <c r="J172" i="53"/>
  <c r="E172" i="53"/>
  <c r="J171" i="53"/>
  <c r="E171" i="53"/>
  <c r="J170" i="53"/>
  <c r="E170" i="53" s="1"/>
  <c r="J169" i="53"/>
  <c r="E169" i="53" s="1"/>
  <c r="J168" i="53"/>
  <c r="E168" i="53"/>
  <c r="J167" i="53"/>
  <c r="E167" i="53"/>
  <c r="J166" i="53"/>
  <c r="E166" i="53"/>
  <c r="J165" i="53"/>
  <c r="E165" i="53" s="1"/>
  <c r="J164" i="53"/>
  <c r="E164" i="53"/>
  <c r="J163" i="53"/>
  <c r="E163" i="53" s="1"/>
  <c r="J162" i="53"/>
  <c r="E162" i="53" s="1"/>
  <c r="J161" i="53"/>
  <c r="E161" i="53" s="1"/>
  <c r="D514" i="45" s="1"/>
  <c r="J160" i="53"/>
  <c r="E160" i="53"/>
  <c r="J159" i="53"/>
  <c r="E159" i="53"/>
  <c r="J158" i="53"/>
  <c r="J157" i="53"/>
  <c r="E157" i="53" s="1"/>
  <c r="J156" i="53"/>
  <c r="E156" i="53" s="1"/>
  <c r="D1922" i="44" s="1"/>
  <c r="F1922" i="44" s="1"/>
  <c r="G1927" i="44" s="1"/>
  <c r="J155" i="53"/>
  <c r="E155" i="53" s="1"/>
  <c r="J154" i="53"/>
  <c r="E154" i="53" s="1"/>
  <c r="J153" i="53"/>
  <c r="E153" i="53"/>
  <c r="J152" i="53"/>
  <c r="E152" i="53"/>
  <c r="J151" i="53"/>
  <c r="E151" i="53"/>
  <c r="J150" i="53"/>
  <c r="E150" i="53" s="1"/>
  <c r="J149" i="53"/>
  <c r="E149" i="53" s="1"/>
  <c r="J148" i="53"/>
  <c r="E148" i="53" s="1"/>
  <c r="D385" i="45" s="1"/>
  <c r="J147" i="53"/>
  <c r="E147" i="53"/>
  <c r="J146" i="53"/>
  <c r="E146" i="53" s="1"/>
  <c r="J145" i="53"/>
  <c r="E145" i="53"/>
  <c r="J144" i="53"/>
  <c r="E144" i="53"/>
  <c r="J143" i="53"/>
  <c r="E143" i="53"/>
  <c r="J142" i="53"/>
  <c r="E142" i="53"/>
  <c r="J141" i="53"/>
  <c r="J140" i="53"/>
  <c r="E140" i="53" s="1"/>
  <c r="J139" i="53"/>
  <c r="E139" i="53"/>
  <c r="D481" i="45" s="1"/>
  <c r="F481" i="45" s="1"/>
  <c r="J138" i="53"/>
  <c r="E138" i="53" s="1"/>
  <c r="J137" i="53"/>
  <c r="E137" i="53"/>
  <c r="J136" i="53"/>
  <c r="E136" i="53" s="1"/>
  <c r="J135" i="53"/>
  <c r="E135" i="53"/>
  <c r="J134" i="53"/>
  <c r="E134" i="53" s="1"/>
  <c r="J133" i="53"/>
  <c r="E133" i="53"/>
  <c r="J132" i="53"/>
  <c r="E132" i="53" s="1"/>
  <c r="J131" i="53"/>
  <c r="E131" i="53"/>
  <c r="J130" i="53"/>
  <c r="E130" i="53"/>
  <c r="J129" i="53"/>
  <c r="J128" i="53"/>
  <c r="J127" i="53"/>
  <c r="J126" i="53"/>
  <c r="J125" i="53"/>
  <c r="J124" i="53"/>
  <c r="E124" i="53"/>
  <c r="J123" i="53"/>
  <c r="E123" i="53" s="1"/>
  <c r="J122" i="53"/>
  <c r="E122" i="53"/>
  <c r="J121" i="53"/>
  <c r="E121" i="53" s="1"/>
  <c r="J120" i="53"/>
  <c r="E120" i="53"/>
  <c r="J119" i="53"/>
  <c r="E119" i="53" s="1"/>
  <c r="J118" i="53"/>
  <c r="E118" i="53"/>
  <c r="J117" i="53"/>
  <c r="E117" i="53"/>
  <c r="J116" i="53"/>
  <c r="E116" i="53"/>
  <c r="J115" i="53"/>
  <c r="E115" i="53"/>
  <c r="J114" i="53"/>
  <c r="E114" i="53" s="1"/>
  <c r="J113" i="53"/>
  <c r="E113" i="53" s="1"/>
  <c r="J112" i="53"/>
  <c r="E112" i="53"/>
  <c r="J111" i="53"/>
  <c r="E111" i="53" s="1"/>
  <c r="J110" i="53"/>
  <c r="E110" i="53"/>
  <c r="J109" i="53"/>
  <c r="E109" i="53"/>
  <c r="J108" i="53"/>
  <c r="E108" i="53" s="1"/>
  <c r="J107" i="53"/>
  <c r="E107" i="53" s="1"/>
  <c r="J106" i="53"/>
  <c r="E106" i="53"/>
  <c r="J105" i="53"/>
  <c r="E105" i="53" s="1"/>
  <c r="J104" i="53"/>
  <c r="E104" i="53"/>
  <c r="J103" i="53"/>
  <c r="E103" i="53" s="1"/>
  <c r="J102" i="53"/>
  <c r="E102" i="53"/>
  <c r="J101" i="53"/>
  <c r="E101" i="53"/>
  <c r="J100" i="53"/>
  <c r="E100" i="53" s="1"/>
  <c r="L99" i="53"/>
  <c r="J99" i="53"/>
  <c r="E99" i="53"/>
  <c r="L98" i="53"/>
  <c r="J98" i="53"/>
  <c r="E98" i="53" s="1"/>
  <c r="J97" i="53"/>
  <c r="E97" i="53"/>
  <c r="L96" i="53"/>
  <c r="J96" i="53"/>
  <c r="E96" i="53"/>
  <c r="J95" i="53"/>
  <c r="E95" i="53" s="1"/>
  <c r="J94" i="53"/>
  <c r="E94" i="53" s="1"/>
  <c r="J93" i="53"/>
  <c r="E93" i="53" s="1"/>
  <c r="J92" i="53"/>
  <c r="E92" i="53"/>
  <c r="J91" i="53"/>
  <c r="E91" i="53" s="1"/>
  <c r="J90" i="53"/>
  <c r="E90" i="53"/>
  <c r="J89" i="53"/>
  <c r="E89" i="53"/>
  <c r="J88" i="53"/>
  <c r="E88" i="53"/>
  <c r="J87" i="53"/>
  <c r="E87" i="53" s="1"/>
  <c r="J86" i="53"/>
  <c r="E86" i="53"/>
  <c r="J85" i="53"/>
  <c r="E85" i="53" s="1"/>
  <c r="J84" i="53"/>
  <c r="E84" i="53"/>
  <c r="J83" i="53"/>
  <c r="E83" i="53" s="1"/>
  <c r="D676" i="45" s="1"/>
  <c r="J82" i="53"/>
  <c r="E82" i="53"/>
  <c r="J81" i="53"/>
  <c r="E81" i="53" s="1"/>
  <c r="J80" i="53"/>
  <c r="E80" i="53"/>
  <c r="J79" i="53"/>
  <c r="E79" i="53" s="1"/>
  <c r="J78" i="53"/>
  <c r="E78" i="53"/>
  <c r="J77" i="53"/>
  <c r="E77" i="53" s="1"/>
  <c r="J76" i="53"/>
  <c r="E76" i="53"/>
  <c r="J75" i="53"/>
  <c r="E75" i="53" s="1"/>
  <c r="J74" i="53"/>
  <c r="E74" i="53"/>
  <c r="J73" i="53"/>
  <c r="E73" i="53" s="1"/>
  <c r="J72" i="53"/>
  <c r="E72" i="53"/>
  <c r="J71" i="53"/>
  <c r="E71" i="53" s="1"/>
  <c r="J70" i="53"/>
  <c r="E70" i="53"/>
  <c r="J69" i="53"/>
  <c r="E69" i="53"/>
  <c r="J68" i="53"/>
  <c r="E68" i="53"/>
  <c r="J67" i="53"/>
  <c r="E67" i="53" s="1"/>
  <c r="J66" i="53"/>
  <c r="E66" i="53"/>
  <c r="D954" i="38" s="1"/>
  <c r="F954" i="38" s="1"/>
  <c r="J65" i="53"/>
  <c r="E65" i="53" s="1"/>
  <c r="J64" i="53"/>
  <c r="E64" i="53"/>
  <c r="J63" i="53"/>
  <c r="E63" i="53" s="1"/>
  <c r="J62" i="53"/>
  <c r="E62" i="53" s="1"/>
  <c r="J61" i="53"/>
  <c r="E61" i="53"/>
  <c r="J60" i="53"/>
  <c r="E60" i="53"/>
  <c r="J59" i="53"/>
  <c r="E59" i="53" s="1"/>
  <c r="J58" i="53"/>
  <c r="E58" i="53"/>
  <c r="J57" i="53"/>
  <c r="E57" i="53" s="1"/>
  <c r="I57" i="53"/>
  <c r="J56" i="53"/>
  <c r="E56" i="53"/>
  <c r="J55" i="53"/>
  <c r="E55" i="53"/>
  <c r="J54" i="53"/>
  <c r="E54" i="53"/>
  <c r="J53" i="53"/>
  <c r="E53" i="53"/>
  <c r="J52" i="53"/>
  <c r="E52" i="53" s="1"/>
  <c r="J51" i="53"/>
  <c r="E51" i="53" s="1"/>
  <c r="J50" i="53"/>
  <c r="E50" i="53" s="1"/>
  <c r="J49" i="53"/>
  <c r="E49" i="53" s="1"/>
  <c r="D1403" i="41" s="1"/>
  <c r="F1403" i="41" s="1"/>
  <c r="J48" i="53"/>
  <c r="E48" i="53"/>
  <c r="D675" i="45" s="1"/>
  <c r="F675" i="45" s="1"/>
  <c r="J47" i="53"/>
  <c r="E47" i="53"/>
  <c r="J46" i="53"/>
  <c r="E46" i="53" s="1"/>
  <c r="J45" i="53"/>
  <c r="E45" i="53" s="1"/>
  <c r="J44" i="53"/>
  <c r="J43" i="53"/>
  <c r="E43" i="53" s="1"/>
  <c r="J42" i="53"/>
  <c r="E42" i="53"/>
  <c r="J41" i="53"/>
  <c r="E41" i="53"/>
  <c r="J40" i="53"/>
  <c r="E40" i="53"/>
  <c r="J39" i="53"/>
  <c r="E39" i="53" s="1"/>
  <c r="J38" i="53"/>
  <c r="E38" i="53" s="1"/>
  <c r="J37" i="53"/>
  <c r="E37" i="53"/>
  <c r="J36" i="53"/>
  <c r="E36" i="53"/>
  <c r="J35" i="53"/>
  <c r="E35" i="53" s="1"/>
  <c r="J34" i="53"/>
  <c r="E34" i="53"/>
  <c r="J33" i="53"/>
  <c r="E33" i="53" s="1"/>
  <c r="J32" i="53"/>
  <c r="E32" i="53" s="1"/>
  <c r="J31" i="53"/>
  <c r="E31" i="53" s="1"/>
  <c r="J30" i="53"/>
  <c r="E30" i="53"/>
  <c r="J29" i="53"/>
  <c r="E29" i="53" s="1"/>
  <c r="J28" i="53"/>
  <c r="E28" i="53" s="1"/>
  <c r="J27" i="53"/>
  <c r="E27" i="53" s="1"/>
  <c r="J26" i="53"/>
  <c r="E26" i="53"/>
  <c r="J25" i="53"/>
  <c r="E25" i="53" s="1"/>
  <c r="J24" i="53"/>
  <c r="E24" i="53" s="1"/>
  <c r="J23" i="53"/>
  <c r="E23" i="53" s="1"/>
  <c r="J22" i="53"/>
  <c r="E22" i="53"/>
  <c r="J21" i="53"/>
  <c r="E21" i="53"/>
  <c r="J20" i="53"/>
  <c r="E20" i="53"/>
  <c r="J19" i="53"/>
  <c r="E19" i="53" s="1"/>
  <c r="J18" i="53"/>
  <c r="E18" i="53"/>
  <c r="J17" i="53"/>
  <c r="E17" i="53"/>
  <c r="J16" i="53"/>
  <c r="E16" i="53" s="1"/>
  <c r="J15" i="53"/>
  <c r="E15" i="53" s="1"/>
  <c r="J14" i="53"/>
  <c r="E14" i="53"/>
  <c r="J13" i="53"/>
  <c r="E13" i="53" s="1"/>
  <c r="J12" i="53"/>
  <c r="E12" i="53"/>
  <c r="J11" i="53"/>
  <c r="J10" i="53"/>
  <c r="J9" i="53"/>
  <c r="A488" i="52"/>
  <c r="E487" i="52"/>
  <c r="A487" i="52"/>
  <c r="A486" i="52"/>
  <c r="D481" i="52"/>
  <c r="F481" i="52" s="1"/>
  <c r="G483" i="52" s="1"/>
  <c r="C481" i="52"/>
  <c r="A481" i="52"/>
  <c r="E477" i="52"/>
  <c r="C477" i="52"/>
  <c r="A477" i="52"/>
  <c r="D476" i="52"/>
  <c r="F476" i="52" s="1"/>
  <c r="C476" i="52"/>
  <c r="A476" i="52"/>
  <c r="F475" i="52"/>
  <c r="E475" i="52"/>
  <c r="D475" i="52"/>
  <c r="C475" i="52"/>
  <c r="A475" i="52"/>
  <c r="E474" i="52"/>
  <c r="D474" i="52"/>
  <c r="C474" i="52"/>
  <c r="A474" i="52"/>
  <c r="E473" i="52"/>
  <c r="F473" i="52" s="1"/>
  <c r="D473" i="52"/>
  <c r="C473" i="52"/>
  <c r="A473" i="52"/>
  <c r="A469" i="52"/>
  <c r="D468" i="52"/>
  <c r="F468" i="52" s="1"/>
  <c r="G470" i="52" s="1"/>
  <c r="A468" i="52"/>
  <c r="A455" i="52"/>
  <c r="E454" i="52"/>
  <c r="A454" i="52"/>
  <c r="A453" i="52"/>
  <c r="G450" i="52"/>
  <c r="F448" i="52"/>
  <c r="D448" i="52"/>
  <c r="C448" i="52"/>
  <c r="A448" i="52"/>
  <c r="C443" i="52"/>
  <c r="A443" i="52"/>
  <c r="C442" i="52"/>
  <c r="A442" i="52"/>
  <c r="F441" i="52"/>
  <c r="D441" i="52"/>
  <c r="C441" i="52"/>
  <c r="A441" i="52"/>
  <c r="F440" i="52"/>
  <c r="D440" i="52"/>
  <c r="C440" i="52"/>
  <c r="A440" i="52"/>
  <c r="F439" i="52"/>
  <c r="D439" i="52"/>
  <c r="C439" i="52"/>
  <c r="A439" i="52"/>
  <c r="G436" i="52"/>
  <c r="A435" i="52"/>
  <c r="A421" i="52"/>
  <c r="A419" i="52"/>
  <c r="G411" i="52"/>
  <c r="F407" i="52"/>
  <c r="A389" i="52"/>
  <c r="E388" i="52"/>
  <c r="A388" i="52"/>
  <c r="A387" i="52"/>
  <c r="D382" i="52"/>
  <c r="F382" i="52" s="1"/>
  <c r="C382" i="52"/>
  <c r="A382" i="52"/>
  <c r="C378" i="52"/>
  <c r="A378" i="52"/>
  <c r="C377" i="52"/>
  <c r="A377" i="52"/>
  <c r="D376" i="52"/>
  <c r="F376" i="52" s="1"/>
  <c r="C376" i="52"/>
  <c r="A376" i="52"/>
  <c r="G373" i="52"/>
  <c r="E372" i="52"/>
  <c r="D372" i="52"/>
  <c r="F372" i="52" s="1"/>
  <c r="A372" i="52"/>
  <c r="F371" i="52"/>
  <c r="D371" i="52"/>
  <c r="A371" i="52"/>
  <c r="A358" i="52"/>
  <c r="E357" i="52"/>
  <c r="A357" i="52"/>
  <c r="A356" i="52"/>
  <c r="C347" i="52"/>
  <c r="A347" i="52"/>
  <c r="C346" i="52"/>
  <c r="A346" i="52"/>
  <c r="C345" i="52"/>
  <c r="A345" i="52"/>
  <c r="C344" i="52"/>
  <c r="A344" i="52"/>
  <c r="G341" i="52"/>
  <c r="A339" i="52"/>
  <c r="A326" i="52"/>
  <c r="E325" i="52"/>
  <c r="A325" i="52"/>
  <c r="A324" i="52"/>
  <c r="C315" i="52"/>
  <c r="A315" i="52"/>
  <c r="C314" i="52"/>
  <c r="A314" i="52"/>
  <c r="F313" i="52"/>
  <c r="D313" i="52"/>
  <c r="C313" i="52"/>
  <c r="A313" i="52"/>
  <c r="F312" i="52"/>
  <c r="D312" i="52"/>
  <c r="C312" i="52"/>
  <c r="A312" i="52"/>
  <c r="D311" i="52"/>
  <c r="F311" i="52" s="1"/>
  <c r="C311" i="52"/>
  <c r="A311" i="52"/>
  <c r="F310" i="52"/>
  <c r="D310" i="52"/>
  <c r="C310" i="52"/>
  <c r="A310" i="52"/>
  <c r="D309" i="52"/>
  <c r="F309" i="52" s="1"/>
  <c r="C309" i="52"/>
  <c r="A309" i="52"/>
  <c r="F308" i="52"/>
  <c r="D308" i="52"/>
  <c r="C308" i="52"/>
  <c r="A308" i="52"/>
  <c r="F303" i="52"/>
  <c r="G305" i="52" s="1"/>
  <c r="E303" i="52"/>
  <c r="D303" i="52"/>
  <c r="A303" i="52"/>
  <c r="A290" i="52"/>
  <c r="E289" i="52"/>
  <c r="A289" i="52"/>
  <c r="A288" i="52"/>
  <c r="C279" i="52"/>
  <c r="A279" i="52"/>
  <c r="C278" i="52"/>
  <c r="A278" i="52"/>
  <c r="C277" i="52"/>
  <c r="A277" i="52"/>
  <c r="C276" i="52"/>
  <c r="A276" i="52"/>
  <c r="E271" i="52"/>
  <c r="F271" i="52" s="1"/>
  <c r="G273" i="52" s="1"/>
  <c r="D271" i="52"/>
  <c r="A271" i="52"/>
  <c r="A258" i="52"/>
  <c r="E257" i="52"/>
  <c r="A257" i="52"/>
  <c r="A256" i="52"/>
  <c r="F251" i="52"/>
  <c r="D251" i="52"/>
  <c r="C251" i="52"/>
  <c r="A251" i="52"/>
  <c r="A247" i="52"/>
  <c r="C246" i="52"/>
  <c r="A246" i="52"/>
  <c r="E245" i="52"/>
  <c r="C245" i="52"/>
  <c r="A245" i="52"/>
  <c r="D244" i="52"/>
  <c r="F244" i="52" s="1"/>
  <c r="C244" i="52"/>
  <c r="A244" i="52"/>
  <c r="F240" i="52"/>
  <c r="E240" i="52"/>
  <c r="D240" i="52"/>
  <c r="A240" i="52"/>
  <c r="D239" i="52"/>
  <c r="F239" i="52" s="1"/>
  <c r="G241" i="52" s="1"/>
  <c r="A239" i="52"/>
  <c r="A226" i="52"/>
  <c r="E225" i="52"/>
  <c r="A225" i="52"/>
  <c r="A224" i="52"/>
  <c r="D219" i="52"/>
  <c r="F219" i="52" s="1"/>
  <c r="G221" i="52" s="1"/>
  <c r="C219" i="52"/>
  <c r="A219" i="52"/>
  <c r="C214" i="52"/>
  <c r="A214" i="52"/>
  <c r="C213" i="52"/>
  <c r="A213" i="52"/>
  <c r="D212" i="52"/>
  <c r="F212" i="52" s="1"/>
  <c r="C212" i="52"/>
  <c r="A212" i="52"/>
  <c r="F208" i="52"/>
  <c r="G209" i="52" s="1"/>
  <c r="E208" i="52"/>
  <c r="D208" i="52"/>
  <c r="A208" i="52"/>
  <c r="F207" i="52"/>
  <c r="D207" i="52"/>
  <c r="A207" i="52"/>
  <c r="A194" i="52"/>
  <c r="E193" i="52"/>
  <c r="A193" i="52"/>
  <c r="A192" i="52"/>
  <c r="F187" i="52"/>
  <c r="G189" i="52" s="1"/>
  <c r="D187" i="52"/>
  <c r="C187" i="52"/>
  <c r="A187" i="52"/>
  <c r="A183" i="52"/>
  <c r="C182" i="52"/>
  <c r="A182" i="52"/>
  <c r="C181" i="52"/>
  <c r="A181" i="52"/>
  <c r="F180" i="52"/>
  <c r="D180" i="52"/>
  <c r="C180" i="52"/>
  <c r="A180" i="52"/>
  <c r="E176" i="52"/>
  <c r="D176" i="52"/>
  <c r="F176" i="52" s="1"/>
  <c r="G177" i="52" s="1"/>
  <c r="A176" i="52"/>
  <c r="F175" i="52"/>
  <c r="D175" i="52"/>
  <c r="A175" i="52"/>
  <c r="A162" i="52"/>
  <c r="E161" i="52"/>
  <c r="A161" i="52"/>
  <c r="A160" i="52"/>
  <c r="G157" i="52"/>
  <c r="F155" i="52"/>
  <c r="D155" i="52"/>
  <c r="C155" i="52"/>
  <c r="A155" i="52"/>
  <c r="C150" i="52"/>
  <c r="A150" i="52"/>
  <c r="C149" i="52"/>
  <c r="A149" i="52"/>
  <c r="F148" i="52"/>
  <c r="D148" i="52"/>
  <c r="C148" i="52"/>
  <c r="A148" i="52"/>
  <c r="E144" i="52"/>
  <c r="D144" i="52"/>
  <c r="F144" i="52" s="1"/>
  <c r="A144" i="52"/>
  <c r="D143" i="52"/>
  <c r="F143" i="52" s="1"/>
  <c r="G145" i="52" s="1"/>
  <c r="A143" i="52"/>
  <c r="A130" i="52"/>
  <c r="E129" i="52"/>
  <c r="A129" i="52"/>
  <c r="A128" i="52"/>
  <c r="D123" i="52"/>
  <c r="F123" i="52" s="1"/>
  <c r="G125" i="52" s="1"/>
  <c r="C123" i="52"/>
  <c r="A123" i="52"/>
  <c r="D119" i="52"/>
  <c r="F119" i="52" s="1"/>
  <c r="C119" i="52"/>
  <c r="A119" i="52"/>
  <c r="F118" i="52"/>
  <c r="D118" i="52"/>
  <c r="C118" i="52"/>
  <c r="A118" i="52"/>
  <c r="D117" i="52"/>
  <c r="F117" i="52" s="1"/>
  <c r="C117" i="52"/>
  <c r="A117" i="52"/>
  <c r="F116" i="52"/>
  <c r="D116" i="52"/>
  <c r="C116" i="52"/>
  <c r="A116" i="52"/>
  <c r="E112" i="52"/>
  <c r="F112" i="52" s="1"/>
  <c r="D112" i="52"/>
  <c r="A112" i="52"/>
  <c r="D111" i="52"/>
  <c r="A111" i="52"/>
  <c r="A98" i="52"/>
  <c r="E97" i="52"/>
  <c r="A97" i="52"/>
  <c r="A96" i="52"/>
  <c r="D91" i="52"/>
  <c r="F91" i="52" s="1"/>
  <c r="G93" i="52" s="1"/>
  <c r="C91" i="52"/>
  <c r="A91" i="52"/>
  <c r="D87" i="52"/>
  <c r="F87" i="52" s="1"/>
  <c r="C87" i="52"/>
  <c r="A87" i="52"/>
  <c r="F86" i="52"/>
  <c r="D86" i="52"/>
  <c r="C86" i="52"/>
  <c r="A86" i="52"/>
  <c r="D85" i="52"/>
  <c r="F85" i="52" s="1"/>
  <c r="C85" i="52"/>
  <c r="A85" i="52"/>
  <c r="F84" i="52"/>
  <c r="D84" i="52"/>
  <c r="C84" i="52"/>
  <c r="A84" i="52"/>
  <c r="A80" i="52"/>
  <c r="E79" i="52"/>
  <c r="E111" i="52" s="1"/>
  <c r="D79" i="52"/>
  <c r="F79" i="52" s="1"/>
  <c r="G81" i="52" s="1"/>
  <c r="A79" i="52"/>
  <c r="A66" i="52"/>
  <c r="E65" i="52"/>
  <c r="A65" i="52"/>
  <c r="A64" i="52"/>
  <c r="D59" i="52"/>
  <c r="F59" i="52" s="1"/>
  <c r="G61" i="52" s="1"/>
  <c r="C59" i="52"/>
  <c r="A59" i="52"/>
  <c r="F55" i="52"/>
  <c r="D55" i="52"/>
  <c r="C55" i="52"/>
  <c r="A55" i="52"/>
  <c r="D54" i="52"/>
  <c r="F54" i="52" s="1"/>
  <c r="C54" i="52"/>
  <c r="A54" i="52"/>
  <c r="D53" i="52"/>
  <c r="F53" i="52" s="1"/>
  <c r="C53" i="52"/>
  <c r="A53" i="52"/>
  <c r="F52" i="52"/>
  <c r="D52" i="52"/>
  <c r="C52" i="52"/>
  <c r="A52" i="52"/>
  <c r="G49" i="52"/>
  <c r="F48" i="52"/>
  <c r="E48" i="52"/>
  <c r="D48" i="52"/>
  <c r="A48" i="52"/>
  <c r="D47" i="52"/>
  <c r="F47" i="52" s="1"/>
  <c r="A47" i="52"/>
  <c r="A34" i="52"/>
  <c r="E33" i="52"/>
  <c r="A33" i="52"/>
  <c r="A32" i="52"/>
  <c r="G29" i="52"/>
  <c r="F27" i="52"/>
  <c r="D27" i="52"/>
  <c r="C27" i="52"/>
  <c r="A27" i="52"/>
  <c r="C23" i="52"/>
  <c r="A23" i="52"/>
  <c r="D22" i="52"/>
  <c r="F22" i="52" s="1"/>
  <c r="C22" i="52"/>
  <c r="A22" i="52"/>
  <c r="F21" i="52"/>
  <c r="D21" i="52"/>
  <c r="C21" i="52"/>
  <c r="A21" i="52"/>
  <c r="F20" i="52"/>
  <c r="D20" i="52"/>
  <c r="C20" i="52"/>
  <c r="A20" i="52"/>
  <c r="F16" i="52"/>
  <c r="E16" i="52"/>
  <c r="D16" i="52"/>
  <c r="A16" i="52"/>
  <c r="D15" i="52"/>
  <c r="F15" i="52" s="1"/>
  <c r="G17" i="52" s="1"/>
  <c r="A15" i="52"/>
  <c r="B27" i="51"/>
  <c r="D24" i="51"/>
  <c r="E24" i="51" s="1"/>
  <c r="C24" i="51"/>
  <c r="E23" i="51"/>
  <c r="C23" i="51"/>
  <c r="D23" i="51" s="1"/>
  <c r="E17" i="51"/>
  <c r="C17" i="51"/>
  <c r="D17" i="51" s="1"/>
  <c r="E16" i="51"/>
  <c r="D15" i="51"/>
  <c r="E15" i="51" s="1"/>
  <c r="C12" i="51"/>
  <c r="D12" i="51" s="1"/>
  <c r="E12" i="51" s="1"/>
  <c r="C11" i="51"/>
  <c r="D11" i="51" s="1"/>
  <c r="E11" i="51" s="1"/>
  <c r="C10" i="51"/>
  <c r="E8" i="51"/>
  <c r="E6" i="51"/>
  <c r="C6" i="51"/>
  <c r="D6" i="51" s="1"/>
  <c r="E4" i="51"/>
  <c r="C4" i="51"/>
  <c r="D4" i="51" s="1"/>
  <c r="H74" i="49"/>
  <c r="H70" i="49"/>
  <c r="H69" i="49"/>
  <c r="H65" i="49"/>
  <c r="H64" i="49"/>
  <c r="H63" i="49"/>
  <c r="H61" i="49"/>
  <c r="H59" i="49"/>
  <c r="H57" i="49"/>
  <c r="H51" i="49"/>
  <c r="C42" i="49"/>
  <c r="H41" i="49"/>
  <c r="H40" i="49"/>
  <c r="R37" i="49"/>
  <c r="H37" i="49"/>
  <c r="E264" i="46" s="1"/>
  <c r="H35" i="49"/>
  <c r="R34" i="49"/>
  <c r="R33" i="49"/>
  <c r="R32" i="49"/>
  <c r="R31" i="49"/>
  <c r="R30" i="49"/>
  <c r="R29" i="49"/>
  <c r="R28" i="49"/>
  <c r="H28" i="49"/>
  <c r="H27" i="49"/>
  <c r="H26" i="49"/>
  <c r="H25" i="49"/>
  <c r="R24" i="49"/>
  <c r="H24" i="49"/>
  <c r="H23" i="49"/>
  <c r="H22" i="49"/>
  <c r="R21" i="49"/>
  <c r="R20" i="49"/>
  <c r="H19" i="49"/>
  <c r="H17" i="49"/>
  <c r="R15" i="49"/>
  <c r="H13" i="49"/>
  <c r="R10" i="49"/>
  <c r="H8" i="49"/>
  <c r="H5" i="49"/>
  <c r="J111" i="48"/>
  <c r="E482" i="46" s="1"/>
  <c r="I110" i="48"/>
  <c r="J110" i="48" s="1"/>
  <c r="J109" i="48"/>
  <c r="J108" i="48"/>
  <c r="E550" i="46" s="1"/>
  <c r="J107" i="48"/>
  <c r="J106" i="48"/>
  <c r="J105" i="48"/>
  <c r="E406" i="46" s="1"/>
  <c r="G406" i="46" s="1"/>
  <c r="J104" i="48"/>
  <c r="J103" i="48"/>
  <c r="J102" i="48"/>
  <c r="J101" i="48"/>
  <c r="E296" i="46" s="1"/>
  <c r="J100" i="48"/>
  <c r="J99" i="48"/>
  <c r="E22" i="46" s="1"/>
  <c r="J98" i="48"/>
  <c r="J97" i="48"/>
  <c r="J96" i="48"/>
  <c r="E19" i="46" s="1"/>
  <c r="G19" i="46" s="1"/>
  <c r="I96" i="48"/>
  <c r="J95" i="48"/>
  <c r="E18" i="46" s="1"/>
  <c r="G18" i="46" s="1"/>
  <c r="J94" i="48"/>
  <c r="E17" i="46" s="1"/>
  <c r="G17" i="46" s="1"/>
  <c r="J93" i="48"/>
  <c r="E16" i="46" s="1"/>
  <c r="J92" i="48"/>
  <c r="E15" i="46" s="1"/>
  <c r="G15" i="46" s="1"/>
  <c r="J91" i="48"/>
  <c r="J90" i="48"/>
  <c r="J89" i="48"/>
  <c r="J88" i="48"/>
  <c r="E11" i="46" s="1"/>
  <c r="G11" i="46" s="1"/>
  <c r="I88" i="48"/>
  <c r="J87" i="48"/>
  <c r="J86" i="48"/>
  <c r="J85" i="48"/>
  <c r="F85" i="48"/>
  <c r="G84" i="48"/>
  <c r="J84" i="48" s="1"/>
  <c r="E7" i="46" s="1"/>
  <c r="G7" i="46" s="1"/>
  <c r="J83" i="48"/>
  <c r="E548" i="46" s="1"/>
  <c r="G548" i="46" s="1"/>
  <c r="J82" i="48"/>
  <c r="J81" i="48"/>
  <c r="J80" i="48"/>
  <c r="J79" i="48"/>
  <c r="J78" i="48"/>
  <c r="J77" i="48"/>
  <c r="J76" i="48"/>
  <c r="J75" i="48"/>
  <c r="J74" i="48"/>
  <c r="J73" i="48"/>
  <c r="J72" i="48"/>
  <c r="J71" i="48"/>
  <c r="J70" i="48"/>
  <c r="J69" i="48"/>
  <c r="J68" i="48"/>
  <c r="J67" i="48"/>
  <c r="J66" i="48"/>
  <c r="J65" i="48"/>
  <c r="J64" i="48"/>
  <c r="J63" i="48"/>
  <c r="J62" i="48"/>
  <c r="J61" i="48"/>
  <c r="J60" i="48"/>
  <c r="J59" i="48"/>
  <c r="J58" i="48"/>
  <c r="J57" i="48"/>
  <c r="J56" i="48"/>
  <c r="J55" i="48"/>
  <c r="J54" i="48"/>
  <c r="J53" i="48"/>
  <c r="J52" i="48"/>
  <c r="J51" i="48"/>
  <c r="J50" i="48"/>
  <c r="J49" i="48"/>
  <c r="J48" i="48"/>
  <c r="J47" i="48"/>
  <c r="J46" i="48"/>
  <c r="J45" i="48"/>
  <c r="J44" i="48"/>
  <c r="J43" i="48"/>
  <c r="J42" i="48"/>
  <c r="J41" i="48"/>
  <c r="J40" i="48"/>
  <c r="J39" i="48"/>
  <c r="J38" i="48"/>
  <c r="J37" i="48"/>
  <c r="J36" i="48"/>
  <c r="J35" i="48"/>
  <c r="J34" i="48"/>
  <c r="J33" i="48"/>
  <c r="J32" i="48"/>
  <c r="J31" i="48"/>
  <c r="J30" i="48"/>
  <c r="J29" i="48"/>
  <c r="J28" i="48"/>
  <c r="J27" i="48"/>
  <c r="J26" i="48"/>
  <c r="J25" i="48"/>
  <c r="J24" i="48"/>
  <c r="J23" i="48"/>
  <c r="J22" i="48"/>
  <c r="J21" i="48"/>
  <c r="J20" i="48"/>
  <c r="J19" i="48"/>
  <c r="J18" i="48"/>
  <c r="J17" i="48"/>
  <c r="E476" i="46" s="1"/>
  <c r="J16" i="48"/>
  <c r="J15" i="48"/>
  <c r="J14" i="48"/>
  <c r="J13" i="48"/>
  <c r="E404" i="46" s="1"/>
  <c r="G404" i="46" s="1"/>
  <c r="J12" i="48"/>
  <c r="J11" i="48"/>
  <c r="J10" i="48"/>
  <c r="J9" i="48"/>
  <c r="J8" i="48"/>
  <c r="J7" i="48"/>
  <c r="J6" i="48"/>
  <c r="J5" i="48"/>
  <c r="C58" i="47"/>
  <c r="G40" i="47"/>
  <c r="G41" i="47" s="1"/>
  <c r="D40" i="47" s="1"/>
  <c r="C34" i="47"/>
  <c r="D20" i="47"/>
  <c r="E19" i="47"/>
  <c r="E16" i="47"/>
  <c r="G608" i="46"/>
  <c r="G606" i="46"/>
  <c r="G600" i="46"/>
  <c r="G601" i="46" s="1"/>
  <c r="G596" i="46"/>
  <c r="G588" i="46"/>
  <c r="G587" i="46"/>
  <c r="G586" i="46"/>
  <c r="G585" i="46"/>
  <c r="G584" i="46"/>
  <c r="G569" i="46"/>
  <c r="G568" i="46"/>
  <c r="G567" i="46"/>
  <c r="G556" i="46"/>
  <c r="G555" i="46"/>
  <c r="G554" i="46"/>
  <c r="E554" i="46"/>
  <c r="E553" i="46"/>
  <c r="G553" i="46" s="1"/>
  <c r="G552" i="46"/>
  <c r="E552" i="46"/>
  <c r="G550" i="46"/>
  <c r="E549" i="46"/>
  <c r="G549" i="46" s="1"/>
  <c r="G537" i="46"/>
  <c r="F537" i="46"/>
  <c r="G536" i="46"/>
  <c r="G538" i="46" s="1"/>
  <c r="G532" i="46"/>
  <c r="G531" i="46"/>
  <c r="G533" i="46" s="1"/>
  <c r="G520" i="46"/>
  <c r="G519" i="46"/>
  <c r="G528" i="46" s="1"/>
  <c r="G540" i="46" s="1"/>
  <c r="G518" i="46"/>
  <c r="G517" i="46"/>
  <c r="G516" i="46"/>
  <c r="G515" i="46"/>
  <c r="G514" i="46"/>
  <c r="G513" i="46"/>
  <c r="G512" i="46"/>
  <c r="G496" i="46"/>
  <c r="G495" i="46"/>
  <c r="G497" i="46" s="1"/>
  <c r="G484" i="46"/>
  <c r="G483" i="46"/>
  <c r="G482" i="46"/>
  <c r="G479" i="46"/>
  <c r="E479" i="46"/>
  <c r="E478" i="46"/>
  <c r="G478" i="46" s="1"/>
  <c r="G477" i="46"/>
  <c r="E477" i="46"/>
  <c r="G476" i="46"/>
  <c r="G465" i="46"/>
  <c r="F465" i="46"/>
  <c r="G464" i="46"/>
  <c r="G466" i="46" s="1"/>
  <c r="G460" i="46"/>
  <c r="G459" i="46"/>
  <c r="G461" i="46" s="1"/>
  <c r="G448" i="46"/>
  <c r="G447" i="46"/>
  <c r="G446" i="46"/>
  <c r="G445" i="46"/>
  <c r="G444" i="46"/>
  <c r="G443" i="46"/>
  <c r="G442" i="46"/>
  <c r="G441" i="46"/>
  <c r="G440" i="46"/>
  <c r="G424" i="46"/>
  <c r="G425" i="46" s="1"/>
  <c r="G423" i="46"/>
  <c r="G412" i="46"/>
  <c r="G411" i="46"/>
  <c r="G410" i="46"/>
  <c r="G409" i="46"/>
  <c r="G408" i="46"/>
  <c r="E407" i="46"/>
  <c r="G407" i="46" s="1"/>
  <c r="F393" i="46"/>
  <c r="G393" i="46" s="1"/>
  <c r="G392" i="46"/>
  <c r="G394" i="46" s="1"/>
  <c r="G389" i="46"/>
  <c r="G388" i="46"/>
  <c r="G387" i="46"/>
  <c r="G384" i="46"/>
  <c r="G375" i="46"/>
  <c r="G374" i="46"/>
  <c r="G373" i="46"/>
  <c r="G372" i="46"/>
  <c r="G371" i="46"/>
  <c r="G370" i="46"/>
  <c r="G369" i="46"/>
  <c r="G368" i="46"/>
  <c r="F357" i="46"/>
  <c r="G357" i="46" s="1"/>
  <c r="G356" i="46"/>
  <c r="G352" i="46"/>
  <c r="G353" i="46" s="1"/>
  <c r="G351" i="46"/>
  <c r="G339" i="46"/>
  <c r="G338" i="46"/>
  <c r="G337" i="46"/>
  <c r="G348" i="46" s="1"/>
  <c r="G336" i="46"/>
  <c r="G335" i="46"/>
  <c r="G334" i="46"/>
  <c r="G333" i="46"/>
  <c r="G332" i="46"/>
  <c r="F321" i="46"/>
  <c r="F320" i="46"/>
  <c r="G316" i="46"/>
  <c r="G315" i="46"/>
  <c r="G317" i="46" s="1"/>
  <c r="G303" i="46"/>
  <c r="G302" i="46"/>
  <c r="G301" i="46"/>
  <c r="G300" i="46"/>
  <c r="G299" i="46"/>
  <c r="E298" i="46"/>
  <c r="G298" i="46" s="1"/>
  <c r="E297" i="46"/>
  <c r="G297" i="46" s="1"/>
  <c r="G296" i="46"/>
  <c r="G280" i="46"/>
  <c r="G279" i="46"/>
  <c r="E267" i="46"/>
  <c r="G267" i="46" s="1"/>
  <c r="G266" i="46"/>
  <c r="E266" i="46"/>
  <c r="E265" i="46"/>
  <c r="G265" i="46" s="1"/>
  <c r="G264" i="46"/>
  <c r="G263" i="46"/>
  <c r="E263" i="46"/>
  <c r="E262" i="46"/>
  <c r="G262" i="46" s="1"/>
  <c r="G261" i="46"/>
  <c r="E261" i="46"/>
  <c r="E260" i="46"/>
  <c r="G260" i="46" s="1"/>
  <c r="A254" i="46"/>
  <c r="A290" i="46" s="1"/>
  <c r="A362" i="46" s="1"/>
  <c r="A398" i="46" s="1"/>
  <c r="A470" i="46" s="1"/>
  <c r="A542" i="46" s="1"/>
  <c r="G249" i="46"/>
  <c r="F249" i="46"/>
  <c r="G248" i="46"/>
  <c r="G245" i="46"/>
  <c r="G244" i="46"/>
  <c r="G243" i="46"/>
  <c r="G240" i="46"/>
  <c r="G224" i="46"/>
  <c r="G214" i="46"/>
  <c r="G213" i="46"/>
  <c r="F213" i="46"/>
  <c r="G212" i="46"/>
  <c r="G209" i="46"/>
  <c r="G208" i="46"/>
  <c r="G207" i="46"/>
  <c r="G204" i="46"/>
  <c r="G188" i="46"/>
  <c r="G180" i="46"/>
  <c r="F177" i="46"/>
  <c r="G177" i="46" s="1"/>
  <c r="G176" i="46"/>
  <c r="G178" i="46" s="1"/>
  <c r="G172" i="46"/>
  <c r="G171" i="46"/>
  <c r="G173" i="46" s="1"/>
  <c r="G157" i="46"/>
  <c r="G156" i="46"/>
  <c r="G155" i="46"/>
  <c r="G154" i="46"/>
  <c r="G153" i="46"/>
  <c r="G152" i="46"/>
  <c r="G168" i="46" s="1"/>
  <c r="G141" i="46"/>
  <c r="F141" i="46"/>
  <c r="G140" i="46"/>
  <c r="G142" i="46" s="1"/>
  <c r="G136" i="46"/>
  <c r="G135" i="46"/>
  <c r="G137" i="46" s="1"/>
  <c r="G122" i="46"/>
  <c r="G121" i="46"/>
  <c r="G120" i="46"/>
  <c r="G119" i="46"/>
  <c r="G118" i="46"/>
  <c r="G117" i="46"/>
  <c r="G116" i="46"/>
  <c r="G105" i="46"/>
  <c r="F105" i="46"/>
  <c r="G104" i="46"/>
  <c r="G106" i="46" s="1"/>
  <c r="G101" i="46"/>
  <c r="G100" i="46"/>
  <c r="G99" i="46"/>
  <c r="G86" i="46"/>
  <c r="G85" i="46"/>
  <c r="G84" i="46"/>
  <c r="G83" i="46"/>
  <c r="G82" i="46"/>
  <c r="G81" i="46"/>
  <c r="G80" i="46"/>
  <c r="G70" i="46"/>
  <c r="G69" i="46"/>
  <c r="G68" i="46"/>
  <c r="G64" i="46"/>
  <c r="G63" i="46"/>
  <c r="G57" i="46"/>
  <c r="G56" i="46"/>
  <c r="G55" i="46"/>
  <c r="G54" i="46"/>
  <c r="G53" i="46"/>
  <c r="G52" i="46"/>
  <c r="G51" i="46"/>
  <c r="G50" i="46"/>
  <c r="G60" i="46" s="1"/>
  <c r="G49" i="46"/>
  <c r="G48" i="46"/>
  <c r="G47" i="46"/>
  <c r="G46" i="46"/>
  <c r="G45" i="46"/>
  <c r="G44" i="46"/>
  <c r="G29" i="46"/>
  <c r="G28" i="46"/>
  <c r="G27" i="46"/>
  <c r="E23" i="46"/>
  <c r="G23" i="46" s="1"/>
  <c r="G22" i="46"/>
  <c r="E21" i="46"/>
  <c r="G21" i="46" s="1"/>
  <c r="G20" i="46"/>
  <c r="E20" i="46"/>
  <c r="G16" i="46"/>
  <c r="G14" i="46"/>
  <c r="E14" i="46"/>
  <c r="E13" i="46"/>
  <c r="G13" i="46" s="1"/>
  <c r="G12" i="46"/>
  <c r="E12" i="46"/>
  <c r="G10" i="46"/>
  <c r="E10" i="46"/>
  <c r="G9" i="46"/>
  <c r="E9" i="46"/>
  <c r="E8" i="46"/>
  <c r="G8" i="46" s="1"/>
  <c r="A688" i="45"/>
  <c r="E687" i="45"/>
  <c r="A687" i="45"/>
  <c r="A686" i="45"/>
  <c r="F676" i="45"/>
  <c r="C676" i="45"/>
  <c r="A676" i="45"/>
  <c r="C675" i="45"/>
  <c r="A675" i="45"/>
  <c r="F674" i="45"/>
  <c r="D674" i="45"/>
  <c r="C674" i="45"/>
  <c r="A674" i="45"/>
  <c r="C673" i="45"/>
  <c r="A673" i="45"/>
  <c r="D669" i="45"/>
  <c r="F669" i="45" s="1"/>
  <c r="G670" i="45" s="1"/>
  <c r="A669" i="45"/>
  <c r="A668" i="45"/>
  <c r="A655" i="45"/>
  <c r="A653" i="45"/>
  <c r="F643" i="45"/>
  <c r="F642" i="45"/>
  <c r="D642" i="45"/>
  <c r="C642" i="45"/>
  <c r="A642" i="45"/>
  <c r="C641" i="45"/>
  <c r="A641" i="45"/>
  <c r="F637" i="45"/>
  <c r="D637" i="45"/>
  <c r="A637" i="45"/>
  <c r="F636" i="45"/>
  <c r="D636" i="45"/>
  <c r="A636" i="45"/>
  <c r="A623" i="45"/>
  <c r="A621" i="45"/>
  <c r="F611" i="45"/>
  <c r="D611" i="45"/>
  <c r="C611" i="45"/>
  <c r="A611" i="45"/>
  <c r="D610" i="45"/>
  <c r="F610" i="45" s="1"/>
  <c r="C610" i="45"/>
  <c r="A610" i="45"/>
  <c r="C609" i="45"/>
  <c r="A609" i="45"/>
  <c r="E604" i="45"/>
  <c r="F604" i="45" s="1"/>
  <c r="G606" i="45" s="1"/>
  <c r="D604" i="45"/>
  <c r="A604" i="45"/>
  <c r="A591" i="45"/>
  <c r="A589" i="45"/>
  <c r="F580" i="45"/>
  <c r="D580" i="45"/>
  <c r="C580" i="45"/>
  <c r="A580" i="45"/>
  <c r="D579" i="45"/>
  <c r="F579" i="45" s="1"/>
  <c r="C579" i="45"/>
  <c r="A579" i="45"/>
  <c r="D578" i="45"/>
  <c r="F578" i="45" s="1"/>
  <c r="C578" i="45"/>
  <c r="A578" i="45"/>
  <c r="C577" i="45"/>
  <c r="A577" i="45"/>
  <c r="E572" i="45"/>
  <c r="D572" i="45"/>
  <c r="F572" i="45" s="1"/>
  <c r="G574" i="45" s="1"/>
  <c r="A572" i="45"/>
  <c r="A559" i="45"/>
  <c r="A557" i="45"/>
  <c r="F546" i="45"/>
  <c r="D546" i="45"/>
  <c r="C546" i="45"/>
  <c r="A546" i="45"/>
  <c r="F545" i="45"/>
  <c r="G549" i="45" s="1"/>
  <c r="D545" i="45"/>
  <c r="C545" i="45"/>
  <c r="A545" i="45"/>
  <c r="G542" i="45"/>
  <c r="F540" i="45"/>
  <c r="E540" i="45"/>
  <c r="D540" i="45"/>
  <c r="A540" i="45"/>
  <c r="A527" i="45"/>
  <c r="A525" i="45"/>
  <c r="C516" i="45"/>
  <c r="A516" i="45"/>
  <c r="C515" i="45"/>
  <c r="A515" i="45"/>
  <c r="F514" i="45"/>
  <c r="C514" i="45"/>
  <c r="A514" i="45"/>
  <c r="D513" i="45"/>
  <c r="F513" i="45" s="1"/>
  <c r="C513" i="45"/>
  <c r="A513" i="45"/>
  <c r="D509" i="45"/>
  <c r="F509" i="45" s="1"/>
  <c r="A509" i="45"/>
  <c r="E508" i="45"/>
  <c r="D508" i="45"/>
  <c r="F508" i="45" s="1"/>
  <c r="G510" i="45" s="1"/>
  <c r="A508" i="45"/>
  <c r="A495" i="45"/>
  <c r="A493" i="45"/>
  <c r="C482" i="45"/>
  <c r="A482" i="45"/>
  <c r="C481" i="45"/>
  <c r="A481" i="45"/>
  <c r="F477" i="45"/>
  <c r="D477" i="45"/>
  <c r="A477" i="45"/>
  <c r="E476" i="45"/>
  <c r="D476" i="45"/>
  <c r="F476" i="45" s="1"/>
  <c r="G478" i="45" s="1"/>
  <c r="A476" i="45"/>
  <c r="A463" i="45"/>
  <c r="A461" i="45"/>
  <c r="D450" i="45"/>
  <c r="F450" i="45" s="1"/>
  <c r="C450" i="45"/>
  <c r="A450" i="45"/>
  <c r="C449" i="45"/>
  <c r="A449" i="45"/>
  <c r="D445" i="45"/>
  <c r="F445" i="45" s="1"/>
  <c r="A445" i="45"/>
  <c r="E444" i="45"/>
  <c r="D444" i="45"/>
  <c r="A444" i="45"/>
  <c r="A431" i="45"/>
  <c r="A429" i="45"/>
  <c r="F418" i="45"/>
  <c r="G421" i="45" s="1"/>
  <c r="D418" i="45"/>
  <c r="C418" i="45"/>
  <c r="A418" i="45"/>
  <c r="F417" i="45"/>
  <c r="D417" i="45"/>
  <c r="C417" i="45"/>
  <c r="A417" i="45"/>
  <c r="G414" i="45"/>
  <c r="F413" i="45"/>
  <c r="D413" i="45"/>
  <c r="A413" i="45"/>
  <c r="F412" i="45"/>
  <c r="D412" i="45"/>
  <c r="A412" i="45"/>
  <c r="A399" i="45"/>
  <c r="A397" i="45"/>
  <c r="F387" i="45"/>
  <c r="D387" i="45"/>
  <c r="C387" i="45"/>
  <c r="A387" i="45"/>
  <c r="F386" i="45"/>
  <c r="D386" i="45"/>
  <c r="C386" i="45"/>
  <c r="A386" i="45"/>
  <c r="F385" i="45"/>
  <c r="G389" i="45" s="1"/>
  <c r="C385" i="45"/>
  <c r="A385" i="45"/>
  <c r="D381" i="45"/>
  <c r="F381" i="45" s="1"/>
  <c r="A381" i="45"/>
  <c r="F380" i="45"/>
  <c r="G382" i="45" s="1"/>
  <c r="E380" i="45"/>
  <c r="D380" i="45"/>
  <c r="A380" i="45"/>
  <c r="A367" i="45"/>
  <c r="E366" i="45"/>
  <c r="A366" i="45"/>
  <c r="A365" i="45"/>
  <c r="D354" i="45"/>
  <c r="F354" i="45" s="1"/>
  <c r="C354" i="45"/>
  <c r="A354" i="45"/>
  <c r="D353" i="45"/>
  <c r="F353" i="45" s="1"/>
  <c r="G357" i="45" s="1"/>
  <c r="C353" i="45"/>
  <c r="A353" i="45"/>
  <c r="D349" i="45"/>
  <c r="F349" i="45" s="1"/>
  <c r="A349" i="45"/>
  <c r="E348" i="45"/>
  <c r="D348" i="45"/>
  <c r="F348" i="45" s="1"/>
  <c r="G350" i="45" s="1"/>
  <c r="A348" i="45"/>
  <c r="A335" i="45"/>
  <c r="A333" i="45"/>
  <c r="F321" i="45"/>
  <c r="G325" i="45" s="1"/>
  <c r="C321" i="45"/>
  <c r="A321" i="45"/>
  <c r="D317" i="45"/>
  <c r="F317" i="45" s="1"/>
  <c r="A317" i="45"/>
  <c r="E316" i="45"/>
  <c r="D316" i="45"/>
  <c r="F316" i="45" s="1"/>
  <c r="G318" i="45" s="1"/>
  <c r="A316" i="45"/>
  <c r="A303" i="45"/>
  <c r="A301" i="45"/>
  <c r="I292" i="45"/>
  <c r="D292" i="45"/>
  <c r="F292" i="45" s="1"/>
  <c r="C292" i="45"/>
  <c r="A292" i="45"/>
  <c r="D291" i="45"/>
  <c r="F291" i="45" s="1"/>
  <c r="C291" i="45"/>
  <c r="A291" i="45"/>
  <c r="D290" i="45"/>
  <c r="F290" i="45" s="1"/>
  <c r="G293" i="45" s="1"/>
  <c r="C290" i="45"/>
  <c r="A290" i="45"/>
  <c r="F289" i="45"/>
  <c r="C289" i="45"/>
  <c r="A289" i="45"/>
  <c r="D285" i="45"/>
  <c r="F285" i="45" s="1"/>
  <c r="A285" i="45"/>
  <c r="F284" i="45"/>
  <c r="G286" i="45" s="1"/>
  <c r="E284" i="45"/>
  <c r="D284" i="45"/>
  <c r="A284" i="45"/>
  <c r="A271" i="45"/>
  <c r="E270" i="45"/>
  <c r="A270" i="45"/>
  <c r="A269" i="45"/>
  <c r="G266" i="45"/>
  <c r="G261" i="45"/>
  <c r="C257" i="45"/>
  <c r="A257" i="45"/>
  <c r="E252" i="45"/>
  <c r="F252" i="45" s="1"/>
  <c r="G254" i="45" s="1"/>
  <c r="D252" i="45"/>
  <c r="A252" i="45"/>
  <c r="A239" i="45"/>
  <c r="E238" i="45"/>
  <c r="E221" i="45" s="1"/>
  <c r="F221" i="45" s="1"/>
  <c r="A238" i="45"/>
  <c r="A237" i="45"/>
  <c r="D226" i="45"/>
  <c r="F226" i="45" s="1"/>
  <c r="C226" i="45"/>
  <c r="A226" i="45"/>
  <c r="C225" i="45"/>
  <c r="A225" i="45"/>
  <c r="D221" i="45"/>
  <c r="A221" i="45"/>
  <c r="E220" i="45"/>
  <c r="F220" i="45" s="1"/>
  <c r="G222" i="45" s="1"/>
  <c r="D220" i="45"/>
  <c r="A220" i="45"/>
  <c r="A207" i="45"/>
  <c r="E206" i="45"/>
  <c r="A206" i="45"/>
  <c r="A205" i="45"/>
  <c r="C194" i="45"/>
  <c r="A194" i="45"/>
  <c r="C193" i="45"/>
  <c r="A193" i="45"/>
  <c r="E189" i="45"/>
  <c r="D189" i="45"/>
  <c r="A189" i="45"/>
  <c r="F188" i="45"/>
  <c r="E188" i="45"/>
  <c r="D188" i="45"/>
  <c r="A188" i="45"/>
  <c r="A175" i="45"/>
  <c r="E174" i="45"/>
  <c r="A174" i="45"/>
  <c r="A173" i="45"/>
  <c r="F161" i="45"/>
  <c r="G165" i="45" s="1"/>
  <c r="C161" i="45"/>
  <c r="A161" i="45"/>
  <c r="G158" i="45"/>
  <c r="F156" i="45"/>
  <c r="E156" i="45"/>
  <c r="D156" i="45"/>
  <c r="A156" i="45"/>
  <c r="A137" i="45"/>
  <c r="E136" i="45"/>
  <c r="A136" i="45"/>
  <c r="A135" i="45"/>
  <c r="F124" i="45"/>
  <c r="F123" i="45"/>
  <c r="F118" i="45"/>
  <c r="G120" i="45" s="1"/>
  <c r="G115" i="45"/>
  <c r="E115" i="45"/>
  <c r="D113" i="45"/>
  <c r="A99" i="45"/>
  <c r="A98" i="45"/>
  <c r="A97" i="45"/>
  <c r="F86" i="45"/>
  <c r="F80" i="45"/>
  <c r="G82" i="45" s="1"/>
  <c r="G77" i="45"/>
  <c r="E77" i="45"/>
  <c r="D75" i="45"/>
  <c r="A67" i="45"/>
  <c r="E66" i="45"/>
  <c r="A66" i="45"/>
  <c r="A65" i="45"/>
  <c r="C54" i="45"/>
  <c r="A54" i="45"/>
  <c r="C53" i="45"/>
  <c r="A53" i="45"/>
  <c r="G50" i="45"/>
  <c r="D49" i="45"/>
  <c r="F49" i="45" s="1"/>
  <c r="A49" i="45"/>
  <c r="F48" i="45"/>
  <c r="E48" i="45"/>
  <c r="D48" i="45"/>
  <c r="A48" i="45"/>
  <c r="A35" i="45"/>
  <c r="E34" i="45"/>
  <c r="A34" i="45"/>
  <c r="A33" i="45"/>
  <c r="G25" i="45"/>
  <c r="D22" i="45"/>
  <c r="F22" i="45" s="1"/>
  <c r="C22" i="45"/>
  <c r="A22" i="45"/>
  <c r="D21" i="45"/>
  <c r="F21" i="45" s="1"/>
  <c r="C21" i="45"/>
  <c r="A21" i="45"/>
  <c r="E17" i="45"/>
  <c r="D17" i="45"/>
  <c r="A17" i="45"/>
  <c r="F16" i="45"/>
  <c r="E16" i="45"/>
  <c r="D16" i="45"/>
  <c r="A16" i="45"/>
  <c r="A2357" i="44"/>
  <c r="E2356" i="44"/>
  <c r="A2356" i="44"/>
  <c r="A2355" i="44"/>
  <c r="F2346" i="44"/>
  <c r="D2346" i="44"/>
  <c r="C2346" i="44"/>
  <c r="A2346" i="44"/>
  <c r="F2345" i="44"/>
  <c r="D2345" i="44"/>
  <c r="C2345" i="44"/>
  <c r="A2345" i="44"/>
  <c r="F2344" i="44"/>
  <c r="D2344" i="44"/>
  <c r="C2344" i="44"/>
  <c r="A2344" i="44"/>
  <c r="C2343" i="44"/>
  <c r="A2343" i="44"/>
  <c r="A2338" i="44"/>
  <c r="F2337" i="44"/>
  <c r="D2337" i="44"/>
  <c r="A2337" i="44"/>
  <c r="A2336" i="44"/>
  <c r="F2335" i="44"/>
  <c r="D2335" i="44"/>
  <c r="A2335" i="44"/>
  <c r="A2322" i="44"/>
  <c r="E2321" i="44"/>
  <c r="A2321" i="44"/>
  <c r="A2320" i="44"/>
  <c r="F2308" i="44"/>
  <c r="G2312" i="44" s="1"/>
  <c r="F2303" i="44"/>
  <c r="G2305" i="44" s="1"/>
  <c r="D2303" i="44"/>
  <c r="A2303" i="44"/>
  <c r="A2290" i="44"/>
  <c r="E2289" i="44"/>
  <c r="A2289" i="44"/>
  <c r="A2288" i="44"/>
  <c r="F2279" i="44"/>
  <c r="F2278" i="44"/>
  <c r="F2277" i="44"/>
  <c r="F2276" i="44"/>
  <c r="G2273" i="44"/>
  <c r="F2272" i="44"/>
  <c r="D2271" i="44"/>
  <c r="F2271" i="44" s="1"/>
  <c r="A2271" i="44"/>
  <c r="A2257" i="44"/>
  <c r="E2256" i="44"/>
  <c r="A2256" i="44"/>
  <c r="A2255" i="44"/>
  <c r="G2252" i="44"/>
  <c r="F2245" i="44"/>
  <c r="D2245" i="44"/>
  <c r="C2245" i="44"/>
  <c r="A2245" i="44"/>
  <c r="D2244" i="44"/>
  <c r="F2244" i="44" s="1"/>
  <c r="C2244" i="44"/>
  <c r="A2244" i="44"/>
  <c r="F2243" i="44"/>
  <c r="A2239" i="44"/>
  <c r="F2238" i="44"/>
  <c r="E2238" i="44"/>
  <c r="D2238" i="44"/>
  <c r="A2238" i="44"/>
  <c r="A2225" i="44"/>
  <c r="E2224" i="44"/>
  <c r="A2224" i="44"/>
  <c r="A2223" i="44"/>
  <c r="G2220" i="44"/>
  <c r="D2213" i="44"/>
  <c r="F2213" i="44" s="1"/>
  <c r="C2213" i="44"/>
  <c r="A2213" i="44"/>
  <c r="D2212" i="44"/>
  <c r="F2212" i="44" s="1"/>
  <c r="C2212" i="44"/>
  <c r="A2212" i="44"/>
  <c r="F2211" i="44"/>
  <c r="G2215" i="44" s="1"/>
  <c r="A2207" i="44"/>
  <c r="E2206" i="44"/>
  <c r="F2206" i="44" s="1"/>
  <c r="D2206" i="44"/>
  <c r="A2206" i="44"/>
  <c r="A2193" i="44"/>
  <c r="A2192" i="44"/>
  <c r="A2191" i="44"/>
  <c r="G2188" i="44"/>
  <c r="F2181" i="44"/>
  <c r="D2181" i="44"/>
  <c r="C2181" i="44"/>
  <c r="A2181" i="44"/>
  <c r="C2180" i="44"/>
  <c r="A2180" i="44"/>
  <c r="F2179" i="44"/>
  <c r="A2175" i="44"/>
  <c r="E2174" i="44"/>
  <c r="F2174" i="44" s="1"/>
  <c r="D2174" i="44"/>
  <c r="A2174" i="44"/>
  <c r="A2161" i="44"/>
  <c r="E2160" i="44"/>
  <c r="A2160" i="44"/>
  <c r="A2159" i="44"/>
  <c r="G2156" i="44"/>
  <c r="G2151" i="44"/>
  <c r="D2149" i="44"/>
  <c r="F2149" i="44" s="1"/>
  <c r="C2149" i="44"/>
  <c r="A2149" i="44"/>
  <c r="D2148" i="44"/>
  <c r="F2148" i="44" s="1"/>
  <c r="C2148" i="44"/>
  <c r="A2148" i="44"/>
  <c r="F2147" i="44"/>
  <c r="A2143" i="44"/>
  <c r="F2142" i="44"/>
  <c r="E2142" i="44"/>
  <c r="D2142" i="44"/>
  <c r="A2142" i="44"/>
  <c r="A2129" i="44"/>
  <c r="E2128" i="44"/>
  <c r="A2128" i="44"/>
  <c r="A2127" i="44"/>
  <c r="G2124" i="44"/>
  <c r="D2117" i="44"/>
  <c r="F2117" i="44" s="1"/>
  <c r="C2117" i="44"/>
  <c r="A2117" i="44"/>
  <c r="D2116" i="44"/>
  <c r="F2116" i="44" s="1"/>
  <c r="G2119" i="44" s="1"/>
  <c r="C2116" i="44"/>
  <c r="A2116" i="44"/>
  <c r="F2115" i="44"/>
  <c r="A2111" i="44"/>
  <c r="E2110" i="44"/>
  <c r="D2110" i="44"/>
  <c r="A2110" i="44"/>
  <c r="A2097" i="44"/>
  <c r="E2096" i="44"/>
  <c r="A2096" i="44"/>
  <c r="A2095" i="44"/>
  <c r="G2092" i="44"/>
  <c r="D2085" i="44"/>
  <c r="F2085" i="44" s="1"/>
  <c r="C2085" i="44"/>
  <c r="A2085" i="44"/>
  <c r="C2084" i="44"/>
  <c r="A2084" i="44"/>
  <c r="F2083" i="44"/>
  <c r="A2079" i="44"/>
  <c r="F2078" i="44"/>
  <c r="E2078" i="44"/>
  <c r="D2078" i="44"/>
  <c r="A2078" i="44"/>
  <c r="A2065" i="44"/>
  <c r="E2064" i="44"/>
  <c r="A2064" i="44"/>
  <c r="A2063" i="44"/>
  <c r="G2060" i="44"/>
  <c r="F2053" i="44"/>
  <c r="D2053" i="44"/>
  <c r="C2053" i="44"/>
  <c r="A2053" i="44"/>
  <c r="D2052" i="44"/>
  <c r="F2052" i="44" s="1"/>
  <c r="C2052" i="44"/>
  <c r="A2052" i="44"/>
  <c r="F2051" i="44"/>
  <c r="A2047" i="44"/>
  <c r="E2046" i="44"/>
  <c r="D2046" i="44"/>
  <c r="A2046" i="44"/>
  <c r="A2033" i="44"/>
  <c r="E2032" i="44"/>
  <c r="A2032" i="44"/>
  <c r="A2031" i="44"/>
  <c r="G2028" i="44"/>
  <c r="F2021" i="44"/>
  <c r="D2021" i="44"/>
  <c r="C2021" i="44"/>
  <c r="A2021" i="44"/>
  <c r="D2020" i="44"/>
  <c r="F2020" i="44" s="1"/>
  <c r="C2020" i="44"/>
  <c r="A2020" i="44"/>
  <c r="F2019" i="44"/>
  <c r="A2015" i="44"/>
  <c r="F2014" i="44"/>
  <c r="E2014" i="44"/>
  <c r="D2014" i="44"/>
  <c r="A2014" i="44"/>
  <c r="A2001" i="44"/>
  <c r="E2000" i="44"/>
  <c r="A2000" i="44"/>
  <c r="A1999" i="44"/>
  <c r="G1996" i="44"/>
  <c r="F1989" i="44"/>
  <c r="C1989" i="44"/>
  <c r="C1761" i="44" s="1"/>
  <c r="A1989" i="44"/>
  <c r="A1957" i="44" s="1"/>
  <c r="D1988" i="44"/>
  <c r="F1988" i="44" s="1"/>
  <c r="C1988" i="44"/>
  <c r="A1988" i="44"/>
  <c r="E1987" i="44"/>
  <c r="C1987" i="44"/>
  <c r="A1987" i="44"/>
  <c r="A1983" i="44"/>
  <c r="A1982" i="44"/>
  <c r="A1969" i="44"/>
  <c r="E1968" i="44"/>
  <c r="A1968" i="44"/>
  <c r="A1967" i="44"/>
  <c r="E1957" i="44"/>
  <c r="D1957" i="44"/>
  <c r="C1957" i="44"/>
  <c r="D1956" i="44"/>
  <c r="F1956" i="44" s="1"/>
  <c r="C1956" i="44"/>
  <c r="A1956" i="44"/>
  <c r="D1955" i="44"/>
  <c r="F1955" i="44" s="1"/>
  <c r="C1955" i="44"/>
  <c r="A1955" i="44"/>
  <c r="G1952" i="44"/>
  <c r="F1951" i="44"/>
  <c r="D1951" i="44"/>
  <c r="A1951" i="44"/>
  <c r="E1950" i="44"/>
  <c r="D1950" i="44"/>
  <c r="F1950" i="44" s="1"/>
  <c r="A1950" i="44"/>
  <c r="A1937" i="44"/>
  <c r="E1936" i="44"/>
  <c r="A1936" i="44"/>
  <c r="A1935" i="44"/>
  <c r="G1932" i="44"/>
  <c r="C1922" i="44"/>
  <c r="A1922" i="44"/>
  <c r="G1919" i="44"/>
  <c r="A1917" i="44"/>
  <c r="A1904" i="44"/>
  <c r="E1903" i="44"/>
  <c r="A1903" i="44"/>
  <c r="A1902" i="44"/>
  <c r="C1890" i="44"/>
  <c r="A1890" i="44"/>
  <c r="G1887" i="44"/>
  <c r="A1885" i="44"/>
  <c r="A1872" i="44"/>
  <c r="E1871" i="44"/>
  <c r="A1871" i="44"/>
  <c r="A1870" i="44"/>
  <c r="D1860" i="44"/>
  <c r="F1860" i="44" s="1"/>
  <c r="C1860" i="44"/>
  <c r="A1860" i="44"/>
  <c r="F1859" i="44"/>
  <c r="D1859" i="44"/>
  <c r="C1859" i="44"/>
  <c r="A1859" i="44"/>
  <c r="F1858" i="44"/>
  <c r="D1858" i="44"/>
  <c r="C1858" i="44"/>
  <c r="A1858" i="44"/>
  <c r="C1857" i="44"/>
  <c r="A1857" i="44"/>
  <c r="F1852" i="44"/>
  <c r="G1854" i="44" s="1"/>
  <c r="E1852" i="44"/>
  <c r="D1852" i="44"/>
  <c r="A1852" i="44"/>
  <c r="A1839" i="44"/>
  <c r="E1838" i="44"/>
  <c r="A1838" i="44"/>
  <c r="A1837" i="44"/>
  <c r="F1827" i="44"/>
  <c r="D1827" i="44"/>
  <c r="C1827" i="44"/>
  <c r="A1827" i="44"/>
  <c r="F1826" i="44"/>
  <c r="D1826" i="44"/>
  <c r="C1826" i="44"/>
  <c r="A1826" i="44"/>
  <c r="D1825" i="44"/>
  <c r="F1825" i="44" s="1"/>
  <c r="C1825" i="44"/>
  <c r="A1825" i="44"/>
  <c r="F1824" i="44"/>
  <c r="D1824" i="44"/>
  <c r="C1824" i="44"/>
  <c r="A1824" i="44"/>
  <c r="C1823" i="44"/>
  <c r="A1823" i="44"/>
  <c r="E1818" i="44"/>
  <c r="D1818" i="44"/>
  <c r="F1818" i="44" s="1"/>
  <c r="G1820" i="44" s="1"/>
  <c r="A1818" i="44"/>
  <c r="A1805" i="44"/>
  <c r="E1804" i="44"/>
  <c r="A1804" i="44"/>
  <c r="A1803" i="44"/>
  <c r="C1794" i="44"/>
  <c r="A1794" i="44"/>
  <c r="F1793" i="44"/>
  <c r="D1793" i="44"/>
  <c r="C1793" i="44"/>
  <c r="A1793" i="44"/>
  <c r="F1792" i="44"/>
  <c r="D1792" i="44"/>
  <c r="C1792" i="44"/>
  <c r="A1792" i="44"/>
  <c r="C1791" i="44"/>
  <c r="A1791" i="44"/>
  <c r="G1788" i="44"/>
  <c r="D1786" i="44"/>
  <c r="F1786" i="44" s="1"/>
  <c r="A1786" i="44"/>
  <c r="A1773" i="44"/>
  <c r="E1772" i="44"/>
  <c r="A1772" i="44"/>
  <c r="A1771" i="44"/>
  <c r="F1761" i="44"/>
  <c r="D1761" i="44"/>
  <c r="A1761" i="44"/>
  <c r="F1760" i="44"/>
  <c r="D1760" i="44"/>
  <c r="C1760" i="44"/>
  <c r="A1760" i="44"/>
  <c r="C1759" i="44"/>
  <c r="A1759" i="44"/>
  <c r="A1755" i="44"/>
  <c r="F1754" i="44"/>
  <c r="E1754" i="44"/>
  <c r="D1754" i="44"/>
  <c r="A1754" i="44"/>
  <c r="A1741" i="44"/>
  <c r="A1740" i="44"/>
  <c r="A1739" i="44"/>
  <c r="F1728" i="44"/>
  <c r="D1728" i="44"/>
  <c r="C1728" i="44"/>
  <c r="A1728" i="44"/>
  <c r="C1727" i="44"/>
  <c r="A1727" i="44"/>
  <c r="D1722" i="44"/>
  <c r="F1722" i="44" s="1"/>
  <c r="G1724" i="44" s="1"/>
  <c r="A1722" i="44"/>
  <c r="A1708" i="44"/>
  <c r="A1707" i="44"/>
  <c r="A1706" i="44"/>
  <c r="D1694" i="44"/>
  <c r="F1694" i="44" s="1"/>
  <c r="F1688" i="44"/>
  <c r="G1690" i="44" s="1"/>
  <c r="D1688" i="44"/>
  <c r="A1688" i="44"/>
  <c r="A1675" i="44"/>
  <c r="A1674" i="44"/>
  <c r="A1673" i="44"/>
  <c r="F1662" i="44"/>
  <c r="D1662" i="44"/>
  <c r="D1661" i="44"/>
  <c r="F1661" i="44" s="1"/>
  <c r="G1657" i="44"/>
  <c r="F1655" i="44"/>
  <c r="D1655" i="44"/>
  <c r="A1655" i="44"/>
  <c r="A1642" i="44"/>
  <c r="A1641" i="44"/>
  <c r="A1640" i="44"/>
  <c r="D1622" i="44"/>
  <c r="F1622" i="44" s="1"/>
  <c r="G1624" i="44" s="1"/>
  <c r="A1622" i="44"/>
  <c r="A1609" i="44"/>
  <c r="A1608" i="44"/>
  <c r="A1607" i="44"/>
  <c r="G1591" i="44"/>
  <c r="F1589" i="44"/>
  <c r="D1589" i="44"/>
  <c r="A1589" i="44"/>
  <c r="A1576" i="44"/>
  <c r="E1575" i="44"/>
  <c r="A1575" i="44"/>
  <c r="A1574" i="44"/>
  <c r="F1563" i="44"/>
  <c r="D1563" i="44"/>
  <c r="C1563" i="44"/>
  <c r="A1563" i="44"/>
  <c r="C1562" i="44"/>
  <c r="A1562" i="44"/>
  <c r="F1561" i="44"/>
  <c r="D1561" i="44"/>
  <c r="C1561" i="44"/>
  <c r="A1561" i="44"/>
  <c r="E1556" i="44"/>
  <c r="F1556" i="44" s="1"/>
  <c r="G1558" i="44" s="1"/>
  <c r="D1556" i="44"/>
  <c r="A1556" i="44"/>
  <c r="A1543" i="44"/>
  <c r="E1542" i="44"/>
  <c r="A1542" i="44"/>
  <c r="A1541" i="44"/>
  <c r="F1528" i="44"/>
  <c r="G1533" i="44" s="1"/>
  <c r="D1528" i="44"/>
  <c r="A1528" i="44"/>
  <c r="G1525" i="44"/>
  <c r="F1523" i="44"/>
  <c r="D1523" i="44"/>
  <c r="A1523" i="44"/>
  <c r="A1510" i="44"/>
  <c r="E1509" i="44"/>
  <c r="A1509" i="44"/>
  <c r="A1508" i="44"/>
  <c r="D1496" i="44"/>
  <c r="F1496" i="44" s="1"/>
  <c r="C1496" i="44"/>
  <c r="A1496" i="44"/>
  <c r="F1495" i="44"/>
  <c r="D1495" i="44"/>
  <c r="C1495" i="44"/>
  <c r="A1495" i="44"/>
  <c r="F1490" i="44"/>
  <c r="G1492" i="44" s="1"/>
  <c r="E1490" i="44"/>
  <c r="D1490" i="44"/>
  <c r="A1490" i="44"/>
  <c r="A1478" i="44"/>
  <c r="E1477" i="44"/>
  <c r="A1477" i="44"/>
  <c r="A1476" i="44"/>
  <c r="F1463" i="44"/>
  <c r="G1468" i="44" s="1"/>
  <c r="C1463" i="44"/>
  <c r="A1463" i="44"/>
  <c r="E1458" i="44"/>
  <c r="D1458" i="44"/>
  <c r="A1458" i="44"/>
  <c r="A1445" i="44"/>
  <c r="E1444" i="44"/>
  <c r="A1444" i="44"/>
  <c r="A1443" i="44"/>
  <c r="D1432" i="44"/>
  <c r="F1432" i="44" s="1"/>
  <c r="C1432" i="44"/>
  <c r="A1432" i="44"/>
  <c r="C1431" i="44"/>
  <c r="A1431" i="44"/>
  <c r="D1430" i="44"/>
  <c r="F1430" i="44" s="1"/>
  <c r="C1430" i="44"/>
  <c r="A1430" i="44"/>
  <c r="E1425" i="44"/>
  <c r="F1425" i="44" s="1"/>
  <c r="G1427" i="44" s="1"/>
  <c r="D1425" i="44"/>
  <c r="A1425" i="44"/>
  <c r="A1412" i="44"/>
  <c r="E1411" i="44"/>
  <c r="A1411" i="44"/>
  <c r="A1410" i="44"/>
  <c r="D1399" i="44"/>
  <c r="F1399" i="44" s="1"/>
  <c r="C1399" i="44"/>
  <c r="A1399" i="44"/>
  <c r="C1398" i="44"/>
  <c r="A1398" i="44"/>
  <c r="F1397" i="44"/>
  <c r="D1397" i="44"/>
  <c r="C1397" i="44"/>
  <c r="A1397" i="44"/>
  <c r="G1394" i="44"/>
  <c r="E1392" i="44"/>
  <c r="F1392" i="44" s="1"/>
  <c r="D1392" i="44"/>
  <c r="A1392" i="44"/>
  <c r="A1380" i="44"/>
  <c r="E1379" i="44"/>
  <c r="A1379" i="44"/>
  <c r="A1378" i="44"/>
  <c r="D1367" i="44"/>
  <c r="F1367" i="44" s="1"/>
  <c r="C1367" i="44"/>
  <c r="A1367" i="44"/>
  <c r="C1366" i="44"/>
  <c r="A1366" i="44"/>
  <c r="F1365" i="44"/>
  <c r="D1365" i="44"/>
  <c r="C1365" i="44"/>
  <c r="A1365" i="44"/>
  <c r="F1360" i="44"/>
  <c r="G1362" i="44" s="1"/>
  <c r="E1360" i="44"/>
  <c r="D1360" i="44"/>
  <c r="A1360" i="44"/>
  <c r="A1348" i="44"/>
  <c r="E1347" i="44"/>
  <c r="A1347" i="44"/>
  <c r="A1346" i="44"/>
  <c r="F1335" i="44"/>
  <c r="D1335" i="44"/>
  <c r="C1335" i="44"/>
  <c r="A1335" i="44"/>
  <c r="C1334" i="44"/>
  <c r="A1334" i="44"/>
  <c r="F1333" i="44"/>
  <c r="C1333" i="44"/>
  <c r="A1333" i="44"/>
  <c r="G1330" i="44"/>
  <c r="F1328" i="44"/>
  <c r="E1328" i="44"/>
  <c r="D1328" i="44"/>
  <c r="A1328" i="44"/>
  <c r="A1316" i="44"/>
  <c r="E1315" i="44"/>
  <c r="A1315" i="44"/>
  <c r="A1314" i="44"/>
  <c r="F1303" i="44"/>
  <c r="D1303" i="44"/>
  <c r="C1303" i="44"/>
  <c r="A1303" i="44"/>
  <c r="C1302" i="44"/>
  <c r="A1302" i="44"/>
  <c r="D1301" i="44"/>
  <c r="F1301" i="44" s="1"/>
  <c r="C1301" i="44"/>
  <c r="A1301" i="44"/>
  <c r="E1296" i="44"/>
  <c r="D1296" i="44"/>
  <c r="A1296" i="44"/>
  <c r="A1284" i="44"/>
  <c r="E1283" i="44"/>
  <c r="A1283" i="44"/>
  <c r="A1282" i="44"/>
  <c r="F1271" i="44"/>
  <c r="D1271" i="44"/>
  <c r="C1271" i="44"/>
  <c r="A1271" i="44"/>
  <c r="C1270" i="44"/>
  <c r="A1270" i="44"/>
  <c r="F1269" i="44"/>
  <c r="C1269" i="44"/>
  <c r="A1269" i="44"/>
  <c r="F1264" i="44"/>
  <c r="G1266" i="44" s="1"/>
  <c r="E1264" i="44"/>
  <c r="D1264" i="44"/>
  <c r="A1264" i="44"/>
  <c r="A1252" i="44"/>
  <c r="E1251" i="44"/>
  <c r="A1251" i="44"/>
  <c r="A1250" i="44"/>
  <c r="G1247" i="44"/>
  <c r="D1239" i="44"/>
  <c r="F1239" i="44" s="1"/>
  <c r="C1239" i="44"/>
  <c r="A1239" i="44"/>
  <c r="C1238" i="44"/>
  <c r="A1238" i="44"/>
  <c r="D1237" i="44"/>
  <c r="F1237" i="44" s="1"/>
  <c r="C1237" i="44"/>
  <c r="A1237" i="44"/>
  <c r="F1232" i="44"/>
  <c r="G1234" i="44" s="1"/>
  <c r="D1232" i="44"/>
  <c r="A1232" i="44"/>
  <c r="A1220" i="44"/>
  <c r="E1219" i="44"/>
  <c r="A1219" i="44"/>
  <c r="A1218" i="44"/>
  <c r="F1207" i="44"/>
  <c r="D1207" i="44"/>
  <c r="C1207" i="44"/>
  <c r="A1207" i="44"/>
  <c r="C1206" i="44"/>
  <c r="A1206" i="44"/>
  <c r="D1205" i="44"/>
  <c r="F1205" i="44" s="1"/>
  <c r="A1205" i="44"/>
  <c r="E1200" i="44"/>
  <c r="F1200" i="44" s="1"/>
  <c r="G1202" i="44" s="1"/>
  <c r="D1200" i="44"/>
  <c r="A1200" i="44"/>
  <c r="A1188" i="44"/>
  <c r="E1187" i="44"/>
  <c r="A1187" i="44"/>
  <c r="A1186" i="44"/>
  <c r="E1173" i="44"/>
  <c r="C1173" i="44"/>
  <c r="A1173" i="44"/>
  <c r="E1169" i="44"/>
  <c r="A1169" i="44"/>
  <c r="E1168" i="44"/>
  <c r="F1168" i="44" s="1"/>
  <c r="D1168" i="44"/>
  <c r="A1168" i="44"/>
  <c r="A1156" i="44"/>
  <c r="E1155" i="44"/>
  <c r="A1155" i="44"/>
  <c r="A1154" i="44"/>
  <c r="F1144" i="44"/>
  <c r="D1144" i="44"/>
  <c r="C1144" i="44"/>
  <c r="A1144" i="44"/>
  <c r="F1143" i="44"/>
  <c r="C1143" i="44"/>
  <c r="A1143" i="44"/>
  <c r="F1142" i="44"/>
  <c r="D1142" i="44"/>
  <c r="C1142" i="44"/>
  <c r="A1142" i="44"/>
  <c r="C1141" i="44"/>
  <c r="A1141" i="44"/>
  <c r="G1138" i="44"/>
  <c r="A1136" i="44"/>
  <c r="A1123" i="44"/>
  <c r="E1122" i="44"/>
  <c r="A1122" i="44"/>
  <c r="A1121" i="44"/>
  <c r="D1111" i="44"/>
  <c r="F1111" i="44" s="1"/>
  <c r="C1111" i="44"/>
  <c r="A1111" i="44"/>
  <c r="F1110" i="44"/>
  <c r="D1110" i="44"/>
  <c r="C1110" i="44"/>
  <c r="A1110" i="44"/>
  <c r="F1109" i="44"/>
  <c r="C1109" i="44"/>
  <c r="A1109" i="44"/>
  <c r="D1108" i="44"/>
  <c r="F1108" i="44" s="1"/>
  <c r="C1108" i="44"/>
  <c r="A1108" i="44"/>
  <c r="C1107" i="44"/>
  <c r="A1107" i="44"/>
  <c r="F1102" i="44"/>
  <c r="G1104" i="44" s="1"/>
  <c r="E1102" i="44"/>
  <c r="D1102" i="44"/>
  <c r="A1102" i="44"/>
  <c r="A1089" i="44"/>
  <c r="E1088" i="44"/>
  <c r="A1088" i="44"/>
  <c r="A1087" i="44"/>
  <c r="G1084" i="44"/>
  <c r="F1082" i="44"/>
  <c r="D1082" i="44"/>
  <c r="C1082" i="44"/>
  <c r="A1082" i="44"/>
  <c r="F1076" i="44"/>
  <c r="G1079" i="44" s="1"/>
  <c r="D1076" i="44"/>
  <c r="C1076" i="44"/>
  <c r="A1076" i="44"/>
  <c r="E1071" i="44"/>
  <c r="D1071" i="44"/>
  <c r="F1071" i="44" s="1"/>
  <c r="G1073" i="44" s="1"/>
  <c r="A1071" i="44"/>
  <c r="A1058" i="44"/>
  <c r="E1057" i="44"/>
  <c r="A1057" i="44"/>
  <c r="A1056" i="44"/>
  <c r="G1053" i="44"/>
  <c r="F1051" i="44"/>
  <c r="D1051" i="44"/>
  <c r="C1051" i="44"/>
  <c r="A1051" i="44"/>
  <c r="F1046" i="44"/>
  <c r="D1046" i="44"/>
  <c r="C1046" i="44"/>
  <c r="A1046" i="44"/>
  <c r="F1045" i="44"/>
  <c r="D1045" i="44"/>
  <c r="C1045" i="44"/>
  <c r="A1045" i="44"/>
  <c r="G1042" i="44"/>
  <c r="E1040" i="44"/>
  <c r="D1040" i="44"/>
  <c r="F1040" i="44" s="1"/>
  <c r="A1040" i="44"/>
  <c r="A1027" i="44"/>
  <c r="E1026" i="44"/>
  <c r="A1026" i="44"/>
  <c r="A1025" i="44"/>
  <c r="G1022" i="44"/>
  <c r="F1021" i="44"/>
  <c r="D1020" i="44"/>
  <c r="F1020" i="44" s="1"/>
  <c r="C1020" i="44"/>
  <c r="A1020" i="44"/>
  <c r="C1013" i="44"/>
  <c r="A1013" i="44"/>
  <c r="A1009" i="44"/>
  <c r="F1008" i="44"/>
  <c r="E1008" i="44"/>
  <c r="D1008" i="44"/>
  <c r="A1008" i="44"/>
  <c r="A995" i="44"/>
  <c r="E994" i="44"/>
  <c r="A994" i="44"/>
  <c r="A993" i="44"/>
  <c r="G990" i="44"/>
  <c r="F989" i="44"/>
  <c r="F988" i="44"/>
  <c r="D988" i="44"/>
  <c r="C988" i="44"/>
  <c r="A988" i="44"/>
  <c r="D983" i="44"/>
  <c r="F983" i="44" s="1"/>
  <c r="C983" i="44"/>
  <c r="A983" i="44"/>
  <c r="F982" i="44"/>
  <c r="D982" i="44"/>
  <c r="C982" i="44"/>
  <c r="A982" i="44"/>
  <c r="C981" i="44"/>
  <c r="A981" i="44"/>
  <c r="E976" i="44"/>
  <c r="F976" i="44" s="1"/>
  <c r="G978" i="44" s="1"/>
  <c r="D976" i="44"/>
  <c r="A976" i="44"/>
  <c r="A963" i="44"/>
  <c r="E962" i="44"/>
  <c r="A962" i="44"/>
  <c r="A961" i="44"/>
  <c r="G958" i="44"/>
  <c r="D956" i="44"/>
  <c r="F956" i="44" s="1"/>
  <c r="C956" i="44"/>
  <c r="A956" i="44"/>
  <c r="F951" i="44"/>
  <c r="D951" i="44"/>
  <c r="C951" i="44"/>
  <c r="A951" i="44"/>
  <c r="D950" i="44"/>
  <c r="F950" i="44" s="1"/>
  <c r="C950" i="44"/>
  <c r="A950" i="44"/>
  <c r="C949" i="44"/>
  <c r="A949" i="44"/>
  <c r="E943" i="44"/>
  <c r="F943" i="44" s="1"/>
  <c r="G946" i="44" s="1"/>
  <c r="D943" i="44"/>
  <c r="A943" i="44"/>
  <c r="A930" i="44"/>
  <c r="E929" i="44"/>
  <c r="A929" i="44"/>
  <c r="A928" i="44"/>
  <c r="G925" i="44"/>
  <c r="D923" i="44"/>
  <c r="F923" i="44" s="1"/>
  <c r="C923" i="44"/>
  <c r="A923" i="44"/>
  <c r="D918" i="44"/>
  <c r="F918" i="44" s="1"/>
  <c r="C918" i="44"/>
  <c r="A918" i="44"/>
  <c r="D917" i="44"/>
  <c r="F917" i="44" s="1"/>
  <c r="C917" i="44"/>
  <c r="A917" i="44"/>
  <c r="C916" i="44"/>
  <c r="A916" i="44"/>
  <c r="E910" i="44"/>
  <c r="D910" i="44"/>
  <c r="F910" i="44" s="1"/>
  <c r="G913" i="44" s="1"/>
  <c r="A910" i="44"/>
  <c r="A897" i="44"/>
  <c r="E896" i="44"/>
  <c r="A896" i="44"/>
  <c r="A895" i="44"/>
  <c r="G892" i="44"/>
  <c r="F890" i="44"/>
  <c r="D890" i="44"/>
  <c r="C890" i="44"/>
  <c r="A890" i="44"/>
  <c r="D884" i="44"/>
  <c r="F884" i="44" s="1"/>
  <c r="C884" i="44"/>
  <c r="A884" i="44"/>
  <c r="D883" i="44"/>
  <c r="F883" i="44" s="1"/>
  <c r="G887" i="44" s="1"/>
  <c r="C883" i="44"/>
  <c r="A883" i="44"/>
  <c r="E878" i="44"/>
  <c r="F878" i="44" s="1"/>
  <c r="G880" i="44" s="1"/>
  <c r="D878" i="44"/>
  <c r="A878" i="44"/>
  <c r="A865" i="44"/>
  <c r="E864" i="44"/>
  <c r="A864" i="44"/>
  <c r="A863" i="44"/>
  <c r="F859" i="44"/>
  <c r="G860" i="44" s="1"/>
  <c r="D858" i="44"/>
  <c r="F858" i="44" s="1"/>
  <c r="C858" i="44"/>
  <c r="A858" i="44"/>
  <c r="F853" i="44"/>
  <c r="D853" i="44"/>
  <c r="C853" i="44"/>
  <c r="A853" i="44"/>
  <c r="D852" i="44"/>
  <c r="F852" i="44" s="1"/>
  <c r="C852" i="44"/>
  <c r="A852" i="44"/>
  <c r="F851" i="44"/>
  <c r="D851" i="44"/>
  <c r="C851" i="44"/>
  <c r="A851" i="44"/>
  <c r="D850" i="44"/>
  <c r="F850" i="44" s="1"/>
  <c r="C850" i="44"/>
  <c r="A850" i="44"/>
  <c r="C849" i="44"/>
  <c r="A849" i="44"/>
  <c r="F844" i="44"/>
  <c r="G846" i="44" s="1"/>
  <c r="E844" i="44"/>
  <c r="D844" i="44"/>
  <c r="A844" i="44"/>
  <c r="A831" i="44"/>
  <c r="E830" i="44"/>
  <c r="A830" i="44"/>
  <c r="A829" i="44"/>
  <c r="D818" i="44"/>
  <c r="F818" i="44" s="1"/>
  <c r="C818" i="44"/>
  <c r="A818" i="44"/>
  <c r="F817" i="44"/>
  <c r="G821" i="44" s="1"/>
  <c r="D817" i="44"/>
  <c r="C817" i="44"/>
  <c r="A817" i="44"/>
  <c r="G814" i="44"/>
  <c r="E812" i="44"/>
  <c r="F812" i="44" s="1"/>
  <c r="D812" i="44"/>
  <c r="A812" i="44"/>
  <c r="A799" i="44"/>
  <c r="E798" i="44"/>
  <c r="A798" i="44"/>
  <c r="A797" i="44"/>
  <c r="G794" i="44"/>
  <c r="D792" i="44"/>
  <c r="F792" i="44" s="1"/>
  <c r="C792" i="44"/>
  <c r="A792" i="44"/>
  <c r="D787" i="44"/>
  <c r="F787" i="44" s="1"/>
  <c r="C787" i="44"/>
  <c r="A787" i="44"/>
  <c r="F786" i="44"/>
  <c r="D786" i="44"/>
  <c r="C786" i="44"/>
  <c r="A786" i="44"/>
  <c r="F785" i="44"/>
  <c r="D785" i="44"/>
  <c r="C785" i="44"/>
  <c r="A785" i="44"/>
  <c r="F784" i="44"/>
  <c r="D784" i="44"/>
  <c r="C784" i="44"/>
  <c r="A784" i="44"/>
  <c r="D783" i="44"/>
  <c r="F783" i="44" s="1"/>
  <c r="C783" i="44"/>
  <c r="A783" i="44"/>
  <c r="D782" i="44"/>
  <c r="F782" i="44" s="1"/>
  <c r="C782" i="44"/>
  <c r="A782" i="44"/>
  <c r="F781" i="44"/>
  <c r="G789" i="44" s="1"/>
  <c r="D781" i="44"/>
  <c r="C781" i="44"/>
  <c r="A781" i="44"/>
  <c r="A777" i="44"/>
  <c r="F776" i="44"/>
  <c r="D776" i="44"/>
  <c r="A776" i="44"/>
  <c r="E775" i="44"/>
  <c r="F775" i="44" s="1"/>
  <c r="D775" i="44"/>
  <c r="A775" i="44"/>
  <c r="A762" i="44"/>
  <c r="E761" i="44"/>
  <c r="A761" i="44"/>
  <c r="A760" i="44"/>
  <c r="G757" i="44"/>
  <c r="D755" i="44"/>
  <c r="F755" i="44" s="1"/>
  <c r="C755" i="44"/>
  <c r="A755" i="44"/>
  <c r="G752" i="44"/>
  <c r="F749" i="44"/>
  <c r="D749" i="44"/>
  <c r="C749" i="44"/>
  <c r="A749" i="44"/>
  <c r="D748" i="44"/>
  <c r="F748" i="44" s="1"/>
  <c r="C748" i="44"/>
  <c r="A748" i="44"/>
  <c r="E743" i="44"/>
  <c r="F743" i="44" s="1"/>
  <c r="G745" i="44" s="1"/>
  <c r="D743" i="44"/>
  <c r="A743" i="44"/>
  <c r="A730" i="44"/>
  <c r="E729" i="44"/>
  <c r="A729" i="44"/>
  <c r="A728" i="44"/>
  <c r="G725" i="44"/>
  <c r="D723" i="44"/>
  <c r="F723" i="44" s="1"/>
  <c r="C723" i="44"/>
  <c r="A723" i="44"/>
  <c r="D717" i="44"/>
  <c r="F717" i="44" s="1"/>
  <c r="G720" i="44" s="1"/>
  <c r="C717" i="44"/>
  <c r="A717" i="44"/>
  <c r="F716" i="44"/>
  <c r="D716" i="44"/>
  <c r="C716" i="44"/>
  <c r="A716" i="44"/>
  <c r="C715" i="44"/>
  <c r="A715" i="44"/>
  <c r="E710" i="44"/>
  <c r="D710" i="44"/>
  <c r="F710" i="44" s="1"/>
  <c r="G712" i="44" s="1"/>
  <c r="A710" i="44"/>
  <c r="A697" i="44"/>
  <c r="E696" i="44"/>
  <c r="A696" i="44"/>
  <c r="A695" i="44"/>
  <c r="G692" i="44"/>
  <c r="D690" i="44"/>
  <c r="F690" i="44" s="1"/>
  <c r="C690" i="44"/>
  <c r="A690" i="44"/>
  <c r="F685" i="44"/>
  <c r="D685" i="44"/>
  <c r="C685" i="44"/>
  <c r="A685" i="44"/>
  <c r="D684" i="44"/>
  <c r="F684" i="44" s="1"/>
  <c r="C684" i="44"/>
  <c r="A684" i="44"/>
  <c r="F683" i="44"/>
  <c r="D683" i="44"/>
  <c r="C683" i="44"/>
  <c r="A683" i="44"/>
  <c r="F682" i="44"/>
  <c r="D682" i="44"/>
  <c r="C682" i="44"/>
  <c r="A682" i="44"/>
  <c r="C681" i="44"/>
  <c r="A681" i="44"/>
  <c r="F676" i="44"/>
  <c r="G678" i="44" s="1"/>
  <c r="E676" i="44"/>
  <c r="D676" i="44"/>
  <c r="A676" i="44"/>
  <c r="A663" i="44"/>
  <c r="E662" i="44"/>
  <c r="A662" i="44"/>
  <c r="A661" i="44"/>
  <c r="G658" i="44"/>
  <c r="F656" i="44"/>
  <c r="D656" i="44"/>
  <c r="C656" i="44"/>
  <c r="A656" i="44"/>
  <c r="D651" i="44"/>
  <c r="F651" i="44" s="1"/>
  <c r="C651" i="44"/>
  <c r="A651" i="44"/>
  <c r="D650" i="44"/>
  <c r="F650" i="44" s="1"/>
  <c r="C650" i="44"/>
  <c r="A650" i="44"/>
  <c r="C649" i="44"/>
  <c r="A649" i="44"/>
  <c r="F643" i="44"/>
  <c r="G646" i="44" s="1"/>
  <c r="E643" i="44"/>
  <c r="D643" i="44"/>
  <c r="A643" i="44"/>
  <c r="A630" i="44"/>
  <c r="E629" i="44"/>
  <c r="A629" i="44"/>
  <c r="A628" i="44"/>
  <c r="G625" i="44"/>
  <c r="F623" i="44"/>
  <c r="D623" i="44"/>
  <c r="C623" i="44"/>
  <c r="A623" i="44"/>
  <c r="D619" i="44"/>
  <c r="F619" i="44" s="1"/>
  <c r="C619" i="44"/>
  <c r="A619" i="44"/>
  <c r="D618" i="44"/>
  <c r="F618" i="44" s="1"/>
  <c r="C618" i="44"/>
  <c r="A618" i="44"/>
  <c r="D617" i="44"/>
  <c r="F617" i="44" s="1"/>
  <c r="C617" i="44"/>
  <c r="A617" i="44"/>
  <c r="D616" i="44"/>
  <c r="F616" i="44" s="1"/>
  <c r="C616" i="44"/>
  <c r="A616" i="44"/>
  <c r="F615" i="44"/>
  <c r="D615" i="44"/>
  <c r="C615" i="44"/>
  <c r="A615" i="44"/>
  <c r="F614" i="44"/>
  <c r="D614" i="44"/>
  <c r="C614" i="44"/>
  <c r="A614" i="44"/>
  <c r="D610" i="44"/>
  <c r="F610" i="44" s="1"/>
  <c r="A610" i="44"/>
  <c r="F609" i="44"/>
  <c r="G611" i="44" s="1"/>
  <c r="E609" i="44"/>
  <c r="D609" i="44"/>
  <c r="A609" i="44"/>
  <c r="A596" i="44"/>
  <c r="E595" i="44"/>
  <c r="A595" i="44"/>
  <c r="A594" i="44"/>
  <c r="D584" i="44"/>
  <c r="F584" i="44" s="1"/>
  <c r="C584" i="44"/>
  <c r="A584" i="44"/>
  <c r="D583" i="44"/>
  <c r="F583" i="44" s="1"/>
  <c r="C583" i="44"/>
  <c r="A583" i="44"/>
  <c r="F582" i="44"/>
  <c r="D582" i="44"/>
  <c r="C582" i="44"/>
  <c r="A582" i="44"/>
  <c r="D581" i="44"/>
  <c r="F581" i="44" s="1"/>
  <c r="C581" i="44"/>
  <c r="A581" i="44"/>
  <c r="F580" i="44"/>
  <c r="D580" i="44"/>
  <c r="C580" i="44"/>
  <c r="A580" i="44"/>
  <c r="D579" i="44"/>
  <c r="F579" i="44" s="1"/>
  <c r="C579" i="44"/>
  <c r="A579" i="44"/>
  <c r="C578" i="44"/>
  <c r="A578" i="44"/>
  <c r="G575" i="44"/>
  <c r="D574" i="44"/>
  <c r="F574" i="44" s="1"/>
  <c r="A574" i="44"/>
  <c r="E573" i="44"/>
  <c r="F573" i="44" s="1"/>
  <c r="D573" i="44"/>
  <c r="A573" i="44"/>
  <c r="A560" i="44"/>
  <c r="E559" i="44"/>
  <c r="A559" i="44"/>
  <c r="A558" i="44"/>
  <c r="D548" i="44"/>
  <c r="F548" i="44" s="1"/>
  <c r="C548" i="44"/>
  <c r="A548" i="44"/>
  <c r="D547" i="44"/>
  <c r="F547" i="44" s="1"/>
  <c r="C547" i="44"/>
  <c r="A547" i="44"/>
  <c r="D546" i="44"/>
  <c r="F546" i="44" s="1"/>
  <c r="C546" i="44"/>
  <c r="A546" i="44"/>
  <c r="D545" i="44"/>
  <c r="F545" i="44" s="1"/>
  <c r="C545" i="44"/>
  <c r="A545" i="44"/>
  <c r="C544" i="44"/>
  <c r="A544" i="44"/>
  <c r="E539" i="44"/>
  <c r="F539" i="44" s="1"/>
  <c r="G541" i="44" s="1"/>
  <c r="D539" i="44"/>
  <c r="A539" i="44"/>
  <c r="A526" i="44"/>
  <c r="E525" i="44"/>
  <c r="A525" i="44"/>
  <c r="A524" i="44"/>
  <c r="D513" i="44"/>
  <c r="F513" i="44" s="1"/>
  <c r="C513" i="44"/>
  <c r="A513" i="44"/>
  <c r="F512" i="44"/>
  <c r="C512" i="44"/>
  <c r="A512" i="44"/>
  <c r="E507" i="44"/>
  <c r="F507" i="44" s="1"/>
  <c r="G509" i="44" s="1"/>
  <c r="D507" i="44"/>
  <c r="A507" i="44"/>
  <c r="A494" i="44"/>
  <c r="E493" i="44"/>
  <c r="A493" i="44"/>
  <c r="A492" i="44"/>
  <c r="G489" i="44"/>
  <c r="F487" i="44"/>
  <c r="D487" i="44"/>
  <c r="C487" i="44"/>
  <c r="A487" i="44"/>
  <c r="D482" i="44"/>
  <c r="F482" i="44" s="1"/>
  <c r="C482" i="44"/>
  <c r="A482" i="44"/>
  <c r="D481" i="44"/>
  <c r="F481" i="44" s="1"/>
  <c r="C481" i="44"/>
  <c r="A481" i="44"/>
  <c r="C480" i="44"/>
  <c r="A480" i="44"/>
  <c r="G477" i="44"/>
  <c r="A475" i="44"/>
  <c r="A462" i="44"/>
  <c r="E461" i="44"/>
  <c r="A461" i="44"/>
  <c r="A460" i="44"/>
  <c r="F456" i="44"/>
  <c r="G457" i="44" s="1"/>
  <c r="F455" i="44"/>
  <c r="D455" i="44"/>
  <c r="C455" i="44"/>
  <c r="A455" i="44"/>
  <c r="D451" i="44"/>
  <c r="F451" i="44" s="1"/>
  <c r="C451" i="44"/>
  <c r="A451" i="44"/>
  <c r="D450" i="44"/>
  <c r="F450" i="44" s="1"/>
  <c r="C450" i="44"/>
  <c r="A450" i="44"/>
  <c r="D449" i="44"/>
  <c r="F449" i="44" s="1"/>
  <c r="C449" i="44"/>
  <c r="A449" i="44"/>
  <c r="C448" i="44"/>
  <c r="A448" i="44"/>
  <c r="F443" i="44"/>
  <c r="G445" i="44" s="1"/>
  <c r="E443" i="44"/>
  <c r="D443" i="44"/>
  <c r="A443" i="44"/>
  <c r="A430" i="44"/>
  <c r="E429" i="44"/>
  <c r="A429" i="44"/>
  <c r="A428" i="44"/>
  <c r="F424" i="44"/>
  <c r="G425" i="44" s="1"/>
  <c r="D423" i="44"/>
  <c r="F423" i="44" s="1"/>
  <c r="C423" i="44"/>
  <c r="A423" i="44"/>
  <c r="F418" i="44"/>
  <c r="D418" i="44"/>
  <c r="C418" i="44"/>
  <c r="A418" i="44"/>
  <c r="D417" i="44"/>
  <c r="F417" i="44" s="1"/>
  <c r="C417" i="44"/>
  <c r="A417" i="44"/>
  <c r="C416" i="44"/>
  <c r="A416" i="44"/>
  <c r="G413" i="44"/>
  <c r="F411" i="44"/>
  <c r="E411" i="44"/>
  <c r="D411" i="44"/>
  <c r="A411" i="44"/>
  <c r="A398" i="44"/>
  <c r="E397" i="44"/>
  <c r="A397" i="44"/>
  <c r="A396" i="44"/>
  <c r="F392" i="44"/>
  <c r="G393" i="44" s="1"/>
  <c r="F391" i="44"/>
  <c r="D391" i="44"/>
  <c r="C391" i="44"/>
  <c r="A391" i="44"/>
  <c r="F386" i="44"/>
  <c r="D386" i="44"/>
  <c r="C386" i="44"/>
  <c r="A386" i="44"/>
  <c r="D385" i="44"/>
  <c r="F385" i="44" s="1"/>
  <c r="C385" i="44"/>
  <c r="A385" i="44"/>
  <c r="C384" i="44"/>
  <c r="A384" i="44"/>
  <c r="F380" i="44"/>
  <c r="D380" i="44"/>
  <c r="A380" i="44"/>
  <c r="E379" i="44"/>
  <c r="D379" i="44"/>
  <c r="A379" i="44"/>
  <c r="A366" i="44"/>
  <c r="E365" i="44"/>
  <c r="A365" i="44"/>
  <c r="A364" i="44"/>
  <c r="F360" i="44"/>
  <c r="G361" i="44" s="1"/>
  <c r="F359" i="44"/>
  <c r="D359" i="44"/>
  <c r="C359" i="44"/>
  <c r="A359" i="44"/>
  <c r="D354" i="44"/>
  <c r="F354" i="44" s="1"/>
  <c r="C354" i="44"/>
  <c r="A354" i="44"/>
  <c r="D353" i="44"/>
  <c r="F353" i="44" s="1"/>
  <c r="C353" i="44"/>
  <c r="A353" i="44"/>
  <c r="C352" i="44"/>
  <c r="A352" i="44"/>
  <c r="G349" i="44"/>
  <c r="F348" i="44"/>
  <c r="A348" i="44"/>
  <c r="E347" i="44"/>
  <c r="F347" i="44" s="1"/>
  <c r="D347" i="44"/>
  <c r="A347" i="44"/>
  <c r="A334" i="44"/>
  <c r="E333" i="44"/>
  <c r="A333" i="44"/>
  <c r="A332" i="44"/>
  <c r="G329" i="44"/>
  <c r="F328" i="44"/>
  <c r="F327" i="44"/>
  <c r="D327" i="44"/>
  <c r="C327" i="44"/>
  <c r="A327" i="44"/>
  <c r="D322" i="44"/>
  <c r="F322" i="44" s="1"/>
  <c r="C322" i="44"/>
  <c r="A322" i="44"/>
  <c r="D321" i="44"/>
  <c r="F321" i="44" s="1"/>
  <c r="C321" i="44"/>
  <c r="A321" i="44"/>
  <c r="D320" i="44"/>
  <c r="F320" i="44" s="1"/>
  <c r="C320" i="44"/>
  <c r="A320" i="44"/>
  <c r="D319" i="44"/>
  <c r="F319" i="44" s="1"/>
  <c r="C319" i="44"/>
  <c r="A319" i="44"/>
  <c r="F318" i="44"/>
  <c r="D318" i="44"/>
  <c r="C318" i="44"/>
  <c r="A318" i="44"/>
  <c r="C317" i="44"/>
  <c r="A317" i="44"/>
  <c r="F312" i="44"/>
  <c r="D312" i="44"/>
  <c r="A312" i="44"/>
  <c r="E311" i="44"/>
  <c r="D311" i="44"/>
  <c r="A311" i="44"/>
  <c r="A298" i="44"/>
  <c r="E297" i="44"/>
  <c r="A297" i="44"/>
  <c r="A296" i="44"/>
  <c r="G293" i="44"/>
  <c r="D291" i="44"/>
  <c r="F291" i="44" s="1"/>
  <c r="C291" i="44"/>
  <c r="A291" i="44"/>
  <c r="C284" i="44"/>
  <c r="A284" i="44"/>
  <c r="E279" i="44"/>
  <c r="F279" i="44" s="1"/>
  <c r="G281" i="44" s="1"/>
  <c r="D279" i="44"/>
  <c r="A279" i="44"/>
  <c r="A260" i="44"/>
  <c r="A259" i="44"/>
  <c r="F254" i="44"/>
  <c r="G256" i="44" s="1"/>
  <c r="C254" i="44"/>
  <c r="F250" i="44"/>
  <c r="C250" i="44"/>
  <c r="F249" i="44"/>
  <c r="C249" i="44"/>
  <c r="F248" i="44"/>
  <c r="C248" i="44"/>
  <c r="F247" i="44"/>
  <c r="C247" i="44"/>
  <c r="F246" i="44"/>
  <c r="C246" i="44"/>
  <c r="A242" i="44"/>
  <c r="A241" i="44"/>
  <c r="A240" i="44"/>
  <c r="A239" i="44"/>
  <c r="G236" i="44"/>
  <c r="E236" i="44"/>
  <c r="D234" i="44"/>
  <c r="A226" i="44"/>
  <c r="E225" i="44"/>
  <c r="A225" i="44"/>
  <c r="A224" i="44"/>
  <c r="G221" i="44"/>
  <c r="F220" i="44"/>
  <c r="F219" i="44"/>
  <c r="D219" i="44"/>
  <c r="C219" i="44"/>
  <c r="A219" i="44"/>
  <c r="F213" i="44"/>
  <c r="D213" i="44"/>
  <c r="C213" i="44"/>
  <c r="A213" i="44"/>
  <c r="C212" i="44"/>
  <c r="A212" i="44"/>
  <c r="A208" i="44"/>
  <c r="E207" i="44"/>
  <c r="D207" i="44"/>
  <c r="F207" i="44" s="1"/>
  <c r="A207" i="44"/>
  <c r="A194" i="44"/>
  <c r="E193" i="44"/>
  <c r="A193" i="44"/>
  <c r="A192" i="44"/>
  <c r="F182" i="44"/>
  <c r="D182" i="44"/>
  <c r="C182" i="44"/>
  <c r="A182" i="44"/>
  <c r="F181" i="44"/>
  <c r="D181" i="44"/>
  <c r="C181" i="44"/>
  <c r="A181" i="44"/>
  <c r="C180" i="44"/>
  <c r="A180" i="44"/>
  <c r="A176" i="44"/>
  <c r="F175" i="44"/>
  <c r="E175" i="44"/>
  <c r="D175" i="44"/>
  <c r="A175" i="44"/>
  <c r="A162" i="44"/>
  <c r="E161" i="44"/>
  <c r="A161" i="44"/>
  <c r="A160" i="44"/>
  <c r="G157" i="44"/>
  <c r="F156" i="44"/>
  <c r="D155" i="44"/>
  <c r="F155" i="44" s="1"/>
  <c r="C155" i="44"/>
  <c r="A155" i="44"/>
  <c r="C149" i="44"/>
  <c r="A149" i="44"/>
  <c r="C148" i="44"/>
  <c r="A148" i="44"/>
  <c r="G145" i="44"/>
  <c r="F143" i="44"/>
  <c r="E143" i="44"/>
  <c r="D143" i="44"/>
  <c r="A143" i="44"/>
  <c r="A130" i="44"/>
  <c r="E129" i="44"/>
  <c r="A129" i="44"/>
  <c r="A128" i="44"/>
  <c r="F124" i="44"/>
  <c r="G125" i="44" s="1"/>
  <c r="D123" i="44"/>
  <c r="F123" i="44" s="1"/>
  <c r="C123" i="44"/>
  <c r="A123" i="44"/>
  <c r="C116" i="44"/>
  <c r="A116" i="44"/>
  <c r="A112" i="44"/>
  <c r="E111" i="44"/>
  <c r="D111" i="44"/>
  <c r="F111" i="44" s="1"/>
  <c r="A111" i="44"/>
  <c r="A98" i="44"/>
  <c r="E97" i="44"/>
  <c r="A97" i="44"/>
  <c r="A96" i="44"/>
  <c r="C84" i="44"/>
  <c r="A84" i="44"/>
  <c r="A80" i="44"/>
  <c r="A79" i="44"/>
  <c r="A66" i="44"/>
  <c r="E65" i="44"/>
  <c r="A65" i="44"/>
  <c r="A64" i="44"/>
  <c r="D53" i="44"/>
  <c r="F53" i="44" s="1"/>
  <c r="C53" i="44"/>
  <c r="A53" i="44"/>
  <c r="C52" i="44"/>
  <c r="A52" i="44"/>
  <c r="E47" i="44"/>
  <c r="F47" i="44" s="1"/>
  <c r="G49" i="44" s="1"/>
  <c r="D47" i="44"/>
  <c r="A47" i="44"/>
  <c r="A34" i="44"/>
  <c r="A33" i="44"/>
  <c r="A32" i="44"/>
  <c r="D21" i="44"/>
  <c r="F21" i="44" s="1"/>
  <c r="C21" i="44"/>
  <c r="A21" i="44"/>
  <c r="C20" i="44"/>
  <c r="A20" i="44"/>
  <c r="E15" i="44"/>
  <c r="F15" i="44" s="1"/>
  <c r="G17" i="44" s="1"/>
  <c r="D15" i="44"/>
  <c r="A15" i="44"/>
  <c r="F298" i="43"/>
  <c r="F297" i="43"/>
  <c r="F296" i="43"/>
  <c r="F295" i="43"/>
  <c r="F294" i="43"/>
  <c r="F293" i="43"/>
  <c r="F292" i="43"/>
  <c r="F291" i="43"/>
  <c r="F290" i="43"/>
  <c r="F289" i="43"/>
  <c r="F288" i="43"/>
  <c r="F287" i="43"/>
  <c r="F286" i="43"/>
  <c r="F285" i="43"/>
  <c r="F284" i="43"/>
  <c r="F283" i="43"/>
  <c r="F282" i="43"/>
  <c r="F281" i="43"/>
  <c r="F280" i="43"/>
  <c r="F279" i="43"/>
  <c r="F278" i="43"/>
  <c r="F277" i="43"/>
  <c r="F276" i="43"/>
  <c r="F275" i="43"/>
  <c r="F274" i="43"/>
  <c r="F273" i="43"/>
  <c r="F272" i="43"/>
  <c r="F271" i="43"/>
  <c r="F270" i="43"/>
  <c r="F269" i="43"/>
  <c r="F268" i="43"/>
  <c r="F267" i="43"/>
  <c r="F266" i="43"/>
  <c r="F265" i="43"/>
  <c r="F264" i="43"/>
  <c r="F263" i="43"/>
  <c r="F262" i="43"/>
  <c r="F261" i="43"/>
  <c r="F260" i="43"/>
  <c r="F259" i="43"/>
  <c r="F258" i="43"/>
  <c r="F257" i="43"/>
  <c r="F256" i="43"/>
  <c r="F255" i="43"/>
  <c r="F254" i="43"/>
  <c r="F253" i="43"/>
  <c r="F252" i="43"/>
  <c r="F251" i="43"/>
  <c r="F250" i="43"/>
  <c r="F249" i="43"/>
  <c r="F248" i="43"/>
  <c r="F247" i="43"/>
  <c r="F246" i="43"/>
  <c r="F245" i="43"/>
  <c r="F244" i="43"/>
  <c r="E242" i="43" s="1"/>
  <c r="F242" i="43" s="1"/>
  <c r="F243" i="43"/>
  <c r="F240" i="43"/>
  <c r="F239" i="43"/>
  <c r="F238" i="43"/>
  <c r="F237" i="43"/>
  <c r="F236" i="43"/>
  <c r="F235" i="43"/>
  <c r="F234" i="43"/>
  <c r="F233" i="43"/>
  <c r="F232" i="43"/>
  <c r="F231" i="43"/>
  <c r="F230" i="43"/>
  <c r="F229" i="43"/>
  <c r="F228" i="43"/>
  <c r="F227" i="43"/>
  <c r="F226" i="43"/>
  <c r="F225" i="43"/>
  <c r="F224" i="43"/>
  <c r="F223" i="43"/>
  <c r="F222" i="43"/>
  <c r="F221" i="43"/>
  <c r="F220" i="43"/>
  <c r="F219" i="43"/>
  <c r="F218" i="43"/>
  <c r="F217" i="43"/>
  <c r="F216" i="43"/>
  <c r="F215" i="43"/>
  <c r="F214" i="43"/>
  <c r="F213" i="43"/>
  <c r="F212" i="43"/>
  <c r="F211" i="43"/>
  <c r="F210" i="43"/>
  <c r="F209" i="43"/>
  <c r="F208" i="43"/>
  <c r="F207" i="43"/>
  <c r="F206" i="43"/>
  <c r="F205" i="43"/>
  <c r="F204" i="43"/>
  <c r="F203" i="43"/>
  <c r="F202" i="43"/>
  <c r="F201" i="43"/>
  <c r="F200" i="43"/>
  <c r="F199" i="43"/>
  <c r="F198" i="43"/>
  <c r="F197" i="43"/>
  <c r="F196" i="43"/>
  <c r="F195" i="43"/>
  <c r="F194" i="43"/>
  <c r="F193" i="43"/>
  <c r="F192" i="43"/>
  <c r="F191" i="43"/>
  <c r="F190" i="43"/>
  <c r="F189" i="43"/>
  <c r="F188" i="43"/>
  <c r="F187" i="43"/>
  <c r="F186" i="43"/>
  <c r="F185" i="43"/>
  <c r="F184" i="43"/>
  <c r="F183" i="43"/>
  <c r="F182" i="43"/>
  <c r="F181" i="43"/>
  <c r="F180" i="43"/>
  <c r="F179" i="43"/>
  <c r="F178" i="43"/>
  <c r="F177" i="43"/>
  <c r="F176" i="43"/>
  <c r="F175" i="43"/>
  <c r="F174" i="43"/>
  <c r="F173" i="43"/>
  <c r="F172" i="43"/>
  <c r="F171" i="43"/>
  <c r="F170" i="43"/>
  <c r="F169" i="43"/>
  <c r="F168" i="43"/>
  <c r="F167" i="43"/>
  <c r="F166" i="43"/>
  <c r="F165" i="43"/>
  <c r="F164" i="43"/>
  <c r="F163" i="43"/>
  <c r="F162" i="43"/>
  <c r="F161" i="43"/>
  <c r="F160" i="43"/>
  <c r="F159" i="43"/>
  <c r="F158" i="43"/>
  <c r="F157" i="43"/>
  <c r="F156" i="43"/>
  <c r="F155" i="43"/>
  <c r="F154" i="43"/>
  <c r="F153" i="43"/>
  <c r="F152" i="43"/>
  <c r="F151" i="43"/>
  <c r="F150" i="43"/>
  <c r="F149" i="43"/>
  <c r="F148" i="43"/>
  <c r="F147" i="43"/>
  <c r="F146" i="43"/>
  <c r="F145" i="43"/>
  <c r="F144" i="43"/>
  <c r="F143" i="43"/>
  <c r="F142" i="43"/>
  <c r="F141" i="43"/>
  <c r="F140" i="43"/>
  <c r="F139" i="43"/>
  <c r="F138" i="43"/>
  <c r="F137" i="43"/>
  <c r="F136" i="43"/>
  <c r="F135" i="43"/>
  <c r="F134" i="43"/>
  <c r="F133" i="43"/>
  <c r="F132" i="43"/>
  <c r="F129" i="43"/>
  <c r="F126" i="43"/>
  <c r="F125" i="43"/>
  <c r="F124" i="43"/>
  <c r="F123" i="43"/>
  <c r="F122" i="43"/>
  <c r="F121" i="43"/>
  <c r="F120" i="43"/>
  <c r="F119" i="43"/>
  <c r="F118" i="43"/>
  <c r="F117" i="43"/>
  <c r="F116" i="43"/>
  <c r="F115" i="43"/>
  <c r="F114" i="43"/>
  <c r="F113" i="43"/>
  <c r="F112" i="43"/>
  <c r="F111" i="43"/>
  <c r="F110" i="43"/>
  <c r="F109" i="43"/>
  <c r="F108" i="43"/>
  <c r="F107" i="43"/>
  <c r="F106" i="43"/>
  <c r="F105" i="43"/>
  <c r="F104" i="43"/>
  <c r="F103" i="43"/>
  <c r="F102" i="43"/>
  <c r="F101" i="43"/>
  <c r="F100" i="43"/>
  <c r="F99" i="43"/>
  <c r="F98" i="43"/>
  <c r="F97" i="43"/>
  <c r="F96" i="43"/>
  <c r="F95" i="43"/>
  <c r="F94" i="43"/>
  <c r="F93" i="43"/>
  <c r="F92" i="43"/>
  <c r="F91" i="43"/>
  <c r="F90" i="43"/>
  <c r="F89" i="43"/>
  <c r="F88" i="43"/>
  <c r="F87" i="43"/>
  <c r="F86" i="43"/>
  <c r="F85" i="43"/>
  <c r="F84" i="43"/>
  <c r="F83" i="43"/>
  <c r="F82" i="43"/>
  <c r="F81" i="43"/>
  <c r="F80" i="43"/>
  <c r="F79" i="43"/>
  <c r="F78" i="43"/>
  <c r="F77" i="43"/>
  <c r="F76" i="43"/>
  <c r="F75" i="43"/>
  <c r="F74" i="43"/>
  <c r="F73" i="43"/>
  <c r="F72" i="43"/>
  <c r="F71" i="43"/>
  <c r="F70" i="43"/>
  <c r="F69" i="43"/>
  <c r="F68" i="43"/>
  <c r="F67" i="43"/>
  <c r="F66" i="43"/>
  <c r="F65" i="43"/>
  <c r="F64" i="43"/>
  <c r="F63" i="43"/>
  <c r="F62" i="43"/>
  <c r="F61" i="43"/>
  <c r="F60" i="43"/>
  <c r="F59" i="43"/>
  <c r="F58" i="43"/>
  <c r="F57" i="43"/>
  <c r="F56" i="43"/>
  <c r="F55" i="43"/>
  <c r="F54" i="43"/>
  <c r="F53" i="43"/>
  <c r="F52" i="43"/>
  <c r="F51" i="43"/>
  <c r="F50" i="43"/>
  <c r="F49" i="43"/>
  <c r="F48" i="43"/>
  <c r="F47" i="43"/>
  <c r="F46" i="43"/>
  <c r="F45" i="43"/>
  <c r="F44" i="43"/>
  <c r="F43" i="43"/>
  <c r="F42" i="43"/>
  <c r="F41" i="43"/>
  <c r="F40" i="43"/>
  <c r="F39" i="43"/>
  <c r="F38" i="43"/>
  <c r="F37" i="43"/>
  <c r="F36" i="43"/>
  <c r="F35" i="43"/>
  <c r="F34" i="43"/>
  <c r="F33" i="43"/>
  <c r="F32" i="43"/>
  <c r="F31" i="43"/>
  <c r="F30" i="43"/>
  <c r="F29" i="43"/>
  <c r="F28" i="43"/>
  <c r="F27" i="43"/>
  <c r="F26" i="43"/>
  <c r="F25" i="43"/>
  <c r="F24" i="43"/>
  <c r="F23" i="43"/>
  <c r="F22" i="43"/>
  <c r="F21" i="43"/>
  <c r="F20" i="43"/>
  <c r="F19" i="43"/>
  <c r="F18" i="43"/>
  <c r="F17" i="43"/>
  <c r="F16" i="43"/>
  <c r="F15" i="43"/>
  <c r="F14" i="43"/>
  <c r="F13" i="43"/>
  <c r="F12" i="43"/>
  <c r="F11" i="43"/>
  <c r="F10" i="43"/>
  <c r="F9" i="43"/>
  <c r="F8" i="43"/>
  <c r="F7" i="43"/>
  <c r="F6" i="43"/>
  <c r="F5" i="43"/>
  <c r="F4" i="43"/>
  <c r="A674" i="42"/>
  <c r="E673" i="42"/>
  <c r="A673" i="42"/>
  <c r="A672" i="42"/>
  <c r="F662" i="42"/>
  <c r="D662" i="42"/>
  <c r="C662" i="42"/>
  <c r="A662" i="42"/>
  <c r="F661" i="42"/>
  <c r="D661" i="42"/>
  <c r="C661" i="42"/>
  <c r="A661" i="42"/>
  <c r="F660" i="42"/>
  <c r="D660" i="42"/>
  <c r="C660" i="42"/>
  <c r="A660" i="42"/>
  <c r="F659" i="42"/>
  <c r="C659" i="42"/>
  <c r="D654" i="42"/>
  <c r="F654" i="42" s="1"/>
  <c r="G656" i="42" s="1"/>
  <c r="A654" i="42"/>
  <c r="A642" i="42"/>
  <c r="E641" i="42"/>
  <c r="A641" i="42"/>
  <c r="A640" i="42"/>
  <c r="D630" i="42"/>
  <c r="F630" i="42" s="1"/>
  <c r="G632" i="42" s="1"/>
  <c r="C630" i="42"/>
  <c r="A630" i="42"/>
  <c r="F629" i="42"/>
  <c r="D629" i="42"/>
  <c r="C629" i="42"/>
  <c r="A629" i="42"/>
  <c r="F628" i="42"/>
  <c r="D628" i="42"/>
  <c r="C628" i="42"/>
  <c r="A628" i="42"/>
  <c r="F627" i="42"/>
  <c r="C627" i="42"/>
  <c r="G624" i="42"/>
  <c r="F622" i="42"/>
  <c r="D622" i="42"/>
  <c r="A622" i="42"/>
  <c r="A610" i="42"/>
  <c r="E609" i="42"/>
  <c r="A609" i="42"/>
  <c r="A608" i="42"/>
  <c r="F598" i="42"/>
  <c r="D598" i="42"/>
  <c r="C598" i="42"/>
  <c r="A598" i="42"/>
  <c r="F597" i="42"/>
  <c r="D597" i="42"/>
  <c r="C597" i="42"/>
  <c r="A597" i="42"/>
  <c r="D596" i="42"/>
  <c r="F596" i="42" s="1"/>
  <c r="G600" i="42" s="1"/>
  <c r="C596" i="42"/>
  <c r="A596" i="42"/>
  <c r="F595" i="42"/>
  <c r="C595" i="42"/>
  <c r="D590" i="42"/>
  <c r="F590" i="42" s="1"/>
  <c r="G592" i="42" s="1"/>
  <c r="A590" i="42"/>
  <c r="A577" i="42"/>
  <c r="E576" i="42"/>
  <c r="A576" i="42"/>
  <c r="A575" i="42"/>
  <c r="D564" i="42"/>
  <c r="F564" i="42" s="1"/>
  <c r="C564" i="42"/>
  <c r="A564" i="42"/>
  <c r="D563" i="42"/>
  <c r="F563" i="42" s="1"/>
  <c r="C563" i="42"/>
  <c r="A563" i="42"/>
  <c r="F562" i="42"/>
  <c r="D562" i="42"/>
  <c r="C562" i="42"/>
  <c r="A562" i="42"/>
  <c r="G559" i="42"/>
  <c r="F557" i="42"/>
  <c r="D557" i="42"/>
  <c r="A557" i="42"/>
  <c r="A544" i="42"/>
  <c r="E543" i="42"/>
  <c r="A543" i="42"/>
  <c r="A542" i="42"/>
  <c r="F532" i="42"/>
  <c r="D532" i="42"/>
  <c r="C532" i="42"/>
  <c r="A532" i="42"/>
  <c r="F531" i="42"/>
  <c r="D531" i="42"/>
  <c r="C531" i="42"/>
  <c r="A531" i="42"/>
  <c r="D530" i="42"/>
  <c r="F530" i="42" s="1"/>
  <c r="G534" i="42" s="1"/>
  <c r="C530" i="42"/>
  <c r="A530" i="42"/>
  <c r="F524" i="42"/>
  <c r="G527" i="42" s="1"/>
  <c r="E524" i="42"/>
  <c r="D524" i="42"/>
  <c r="A524" i="42"/>
  <c r="A511" i="42"/>
  <c r="E510" i="42"/>
  <c r="A510" i="42"/>
  <c r="A509" i="42"/>
  <c r="F504" i="42"/>
  <c r="G506" i="42" s="1"/>
  <c r="F499" i="42"/>
  <c r="F498" i="42"/>
  <c r="F497" i="42"/>
  <c r="F496" i="42"/>
  <c r="F495" i="42"/>
  <c r="F494" i="42"/>
  <c r="A490" i="42"/>
  <c r="D489" i="42"/>
  <c r="F489" i="42" s="1"/>
  <c r="A489" i="42"/>
  <c r="F488" i="42"/>
  <c r="D488" i="42"/>
  <c r="A488" i="42"/>
  <c r="A475" i="42"/>
  <c r="E474" i="42"/>
  <c r="A474" i="42"/>
  <c r="A473" i="42"/>
  <c r="F463" i="42"/>
  <c r="F462" i="42"/>
  <c r="F461" i="42"/>
  <c r="A456" i="42"/>
  <c r="E455" i="42"/>
  <c r="D455" i="42"/>
  <c r="A455" i="42"/>
  <c r="A442" i="42"/>
  <c r="E441" i="42"/>
  <c r="A441" i="42"/>
  <c r="A440" i="42"/>
  <c r="D431" i="42"/>
  <c r="F431" i="42" s="1"/>
  <c r="C431" i="42"/>
  <c r="A431" i="42"/>
  <c r="F430" i="42"/>
  <c r="D430" i="42"/>
  <c r="C430" i="42"/>
  <c r="A430" i="42"/>
  <c r="D429" i="42"/>
  <c r="F429" i="42" s="1"/>
  <c r="C429" i="42"/>
  <c r="A429" i="42"/>
  <c r="D428" i="42"/>
  <c r="F428" i="42" s="1"/>
  <c r="C428" i="42"/>
  <c r="A428" i="42"/>
  <c r="D427" i="42"/>
  <c r="F427" i="42" s="1"/>
  <c r="C427" i="42"/>
  <c r="A427" i="42"/>
  <c r="C426" i="42"/>
  <c r="A426" i="42"/>
  <c r="C425" i="42"/>
  <c r="A425" i="42"/>
  <c r="A420" i="42"/>
  <c r="E419" i="42"/>
  <c r="F419" i="42" s="1"/>
  <c r="D419" i="42"/>
  <c r="A419" i="42"/>
  <c r="A414" i="42"/>
  <c r="A406" i="42"/>
  <c r="E405" i="42"/>
  <c r="A405" i="42"/>
  <c r="A404" i="42"/>
  <c r="C393" i="42"/>
  <c r="A393" i="42"/>
  <c r="F392" i="42"/>
  <c r="D392" i="42"/>
  <c r="C392" i="42"/>
  <c r="A392" i="42"/>
  <c r="F387" i="42"/>
  <c r="G389" i="42" s="1"/>
  <c r="D387" i="42"/>
  <c r="A387" i="42"/>
  <c r="A382" i="42"/>
  <c r="A374" i="42"/>
  <c r="E373" i="42"/>
  <c r="A373" i="42"/>
  <c r="A372" i="42"/>
  <c r="C360" i="42"/>
  <c r="A360" i="42"/>
  <c r="A356" i="42"/>
  <c r="D355" i="42"/>
  <c r="F355" i="42" s="1"/>
  <c r="A355" i="42"/>
  <c r="A342" i="42"/>
  <c r="E341" i="42"/>
  <c r="A341" i="42"/>
  <c r="A340" i="42"/>
  <c r="F330" i="42"/>
  <c r="D330" i="42"/>
  <c r="C330" i="42"/>
  <c r="A330" i="42"/>
  <c r="C329" i="42"/>
  <c r="A329" i="42"/>
  <c r="D328" i="42"/>
  <c r="F328" i="42" s="1"/>
  <c r="C328" i="42"/>
  <c r="A328" i="42"/>
  <c r="F324" i="42"/>
  <c r="D324" i="42"/>
  <c r="A324" i="42"/>
  <c r="E323" i="42"/>
  <c r="D323" i="42"/>
  <c r="F323" i="42" s="1"/>
  <c r="G325" i="42" s="1"/>
  <c r="A323" i="42"/>
  <c r="A318" i="42"/>
  <c r="A310" i="42"/>
  <c r="E309" i="42"/>
  <c r="A309" i="42"/>
  <c r="A308" i="42"/>
  <c r="F298" i="42"/>
  <c r="D298" i="42"/>
  <c r="C298" i="42"/>
  <c r="A298" i="42"/>
  <c r="C297" i="42"/>
  <c r="A297" i="42"/>
  <c r="F296" i="42"/>
  <c r="D296" i="42"/>
  <c r="C296" i="42"/>
  <c r="A296" i="42"/>
  <c r="G293" i="42"/>
  <c r="D292" i="42"/>
  <c r="F292" i="42" s="1"/>
  <c r="A292" i="42"/>
  <c r="A291" i="42"/>
  <c r="A286" i="42"/>
  <c r="A278" i="42"/>
  <c r="E277" i="42"/>
  <c r="A277" i="42"/>
  <c r="A276" i="42"/>
  <c r="F266" i="42"/>
  <c r="D266" i="42"/>
  <c r="C266" i="42"/>
  <c r="A266" i="42"/>
  <c r="C265" i="42"/>
  <c r="A265" i="42"/>
  <c r="F264" i="42"/>
  <c r="D264" i="42"/>
  <c r="C264" i="42"/>
  <c r="A264" i="42"/>
  <c r="F260" i="42"/>
  <c r="D260" i="42"/>
  <c r="A260" i="42"/>
  <c r="D259" i="42"/>
  <c r="F259" i="42" s="1"/>
  <c r="G261" i="42" s="1"/>
  <c r="A259" i="42"/>
  <c r="A254" i="42"/>
  <c r="A246" i="42"/>
  <c r="E245" i="42"/>
  <c r="A245" i="42"/>
  <c r="A244" i="42"/>
  <c r="F235" i="42"/>
  <c r="F234" i="42"/>
  <c r="F233" i="42"/>
  <c r="G236" i="42" s="1"/>
  <c r="F232" i="42"/>
  <c r="C232" i="42"/>
  <c r="D228" i="42"/>
  <c r="F228" i="42" s="1"/>
  <c r="A228" i="42"/>
  <c r="F227" i="42"/>
  <c r="D227" i="42"/>
  <c r="A227" i="42"/>
  <c r="A214" i="42"/>
  <c r="E213" i="42"/>
  <c r="A213" i="42"/>
  <c r="A212" i="42"/>
  <c r="D202" i="42"/>
  <c r="F202" i="42" s="1"/>
  <c r="C202" i="42"/>
  <c r="A202" i="42"/>
  <c r="C201" i="42"/>
  <c r="A201" i="42"/>
  <c r="D200" i="42"/>
  <c r="F200" i="42" s="1"/>
  <c r="C200" i="42"/>
  <c r="A200" i="42"/>
  <c r="F196" i="42"/>
  <c r="D196" i="42"/>
  <c r="A196" i="42"/>
  <c r="E195" i="42"/>
  <c r="D195" i="42"/>
  <c r="F195" i="42" s="1"/>
  <c r="G197" i="42" s="1"/>
  <c r="A195" i="42"/>
  <c r="A190" i="42"/>
  <c r="A182" i="42"/>
  <c r="E181" i="42"/>
  <c r="A181" i="42"/>
  <c r="A180" i="42"/>
  <c r="D170" i="42"/>
  <c r="F170" i="42" s="1"/>
  <c r="C170" i="42"/>
  <c r="A170" i="42"/>
  <c r="C169" i="42"/>
  <c r="A169" i="42"/>
  <c r="F168" i="42"/>
  <c r="D168" i="42"/>
  <c r="C168" i="42"/>
  <c r="A168" i="42"/>
  <c r="F164" i="42"/>
  <c r="D164" i="42"/>
  <c r="A164" i="42"/>
  <c r="F163" i="42"/>
  <c r="D163" i="42"/>
  <c r="A163" i="42"/>
  <c r="A158" i="42"/>
  <c r="A150" i="42"/>
  <c r="E149" i="42"/>
  <c r="A149" i="42"/>
  <c r="A148" i="42"/>
  <c r="D138" i="42"/>
  <c r="F138" i="42" s="1"/>
  <c r="C138" i="42"/>
  <c r="A138" i="42"/>
  <c r="C137" i="42"/>
  <c r="A137" i="42"/>
  <c r="D136" i="42"/>
  <c r="F136" i="42" s="1"/>
  <c r="C136" i="42"/>
  <c r="A136" i="42"/>
  <c r="G133" i="42"/>
  <c r="D132" i="42"/>
  <c r="F132" i="42" s="1"/>
  <c r="A132" i="42"/>
  <c r="D131" i="42"/>
  <c r="F131" i="42" s="1"/>
  <c r="A131" i="42"/>
  <c r="A126" i="42"/>
  <c r="A118" i="42"/>
  <c r="E117" i="42"/>
  <c r="A117" i="42"/>
  <c r="A116" i="42"/>
  <c r="F106" i="42"/>
  <c r="D106" i="42"/>
  <c r="C106" i="42"/>
  <c r="A106" i="42"/>
  <c r="C105" i="42"/>
  <c r="A105" i="42"/>
  <c r="C104" i="42"/>
  <c r="A104" i="42"/>
  <c r="D100" i="42"/>
  <c r="F100" i="42" s="1"/>
  <c r="A100" i="42"/>
  <c r="D99" i="42"/>
  <c r="F99" i="42" s="1"/>
  <c r="A99" i="42"/>
  <c r="A94" i="42"/>
  <c r="A86" i="42"/>
  <c r="E85" i="42"/>
  <c r="A85" i="42"/>
  <c r="A84" i="42"/>
  <c r="F76" i="42"/>
  <c r="F75" i="42"/>
  <c r="F74" i="42"/>
  <c r="F73" i="42"/>
  <c r="F72" i="42"/>
  <c r="F71" i="42"/>
  <c r="F70" i="42"/>
  <c r="F69" i="42"/>
  <c r="F68" i="42"/>
  <c r="F67" i="42"/>
  <c r="F66" i="42"/>
  <c r="F65" i="42"/>
  <c r="F64" i="42"/>
  <c r="F63" i="42"/>
  <c r="F62" i="42"/>
  <c r="F61" i="42"/>
  <c r="F60" i="42"/>
  <c r="F59" i="42"/>
  <c r="F58" i="42"/>
  <c r="F57" i="42"/>
  <c r="F56" i="42"/>
  <c r="F55" i="42"/>
  <c r="F54" i="42"/>
  <c r="F53" i="42"/>
  <c r="F52" i="42"/>
  <c r="C52" i="42"/>
  <c r="G49" i="42"/>
  <c r="D48" i="42"/>
  <c r="F48" i="42" s="1"/>
  <c r="A48" i="42"/>
  <c r="D47" i="42"/>
  <c r="F47" i="42" s="1"/>
  <c r="A47" i="42"/>
  <c r="A34" i="42"/>
  <c r="E33" i="42"/>
  <c r="A33" i="42"/>
  <c r="A32" i="42"/>
  <c r="F22" i="42"/>
  <c r="D22" i="42"/>
  <c r="C22" i="42"/>
  <c r="A22" i="42"/>
  <c r="C21" i="42"/>
  <c r="A21" i="42"/>
  <c r="D20" i="42"/>
  <c r="F20" i="42" s="1"/>
  <c r="C20" i="42"/>
  <c r="A20" i="42"/>
  <c r="D16" i="42"/>
  <c r="F16" i="42" s="1"/>
  <c r="G17" i="42" s="1"/>
  <c r="A16" i="42"/>
  <c r="F15" i="42"/>
  <c r="D15" i="42"/>
  <c r="A15" i="42"/>
  <c r="A1417" i="41"/>
  <c r="F1416" i="41"/>
  <c r="E1416" i="41"/>
  <c r="F1415" i="41"/>
  <c r="G1412" i="41"/>
  <c r="C1405" i="41"/>
  <c r="A1405" i="41"/>
  <c r="F1404" i="41"/>
  <c r="D1404" i="41"/>
  <c r="C1404" i="41"/>
  <c r="A1404" i="41"/>
  <c r="C1403" i="41"/>
  <c r="A1403" i="41"/>
  <c r="C1402" i="41"/>
  <c r="A1402" i="41"/>
  <c r="D1401" i="41"/>
  <c r="F1401" i="41" s="1"/>
  <c r="C1401" i="41"/>
  <c r="A1401" i="41"/>
  <c r="F1400" i="41"/>
  <c r="D1400" i="41"/>
  <c r="C1400" i="41"/>
  <c r="A1400" i="41"/>
  <c r="F1399" i="41"/>
  <c r="D1399" i="41"/>
  <c r="C1399" i="41"/>
  <c r="A1399" i="41"/>
  <c r="E1398" i="41"/>
  <c r="D1398" i="41"/>
  <c r="F1398" i="41" s="1"/>
  <c r="C1398" i="41"/>
  <c r="A1398" i="41"/>
  <c r="C1397" i="41"/>
  <c r="A1397" i="41"/>
  <c r="F1396" i="41"/>
  <c r="D1396" i="41"/>
  <c r="C1396" i="41"/>
  <c r="A1396" i="41"/>
  <c r="F1391" i="41"/>
  <c r="G1393" i="41" s="1"/>
  <c r="D1391" i="41"/>
  <c r="A1391" i="41"/>
  <c r="A1385" i="41"/>
  <c r="A1377" i="41"/>
  <c r="E1376" i="41"/>
  <c r="A1376" i="41"/>
  <c r="A1375" i="41"/>
  <c r="G1372" i="41"/>
  <c r="F1363" i="41"/>
  <c r="F1362" i="41"/>
  <c r="G1367" i="41" s="1"/>
  <c r="G1359" i="41"/>
  <c r="G1343" i="41"/>
  <c r="A1343" i="41"/>
  <c r="G1338" i="41"/>
  <c r="G1325" i="41"/>
  <c r="A1317" i="41"/>
  <c r="G1309" i="41"/>
  <c r="A1309" i="41"/>
  <c r="F1308" i="41"/>
  <c r="E1308" i="41"/>
  <c r="F1307" i="41"/>
  <c r="D1298" i="41"/>
  <c r="F1298" i="41" s="1"/>
  <c r="C1298" i="41"/>
  <c r="A1298" i="41"/>
  <c r="F1297" i="41"/>
  <c r="D1297" i="41"/>
  <c r="C1297" i="41"/>
  <c r="A1297" i="41"/>
  <c r="D1296" i="41"/>
  <c r="F1296" i="41" s="1"/>
  <c r="C1296" i="41"/>
  <c r="A1296" i="41"/>
  <c r="F1295" i="41"/>
  <c r="D1295" i="41"/>
  <c r="C1295" i="41"/>
  <c r="A1295" i="41"/>
  <c r="D1294" i="41"/>
  <c r="F1294" i="41" s="1"/>
  <c r="C1294" i="41"/>
  <c r="A1294" i="41"/>
  <c r="D1290" i="41"/>
  <c r="F1290" i="41" s="1"/>
  <c r="G1291" i="41" s="1"/>
  <c r="A1290" i="41"/>
  <c r="D1289" i="41"/>
  <c r="A1289" i="41"/>
  <c r="A1283" i="41"/>
  <c r="G1275" i="41"/>
  <c r="A1275" i="41"/>
  <c r="F1274" i="41"/>
  <c r="E1274" i="41"/>
  <c r="F1273" i="41"/>
  <c r="F1263" i="41"/>
  <c r="D1263" i="41"/>
  <c r="C1263" i="41"/>
  <c r="A1263" i="41"/>
  <c r="D1262" i="41"/>
  <c r="F1262" i="41" s="1"/>
  <c r="C1262" i="41"/>
  <c r="A1262" i="41"/>
  <c r="F1261" i="41"/>
  <c r="D1261" i="41"/>
  <c r="C1261" i="41"/>
  <c r="A1261" i="41"/>
  <c r="D1260" i="41"/>
  <c r="F1260" i="41" s="1"/>
  <c r="C1260" i="41"/>
  <c r="A1260" i="41"/>
  <c r="G1257" i="41"/>
  <c r="F1255" i="41"/>
  <c r="A1255" i="41"/>
  <c r="A1249" i="41"/>
  <c r="A1241" i="41"/>
  <c r="E1240" i="41"/>
  <c r="G1231" i="41"/>
  <c r="F1229" i="41"/>
  <c r="F1228" i="41"/>
  <c r="G1225" i="41"/>
  <c r="A1209" i="41"/>
  <c r="E1208" i="41"/>
  <c r="G1199" i="41"/>
  <c r="F1196" i="41"/>
  <c r="F1195" i="41"/>
  <c r="F1194" i="41"/>
  <c r="F1193" i="41"/>
  <c r="G1190" i="41"/>
  <c r="A1174" i="41"/>
  <c r="E1173" i="41"/>
  <c r="F1160" i="41"/>
  <c r="F1159" i="41"/>
  <c r="F1158" i="41"/>
  <c r="G1164" i="41" s="1"/>
  <c r="G1155" i="41"/>
  <c r="A1138" i="41"/>
  <c r="E1137" i="41"/>
  <c r="G1128" i="41"/>
  <c r="F1122" i="41"/>
  <c r="F1116" i="41"/>
  <c r="G1119" i="41" s="1"/>
  <c r="E1116" i="41"/>
  <c r="D1116" i="41"/>
  <c r="A1103" i="41"/>
  <c r="E1102" i="41"/>
  <c r="F1102" i="41" s="1"/>
  <c r="F1101" i="41"/>
  <c r="F1088" i="41"/>
  <c r="G1093" i="41" s="1"/>
  <c r="D1088" i="41"/>
  <c r="A1088" i="41"/>
  <c r="D1087" i="41"/>
  <c r="F1087" i="41" s="1"/>
  <c r="C1087" i="41"/>
  <c r="A1087" i="41"/>
  <c r="G1084" i="41"/>
  <c r="A1076" i="41"/>
  <c r="A1068" i="41"/>
  <c r="E1067" i="41"/>
  <c r="F1067" i="41" s="1"/>
  <c r="F1066" i="41"/>
  <c r="D1052" i="41"/>
  <c r="F1052" i="41" s="1"/>
  <c r="C1052" i="41"/>
  <c r="A1052" i="41"/>
  <c r="C1051" i="41"/>
  <c r="A1051" i="41"/>
  <c r="F1050" i="41"/>
  <c r="D1050" i="41"/>
  <c r="C1050" i="41"/>
  <c r="A1050" i="41"/>
  <c r="D1049" i="41"/>
  <c r="F1049" i="41" s="1"/>
  <c r="C1049" i="41"/>
  <c r="A1049" i="41"/>
  <c r="C1048" i="41"/>
  <c r="A1048" i="41"/>
  <c r="G1045" i="41"/>
  <c r="A1037" i="41"/>
  <c r="G1030" i="41"/>
  <c r="A1030" i="41"/>
  <c r="F1029" i="41"/>
  <c r="E1029" i="41"/>
  <c r="F1028" i="41"/>
  <c r="C1018" i="41"/>
  <c r="A1018" i="41"/>
  <c r="F1017" i="41"/>
  <c r="F1016" i="41"/>
  <c r="F1015" i="41"/>
  <c r="F1014" i="41"/>
  <c r="G1011" i="41"/>
  <c r="A1003" i="41"/>
  <c r="A995" i="41"/>
  <c r="E994" i="41"/>
  <c r="F994" i="41" s="1"/>
  <c r="G995" i="41" s="1"/>
  <c r="F993" i="41"/>
  <c r="F979" i="41"/>
  <c r="G985" i="41" s="1"/>
  <c r="G976" i="41"/>
  <c r="G997" i="41" s="1"/>
  <c r="A968" i="41"/>
  <c r="G959" i="41"/>
  <c r="A959" i="41"/>
  <c r="E958" i="41"/>
  <c r="F958" i="41" s="1"/>
  <c r="F957" i="41"/>
  <c r="D948" i="41"/>
  <c r="F948" i="41" s="1"/>
  <c r="A948" i="41"/>
  <c r="A947" i="41"/>
  <c r="D946" i="41"/>
  <c r="F946" i="41" s="1"/>
  <c r="A946" i="41"/>
  <c r="F945" i="41"/>
  <c r="E945" i="41"/>
  <c r="D945" i="41"/>
  <c r="A945" i="41"/>
  <c r="A944" i="41"/>
  <c r="D943" i="41"/>
  <c r="F943" i="41" s="1"/>
  <c r="A943" i="41"/>
  <c r="D942" i="41"/>
  <c r="F942" i="41" s="1"/>
  <c r="A942" i="41"/>
  <c r="D941" i="41"/>
  <c r="F941" i="41" s="1"/>
  <c r="A941" i="41"/>
  <c r="F940" i="41"/>
  <c r="E940" i="41"/>
  <c r="D940" i="41"/>
  <c r="A940" i="41"/>
  <c r="F939" i="41"/>
  <c r="D939" i="41"/>
  <c r="C939" i="41"/>
  <c r="A939" i="41"/>
  <c r="F938" i="41"/>
  <c r="D938" i="41"/>
  <c r="C938" i="41"/>
  <c r="A938" i="41"/>
  <c r="F934" i="41"/>
  <c r="F933" i="41"/>
  <c r="G935" i="41" s="1"/>
  <c r="A927" i="41"/>
  <c r="G919" i="41"/>
  <c r="A919" i="41"/>
  <c r="F918" i="41"/>
  <c r="E918" i="41"/>
  <c r="F917" i="41"/>
  <c r="G909" i="41"/>
  <c r="G921" i="41" s="1"/>
  <c r="D906" i="41"/>
  <c r="F906" i="41" s="1"/>
  <c r="C906" i="41"/>
  <c r="A906" i="41"/>
  <c r="G903" i="41"/>
  <c r="A895" i="41"/>
  <c r="A887" i="41"/>
  <c r="E886" i="41"/>
  <c r="F886" i="41" s="1"/>
  <c r="G887" i="41" s="1"/>
  <c r="F885" i="41"/>
  <c r="F876" i="41"/>
  <c r="F875" i="41"/>
  <c r="F874" i="41"/>
  <c r="F873" i="41"/>
  <c r="F872" i="41"/>
  <c r="C871" i="41"/>
  <c r="A871" i="41"/>
  <c r="D870" i="41"/>
  <c r="F870" i="41" s="1"/>
  <c r="C870" i="41"/>
  <c r="A870" i="41"/>
  <c r="F869" i="41"/>
  <c r="D869" i="41"/>
  <c r="C869" i="41"/>
  <c r="A869" i="41"/>
  <c r="G866" i="41"/>
  <c r="A858" i="41"/>
  <c r="A850" i="41"/>
  <c r="E849" i="41"/>
  <c r="F839" i="41"/>
  <c r="F838" i="41"/>
  <c r="D837" i="41"/>
  <c r="F837" i="41" s="1"/>
  <c r="C837" i="41"/>
  <c r="A837" i="41"/>
  <c r="C836" i="41"/>
  <c r="A836" i="41"/>
  <c r="F835" i="41"/>
  <c r="D835" i="41"/>
  <c r="C835" i="41"/>
  <c r="A835" i="41"/>
  <c r="D834" i="41"/>
  <c r="F834" i="41" s="1"/>
  <c r="C834" i="41"/>
  <c r="A834" i="41"/>
  <c r="C833" i="41"/>
  <c r="A833" i="41"/>
  <c r="D832" i="41"/>
  <c r="F832" i="41" s="1"/>
  <c r="C832" i="41"/>
  <c r="A832" i="41"/>
  <c r="G829" i="41"/>
  <c r="A826" i="41"/>
  <c r="A813" i="41"/>
  <c r="E812" i="41"/>
  <c r="F802" i="41"/>
  <c r="F801" i="41"/>
  <c r="F800" i="41"/>
  <c r="D800" i="41"/>
  <c r="C800" i="41"/>
  <c r="A800" i="41"/>
  <c r="C799" i="41"/>
  <c r="A799" i="41"/>
  <c r="F798" i="41"/>
  <c r="D798" i="41"/>
  <c r="C798" i="41"/>
  <c r="A798" i="41"/>
  <c r="D797" i="41"/>
  <c r="F797" i="41" s="1"/>
  <c r="C797" i="41"/>
  <c r="A797" i="41"/>
  <c r="C796" i="41"/>
  <c r="A796" i="41"/>
  <c r="C795" i="41"/>
  <c r="A795" i="41"/>
  <c r="G792" i="41"/>
  <c r="A789" i="41"/>
  <c r="G776" i="41"/>
  <c r="A776" i="41"/>
  <c r="E775" i="41"/>
  <c r="F775" i="41" s="1"/>
  <c r="F774" i="41"/>
  <c r="F763" i="41"/>
  <c r="D763" i="41"/>
  <c r="C763" i="41"/>
  <c r="A763" i="41"/>
  <c r="C762" i="41"/>
  <c r="A762" i="41"/>
  <c r="F761" i="41"/>
  <c r="D761" i="41"/>
  <c r="C761" i="41"/>
  <c r="A761" i="41"/>
  <c r="D760" i="41"/>
  <c r="F760" i="41" s="1"/>
  <c r="C760" i="41"/>
  <c r="A760" i="41"/>
  <c r="C759" i="41"/>
  <c r="A759" i="41"/>
  <c r="C758" i="41"/>
  <c r="A758" i="41"/>
  <c r="G755" i="41"/>
  <c r="A747" i="41"/>
  <c r="A739" i="41"/>
  <c r="E738" i="41"/>
  <c r="D728" i="41"/>
  <c r="F728" i="41" s="1"/>
  <c r="C728" i="41"/>
  <c r="A728" i="41"/>
  <c r="F727" i="41"/>
  <c r="D727" i="41"/>
  <c r="C727" i="41"/>
  <c r="A727" i="41"/>
  <c r="F726" i="41"/>
  <c r="D726" i="41"/>
  <c r="C726" i="41"/>
  <c r="A726" i="41"/>
  <c r="F725" i="41"/>
  <c r="G729" i="41" s="1"/>
  <c r="D725" i="41"/>
  <c r="C725" i="41"/>
  <c r="A725" i="41"/>
  <c r="G722" i="41"/>
  <c r="A706" i="41"/>
  <c r="E705" i="41"/>
  <c r="F705" i="41" s="1"/>
  <c r="F704" i="41"/>
  <c r="D695" i="41"/>
  <c r="F695" i="41" s="1"/>
  <c r="C695" i="41"/>
  <c r="A695" i="41"/>
  <c r="F694" i="41"/>
  <c r="G696" i="41" s="1"/>
  <c r="D694" i="41"/>
  <c r="C694" i="41"/>
  <c r="A694" i="41"/>
  <c r="F693" i="41"/>
  <c r="G690" i="41"/>
  <c r="A682" i="41"/>
  <c r="A673" i="41"/>
  <c r="E672" i="41"/>
  <c r="F662" i="41"/>
  <c r="D662" i="41"/>
  <c r="C662" i="41"/>
  <c r="A662" i="41"/>
  <c r="F661" i="41"/>
  <c r="D661" i="41"/>
  <c r="C661" i="41"/>
  <c r="A661" i="41"/>
  <c r="F660" i="41"/>
  <c r="F659" i="41"/>
  <c r="D659" i="41"/>
  <c r="C659" i="41"/>
  <c r="A659" i="41"/>
  <c r="D658" i="41"/>
  <c r="F658" i="41" s="1"/>
  <c r="C658" i="41"/>
  <c r="A658" i="41"/>
  <c r="F657" i="41"/>
  <c r="D657" i="41"/>
  <c r="C657" i="41"/>
  <c r="A657" i="41"/>
  <c r="D656" i="41"/>
  <c r="F656" i="41" s="1"/>
  <c r="C656" i="41"/>
  <c r="A656" i="41"/>
  <c r="G653" i="41"/>
  <c r="G636" i="41"/>
  <c r="A636" i="41"/>
  <c r="F635" i="41"/>
  <c r="E635" i="41"/>
  <c r="F634" i="41"/>
  <c r="F625" i="41"/>
  <c r="F624" i="41"/>
  <c r="F623" i="41"/>
  <c r="F622" i="41"/>
  <c r="F621" i="41"/>
  <c r="D620" i="41"/>
  <c r="F620" i="41" s="1"/>
  <c r="G626" i="41" s="1"/>
  <c r="C620" i="41"/>
  <c r="A620" i="41"/>
  <c r="G617" i="41"/>
  <c r="A609" i="41"/>
  <c r="A600" i="41"/>
  <c r="E599" i="41"/>
  <c r="F584" i="41"/>
  <c r="G590" i="41" s="1"/>
  <c r="D584" i="41"/>
  <c r="A584" i="41"/>
  <c r="E578" i="41"/>
  <c r="D578" i="41"/>
  <c r="A564" i="41"/>
  <c r="E563" i="41"/>
  <c r="F552" i="41"/>
  <c r="D551" i="41"/>
  <c r="F551" i="41" s="1"/>
  <c r="G554" i="41" s="1"/>
  <c r="C551" i="41"/>
  <c r="A551" i="41"/>
  <c r="F545" i="41"/>
  <c r="G548" i="41" s="1"/>
  <c r="E545" i="41"/>
  <c r="D545" i="41"/>
  <c r="A532" i="41"/>
  <c r="E531" i="41"/>
  <c r="F520" i="41"/>
  <c r="D519" i="41"/>
  <c r="F519" i="41" s="1"/>
  <c r="G522" i="41" s="1"/>
  <c r="C519" i="41"/>
  <c r="A519" i="41"/>
  <c r="E513" i="41"/>
  <c r="F513" i="41" s="1"/>
  <c r="G516" i="41" s="1"/>
  <c r="D513" i="41"/>
  <c r="E499" i="41"/>
  <c r="A499" i="41"/>
  <c r="A498" i="41"/>
  <c r="F485" i="41"/>
  <c r="D485" i="41"/>
  <c r="A485" i="41"/>
  <c r="F479" i="41"/>
  <c r="G482" i="41" s="1"/>
  <c r="D479" i="41"/>
  <c r="E465" i="41"/>
  <c r="A465" i="41"/>
  <c r="A464" i="41"/>
  <c r="F451" i="41"/>
  <c r="D451" i="41"/>
  <c r="A451" i="41"/>
  <c r="D445" i="41"/>
  <c r="F445" i="41" s="1"/>
  <c r="G448" i="41" s="1"/>
  <c r="E431" i="41"/>
  <c r="A431" i="41"/>
  <c r="A430" i="41"/>
  <c r="G422" i="41"/>
  <c r="G417" i="41"/>
  <c r="F417" i="41"/>
  <c r="D417" i="41"/>
  <c r="A417" i="41"/>
  <c r="D411" i="41"/>
  <c r="F411" i="41" s="1"/>
  <c r="G414" i="41" s="1"/>
  <c r="E397" i="41"/>
  <c r="A397" i="41"/>
  <c r="A396" i="41"/>
  <c r="G388" i="41"/>
  <c r="F383" i="41"/>
  <c r="G383" i="41" s="1"/>
  <c r="A383" i="41"/>
  <c r="F377" i="41"/>
  <c r="G380" i="41" s="1"/>
  <c r="D377" i="41"/>
  <c r="A363" i="41"/>
  <c r="F362" i="41"/>
  <c r="E362" i="41"/>
  <c r="F361" i="41"/>
  <c r="G363" i="41" s="1"/>
  <c r="F347" i="41"/>
  <c r="F346" i="41"/>
  <c r="F345" i="41"/>
  <c r="D345" i="41"/>
  <c r="C345" i="41"/>
  <c r="A345" i="41"/>
  <c r="C344" i="41"/>
  <c r="A344" i="41"/>
  <c r="G341" i="41"/>
  <c r="A333" i="41"/>
  <c r="A325" i="41"/>
  <c r="F324" i="41"/>
  <c r="G325" i="41" s="1"/>
  <c r="E324" i="41"/>
  <c r="F323" i="41"/>
  <c r="F314" i="41"/>
  <c r="F313" i="41"/>
  <c r="F312" i="41"/>
  <c r="F311" i="41"/>
  <c r="F310" i="41"/>
  <c r="F309" i="41"/>
  <c r="F308" i="41"/>
  <c r="F307" i="41"/>
  <c r="C306" i="41"/>
  <c r="A306" i="41"/>
  <c r="G303" i="41"/>
  <c r="A295" i="41"/>
  <c r="A286" i="41"/>
  <c r="F285" i="41"/>
  <c r="E285" i="41"/>
  <c r="F284" i="41"/>
  <c r="F275" i="41"/>
  <c r="D275" i="41"/>
  <c r="A275" i="41"/>
  <c r="E274" i="41"/>
  <c r="C274" i="41"/>
  <c r="A274" i="41"/>
  <c r="D270" i="41"/>
  <c r="F270" i="41" s="1"/>
  <c r="D269" i="41"/>
  <c r="F269" i="41" s="1"/>
  <c r="E268" i="41"/>
  <c r="D268" i="41"/>
  <c r="F268" i="41" s="1"/>
  <c r="D267" i="41"/>
  <c r="F267" i="41" s="1"/>
  <c r="F262" i="41"/>
  <c r="A256" i="41"/>
  <c r="G249" i="41"/>
  <c r="G242" i="41"/>
  <c r="D240" i="41"/>
  <c r="F240" i="41" s="1"/>
  <c r="A240" i="41"/>
  <c r="G237" i="41"/>
  <c r="G232" i="41"/>
  <c r="F232" i="41"/>
  <c r="G229" i="41"/>
  <c r="A221" i="41"/>
  <c r="E211" i="41"/>
  <c r="A211" i="41"/>
  <c r="A210" i="41"/>
  <c r="G197" i="41"/>
  <c r="F197" i="41"/>
  <c r="G202" i="41" s="1"/>
  <c r="D197" i="41"/>
  <c r="A197" i="41"/>
  <c r="F191" i="41"/>
  <c r="G194" i="41" s="1"/>
  <c r="D191" i="41"/>
  <c r="E177" i="41"/>
  <c r="A177" i="41"/>
  <c r="A176" i="41"/>
  <c r="G168" i="41"/>
  <c r="F163" i="41"/>
  <c r="G163" i="41" s="1"/>
  <c r="D157" i="41"/>
  <c r="F157" i="41" s="1"/>
  <c r="G160" i="41" s="1"/>
  <c r="A144" i="41"/>
  <c r="F143" i="41"/>
  <c r="F142" i="41"/>
  <c r="G144" i="41" s="1"/>
  <c r="G130" i="41"/>
  <c r="F130" i="41"/>
  <c r="D130" i="41"/>
  <c r="F129" i="41"/>
  <c r="D129" i="41"/>
  <c r="G126" i="41"/>
  <c r="F123" i="41"/>
  <c r="D123" i="41"/>
  <c r="A118" i="41"/>
  <c r="A110" i="41"/>
  <c r="E109" i="41"/>
  <c r="F109" i="41" s="1"/>
  <c r="F108" i="41"/>
  <c r="G110" i="41" s="1"/>
  <c r="D99" i="41"/>
  <c r="F99" i="41" s="1"/>
  <c r="F97" i="41"/>
  <c r="D97" i="41"/>
  <c r="F96" i="41"/>
  <c r="D96" i="41"/>
  <c r="F95" i="41"/>
  <c r="D95" i="41"/>
  <c r="F94" i="41"/>
  <c r="D94" i="41"/>
  <c r="F93" i="41"/>
  <c r="D93" i="41"/>
  <c r="F92" i="41"/>
  <c r="D92" i="41"/>
  <c r="E91" i="41"/>
  <c r="C91" i="41"/>
  <c r="A91" i="41"/>
  <c r="D90" i="41"/>
  <c r="F90" i="41" s="1"/>
  <c r="F89" i="41"/>
  <c r="D89" i="41"/>
  <c r="G86" i="41"/>
  <c r="F85" i="41"/>
  <c r="F84" i="41"/>
  <c r="F83" i="41"/>
  <c r="A78" i="41"/>
  <c r="G70" i="41"/>
  <c r="A70" i="41"/>
  <c r="F69" i="41"/>
  <c r="A69" i="41"/>
  <c r="F68" i="41"/>
  <c r="A68" i="41"/>
  <c r="F58" i="41"/>
  <c r="G58" i="41" s="1"/>
  <c r="D58" i="41"/>
  <c r="D57" i="41"/>
  <c r="F57" i="41" s="1"/>
  <c r="G57" i="41" s="1"/>
  <c r="G56" i="41"/>
  <c r="F56" i="41"/>
  <c r="D49" i="41"/>
  <c r="F49" i="41" s="1"/>
  <c r="G52" i="41" s="1"/>
  <c r="A44" i="41"/>
  <c r="G36" i="41"/>
  <c r="A36" i="41"/>
  <c r="F34" i="41"/>
  <c r="F25" i="41"/>
  <c r="G26" i="41" s="1"/>
  <c r="D25" i="41"/>
  <c r="A25" i="41"/>
  <c r="F24" i="41"/>
  <c r="F23" i="41"/>
  <c r="F22" i="41"/>
  <c r="F21" i="41"/>
  <c r="F20" i="41"/>
  <c r="F19" i="41"/>
  <c r="F18" i="41"/>
  <c r="F17" i="41"/>
  <c r="F16" i="41"/>
  <c r="G13" i="41"/>
  <c r="F1420" i="40"/>
  <c r="G1420" i="40" s="1"/>
  <c r="E1420" i="40"/>
  <c r="E1419" i="40"/>
  <c r="G1419" i="40" s="1"/>
  <c r="H1421" i="40" s="1"/>
  <c r="H1414" i="40"/>
  <c r="G1413" i="40"/>
  <c r="G1412" i="40"/>
  <c r="G1411" i="40"/>
  <c r="G1405" i="40"/>
  <c r="G1404" i="40"/>
  <c r="H1407" i="40" s="1"/>
  <c r="F1382" i="40"/>
  <c r="E1382" i="40"/>
  <c r="G1382" i="40" s="1"/>
  <c r="G1381" i="40"/>
  <c r="E1381" i="40"/>
  <c r="G1375" i="40"/>
  <c r="G1374" i="40"/>
  <c r="G1373" i="40"/>
  <c r="G1367" i="40"/>
  <c r="H1369" i="40" s="1"/>
  <c r="G1366" i="40"/>
  <c r="F1344" i="40"/>
  <c r="G1344" i="40" s="1"/>
  <c r="E1344" i="40"/>
  <c r="G1343" i="40"/>
  <c r="E1343" i="40"/>
  <c r="G1336" i="40"/>
  <c r="G1335" i="40"/>
  <c r="H1338" i="40" s="1"/>
  <c r="G1329" i="40"/>
  <c r="G1328" i="40"/>
  <c r="H1331" i="40" s="1"/>
  <c r="F1304" i="40"/>
  <c r="G1304" i="40" s="1"/>
  <c r="E1304" i="40"/>
  <c r="G1303" i="40"/>
  <c r="H1305" i="40" s="1"/>
  <c r="H1307" i="40" s="1"/>
  <c r="E1303" i="40"/>
  <c r="G1296" i="40"/>
  <c r="G1295" i="40"/>
  <c r="H1298" i="40" s="1"/>
  <c r="G1289" i="40"/>
  <c r="H1291" i="40" s="1"/>
  <c r="G1288" i="40"/>
  <c r="H1266" i="40"/>
  <c r="H1268" i="40" s="1"/>
  <c r="E1265" i="40"/>
  <c r="G1265" i="40" s="1"/>
  <c r="G1264" i="40"/>
  <c r="E1264" i="40"/>
  <c r="H1259" i="40"/>
  <c r="G1257" i="40"/>
  <c r="G1256" i="40"/>
  <c r="H1252" i="40"/>
  <c r="G1250" i="40"/>
  <c r="G1249" i="40"/>
  <c r="F1225" i="40"/>
  <c r="E1225" i="40"/>
  <c r="G1225" i="40" s="1"/>
  <c r="G1224" i="40"/>
  <c r="E1224" i="40"/>
  <c r="H1219" i="40"/>
  <c r="G1217" i="40"/>
  <c r="F1216" i="40"/>
  <c r="G1216" i="40" s="1"/>
  <c r="G1210" i="40"/>
  <c r="G1209" i="40"/>
  <c r="H1212" i="40" s="1"/>
  <c r="F1185" i="40"/>
  <c r="G1185" i="40" s="1"/>
  <c r="E1185" i="40"/>
  <c r="G1184" i="40"/>
  <c r="H1186" i="40" s="1"/>
  <c r="E1184" i="40"/>
  <c r="G1177" i="40"/>
  <c r="G1176" i="40"/>
  <c r="H1172" i="40"/>
  <c r="G1170" i="40"/>
  <c r="H1146" i="40"/>
  <c r="F1145" i="40"/>
  <c r="G1145" i="40" s="1"/>
  <c r="E1145" i="40"/>
  <c r="G1144" i="40"/>
  <c r="E1144" i="40"/>
  <c r="G1137" i="40"/>
  <c r="H1139" i="40" s="1"/>
  <c r="G1136" i="40"/>
  <c r="G1130" i="40"/>
  <c r="G1129" i="40"/>
  <c r="H1132" i="40" s="1"/>
  <c r="H1148" i="40" s="1"/>
  <c r="F1105" i="40"/>
  <c r="E1105" i="40"/>
  <c r="G1104" i="40"/>
  <c r="E1104" i="40"/>
  <c r="H1099" i="40"/>
  <c r="G1097" i="40"/>
  <c r="G1096" i="40"/>
  <c r="G1090" i="40"/>
  <c r="G1089" i="40"/>
  <c r="H1092" i="40" s="1"/>
  <c r="E1065" i="40"/>
  <c r="G1065" i="40" s="1"/>
  <c r="G1064" i="40"/>
  <c r="H1066" i="40" s="1"/>
  <c r="E1064" i="40"/>
  <c r="G1057" i="40"/>
  <c r="G1056" i="40"/>
  <c r="H1059" i="40" s="1"/>
  <c r="G1050" i="40"/>
  <c r="G1049" i="40"/>
  <c r="H1027" i="40"/>
  <c r="G1026" i="40"/>
  <c r="F1026" i="40"/>
  <c r="E1026" i="40"/>
  <c r="E1025" i="40"/>
  <c r="G1025" i="40" s="1"/>
  <c r="H1020" i="40"/>
  <c r="G1018" i="40"/>
  <c r="G1017" i="40"/>
  <c r="G1011" i="40"/>
  <c r="G1010" i="40"/>
  <c r="F986" i="40"/>
  <c r="E986" i="40"/>
  <c r="E985" i="40"/>
  <c r="G985" i="40" s="1"/>
  <c r="H980" i="40"/>
  <c r="G979" i="40"/>
  <c r="G973" i="40"/>
  <c r="G972" i="40"/>
  <c r="H975" i="40" s="1"/>
  <c r="F948" i="40"/>
  <c r="E948" i="40"/>
  <c r="E947" i="40"/>
  <c r="G947" i="40" s="1"/>
  <c r="H942" i="40"/>
  <c r="H937" i="40"/>
  <c r="G935" i="40"/>
  <c r="G934" i="40"/>
  <c r="H910" i="40"/>
  <c r="H912" i="40" s="1"/>
  <c r="F909" i="40"/>
  <c r="E909" i="40"/>
  <c r="G909" i="40" s="1"/>
  <c r="E908" i="40"/>
  <c r="G908" i="40" s="1"/>
  <c r="G902" i="40"/>
  <c r="G901" i="40"/>
  <c r="G900" i="40"/>
  <c r="G899" i="40"/>
  <c r="G898" i="40"/>
  <c r="H903" i="40" s="1"/>
  <c r="G892" i="40"/>
  <c r="G891" i="40"/>
  <c r="H894" i="40" s="1"/>
  <c r="F867" i="40"/>
  <c r="G867" i="40" s="1"/>
  <c r="E867" i="40"/>
  <c r="E866" i="40"/>
  <c r="G866" i="40" s="1"/>
  <c r="H861" i="40"/>
  <c r="G860" i="40"/>
  <c r="G859" i="40"/>
  <c r="G858" i="40"/>
  <c r="G852" i="40"/>
  <c r="G851" i="40"/>
  <c r="H854" i="40" s="1"/>
  <c r="G828" i="40"/>
  <c r="H829" i="40" s="1"/>
  <c r="F828" i="40"/>
  <c r="E828" i="40"/>
  <c r="G827" i="40"/>
  <c r="E827" i="40"/>
  <c r="G821" i="40"/>
  <c r="G820" i="40"/>
  <c r="G819" i="40"/>
  <c r="G813" i="40"/>
  <c r="G812" i="40"/>
  <c r="H815" i="40" s="1"/>
  <c r="F787" i="40"/>
  <c r="G787" i="40" s="1"/>
  <c r="E787" i="40"/>
  <c r="E786" i="40"/>
  <c r="G786" i="40" s="1"/>
  <c r="H781" i="40"/>
  <c r="G779" i="40"/>
  <c r="G778" i="40"/>
  <c r="G777" i="40"/>
  <c r="G776" i="40"/>
  <c r="G775" i="40"/>
  <c r="H771" i="40"/>
  <c r="G769" i="40"/>
  <c r="G768" i="40"/>
  <c r="F745" i="40"/>
  <c r="G745" i="40" s="1"/>
  <c r="E745" i="40"/>
  <c r="G744" i="40"/>
  <c r="E744" i="40"/>
  <c r="G737" i="40"/>
  <c r="G735" i="40"/>
  <c r="G734" i="40"/>
  <c r="G733" i="40"/>
  <c r="G732" i="40"/>
  <c r="H728" i="40"/>
  <c r="G726" i="40"/>
  <c r="G725" i="40"/>
  <c r="F702" i="40"/>
  <c r="E702" i="40"/>
  <c r="G702" i="40" s="1"/>
  <c r="E701" i="40"/>
  <c r="G701" i="40" s="1"/>
  <c r="G694" i="40"/>
  <c r="G693" i="40"/>
  <c r="G692" i="40"/>
  <c r="G691" i="40"/>
  <c r="G690" i="40"/>
  <c r="G689" i="40"/>
  <c r="H696" i="40" s="1"/>
  <c r="G683" i="40"/>
  <c r="G682" i="40"/>
  <c r="H659" i="40"/>
  <c r="G658" i="40"/>
  <c r="F658" i="40"/>
  <c r="E658" i="40"/>
  <c r="G657" i="40"/>
  <c r="E657" i="40"/>
  <c r="G651" i="40"/>
  <c r="G650" i="40"/>
  <c r="G649" i="40"/>
  <c r="G648" i="40"/>
  <c r="G647" i="40"/>
  <c r="G646" i="40"/>
  <c r="G645" i="40"/>
  <c r="H641" i="40"/>
  <c r="G639" i="40"/>
  <c r="G638" i="40"/>
  <c r="F615" i="40"/>
  <c r="E615" i="40"/>
  <c r="G614" i="40"/>
  <c r="E614" i="40"/>
  <c r="G608" i="40"/>
  <c r="G607" i="40"/>
  <c r="G606" i="40"/>
  <c r="G605" i="40"/>
  <c r="G604" i="40"/>
  <c r="G603" i="40"/>
  <c r="G602" i="40"/>
  <c r="G596" i="40"/>
  <c r="G595" i="40"/>
  <c r="H598" i="40" s="1"/>
  <c r="F572" i="40"/>
  <c r="G572" i="40" s="1"/>
  <c r="E572" i="40"/>
  <c r="G571" i="40"/>
  <c r="H573" i="40" s="1"/>
  <c r="E571" i="40"/>
  <c r="G564" i="40"/>
  <c r="G563" i="40"/>
  <c r="G562" i="40"/>
  <c r="G561" i="40"/>
  <c r="G555" i="40"/>
  <c r="G554" i="40"/>
  <c r="E531" i="40"/>
  <c r="G531" i="40" s="1"/>
  <c r="H532" i="40" s="1"/>
  <c r="H534" i="40" s="1"/>
  <c r="G530" i="40"/>
  <c r="E530" i="40"/>
  <c r="H525" i="40"/>
  <c r="G523" i="40"/>
  <c r="G522" i="40"/>
  <c r="G521" i="40"/>
  <c r="G520" i="40"/>
  <c r="G514" i="40"/>
  <c r="H516" i="40" s="1"/>
  <c r="G513" i="40"/>
  <c r="E490" i="40"/>
  <c r="G490" i="40" s="1"/>
  <c r="H491" i="40" s="1"/>
  <c r="H493" i="40" s="1"/>
  <c r="E489" i="40"/>
  <c r="G489" i="40" s="1"/>
  <c r="H484" i="40"/>
  <c r="G483" i="40"/>
  <c r="G482" i="40"/>
  <c r="G481" i="40"/>
  <c r="G480" i="40"/>
  <c r="G479" i="40"/>
  <c r="F479" i="40"/>
  <c r="H475" i="40"/>
  <c r="G473" i="40"/>
  <c r="G472" i="40"/>
  <c r="G449" i="40"/>
  <c r="F449" i="40"/>
  <c r="E449" i="40"/>
  <c r="G448" i="40"/>
  <c r="E448" i="40"/>
  <c r="G442" i="40"/>
  <c r="G441" i="40"/>
  <c r="G440" i="40"/>
  <c r="G439" i="40"/>
  <c r="G438" i="40"/>
  <c r="F438" i="40"/>
  <c r="H434" i="40"/>
  <c r="G432" i="40"/>
  <c r="G431" i="40"/>
  <c r="G408" i="40"/>
  <c r="F408" i="40"/>
  <c r="E408" i="40"/>
  <c r="G407" i="40"/>
  <c r="E407" i="40"/>
  <c r="G400" i="40"/>
  <c r="G399" i="40"/>
  <c r="G398" i="40"/>
  <c r="G397" i="40"/>
  <c r="F397" i="40"/>
  <c r="G391" i="40"/>
  <c r="H393" i="40" s="1"/>
  <c r="G390" i="40"/>
  <c r="E367" i="40"/>
  <c r="G367" i="40" s="1"/>
  <c r="H368" i="40" s="1"/>
  <c r="E366" i="40"/>
  <c r="G366" i="40" s="1"/>
  <c r="G360" i="40"/>
  <c r="G359" i="40"/>
  <c r="G358" i="40"/>
  <c r="G357" i="40"/>
  <c r="G356" i="40"/>
  <c r="F356" i="40"/>
  <c r="G350" i="40"/>
  <c r="G349" i="40"/>
  <c r="G326" i="40"/>
  <c r="E326" i="40"/>
  <c r="E325" i="40"/>
  <c r="G325" i="40" s="1"/>
  <c r="H327" i="40" s="1"/>
  <c r="G319" i="40"/>
  <c r="G318" i="40"/>
  <c r="G317" i="40"/>
  <c r="G316" i="40"/>
  <c r="G315" i="40"/>
  <c r="H320" i="40" s="1"/>
  <c r="G308" i="40"/>
  <c r="H311" i="40" s="1"/>
  <c r="H286" i="40"/>
  <c r="G285" i="40"/>
  <c r="E285" i="40"/>
  <c r="E284" i="40"/>
  <c r="G284" i="40" s="1"/>
  <c r="G278" i="40"/>
  <c r="G277" i="40"/>
  <c r="G276" i="40"/>
  <c r="G275" i="40"/>
  <c r="H279" i="40" s="1"/>
  <c r="G274" i="40"/>
  <c r="G267" i="40"/>
  <c r="H270" i="40" s="1"/>
  <c r="E244" i="40"/>
  <c r="G244" i="40" s="1"/>
  <c r="G243" i="40"/>
  <c r="H245" i="40" s="1"/>
  <c r="E243" i="40"/>
  <c r="G237" i="40"/>
  <c r="G236" i="40"/>
  <c r="G235" i="40"/>
  <c r="G234" i="40"/>
  <c r="G233" i="40"/>
  <c r="G226" i="40"/>
  <c r="H229" i="40" s="1"/>
  <c r="G203" i="40"/>
  <c r="E203" i="40"/>
  <c r="E202" i="40"/>
  <c r="G202" i="40" s="1"/>
  <c r="H204" i="40" s="1"/>
  <c r="G196" i="40"/>
  <c r="G195" i="40"/>
  <c r="G194" i="40"/>
  <c r="G193" i="40"/>
  <c r="H197" i="40" s="1"/>
  <c r="G192" i="40"/>
  <c r="G185" i="40"/>
  <c r="H188" i="40" s="1"/>
  <c r="G162" i="40"/>
  <c r="H163" i="40" s="1"/>
  <c r="E162" i="40"/>
  <c r="E161" i="40"/>
  <c r="G161" i="40" s="1"/>
  <c r="G155" i="40"/>
  <c r="G154" i="40"/>
  <c r="G153" i="40"/>
  <c r="G152" i="40"/>
  <c r="G151" i="40"/>
  <c r="H147" i="40"/>
  <c r="G144" i="40"/>
  <c r="E120" i="40"/>
  <c r="G120" i="40" s="1"/>
  <c r="E119" i="40"/>
  <c r="G119" i="40" s="1"/>
  <c r="H121" i="40" s="1"/>
  <c r="H114" i="40"/>
  <c r="G113" i="40"/>
  <c r="G112" i="40"/>
  <c r="G111" i="40"/>
  <c r="G110" i="40"/>
  <c r="G109" i="40"/>
  <c r="G108" i="40"/>
  <c r="G101" i="40"/>
  <c r="H104" i="40" s="1"/>
  <c r="G78" i="40"/>
  <c r="E77" i="40"/>
  <c r="G77" i="40" s="1"/>
  <c r="G71" i="40"/>
  <c r="G70" i="40"/>
  <c r="G69" i="40"/>
  <c r="G68" i="40"/>
  <c r="G67" i="40"/>
  <c r="G66" i="40"/>
  <c r="H72" i="40" s="1"/>
  <c r="G59" i="40"/>
  <c r="H62" i="40" s="1"/>
  <c r="G36" i="40"/>
  <c r="E36" i="40"/>
  <c r="E35" i="40"/>
  <c r="G35" i="40" s="1"/>
  <c r="G29" i="40"/>
  <c r="G28" i="40"/>
  <c r="G27" i="40"/>
  <c r="G26" i="40"/>
  <c r="G25" i="40"/>
  <c r="G24" i="40"/>
  <c r="G23" i="40"/>
  <c r="G16" i="40"/>
  <c r="H19" i="40" s="1"/>
  <c r="A358" i="39"/>
  <c r="E357" i="39"/>
  <c r="C357" i="39"/>
  <c r="A357" i="39"/>
  <c r="C356" i="39"/>
  <c r="F356" i="39" s="1"/>
  <c r="A356" i="39"/>
  <c r="F345" i="39"/>
  <c r="D345" i="39"/>
  <c r="C345" i="39"/>
  <c r="A345" i="39"/>
  <c r="C344" i="39"/>
  <c r="A344" i="39"/>
  <c r="A339" i="39"/>
  <c r="A327" i="39"/>
  <c r="E326" i="39"/>
  <c r="F326" i="39" s="1"/>
  <c r="G327" i="39" s="1"/>
  <c r="F325" i="39"/>
  <c r="G322" i="39"/>
  <c r="F316" i="39"/>
  <c r="F315" i="39"/>
  <c r="F314" i="39"/>
  <c r="G317" i="39" s="1"/>
  <c r="F308" i="39"/>
  <c r="G311" i="39" s="1"/>
  <c r="G296" i="39"/>
  <c r="A296" i="39"/>
  <c r="F295" i="39"/>
  <c r="E295" i="39"/>
  <c r="F294" i="39"/>
  <c r="G291" i="39"/>
  <c r="F285" i="39"/>
  <c r="F284" i="39"/>
  <c r="F283" i="39"/>
  <c r="F282" i="39"/>
  <c r="F281" i="39"/>
  <c r="F280" i="39"/>
  <c r="F279" i="39"/>
  <c r="F278" i="39"/>
  <c r="F277" i="39"/>
  <c r="F276" i="39"/>
  <c r="F275" i="39"/>
  <c r="F274" i="39"/>
  <c r="F273" i="39"/>
  <c r="F268" i="39"/>
  <c r="E268" i="39"/>
  <c r="D268" i="39"/>
  <c r="E267" i="39"/>
  <c r="A267" i="39"/>
  <c r="A254" i="39"/>
  <c r="E253" i="39"/>
  <c r="G249" i="39"/>
  <c r="G244" i="39"/>
  <c r="F243" i="39"/>
  <c r="F242" i="39"/>
  <c r="F241" i="39"/>
  <c r="E235" i="39"/>
  <c r="A235" i="39"/>
  <c r="A222" i="39"/>
  <c r="E221" i="39"/>
  <c r="F209" i="39"/>
  <c r="G212" i="39" s="1"/>
  <c r="F208" i="39"/>
  <c r="E204" i="39"/>
  <c r="D204" i="39"/>
  <c r="E203" i="39"/>
  <c r="A203" i="39"/>
  <c r="A190" i="39"/>
  <c r="E189" i="39"/>
  <c r="F179" i="39"/>
  <c r="F178" i="39"/>
  <c r="F177" i="39"/>
  <c r="F176" i="39"/>
  <c r="G173" i="39"/>
  <c r="F171" i="39"/>
  <c r="A158" i="39"/>
  <c r="E157" i="39"/>
  <c r="G148" i="39"/>
  <c r="F147" i="39"/>
  <c r="F146" i="39"/>
  <c r="F145" i="39"/>
  <c r="F144" i="39"/>
  <c r="E139" i="39"/>
  <c r="D139" i="39"/>
  <c r="A139" i="39"/>
  <c r="A126" i="39"/>
  <c r="E125" i="39"/>
  <c r="F113" i="39"/>
  <c r="F112" i="39"/>
  <c r="G116" i="39" s="1"/>
  <c r="E107" i="39"/>
  <c r="F107" i="39" s="1"/>
  <c r="G109" i="39" s="1"/>
  <c r="D107" i="39"/>
  <c r="A107" i="39"/>
  <c r="A94" i="39"/>
  <c r="E93" i="39"/>
  <c r="A92" i="39"/>
  <c r="A124" i="39" s="1"/>
  <c r="A156" i="39" s="1"/>
  <c r="A220" i="39" s="1"/>
  <c r="F81" i="39"/>
  <c r="F80" i="39"/>
  <c r="G84" i="39" s="1"/>
  <c r="E76" i="39"/>
  <c r="D76" i="39"/>
  <c r="F76" i="39" s="1"/>
  <c r="F75" i="39"/>
  <c r="G77" i="39" s="1"/>
  <c r="E75" i="39"/>
  <c r="D75" i="39"/>
  <c r="A75" i="39"/>
  <c r="A62" i="39"/>
  <c r="E61" i="39"/>
  <c r="A61" i="39"/>
  <c r="A93" i="39" s="1"/>
  <c r="A125" i="39" s="1"/>
  <c r="A157" i="39" s="1"/>
  <c r="A189" i="39" s="1"/>
  <c r="A221" i="39" s="1"/>
  <c r="A60" i="39"/>
  <c r="G57" i="39"/>
  <c r="F56" i="39"/>
  <c r="F51" i="39"/>
  <c r="F50" i="39"/>
  <c r="F49" i="39"/>
  <c r="F48" i="39"/>
  <c r="F47" i="39"/>
  <c r="D43" i="39"/>
  <c r="A43" i="39"/>
  <c r="E42" i="39"/>
  <c r="E43" i="39" s="1"/>
  <c r="F43" i="39" s="1"/>
  <c r="A29" i="39"/>
  <c r="E28" i="39"/>
  <c r="F28" i="39" s="1"/>
  <c r="F27" i="39"/>
  <c r="G29" i="39" s="1"/>
  <c r="F18" i="39"/>
  <c r="F17" i="39"/>
  <c r="F16" i="39"/>
  <c r="G19" i="39" s="1"/>
  <c r="F15" i="39"/>
  <c r="F11" i="39"/>
  <c r="D11" i="39"/>
  <c r="A11" i="39"/>
  <c r="D10" i="39"/>
  <c r="A10" i="39"/>
  <c r="A42" i="39" s="1"/>
  <c r="A1360" i="38"/>
  <c r="A1358" i="38"/>
  <c r="F1349" i="38"/>
  <c r="D1349" i="38"/>
  <c r="C1349" i="38"/>
  <c r="A1349" i="38"/>
  <c r="C1348" i="38"/>
  <c r="A1348" i="38"/>
  <c r="C1347" i="38"/>
  <c r="A1347" i="38"/>
  <c r="D1346" i="38"/>
  <c r="F1346" i="38" s="1"/>
  <c r="C1346" i="38"/>
  <c r="A1346" i="38"/>
  <c r="F1345" i="38"/>
  <c r="F1344" i="38"/>
  <c r="D1340" i="38"/>
  <c r="A1340" i="38"/>
  <c r="D1339" i="38"/>
  <c r="A1339" i="38"/>
  <c r="D1338" i="38"/>
  <c r="A1338" i="38"/>
  <c r="F1337" i="38"/>
  <c r="E1337" i="38"/>
  <c r="E1338" i="38" s="1"/>
  <c r="D1337" i="38"/>
  <c r="A1337" i="38"/>
  <c r="A1324" i="38"/>
  <c r="A1322" i="38"/>
  <c r="G1314" i="38"/>
  <c r="F1311" i="38"/>
  <c r="F1310" i="38"/>
  <c r="D1310" i="38"/>
  <c r="A1310" i="38"/>
  <c r="F1306" i="38"/>
  <c r="E1306" i="38"/>
  <c r="D1306" i="38"/>
  <c r="A1306" i="38"/>
  <c r="F1305" i="38"/>
  <c r="E1305" i="38"/>
  <c r="D1305" i="38"/>
  <c r="A1305" i="38"/>
  <c r="E1304" i="38"/>
  <c r="F1304" i="38" s="1"/>
  <c r="D1304" i="38"/>
  <c r="A1304" i="38"/>
  <c r="F1303" i="38"/>
  <c r="E1303" i="38"/>
  <c r="D1303" i="38"/>
  <c r="A1303" i="38"/>
  <c r="A1290" i="38"/>
  <c r="A1288" i="38"/>
  <c r="G1280" i="38"/>
  <c r="F1278" i="38"/>
  <c r="F1277" i="38"/>
  <c r="D1276" i="38"/>
  <c r="F1276" i="38" s="1"/>
  <c r="A1276" i="38"/>
  <c r="D1272" i="38"/>
  <c r="A1272" i="38"/>
  <c r="D1271" i="38"/>
  <c r="A1271" i="38"/>
  <c r="D1270" i="38"/>
  <c r="A1270" i="38"/>
  <c r="E1269" i="38"/>
  <c r="D1269" i="38"/>
  <c r="A1269" i="38"/>
  <c r="A1256" i="38"/>
  <c r="A1254" i="38"/>
  <c r="F1244" i="38"/>
  <c r="F1243" i="38"/>
  <c r="F1242" i="38"/>
  <c r="G1246" i="38" s="1"/>
  <c r="F1241" i="38"/>
  <c r="F1240" i="38"/>
  <c r="E1236" i="38"/>
  <c r="F1236" i="38" s="1"/>
  <c r="D1236" i="38"/>
  <c r="A1236" i="38"/>
  <c r="D1235" i="38"/>
  <c r="A1235" i="38"/>
  <c r="D1234" i="38"/>
  <c r="A1234" i="38"/>
  <c r="E1233" i="38"/>
  <c r="E1234" i="38" s="1"/>
  <c r="D1233" i="38"/>
  <c r="A1233" i="38"/>
  <c r="A1220" i="38"/>
  <c r="A1218" i="38"/>
  <c r="F1208" i="38"/>
  <c r="F1207" i="38"/>
  <c r="F1206" i="38"/>
  <c r="F1205" i="38"/>
  <c r="F1204" i="38"/>
  <c r="D1200" i="38"/>
  <c r="A1200" i="38"/>
  <c r="D1199" i="38"/>
  <c r="A1199" i="38"/>
  <c r="D1198" i="38"/>
  <c r="A1198" i="38"/>
  <c r="E1197" i="38"/>
  <c r="D1197" i="38"/>
  <c r="A1197" i="38"/>
  <c r="A1184" i="38"/>
  <c r="A1182" i="38"/>
  <c r="G1174" i="38"/>
  <c r="F1172" i="38"/>
  <c r="F1171" i="38"/>
  <c r="F1170" i="38"/>
  <c r="F1169" i="38"/>
  <c r="F1168" i="38"/>
  <c r="D1164" i="38"/>
  <c r="A1164" i="38"/>
  <c r="D1163" i="38"/>
  <c r="A1163" i="38"/>
  <c r="D1162" i="38"/>
  <c r="A1162" i="38"/>
  <c r="E1161" i="38"/>
  <c r="D1161" i="38"/>
  <c r="A1161" i="38"/>
  <c r="A1148" i="38"/>
  <c r="A1146" i="38"/>
  <c r="F1136" i="38"/>
  <c r="F1135" i="38"/>
  <c r="F1134" i="38"/>
  <c r="F1133" i="38"/>
  <c r="F1132" i="38"/>
  <c r="G1138" i="38" s="1"/>
  <c r="D1128" i="38"/>
  <c r="A1128" i="38"/>
  <c r="D1127" i="38"/>
  <c r="A1127" i="38"/>
  <c r="D1126" i="38"/>
  <c r="A1126" i="38"/>
  <c r="E1125" i="38"/>
  <c r="D1125" i="38"/>
  <c r="A1125" i="38"/>
  <c r="A1112" i="38"/>
  <c r="A1110" i="38"/>
  <c r="F1105" i="38"/>
  <c r="G1107" i="38" s="1"/>
  <c r="D1105" i="38"/>
  <c r="C1105" i="38"/>
  <c r="A1105" i="38"/>
  <c r="F1101" i="38"/>
  <c r="D1101" i="38"/>
  <c r="D1100" i="38"/>
  <c r="F1100" i="38" s="1"/>
  <c r="D1099" i="38"/>
  <c r="F1099" i="38" s="1"/>
  <c r="C1099" i="38"/>
  <c r="A1099" i="38"/>
  <c r="D1098" i="38"/>
  <c r="F1098" i="38" s="1"/>
  <c r="C1098" i="38"/>
  <c r="A1098" i="38"/>
  <c r="F1097" i="38"/>
  <c r="D1097" i="38"/>
  <c r="C1097" i="38"/>
  <c r="A1097" i="38"/>
  <c r="D1096" i="38"/>
  <c r="F1096" i="38" s="1"/>
  <c r="C1096" i="38"/>
  <c r="A1096" i="38"/>
  <c r="F1092" i="38"/>
  <c r="D1092" i="38"/>
  <c r="A1092" i="38"/>
  <c r="F1091" i="38"/>
  <c r="D1091" i="38"/>
  <c r="A1091" i="38"/>
  <c r="F1090" i="38"/>
  <c r="D1090" i="38"/>
  <c r="A1090" i="38"/>
  <c r="E1089" i="38"/>
  <c r="D1089" i="38"/>
  <c r="F1089" i="38" s="1"/>
  <c r="A1089" i="38"/>
  <c r="A1044" i="38"/>
  <c r="F1042" i="38"/>
  <c r="G1044" i="38" s="1"/>
  <c r="G1039" i="38"/>
  <c r="D1031" i="38"/>
  <c r="F1031" i="38" s="1"/>
  <c r="C1031" i="38"/>
  <c r="A1031" i="38"/>
  <c r="D1030" i="38"/>
  <c r="F1030" i="38" s="1"/>
  <c r="C1030" i="38"/>
  <c r="A1030" i="38"/>
  <c r="C1029" i="38"/>
  <c r="A1029" i="38"/>
  <c r="F1028" i="38"/>
  <c r="C1028" i="38"/>
  <c r="A1028" i="38"/>
  <c r="D1022" i="38"/>
  <c r="F1022" i="38" s="1"/>
  <c r="G1025" i="38" s="1"/>
  <c r="A1022" i="38"/>
  <c r="F1021" i="38"/>
  <c r="F1020" i="38"/>
  <c r="E1020" i="38"/>
  <c r="A1015" i="38"/>
  <c r="A1007" i="38"/>
  <c r="F1005" i="38"/>
  <c r="G1007" i="38" s="1"/>
  <c r="G1002" i="38"/>
  <c r="F994" i="38"/>
  <c r="D994" i="38"/>
  <c r="C994" i="38"/>
  <c r="A994" i="38"/>
  <c r="F993" i="38"/>
  <c r="D993" i="38"/>
  <c r="C993" i="38"/>
  <c r="A993" i="38"/>
  <c r="C992" i="38"/>
  <c r="A992" i="38"/>
  <c r="F991" i="38"/>
  <c r="D991" i="38"/>
  <c r="C991" i="38"/>
  <c r="A991" i="38"/>
  <c r="F985" i="38"/>
  <c r="D985" i="38"/>
  <c r="A985" i="38"/>
  <c r="F984" i="38"/>
  <c r="F983" i="38"/>
  <c r="E983" i="38"/>
  <c r="A978" i="38"/>
  <c r="A970" i="38"/>
  <c r="F968" i="38"/>
  <c r="G970" i="38" s="1"/>
  <c r="G965" i="38"/>
  <c r="D957" i="38"/>
  <c r="F957" i="38" s="1"/>
  <c r="C957" i="38"/>
  <c r="A957" i="38"/>
  <c r="C956" i="38"/>
  <c r="A956" i="38"/>
  <c r="C955" i="38"/>
  <c r="A955" i="38"/>
  <c r="C954" i="38"/>
  <c r="A954" i="38"/>
  <c r="F949" i="38"/>
  <c r="D949" i="38"/>
  <c r="A949" i="38"/>
  <c r="F948" i="38"/>
  <c r="E947" i="38"/>
  <c r="F947" i="38" s="1"/>
  <c r="G951" i="38" s="1"/>
  <c r="A942" i="38"/>
  <c r="A933" i="38"/>
  <c r="E932" i="38"/>
  <c r="A932" i="38"/>
  <c r="A931" i="38"/>
  <c r="D921" i="38"/>
  <c r="F921" i="38" s="1"/>
  <c r="C921" i="38"/>
  <c r="A921" i="38"/>
  <c r="C920" i="38"/>
  <c r="A920" i="38"/>
  <c r="F919" i="38"/>
  <c r="D919" i="38"/>
  <c r="C919" i="38"/>
  <c r="A919" i="38"/>
  <c r="D918" i="38"/>
  <c r="F918" i="38" s="1"/>
  <c r="C918" i="38"/>
  <c r="A918" i="38"/>
  <c r="G915" i="38"/>
  <c r="F913" i="38"/>
  <c r="A907" i="38"/>
  <c r="A899" i="38"/>
  <c r="E898" i="38"/>
  <c r="A898" i="38"/>
  <c r="A897" i="38"/>
  <c r="D887" i="38"/>
  <c r="F887" i="38" s="1"/>
  <c r="C887" i="38"/>
  <c r="A887" i="38"/>
  <c r="D886" i="38"/>
  <c r="F886" i="38" s="1"/>
  <c r="C886" i="38"/>
  <c r="A886" i="38"/>
  <c r="F885" i="38"/>
  <c r="D885" i="38"/>
  <c r="C885" i="38"/>
  <c r="A885" i="38"/>
  <c r="F884" i="38"/>
  <c r="D884" i="38"/>
  <c r="C884" i="38"/>
  <c r="A884" i="38"/>
  <c r="G881" i="38"/>
  <c r="F879" i="38"/>
  <c r="A873" i="38"/>
  <c r="A867" i="38"/>
  <c r="A866" i="38"/>
  <c r="E865" i="38"/>
  <c r="A865" i="38"/>
  <c r="A864" i="38"/>
  <c r="F852" i="38"/>
  <c r="F851" i="38"/>
  <c r="F850" i="38"/>
  <c r="F849" i="38"/>
  <c r="F848" i="38"/>
  <c r="F847" i="38"/>
  <c r="F846" i="38"/>
  <c r="F845" i="38"/>
  <c r="F844" i="38"/>
  <c r="G841" i="38"/>
  <c r="F839" i="38"/>
  <c r="A833" i="38"/>
  <c r="A825" i="38"/>
  <c r="E824" i="38"/>
  <c r="A824" i="38"/>
  <c r="A823" i="38"/>
  <c r="F811" i="38"/>
  <c r="F810" i="38"/>
  <c r="G815" i="38" s="1"/>
  <c r="F805" i="38"/>
  <c r="G807" i="38" s="1"/>
  <c r="A799" i="38"/>
  <c r="A791" i="38"/>
  <c r="F789" i="38"/>
  <c r="G791" i="38" s="1"/>
  <c r="C780" i="38"/>
  <c r="A780" i="38"/>
  <c r="C779" i="38"/>
  <c r="A779" i="38"/>
  <c r="F778" i="38"/>
  <c r="D778" i="38"/>
  <c r="C778" i="38"/>
  <c r="A778" i="38"/>
  <c r="F777" i="38"/>
  <c r="D777" i="38"/>
  <c r="C777" i="38"/>
  <c r="A777" i="38"/>
  <c r="F776" i="38"/>
  <c r="G773" i="38"/>
  <c r="F771" i="38"/>
  <c r="F770" i="38"/>
  <c r="A765" i="38"/>
  <c r="G757" i="38"/>
  <c r="A757" i="38"/>
  <c r="F755" i="38"/>
  <c r="C746" i="38"/>
  <c r="A746" i="38"/>
  <c r="D745" i="38"/>
  <c r="F745" i="38" s="1"/>
  <c r="C745" i="38"/>
  <c r="A745" i="38"/>
  <c r="F744" i="38"/>
  <c r="D743" i="38"/>
  <c r="F743" i="38" s="1"/>
  <c r="C743" i="38"/>
  <c r="A743" i="38"/>
  <c r="D742" i="38"/>
  <c r="F742" i="38" s="1"/>
  <c r="C742" i="38"/>
  <c r="A742" i="38"/>
  <c r="F741" i="38"/>
  <c r="D740" i="38"/>
  <c r="F740" i="38" s="1"/>
  <c r="C740" i="38"/>
  <c r="A740" i="38"/>
  <c r="G737" i="38"/>
  <c r="F735" i="38"/>
  <c r="F734" i="38"/>
  <c r="A729" i="38"/>
  <c r="A721" i="38"/>
  <c r="F719" i="38"/>
  <c r="G721" i="38" s="1"/>
  <c r="C710" i="38"/>
  <c r="A710" i="38"/>
  <c r="D709" i="38"/>
  <c r="F709" i="38" s="1"/>
  <c r="C709" i="38"/>
  <c r="A709" i="38"/>
  <c r="F708" i="38"/>
  <c r="D708" i="38"/>
  <c r="C708" i="38"/>
  <c r="A708" i="38"/>
  <c r="D707" i="38"/>
  <c r="F707" i="38" s="1"/>
  <c r="C707" i="38"/>
  <c r="A707" i="38"/>
  <c r="C706" i="38"/>
  <c r="A706" i="38"/>
  <c r="F705" i="38"/>
  <c r="D705" i="38"/>
  <c r="C705" i="38"/>
  <c r="A705" i="38"/>
  <c r="G702" i="38"/>
  <c r="F700" i="38"/>
  <c r="F699" i="38"/>
  <c r="A694" i="38"/>
  <c r="G686" i="38"/>
  <c r="A686" i="38"/>
  <c r="F684" i="38"/>
  <c r="C675" i="38"/>
  <c r="A675" i="38"/>
  <c r="F674" i="38"/>
  <c r="D674" i="38"/>
  <c r="C674" i="38"/>
  <c r="A674" i="38"/>
  <c r="D673" i="38"/>
  <c r="F673" i="38" s="1"/>
  <c r="C673" i="38"/>
  <c r="A673" i="38"/>
  <c r="F672" i="38"/>
  <c r="D672" i="38"/>
  <c r="C672" i="38"/>
  <c r="A672" i="38"/>
  <c r="C671" i="38"/>
  <c r="A671" i="38"/>
  <c r="D670" i="38"/>
  <c r="F670" i="38" s="1"/>
  <c r="C670" i="38"/>
  <c r="A670" i="38"/>
  <c r="F665" i="38"/>
  <c r="F664" i="38"/>
  <c r="A659" i="38"/>
  <c r="G651" i="38"/>
  <c r="A651" i="38"/>
  <c r="F649" i="38"/>
  <c r="F640" i="38"/>
  <c r="F639" i="38"/>
  <c r="F638" i="38"/>
  <c r="F637" i="38"/>
  <c r="F636" i="38"/>
  <c r="F635" i="38"/>
  <c r="F634" i="38"/>
  <c r="E630" i="38"/>
  <c r="F630" i="38" s="1"/>
  <c r="F629" i="38"/>
  <c r="F628" i="38"/>
  <c r="F627" i="38"/>
  <c r="E627" i="38"/>
  <c r="A622" i="38"/>
  <c r="A614" i="38"/>
  <c r="F612" i="38"/>
  <c r="G614" i="38" s="1"/>
  <c r="G609" i="38"/>
  <c r="F601" i="38"/>
  <c r="F600" i="38"/>
  <c r="D599" i="38"/>
  <c r="F599" i="38" s="1"/>
  <c r="C599" i="38"/>
  <c r="A599" i="38"/>
  <c r="G596" i="38"/>
  <c r="F594" i="38"/>
  <c r="F593" i="38"/>
  <c r="F592" i="38"/>
  <c r="A587" i="38"/>
  <c r="A579" i="38"/>
  <c r="A577" i="38"/>
  <c r="G569" i="38"/>
  <c r="F565" i="38"/>
  <c r="F561" i="38"/>
  <c r="G562" i="38" s="1"/>
  <c r="F560" i="38"/>
  <c r="A555" i="38"/>
  <c r="A541" i="38"/>
  <c r="A539" i="38"/>
  <c r="F530" i="38"/>
  <c r="D530" i="38"/>
  <c r="C530" i="38"/>
  <c r="A530" i="38"/>
  <c r="D529" i="38"/>
  <c r="F529" i="38" s="1"/>
  <c r="C529" i="38"/>
  <c r="A529" i="38"/>
  <c r="D528" i="38"/>
  <c r="F528" i="38" s="1"/>
  <c r="C528" i="38"/>
  <c r="A528" i="38"/>
  <c r="F527" i="38"/>
  <c r="D527" i="38"/>
  <c r="C527" i="38"/>
  <c r="A527" i="38"/>
  <c r="F526" i="38"/>
  <c r="G531" i="38" s="1"/>
  <c r="D526" i="38"/>
  <c r="C526" i="38"/>
  <c r="A526" i="38"/>
  <c r="F522" i="38"/>
  <c r="D522" i="38"/>
  <c r="A522" i="38"/>
  <c r="F521" i="38"/>
  <c r="G523" i="38" s="1"/>
  <c r="D521" i="38"/>
  <c r="A521" i="38"/>
  <c r="A508" i="38"/>
  <c r="A506" i="38"/>
  <c r="F497" i="38"/>
  <c r="F496" i="38"/>
  <c r="F495" i="38"/>
  <c r="G498" i="38" s="1"/>
  <c r="F494" i="38"/>
  <c r="G491" i="38"/>
  <c r="F490" i="38"/>
  <c r="E490" i="38"/>
  <c r="D490" i="38"/>
  <c r="A490" i="38"/>
  <c r="F489" i="38"/>
  <c r="D489" i="38"/>
  <c r="A489" i="38"/>
  <c r="D488" i="38"/>
  <c r="F488" i="38" s="1"/>
  <c r="A488" i="38"/>
  <c r="F487" i="38"/>
  <c r="D487" i="38"/>
  <c r="A487" i="38"/>
  <c r="G474" i="38"/>
  <c r="A474" i="38"/>
  <c r="F472" i="38"/>
  <c r="G464" i="38"/>
  <c r="F460" i="38"/>
  <c r="F455" i="38"/>
  <c r="F454" i="38"/>
  <c r="G457" i="38" s="1"/>
  <c r="G476" i="38" s="1"/>
  <c r="E454" i="38"/>
  <c r="A449" i="38"/>
  <c r="A441" i="38"/>
  <c r="F439" i="38"/>
  <c r="G441" i="38" s="1"/>
  <c r="F430" i="38"/>
  <c r="F429" i="38"/>
  <c r="F428" i="38"/>
  <c r="G425" i="38"/>
  <c r="F424" i="38"/>
  <c r="F423" i="38"/>
  <c r="F422" i="38"/>
  <c r="E422" i="38"/>
  <c r="A417" i="38"/>
  <c r="G409" i="38"/>
  <c r="A409" i="38"/>
  <c r="F407" i="38"/>
  <c r="F396" i="38"/>
  <c r="G399" i="38" s="1"/>
  <c r="F392" i="38"/>
  <c r="F391" i="38"/>
  <c r="G393" i="38" s="1"/>
  <c r="G411" i="38" s="1"/>
  <c r="E391" i="38"/>
  <c r="A386" i="38"/>
  <c r="G378" i="38"/>
  <c r="A378" i="38"/>
  <c r="F376" i="38"/>
  <c r="F367" i="38"/>
  <c r="G368" i="38" s="1"/>
  <c r="F366" i="38"/>
  <c r="F365" i="38"/>
  <c r="F361" i="38"/>
  <c r="F360" i="38"/>
  <c r="E359" i="38"/>
  <c r="F359" i="38" s="1"/>
  <c r="A354" i="38"/>
  <c r="G346" i="38"/>
  <c r="A346" i="38"/>
  <c r="F344" i="38"/>
  <c r="G341" i="38"/>
  <c r="F340" i="38"/>
  <c r="F339" i="38"/>
  <c r="G336" i="38"/>
  <c r="F335" i="38"/>
  <c r="F334" i="38"/>
  <c r="F333" i="38"/>
  <c r="F332" i="38"/>
  <c r="F331" i="38"/>
  <c r="F330" i="38"/>
  <c r="F329" i="38"/>
  <c r="E325" i="38"/>
  <c r="F325" i="38" s="1"/>
  <c r="F324" i="38"/>
  <c r="F323" i="38"/>
  <c r="E322" i="38"/>
  <c r="F322" i="38" s="1"/>
  <c r="G326" i="38" s="1"/>
  <c r="G348" i="38" s="1"/>
  <c r="A317" i="38"/>
  <c r="G309" i="38"/>
  <c r="A309" i="38"/>
  <c r="F307" i="38"/>
  <c r="G304" i="38"/>
  <c r="F303" i="38"/>
  <c r="F302" i="38"/>
  <c r="F297" i="38"/>
  <c r="F296" i="38"/>
  <c r="F295" i="38"/>
  <c r="G299" i="38" s="1"/>
  <c r="E291" i="38"/>
  <c r="F291" i="38" s="1"/>
  <c r="F290" i="38"/>
  <c r="F289" i="38"/>
  <c r="E288" i="38"/>
  <c r="F288" i="38" s="1"/>
  <c r="G292" i="38" s="1"/>
  <c r="G311" i="38" s="1"/>
  <c r="A283" i="38"/>
  <c r="A269" i="38"/>
  <c r="A267" i="38"/>
  <c r="G264" i="38"/>
  <c r="F262" i="38"/>
  <c r="D262" i="38"/>
  <c r="C262" i="38"/>
  <c r="A262" i="38"/>
  <c r="F256" i="38"/>
  <c r="G259" i="38" s="1"/>
  <c r="D256" i="38"/>
  <c r="D252" i="38"/>
  <c r="A252" i="38"/>
  <c r="D251" i="38"/>
  <c r="A251" i="38"/>
  <c r="F250" i="38"/>
  <c r="E250" i="38"/>
  <c r="D250" i="38"/>
  <c r="A250" i="38"/>
  <c r="E249" i="38"/>
  <c r="F249" i="38" s="1"/>
  <c r="D249" i="38"/>
  <c r="A249" i="38"/>
  <c r="A230" i="38"/>
  <c r="A228" i="38"/>
  <c r="D223" i="38"/>
  <c r="F223" i="38" s="1"/>
  <c r="G225" i="38" s="1"/>
  <c r="C223" i="38"/>
  <c r="A223" i="38"/>
  <c r="G220" i="38"/>
  <c r="F215" i="38"/>
  <c r="D215" i="38"/>
  <c r="E211" i="38"/>
  <c r="D211" i="38"/>
  <c r="A211" i="38"/>
  <c r="D210" i="38"/>
  <c r="F210" i="38" s="1"/>
  <c r="A210" i="38"/>
  <c r="F209" i="38"/>
  <c r="D209" i="38"/>
  <c r="A209" i="38"/>
  <c r="F208" i="38"/>
  <c r="D208" i="38"/>
  <c r="A208" i="38"/>
  <c r="A195" i="38"/>
  <c r="A193" i="38"/>
  <c r="G185" i="38"/>
  <c r="D184" i="38"/>
  <c r="F184" i="38" s="1"/>
  <c r="D183" i="38"/>
  <c r="F183" i="38" s="1"/>
  <c r="D182" i="38"/>
  <c r="F182" i="38" s="1"/>
  <c r="D178" i="38"/>
  <c r="A178" i="38"/>
  <c r="D177" i="38"/>
  <c r="A177" i="38"/>
  <c r="E176" i="38"/>
  <c r="D176" i="38"/>
  <c r="A176" i="38"/>
  <c r="F175" i="38"/>
  <c r="E175" i="38"/>
  <c r="D175" i="38"/>
  <c r="A175" i="38"/>
  <c r="A162" i="38"/>
  <c r="F161" i="38"/>
  <c r="E161" i="38"/>
  <c r="F160" i="38"/>
  <c r="D150" i="38"/>
  <c r="F150" i="38" s="1"/>
  <c r="A150" i="38"/>
  <c r="D149" i="38"/>
  <c r="F149" i="38" s="1"/>
  <c r="A149" i="38"/>
  <c r="D148" i="38"/>
  <c r="F148" i="38" s="1"/>
  <c r="G152" i="38" s="1"/>
  <c r="C148" i="38"/>
  <c r="A148" i="38"/>
  <c r="D144" i="38"/>
  <c r="F144" i="38" s="1"/>
  <c r="A144" i="38"/>
  <c r="F143" i="38"/>
  <c r="E143" i="38"/>
  <c r="D143" i="38"/>
  <c r="A143" i="38"/>
  <c r="A130" i="38"/>
  <c r="E129" i="38"/>
  <c r="A129" i="38"/>
  <c r="A128" i="38"/>
  <c r="F118" i="38"/>
  <c r="F117" i="38"/>
  <c r="D116" i="38"/>
  <c r="F116" i="38" s="1"/>
  <c r="A116" i="38"/>
  <c r="F112" i="38"/>
  <c r="D112" i="38"/>
  <c r="A112" i="38"/>
  <c r="E111" i="38"/>
  <c r="F111" i="38" s="1"/>
  <c r="G113" i="38" s="1"/>
  <c r="D111" i="38"/>
  <c r="A111" i="38"/>
  <c r="G98" i="38"/>
  <c r="A98" i="38"/>
  <c r="F97" i="38"/>
  <c r="E97" i="38"/>
  <c r="F96" i="38"/>
  <c r="F85" i="38"/>
  <c r="F84" i="38"/>
  <c r="G88" i="38" s="1"/>
  <c r="F80" i="38"/>
  <c r="F79" i="38"/>
  <c r="E79" i="38"/>
  <c r="A74" i="38"/>
  <c r="A66" i="38"/>
  <c r="F65" i="38"/>
  <c r="E65" i="38"/>
  <c r="F64" i="38"/>
  <c r="G66" i="38" s="1"/>
  <c r="G68" i="38" s="1"/>
  <c r="F55" i="38"/>
  <c r="G56" i="38" s="1"/>
  <c r="F54" i="38"/>
  <c r="F53" i="38"/>
  <c r="F52" i="38"/>
  <c r="F48" i="38"/>
  <c r="F47" i="38"/>
  <c r="G49" i="38" s="1"/>
  <c r="E47" i="38"/>
  <c r="A42" i="38"/>
  <c r="A34" i="38"/>
  <c r="F33" i="38"/>
  <c r="E33" i="38"/>
  <c r="F32" i="38"/>
  <c r="G24" i="38"/>
  <c r="F23" i="38"/>
  <c r="F22" i="38"/>
  <c r="F21" i="38"/>
  <c r="F20" i="38"/>
  <c r="F16" i="38"/>
  <c r="G17" i="38" s="1"/>
  <c r="F15" i="38"/>
  <c r="E15" i="38"/>
  <c r="A565" i="37"/>
  <c r="E564" i="37"/>
  <c r="A564" i="37"/>
  <c r="A563" i="37"/>
  <c r="F554" i="37"/>
  <c r="D554" i="37"/>
  <c r="F553" i="37"/>
  <c r="D553" i="37"/>
  <c r="C553" i="37"/>
  <c r="A553" i="37"/>
  <c r="F552" i="37"/>
  <c r="D552" i="37"/>
  <c r="C552" i="37"/>
  <c r="A552" i="37"/>
  <c r="D551" i="37"/>
  <c r="F551" i="37" s="1"/>
  <c r="C551" i="37"/>
  <c r="A551" i="37"/>
  <c r="D550" i="37"/>
  <c r="F550" i="37" s="1"/>
  <c r="G555" i="37" s="1"/>
  <c r="C550" i="37"/>
  <c r="A550" i="37"/>
  <c r="F549" i="37"/>
  <c r="D549" i="37"/>
  <c r="C549" i="37"/>
  <c r="A549" i="37"/>
  <c r="A545" i="37"/>
  <c r="E544" i="37"/>
  <c r="D544" i="37"/>
  <c r="A544" i="37"/>
  <c r="A526" i="37"/>
  <c r="E525" i="37"/>
  <c r="A525" i="37"/>
  <c r="A524" i="37"/>
  <c r="D515" i="37"/>
  <c r="F515" i="37" s="1"/>
  <c r="F514" i="37"/>
  <c r="E514" i="37"/>
  <c r="D514" i="37"/>
  <c r="C514" i="37"/>
  <c r="A514" i="37"/>
  <c r="F513" i="37"/>
  <c r="D513" i="37"/>
  <c r="C513" i="37"/>
  <c r="A513" i="37"/>
  <c r="D512" i="37"/>
  <c r="F512" i="37" s="1"/>
  <c r="C512" i="37"/>
  <c r="A512" i="37"/>
  <c r="F511" i="37"/>
  <c r="D511" i="37"/>
  <c r="C511" i="37"/>
  <c r="A511" i="37"/>
  <c r="F510" i="37"/>
  <c r="D510" i="37"/>
  <c r="C510" i="37"/>
  <c r="A510" i="37"/>
  <c r="D505" i="37"/>
  <c r="A505" i="37"/>
  <c r="E504" i="37"/>
  <c r="E505" i="37" s="1"/>
  <c r="D504" i="37"/>
  <c r="F504" i="37" s="1"/>
  <c r="A504" i="37"/>
  <c r="A491" i="37"/>
  <c r="E490" i="37"/>
  <c r="A490" i="37"/>
  <c r="A489" i="37"/>
  <c r="F478" i="37"/>
  <c r="D478" i="37"/>
  <c r="C478" i="37"/>
  <c r="A478" i="37"/>
  <c r="C477" i="37"/>
  <c r="A477" i="37"/>
  <c r="A473" i="37"/>
  <c r="D472" i="37"/>
  <c r="F472" i="37" s="1"/>
  <c r="A472" i="37"/>
  <c r="F471" i="37"/>
  <c r="D471" i="37"/>
  <c r="A471" i="37"/>
  <c r="A458" i="37"/>
  <c r="E457" i="37"/>
  <c r="A457" i="37"/>
  <c r="A456" i="37"/>
  <c r="F443" i="37"/>
  <c r="D443" i="37"/>
  <c r="C443" i="37"/>
  <c r="A443" i="37"/>
  <c r="F442" i="37"/>
  <c r="D442" i="37"/>
  <c r="C442" i="37"/>
  <c r="A442" i="37"/>
  <c r="C441" i="37"/>
  <c r="A441" i="37"/>
  <c r="E436" i="37"/>
  <c r="A436" i="37"/>
  <c r="E435" i="37"/>
  <c r="F435" i="37" s="1"/>
  <c r="D435" i="37"/>
  <c r="A435" i="37"/>
  <c r="A422" i="37"/>
  <c r="E421" i="37"/>
  <c r="A421" i="37"/>
  <c r="A420" i="37"/>
  <c r="F411" i="37"/>
  <c r="D411" i="37"/>
  <c r="C411" i="37"/>
  <c r="A411" i="37"/>
  <c r="F410" i="37"/>
  <c r="D410" i="37"/>
  <c r="C410" i="37"/>
  <c r="A410" i="37"/>
  <c r="D409" i="37"/>
  <c r="F409" i="37" s="1"/>
  <c r="C409" i="37"/>
  <c r="A409" i="37"/>
  <c r="F408" i="37"/>
  <c r="D408" i="37"/>
  <c r="C408" i="37"/>
  <c r="A408" i="37"/>
  <c r="F407" i="37"/>
  <c r="D407" i="37"/>
  <c r="C407" i="37"/>
  <c r="A407" i="37"/>
  <c r="C406" i="37"/>
  <c r="A406" i="37"/>
  <c r="C405" i="37"/>
  <c r="A405" i="37"/>
  <c r="A400" i="37"/>
  <c r="F399" i="37"/>
  <c r="E399" i="37"/>
  <c r="D399" i="37"/>
  <c r="A399" i="37"/>
  <c r="A394" i="37"/>
  <c r="A386" i="37"/>
  <c r="E385" i="37"/>
  <c r="A385" i="37"/>
  <c r="A384" i="37"/>
  <c r="C373" i="37"/>
  <c r="A373" i="37"/>
  <c r="D372" i="37"/>
  <c r="F372" i="37" s="1"/>
  <c r="C372" i="37"/>
  <c r="A372" i="37"/>
  <c r="G369" i="37"/>
  <c r="F367" i="37"/>
  <c r="D367" i="37"/>
  <c r="A367" i="37"/>
  <c r="A362" i="37"/>
  <c r="A354" i="37"/>
  <c r="E353" i="37"/>
  <c r="A353" i="37"/>
  <c r="A352" i="37"/>
  <c r="C340" i="37"/>
  <c r="A340" i="37"/>
  <c r="A336" i="37"/>
  <c r="D335" i="37"/>
  <c r="F335" i="37" s="1"/>
  <c r="A335" i="37"/>
  <c r="A322" i="37"/>
  <c r="E321" i="37"/>
  <c r="A321" i="37"/>
  <c r="A320" i="37"/>
  <c r="F310" i="37"/>
  <c r="D310" i="37"/>
  <c r="C310" i="37"/>
  <c r="A310" i="37"/>
  <c r="C309" i="37"/>
  <c r="A309" i="37"/>
  <c r="D308" i="37"/>
  <c r="F308" i="37" s="1"/>
  <c r="C308" i="37"/>
  <c r="A308" i="37"/>
  <c r="G305" i="37"/>
  <c r="D304" i="37"/>
  <c r="F304" i="37" s="1"/>
  <c r="A304" i="37"/>
  <c r="F303" i="37"/>
  <c r="E303" i="37"/>
  <c r="D303" i="37"/>
  <c r="A303" i="37"/>
  <c r="A298" i="37"/>
  <c r="A290" i="37"/>
  <c r="E289" i="37"/>
  <c r="A289" i="37"/>
  <c r="A288" i="37"/>
  <c r="D278" i="37"/>
  <c r="F278" i="37" s="1"/>
  <c r="C278" i="37"/>
  <c r="A278" i="37"/>
  <c r="C277" i="37"/>
  <c r="A277" i="37"/>
  <c r="F276" i="37"/>
  <c r="D276" i="37"/>
  <c r="C276" i="37"/>
  <c r="A276" i="37"/>
  <c r="G273" i="37"/>
  <c r="D272" i="37"/>
  <c r="F272" i="37" s="1"/>
  <c r="A272" i="37"/>
  <c r="A271" i="37"/>
  <c r="A266" i="37"/>
  <c r="A258" i="37"/>
  <c r="E257" i="37"/>
  <c r="A257" i="37"/>
  <c r="A256" i="37"/>
  <c r="D246" i="37"/>
  <c r="F246" i="37" s="1"/>
  <c r="C246" i="37"/>
  <c r="A246" i="37"/>
  <c r="C245" i="37"/>
  <c r="A245" i="37"/>
  <c r="F244" i="37"/>
  <c r="D244" i="37"/>
  <c r="C244" i="37"/>
  <c r="A244" i="37"/>
  <c r="G241" i="37"/>
  <c r="D240" i="37"/>
  <c r="F240" i="37" s="1"/>
  <c r="A240" i="37"/>
  <c r="D239" i="37"/>
  <c r="F239" i="37" s="1"/>
  <c r="A239" i="37"/>
  <c r="A234" i="37"/>
  <c r="A226" i="37"/>
  <c r="E225" i="37"/>
  <c r="A225" i="37"/>
  <c r="A224" i="37"/>
  <c r="G216" i="37"/>
  <c r="F215" i="37"/>
  <c r="F214" i="37"/>
  <c r="F213" i="37"/>
  <c r="F212" i="37"/>
  <c r="F208" i="37"/>
  <c r="D208" i="37"/>
  <c r="A208" i="37"/>
  <c r="E207" i="37"/>
  <c r="E208" i="37" s="1"/>
  <c r="D207" i="37"/>
  <c r="A207" i="37"/>
  <c r="A194" i="37"/>
  <c r="E193" i="37"/>
  <c r="A193" i="37"/>
  <c r="A192" i="37"/>
  <c r="D182" i="37"/>
  <c r="F182" i="37" s="1"/>
  <c r="C182" i="37"/>
  <c r="A182" i="37"/>
  <c r="C181" i="37"/>
  <c r="A181" i="37"/>
  <c r="F180" i="37"/>
  <c r="D180" i="37"/>
  <c r="C180" i="37"/>
  <c r="A180" i="37"/>
  <c r="F176" i="37"/>
  <c r="D176" i="37"/>
  <c r="A176" i="37"/>
  <c r="F175" i="37"/>
  <c r="G177" i="37" s="1"/>
  <c r="E175" i="37"/>
  <c r="D175" i="37"/>
  <c r="A175" i="37"/>
  <c r="A170" i="37"/>
  <c r="A162" i="37"/>
  <c r="E161" i="37"/>
  <c r="A161" i="37"/>
  <c r="A160" i="37"/>
  <c r="D150" i="37"/>
  <c r="F150" i="37" s="1"/>
  <c r="C150" i="37"/>
  <c r="A150" i="37"/>
  <c r="C149" i="37"/>
  <c r="A149" i="37"/>
  <c r="D148" i="37"/>
  <c r="F148" i="37" s="1"/>
  <c r="C148" i="37"/>
  <c r="A148" i="37"/>
  <c r="D144" i="37"/>
  <c r="F144" i="37" s="1"/>
  <c r="A144" i="37"/>
  <c r="D143" i="37"/>
  <c r="F143" i="37" s="1"/>
  <c r="A143" i="37"/>
  <c r="A138" i="37"/>
  <c r="A130" i="37"/>
  <c r="E129" i="37"/>
  <c r="A129" i="37"/>
  <c r="A128" i="37"/>
  <c r="F118" i="37"/>
  <c r="D118" i="37"/>
  <c r="C118" i="37"/>
  <c r="A118" i="37"/>
  <c r="C117" i="37"/>
  <c r="A117" i="37"/>
  <c r="F116" i="37"/>
  <c r="D116" i="37"/>
  <c r="C116" i="37"/>
  <c r="A116" i="37"/>
  <c r="D112" i="37"/>
  <c r="F112" i="37" s="1"/>
  <c r="G113" i="37" s="1"/>
  <c r="A112" i="37"/>
  <c r="D111" i="37"/>
  <c r="F111" i="37" s="1"/>
  <c r="A111" i="37"/>
  <c r="A106" i="37"/>
  <c r="A98" i="37"/>
  <c r="E97" i="37"/>
  <c r="A97" i="37"/>
  <c r="A96" i="37"/>
  <c r="F86" i="37"/>
  <c r="D86" i="37"/>
  <c r="C86" i="37"/>
  <c r="A86" i="37"/>
  <c r="C85" i="37"/>
  <c r="A85" i="37"/>
  <c r="D84" i="37"/>
  <c r="F84" i="37" s="1"/>
  <c r="C84" i="37"/>
  <c r="A84" i="37"/>
  <c r="D80" i="37"/>
  <c r="F80" i="37" s="1"/>
  <c r="G81" i="37" s="1"/>
  <c r="A80" i="37"/>
  <c r="F79" i="37"/>
  <c r="D79" i="37"/>
  <c r="A79" i="37"/>
  <c r="A74" i="37"/>
  <c r="A66" i="37"/>
  <c r="E65" i="37"/>
  <c r="A65" i="37"/>
  <c r="A64" i="37"/>
  <c r="F54" i="37"/>
  <c r="D54" i="37"/>
  <c r="C54" i="37"/>
  <c r="A54" i="37"/>
  <c r="C53" i="37"/>
  <c r="A53" i="37"/>
  <c r="D52" i="37"/>
  <c r="F52" i="37" s="1"/>
  <c r="C52" i="37"/>
  <c r="A52" i="37"/>
  <c r="D48" i="37"/>
  <c r="F48" i="37" s="1"/>
  <c r="A48" i="37"/>
  <c r="F47" i="37"/>
  <c r="D47" i="37"/>
  <c r="A47" i="37"/>
  <c r="A34" i="37"/>
  <c r="E33" i="37"/>
  <c r="A33" i="37"/>
  <c r="A32" i="37"/>
  <c r="D22" i="37"/>
  <c r="F22" i="37" s="1"/>
  <c r="C22" i="37"/>
  <c r="A22" i="37"/>
  <c r="C21" i="37"/>
  <c r="A21" i="37"/>
  <c r="D20" i="37"/>
  <c r="F20" i="37" s="1"/>
  <c r="C20" i="37"/>
  <c r="A20" i="37"/>
  <c r="G17" i="37"/>
  <c r="F16" i="37"/>
  <c r="D16" i="37"/>
  <c r="A16" i="37"/>
  <c r="D15" i="37"/>
  <c r="F15" i="37" s="1"/>
  <c r="A15" i="37"/>
  <c r="A593" i="35"/>
  <c r="E592" i="35"/>
  <c r="A592" i="35"/>
  <c r="A591" i="35"/>
  <c r="E580" i="35"/>
  <c r="F580" i="35" s="1"/>
  <c r="D580" i="35"/>
  <c r="C580" i="35"/>
  <c r="A580" i="35"/>
  <c r="E579" i="35"/>
  <c r="C579" i="35"/>
  <c r="A579" i="35"/>
  <c r="F568" i="35"/>
  <c r="D568" i="35"/>
  <c r="A568" i="35"/>
  <c r="F567" i="35"/>
  <c r="G569" i="35" s="1"/>
  <c r="E567" i="35"/>
  <c r="D567" i="35"/>
  <c r="A567" i="35"/>
  <c r="A562" i="35"/>
  <c r="E553" i="35"/>
  <c r="A553" i="35"/>
  <c r="A552" i="35"/>
  <c r="F542" i="35"/>
  <c r="D542" i="35"/>
  <c r="C542" i="35"/>
  <c r="A542" i="35"/>
  <c r="C541" i="35"/>
  <c r="A541" i="35"/>
  <c r="G538" i="35"/>
  <c r="F536" i="35"/>
  <c r="E536" i="35"/>
  <c r="D536" i="35"/>
  <c r="A536" i="35"/>
  <c r="A531" i="35"/>
  <c r="A523" i="35"/>
  <c r="E522" i="35"/>
  <c r="A522" i="35"/>
  <c r="A521" i="35"/>
  <c r="C510" i="35"/>
  <c r="A510" i="35"/>
  <c r="C509" i="35"/>
  <c r="A509" i="35"/>
  <c r="A505" i="35"/>
  <c r="F504" i="35"/>
  <c r="E504" i="35"/>
  <c r="E505" i="35" s="1"/>
  <c r="D504" i="35"/>
  <c r="A504" i="35"/>
  <c r="A499" i="35"/>
  <c r="E490" i="35"/>
  <c r="A490" i="35"/>
  <c r="A489" i="35"/>
  <c r="F478" i="35"/>
  <c r="D478" i="35"/>
  <c r="C478" i="35"/>
  <c r="A478" i="35"/>
  <c r="C477" i="35"/>
  <c r="A477" i="35"/>
  <c r="D473" i="35"/>
  <c r="F473" i="35" s="1"/>
  <c r="A473" i="35"/>
  <c r="D472" i="35"/>
  <c r="F472" i="35" s="1"/>
  <c r="G474" i="35" s="1"/>
  <c r="A472" i="35"/>
  <c r="A467" i="35"/>
  <c r="A459" i="35"/>
  <c r="E458" i="35"/>
  <c r="A458" i="35"/>
  <c r="A457" i="35"/>
  <c r="D448" i="35"/>
  <c r="F448" i="35" s="1"/>
  <c r="C448" i="35"/>
  <c r="A448" i="35"/>
  <c r="D447" i="35"/>
  <c r="F447" i="35" s="1"/>
  <c r="C447" i="35"/>
  <c r="A447" i="35"/>
  <c r="C446" i="35"/>
  <c r="A446" i="35"/>
  <c r="E445" i="35"/>
  <c r="C445" i="35"/>
  <c r="A445" i="35"/>
  <c r="E440" i="35"/>
  <c r="D440" i="35"/>
  <c r="F440" i="35" s="1"/>
  <c r="G442" i="35" s="1"/>
  <c r="A440" i="35"/>
  <c r="A436" i="35"/>
  <c r="A428" i="35"/>
  <c r="E427" i="35"/>
  <c r="A427" i="35"/>
  <c r="A426" i="35"/>
  <c r="F417" i="35"/>
  <c r="D417" i="35"/>
  <c r="C417" i="35"/>
  <c r="A417" i="35"/>
  <c r="F416" i="35"/>
  <c r="D416" i="35"/>
  <c r="C416" i="35"/>
  <c r="A416" i="35"/>
  <c r="C415" i="35"/>
  <c r="A415" i="35"/>
  <c r="C414" i="35"/>
  <c r="A414" i="35"/>
  <c r="E410" i="35"/>
  <c r="A410" i="35"/>
  <c r="E409" i="35"/>
  <c r="D409" i="35"/>
  <c r="F409" i="35" s="1"/>
  <c r="A409" i="35"/>
  <c r="A404" i="35"/>
  <c r="A396" i="35"/>
  <c r="E395" i="35"/>
  <c r="A395" i="35"/>
  <c r="A394" i="35"/>
  <c r="F385" i="35"/>
  <c r="D385" i="35"/>
  <c r="C385" i="35"/>
  <c r="A385" i="35"/>
  <c r="D384" i="35"/>
  <c r="F384" i="35" s="1"/>
  <c r="C384" i="35"/>
  <c r="A384" i="35"/>
  <c r="C383" i="35"/>
  <c r="A383" i="35"/>
  <c r="C382" i="35"/>
  <c r="A382" i="35"/>
  <c r="E378" i="35"/>
  <c r="A378" i="35"/>
  <c r="E377" i="35"/>
  <c r="F377" i="35" s="1"/>
  <c r="D377" i="35"/>
  <c r="A377" i="35"/>
  <c r="A372" i="35"/>
  <c r="A364" i="35"/>
  <c r="E363" i="35"/>
  <c r="A363" i="35"/>
  <c r="A362" i="35"/>
  <c r="D353" i="35"/>
  <c r="F353" i="35" s="1"/>
  <c r="C353" i="35"/>
  <c r="A353" i="35"/>
  <c r="F352" i="35"/>
  <c r="D352" i="35"/>
  <c r="C352" i="35"/>
  <c r="A352" i="35"/>
  <c r="C351" i="35"/>
  <c r="A351" i="35"/>
  <c r="C350" i="35"/>
  <c r="A350" i="35"/>
  <c r="A346" i="35"/>
  <c r="E345" i="35"/>
  <c r="D345" i="35"/>
  <c r="A345" i="35"/>
  <c r="A340" i="35"/>
  <c r="A332" i="35"/>
  <c r="E331" i="35"/>
  <c r="A331" i="35"/>
  <c r="A330" i="35"/>
  <c r="D318" i="35"/>
  <c r="F318" i="35" s="1"/>
  <c r="G322" i="35" s="1"/>
  <c r="C318" i="35"/>
  <c r="A318" i="35"/>
  <c r="E314" i="35"/>
  <c r="F314" i="35" s="1"/>
  <c r="D314" i="35"/>
  <c r="A314" i="35"/>
  <c r="D313" i="35"/>
  <c r="F313" i="35" s="1"/>
  <c r="G315" i="35" s="1"/>
  <c r="A313" i="35"/>
  <c r="F312" i="35"/>
  <c r="E312" i="35"/>
  <c r="D312" i="35"/>
  <c r="A312" i="35"/>
  <c r="E298" i="35"/>
  <c r="A298" i="35"/>
  <c r="A297" i="35"/>
  <c r="D287" i="35"/>
  <c r="F287" i="35" s="1"/>
  <c r="G289" i="35" s="1"/>
  <c r="C287" i="35"/>
  <c r="A287" i="35"/>
  <c r="F286" i="35"/>
  <c r="D286" i="35"/>
  <c r="C286" i="35"/>
  <c r="A286" i="35"/>
  <c r="E282" i="35"/>
  <c r="F282" i="35" s="1"/>
  <c r="G283" i="35" s="1"/>
  <c r="D282" i="35"/>
  <c r="A282" i="35"/>
  <c r="F281" i="35"/>
  <c r="D281" i="35"/>
  <c r="A281" i="35"/>
  <c r="E280" i="35"/>
  <c r="F280" i="35" s="1"/>
  <c r="D280" i="35"/>
  <c r="A280" i="35"/>
  <c r="E266" i="35"/>
  <c r="A266" i="35"/>
  <c r="A265" i="35"/>
  <c r="F254" i="35"/>
  <c r="D254" i="35"/>
  <c r="C254" i="35"/>
  <c r="A254" i="35"/>
  <c r="C253" i="35"/>
  <c r="A253" i="35"/>
  <c r="D249" i="35"/>
  <c r="F249" i="35" s="1"/>
  <c r="A249" i="35"/>
  <c r="E248" i="35"/>
  <c r="F248" i="35" s="1"/>
  <c r="G250" i="35" s="1"/>
  <c r="D248" i="35"/>
  <c r="A248" i="35"/>
  <c r="A243" i="35"/>
  <c r="E234" i="35"/>
  <c r="A234" i="35"/>
  <c r="A233" i="35"/>
  <c r="F222" i="35"/>
  <c r="D222" i="35"/>
  <c r="C222" i="35"/>
  <c r="A222" i="35"/>
  <c r="C221" i="35"/>
  <c r="A221" i="35"/>
  <c r="F217" i="35"/>
  <c r="D217" i="35"/>
  <c r="A217" i="35"/>
  <c r="F216" i="35"/>
  <c r="G218" i="35" s="1"/>
  <c r="D216" i="35"/>
  <c r="A216" i="35"/>
  <c r="A211" i="35"/>
  <c r="E202" i="35"/>
  <c r="A202" i="35"/>
  <c r="A201" i="35"/>
  <c r="F190" i="35"/>
  <c r="D190" i="35"/>
  <c r="C190" i="35"/>
  <c r="A190" i="35"/>
  <c r="C189" i="35"/>
  <c r="A189" i="35"/>
  <c r="F185" i="35"/>
  <c r="G186" i="35" s="1"/>
  <c r="D185" i="35"/>
  <c r="A185" i="35"/>
  <c r="E184" i="35"/>
  <c r="F184" i="35" s="1"/>
  <c r="D184" i="35"/>
  <c r="A184" i="35"/>
  <c r="A179" i="35"/>
  <c r="E170" i="35"/>
  <c r="A170" i="35"/>
  <c r="A169" i="35"/>
  <c r="F158" i="35"/>
  <c r="D158" i="35"/>
  <c r="C158" i="35"/>
  <c r="A158" i="35"/>
  <c r="C157" i="35"/>
  <c r="A157" i="35"/>
  <c r="D153" i="35"/>
  <c r="F153" i="35" s="1"/>
  <c r="G154" i="35" s="1"/>
  <c r="A153" i="35"/>
  <c r="F152" i="35"/>
  <c r="E152" i="35"/>
  <c r="D152" i="35"/>
  <c r="A152" i="35"/>
  <c r="A147" i="35"/>
  <c r="A139" i="35"/>
  <c r="E138" i="35"/>
  <c r="A138" i="35"/>
  <c r="A137" i="35"/>
  <c r="D126" i="35"/>
  <c r="F126" i="35" s="1"/>
  <c r="C126" i="35"/>
  <c r="A126" i="35"/>
  <c r="C125" i="35"/>
  <c r="A125" i="35"/>
  <c r="F121" i="35"/>
  <c r="D121" i="35"/>
  <c r="A121" i="35"/>
  <c r="E120" i="35"/>
  <c r="F120" i="35" s="1"/>
  <c r="G122" i="35" s="1"/>
  <c r="D120" i="35"/>
  <c r="A120" i="35"/>
  <c r="A115" i="35"/>
  <c r="A107" i="35"/>
  <c r="E106" i="35"/>
  <c r="A106" i="35"/>
  <c r="A105" i="35"/>
  <c r="D94" i="35"/>
  <c r="F94" i="35" s="1"/>
  <c r="C94" i="35"/>
  <c r="A94" i="35"/>
  <c r="D93" i="35"/>
  <c r="F93" i="35" s="1"/>
  <c r="G97" i="35" s="1"/>
  <c r="C93" i="35"/>
  <c r="A93" i="35"/>
  <c r="G90" i="35"/>
  <c r="F89" i="35"/>
  <c r="D89" i="35"/>
  <c r="A89" i="35"/>
  <c r="F88" i="35"/>
  <c r="E88" i="35"/>
  <c r="D88" i="35"/>
  <c r="A88" i="35"/>
  <c r="A69" i="35"/>
  <c r="A68" i="35"/>
  <c r="A67" i="35"/>
  <c r="E58" i="35"/>
  <c r="F58" i="35" s="1"/>
  <c r="C58" i="35"/>
  <c r="A58" i="35"/>
  <c r="F57" i="35"/>
  <c r="E57" i="35"/>
  <c r="C57" i="35"/>
  <c r="A57" i="35"/>
  <c r="F56" i="35"/>
  <c r="E56" i="35"/>
  <c r="C56" i="35"/>
  <c r="A56" i="35"/>
  <c r="E55" i="35"/>
  <c r="F55" i="35" s="1"/>
  <c r="C55" i="35"/>
  <c r="A55" i="35"/>
  <c r="A51" i="35"/>
  <c r="F50" i="35"/>
  <c r="A50" i="35"/>
  <c r="F49" i="35"/>
  <c r="A49" i="35"/>
  <c r="F48" i="35"/>
  <c r="A48" i="35"/>
  <c r="G45" i="35"/>
  <c r="E45" i="35"/>
  <c r="D43" i="35"/>
  <c r="A35" i="35"/>
  <c r="E34" i="35"/>
  <c r="A34" i="35"/>
  <c r="A33" i="35"/>
  <c r="C21" i="35"/>
  <c r="A21" i="35"/>
  <c r="G18" i="35"/>
  <c r="A16" i="35"/>
  <c r="A516" i="32"/>
  <c r="A515" i="32"/>
  <c r="D509" i="32"/>
  <c r="F509" i="32" s="1"/>
  <c r="G511" i="32" s="1"/>
  <c r="C509" i="32"/>
  <c r="A509" i="32"/>
  <c r="G506" i="32"/>
  <c r="G499" i="32"/>
  <c r="F497" i="32"/>
  <c r="E497" i="32"/>
  <c r="D497" i="32"/>
  <c r="A497" i="32"/>
  <c r="A484" i="32"/>
  <c r="A482" i="32"/>
  <c r="D466" i="32"/>
  <c r="F466" i="32" s="1"/>
  <c r="A466" i="32"/>
  <c r="D465" i="32"/>
  <c r="F465" i="32" s="1"/>
  <c r="G467" i="32" s="1"/>
  <c r="A465" i="32"/>
  <c r="A452" i="32"/>
  <c r="A450" i="32"/>
  <c r="G447" i="32"/>
  <c r="D445" i="32"/>
  <c r="F445" i="32" s="1"/>
  <c r="G442" i="32"/>
  <c r="G435" i="32"/>
  <c r="F433" i="32"/>
  <c r="D433" i="32"/>
  <c r="A433" i="32"/>
  <c r="A420" i="32"/>
  <c r="F419" i="32"/>
  <c r="F418" i="32"/>
  <c r="G420" i="32" s="1"/>
  <c r="A418" i="32"/>
  <c r="G415" i="32"/>
  <c r="G410" i="32"/>
  <c r="F402" i="32"/>
  <c r="F401" i="32"/>
  <c r="F400" i="32"/>
  <c r="A400" i="32"/>
  <c r="A387" i="32"/>
  <c r="A385" i="32"/>
  <c r="F380" i="32"/>
  <c r="G382" i="32" s="1"/>
  <c r="D380" i="32"/>
  <c r="C380" i="32"/>
  <c r="A380" i="32"/>
  <c r="G377" i="32"/>
  <c r="E369" i="32"/>
  <c r="D369" i="32"/>
  <c r="F369" i="32" s="1"/>
  <c r="A369" i="32"/>
  <c r="E368" i="32"/>
  <c r="D368" i="32"/>
  <c r="A368" i="32"/>
  <c r="A355" i="32"/>
  <c r="A353" i="32"/>
  <c r="D348" i="32"/>
  <c r="F348" i="32" s="1"/>
  <c r="G350" i="32" s="1"/>
  <c r="C348" i="32"/>
  <c r="A348" i="32"/>
  <c r="G345" i="32"/>
  <c r="G338" i="32"/>
  <c r="F336" i="32"/>
  <c r="E336" i="32"/>
  <c r="D336" i="32"/>
  <c r="A336" i="32"/>
  <c r="A323" i="32"/>
  <c r="A321" i="32"/>
  <c r="G318" i="32"/>
  <c r="F317" i="32"/>
  <c r="F316" i="32"/>
  <c r="D316" i="32"/>
  <c r="C316" i="32"/>
  <c r="A316" i="32"/>
  <c r="G313" i="32"/>
  <c r="E305" i="32"/>
  <c r="D305" i="32"/>
  <c r="A305" i="32"/>
  <c r="F304" i="32"/>
  <c r="D304" i="32"/>
  <c r="A304" i="32"/>
  <c r="A291" i="32"/>
  <c r="A289" i="32"/>
  <c r="F285" i="32"/>
  <c r="F284" i="32"/>
  <c r="D284" i="32"/>
  <c r="C284" i="32"/>
  <c r="A284" i="32"/>
  <c r="G281" i="32"/>
  <c r="F273" i="32"/>
  <c r="E273" i="32"/>
  <c r="D273" i="32"/>
  <c r="A273" i="32"/>
  <c r="D272" i="32"/>
  <c r="F272" i="32" s="1"/>
  <c r="G274" i="32" s="1"/>
  <c r="A272" i="32"/>
  <c r="A259" i="32"/>
  <c r="A257" i="32"/>
  <c r="F253" i="32"/>
  <c r="F252" i="32"/>
  <c r="G254" i="32" s="1"/>
  <c r="D252" i="32"/>
  <c r="C252" i="32"/>
  <c r="A252" i="32"/>
  <c r="G242" i="32"/>
  <c r="F241" i="32"/>
  <c r="E241" i="32"/>
  <c r="D241" i="32"/>
  <c r="A241" i="32"/>
  <c r="F240" i="32"/>
  <c r="D240" i="32"/>
  <c r="A240" i="32"/>
  <c r="A227" i="32"/>
  <c r="A225" i="32"/>
  <c r="F221" i="32"/>
  <c r="G222" i="32" s="1"/>
  <c r="F220" i="32"/>
  <c r="D220" i="32"/>
  <c r="C220" i="32"/>
  <c r="A220" i="32"/>
  <c r="G210" i="32"/>
  <c r="E209" i="32"/>
  <c r="D209" i="32"/>
  <c r="F209" i="32" s="1"/>
  <c r="A209" i="32"/>
  <c r="F208" i="32"/>
  <c r="D208" i="32"/>
  <c r="A208" i="32"/>
  <c r="A195" i="32"/>
  <c r="A193" i="32"/>
  <c r="F189" i="32"/>
  <c r="F188" i="32"/>
  <c r="D188" i="32"/>
  <c r="C188" i="32"/>
  <c r="A188" i="32"/>
  <c r="G185" i="32"/>
  <c r="E177" i="32"/>
  <c r="D177" i="32"/>
  <c r="F177" i="32" s="1"/>
  <c r="A177" i="32"/>
  <c r="E176" i="32"/>
  <c r="F176" i="32" s="1"/>
  <c r="D176" i="32"/>
  <c r="A176" i="32"/>
  <c r="E175" i="32"/>
  <c r="D175" i="32"/>
  <c r="A175" i="32"/>
  <c r="A162" i="32"/>
  <c r="A160" i="32"/>
  <c r="G157" i="32"/>
  <c r="F156" i="32"/>
  <c r="D155" i="32"/>
  <c r="F155" i="32" s="1"/>
  <c r="C155" i="32"/>
  <c r="A155" i="32"/>
  <c r="D144" i="32"/>
  <c r="F144" i="32" s="1"/>
  <c r="A144" i="32"/>
  <c r="E143" i="32"/>
  <c r="E144" i="32" s="1"/>
  <c r="D143" i="32"/>
  <c r="F143" i="32" s="1"/>
  <c r="G145" i="32" s="1"/>
  <c r="A143" i="32"/>
  <c r="A130" i="32"/>
  <c r="A129" i="32"/>
  <c r="F123" i="32"/>
  <c r="G125" i="32" s="1"/>
  <c r="D123" i="32"/>
  <c r="C123" i="32"/>
  <c r="A123" i="32"/>
  <c r="G113" i="32"/>
  <c r="F111" i="32"/>
  <c r="D111" i="32"/>
  <c r="A111" i="32"/>
  <c r="A98" i="32"/>
  <c r="E97" i="32"/>
  <c r="A97" i="32"/>
  <c r="A96" i="32"/>
  <c r="F92" i="32"/>
  <c r="D91" i="32"/>
  <c r="F91" i="32" s="1"/>
  <c r="G93" i="32" s="1"/>
  <c r="C91" i="32"/>
  <c r="A91" i="32"/>
  <c r="E79" i="32"/>
  <c r="F79" i="32" s="1"/>
  <c r="G81" i="32" s="1"/>
  <c r="D79" i="32"/>
  <c r="A79" i="32"/>
  <c r="A66" i="32"/>
  <c r="A65" i="32"/>
  <c r="A64" i="32"/>
  <c r="F60" i="32"/>
  <c r="D59" i="32"/>
  <c r="F59" i="32" s="1"/>
  <c r="C59" i="32"/>
  <c r="A59" i="32"/>
  <c r="G56" i="32"/>
  <c r="E47" i="32"/>
  <c r="D47" i="32"/>
  <c r="F47" i="32" s="1"/>
  <c r="G49" i="32" s="1"/>
  <c r="A47" i="32"/>
  <c r="A34" i="32"/>
  <c r="E33" i="32"/>
  <c r="A33" i="32"/>
  <c r="A32" i="32"/>
  <c r="F28" i="32"/>
  <c r="D27" i="32"/>
  <c r="F27" i="32" s="1"/>
  <c r="G29" i="32" s="1"/>
  <c r="C27" i="32"/>
  <c r="A27" i="32"/>
  <c r="G24" i="32"/>
  <c r="F15" i="32"/>
  <c r="G17" i="32" s="1"/>
  <c r="E15" i="32"/>
  <c r="D15" i="32"/>
  <c r="A15" i="32"/>
  <c r="A267" i="31"/>
  <c r="E266" i="31"/>
  <c r="A266" i="31"/>
  <c r="A265" i="31"/>
  <c r="G262" i="31"/>
  <c r="F260" i="31"/>
  <c r="D260" i="31"/>
  <c r="C260" i="31"/>
  <c r="A260" i="31"/>
  <c r="F253" i="31"/>
  <c r="G257" i="31" s="1"/>
  <c r="G250" i="31"/>
  <c r="A248" i="31"/>
  <c r="A235" i="31"/>
  <c r="A234" i="31"/>
  <c r="F221" i="31"/>
  <c r="G225" i="31" s="1"/>
  <c r="D216" i="31"/>
  <c r="F216" i="31" s="1"/>
  <c r="G218" i="31" s="1"/>
  <c r="A216" i="31"/>
  <c r="A203" i="31"/>
  <c r="E202" i="31"/>
  <c r="A202" i="31"/>
  <c r="A201" i="31"/>
  <c r="E184" i="31"/>
  <c r="F184" i="31" s="1"/>
  <c r="G186" i="31" s="1"/>
  <c r="D184" i="31"/>
  <c r="A184" i="31"/>
  <c r="A171" i="31"/>
  <c r="A169" i="31"/>
  <c r="E153" i="31"/>
  <c r="D153" i="31"/>
  <c r="F153" i="31" s="1"/>
  <c r="A153" i="31"/>
  <c r="D152" i="31"/>
  <c r="F152" i="31" s="1"/>
  <c r="A152" i="31"/>
  <c r="D151" i="31"/>
  <c r="F151" i="31" s="1"/>
  <c r="A151" i="31"/>
  <c r="D150" i="31"/>
  <c r="F150" i="31" s="1"/>
  <c r="G154" i="31" s="1"/>
  <c r="A150" i="31"/>
  <c r="F149" i="31"/>
  <c r="D149" i="31"/>
  <c r="A149" i="31"/>
  <c r="A136" i="31"/>
  <c r="A134" i="31"/>
  <c r="F118" i="31"/>
  <c r="E118" i="31"/>
  <c r="D118" i="31"/>
  <c r="A118" i="31"/>
  <c r="D117" i="31"/>
  <c r="F117" i="31" s="1"/>
  <c r="A117" i="31"/>
  <c r="D116" i="31"/>
  <c r="F116" i="31" s="1"/>
  <c r="A116" i="31"/>
  <c r="D115" i="31"/>
  <c r="F115" i="31" s="1"/>
  <c r="A115" i="31"/>
  <c r="F114" i="31"/>
  <c r="G119" i="31" s="1"/>
  <c r="D114" i="31"/>
  <c r="A114" i="31"/>
  <c r="A101" i="31"/>
  <c r="E100" i="31"/>
  <c r="A100" i="31"/>
  <c r="A99" i="31"/>
  <c r="G96" i="31"/>
  <c r="D94" i="31"/>
  <c r="F94" i="31" s="1"/>
  <c r="C94" i="31"/>
  <c r="A94" i="31"/>
  <c r="F82" i="31"/>
  <c r="G84" i="31" s="1"/>
  <c r="D82" i="31"/>
  <c r="A82" i="31"/>
  <c r="A69" i="31"/>
  <c r="E68" i="31"/>
  <c r="A68" i="31"/>
  <c r="F67" i="31"/>
  <c r="D56" i="31"/>
  <c r="F56" i="31" s="1"/>
  <c r="C56" i="31"/>
  <c r="A56" i="31"/>
  <c r="F55" i="31"/>
  <c r="G59" i="31" s="1"/>
  <c r="D55" i="31"/>
  <c r="C55" i="31"/>
  <c r="A55" i="31"/>
  <c r="E51" i="31"/>
  <c r="D51" i="31"/>
  <c r="F51" i="31" s="1"/>
  <c r="A51" i="31"/>
  <c r="F50" i="31"/>
  <c r="D50" i="31"/>
  <c r="A50" i="31"/>
  <c r="F49" i="31"/>
  <c r="D49" i="31"/>
  <c r="A49" i="31"/>
  <c r="G36" i="31"/>
  <c r="A36" i="31"/>
  <c r="G26" i="31"/>
  <c r="G18" i="31"/>
  <c r="G13" i="31"/>
  <c r="E13" i="31"/>
  <c r="C21" i="30"/>
  <c r="C22" i="30" s="1"/>
  <c r="C19" i="30"/>
  <c r="D30" i="27"/>
  <c r="B30" i="27"/>
  <c r="D29" i="27"/>
  <c r="B29" i="27"/>
  <c r="D28" i="27"/>
  <c r="B28" i="27"/>
  <c r="D27" i="27"/>
  <c r="B27" i="27"/>
  <c r="D26" i="27"/>
  <c r="B26" i="27"/>
  <c r="D25" i="27"/>
  <c r="B25" i="27"/>
  <c r="D24" i="27"/>
  <c r="B24" i="27"/>
  <c r="D23" i="27"/>
  <c r="B23" i="27"/>
  <c r="D22" i="27"/>
  <c r="B22" i="27"/>
  <c r="D21" i="27"/>
  <c r="B21" i="27"/>
  <c r="D20" i="27"/>
  <c r="B20" i="27"/>
  <c r="D19" i="27"/>
  <c r="B19" i="27"/>
  <c r="D18" i="27"/>
  <c r="B18" i="27"/>
  <c r="D17" i="27"/>
  <c r="B17" i="27"/>
  <c r="D16" i="27"/>
  <c r="B16" i="27"/>
  <c r="D15" i="27"/>
  <c r="B15" i="27"/>
  <c r="D14" i="27"/>
  <c r="B14" i="27"/>
  <c r="D13" i="27"/>
  <c r="B13" i="27"/>
  <c r="D12" i="27"/>
  <c r="B12" i="27"/>
  <c r="D11" i="27"/>
  <c r="B11" i="27"/>
  <c r="D10" i="27"/>
  <c r="B10" i="27"/>
  <c r="D9" i="27"/>
  <c r="B9" i="27"/>
  <c r="D8" i="27"/>
  <c r="B8" i="27"/>
  <c r="D7" i="27"/>
  <c r="B7" i="27"/>
  <c r="A5" i="27"/>
  <c r="B4" i="27"/>
  <c r="B1" i="27"/>
  <c r="BE7" i="26"/>
  <c r="BD7" i="26"/>
  <c r="BC7" i="26"/>
  <c r="BB7" i="26"/>
  <c r="BA7" i="26"/>
  <c r="AZ7" i="26"/>
  <c r="AY7" i="26"/>
  <c r="AX7" i="26"/>
  <c r="AW7" i="26"/>
  <c r="AV7" i="26"/>
  <c r="AU7" i="26"/>
  <c r="AT7" i="26"/>
  <c r="AS7" i="26"/>
  <c r="AR7" i="26"/>
  <c r="AQ7" i="26"/>
  <c r="AO7" i="26"/>
  <c r="AN7" i="26"/>
  <c r="AK7" i="26"/>
  <c r="AI7" i="26"/>
  <c r="AH7" i="26"/>
  <c r="AG7" i="26"/>
  <c r="A5" i="26"/>
  <c r="F17" i="22"/>
  <c r="F16" i="22"/>
  <c r="F18" i="22" s="1"/>
  <c r="F15" i="22"/>
  <c r="F14" i="22"/>
  <c r="F13" i="22"/>
  <c r="G112" i="21"/>
  <c r="G111" i="21"/>
  <c r="G110" i="21"/>
  <c r="G109" i="21"/>
  <c r="G108" i="21"/>
  <c r="G107" i="21"/>
  <c r="G103" i="21"/>
  <c r="E96" i="20" s="1"/>
  <c r="F96" i="20" s="1"/>
  <c r="G102" i="21"/>
  <c r="G101" i="21"/>
  <c r="G100" i="21"/>
  <c r="G99" i="21"/>
  <c r="E92" i="20" s="1"/>
  <c r="G98" i="21"/>
  <c r="E91" i="20" s="1"/>
  <c r="G97" i="21"/>
  <c r="E90" i="20" s="1"/>
  <c r="F90" i="20" s="1"/>
  <c r="G96" i="21"/>
  <c r="G95" i="21"/>
  <c r="E88" i="20" s="1"/>
  <c r="G91" i="21"/>
  <c r="E85" i="20" s="1"/>
  <c r="F85" i="20" s="1"/>
  <c r="G90" i="21"/>
  <c r="G89" i="21"/>
  <c r="G88" i="21"/>
  <c r="G87" i="21"/>
  <c r="G86" i="21"/>
  <c r="G82" i="21"/>
  <c r="E77" i="20" s="1"/>
  <c r="G81" i="21"/>
  <c r="E76" i="20" s="1"/>
  <c r="F76" i="20" s="1"/>
  <c r="G80" i="21"/>
  <c r="E75" i="20" s="1"/>
  <c r="G79" i="21"/>
  <c r="G78" i="21"/>
  <c r="E73" i="20" s="1"/>
  <c r="F73" i="20" s="1"/>
  <c r="G77" i="21"/>
  <c r="E72" i="20" s="1"/>
  <c r="F72" i="20" s="1"/>
  <c r="G76" i="21"/>
  <c r="E71" i="20" s="1"/>
  <c r="F71" i="20" s="1"/>
  <c r="G75" i="21"/>
  <c r="E70" i="20" s="1"/>
  <c r="F70" i="20" s="1"/>
  <c r="G74" i="21"/>
  <c r="E69" i="20" s="1"/>
  <c r="G73" i="21"/>
  <c r="G72" i="21"/>
  <c r="G71" i="21"/>
  <c r="G70" i="21"/>
  <c r="E65" i="20" s="1"/>
  <c r="G69" i="21"/>
  <c r="E64" i="20" s="1"/>
  <c r="F64" i="20" s="1"/>
  <c r="G68" i="21"/>
  <c r="G67" i="21"/>
  <c r="G66" i="21"/>
  <c r="E61" i="20" s="1"/>
  <c r="G65" i="21"/>
  <c r="E60" i="20" s="1"/>
  <c r="F60" i="20" s="1"/>
  <c r="G64" i="21"/>
  <c r="E59" i="20" s="1"/>
  <c r="G63" i="21"/>
  <c r="G62" i="21"/>
  <c r="E57" i="20" s="1"/>
  <c r="F57" i="20" s="1"/>
  <c r="G61" i="21"/>
  <c r="E56" i="20" s="1"/>
  <c r="G60" i="21"/>
  <c r="E55" i="20" s="1"/>
  <c r="F55" i="20" s="1"/>
  <c r="G59" i="21"/>
  <c r="E54" i="20" s="1"/>
  <c r="F54" i="20" s="1"/>
  <c r="G58" i="21"/>
  <c r="E53" i="20" s="1"/>
  <c r="G57" i="21"/>
  <c r="E52" i="20" s="1"/>
  <c r="F52" i="20" s="1"/>
  <c r="G56" i="21"/>
  <c r="E51" i="20" s="1"/>
  <c r="F51" i="20" s="1"/>
  <c r="G55" i="21"/>
  <c r="G54" i="21"/>
  <c r="E49" i="20" s="1"/>
  <c r="G53" i="21"/>
  <c r="E48" i="20" s="1"/>
  <c r="F48" i="20" s="1"/>
  <c r="G52" i="21"/>
  <c r="G51" i="21"/>
  <c r="G50" i="21"/>
  <c r="E45" i="20" s="1"/>
  <c r="G49" i="21"/>
  <c r="E44" i="20" s="1"/>
  <c r="F44" i="20" s="1"/>
  <c r="G48" i="21"/>
  <c r="E43" i="20" s="1"/>
  <c r="G47" i="21"/>
  <c r="G46" i="21"/>
  <c r="E41" i="20" s="1"/>
  <c r="F41" i="20" s="1"/>
  <c r="G45" i="21"/>
  <c r="E40" i="20" s="1"/>
  <c r="F40" i="20" s="1"/>
  <c r="G44" i="21"/>
  <c r="E39" i="20" s="1"/>
  <c r="F39" i="20" s="1"/>
  <c r="G40" i="21"/>
  <c r="G39" i="21"/>
  <c r="E35" i="20" s="1"/>
  <c r="F35" i="20" s="1"/>
  <c r="G38" i="21"/>
  <c r="G37" i="21"/>
  <c r="G36" i="21"/>
  <c r="G35" i="21"/>
  <c r="G34" i="21"/>
  <c r="E30" i="20" s="1"/>
  <c r="F30" i="20" s="1"/>
  <c r="G33" i="21"/>
  <c r="G32" i="21"/>
  <c r="G31" i="21"/>
  <c r="G30" i="21"/>
  <c r="E26" i="20" s="1"/>
  <c r="F26" i="20" s="1"/>
  <c r="F37" i="20" s="1"/>
  <c r="G26" i="21"/>
  <c r="G25" i="21"/>
  <c r="G24" i="21"/>
  <c r="E21" i="20" s="1"/>
  <c r="F21" i="20" s="1"/>
  <c r="G23" i="21"/>
  <c r="E20" i="20" s="1"/>
  <c r="F20" i="20" s="1"/>
  <c r="G22" i="21"/>
  <c r="G21" i="21"/>
  <c r="E18" i="20" s="1"/>
  <c r="F18" i="20" s="1"/>
  <c r="G20" i="21"/>
  <c r="G19" i="21"/>
  <c r="E16" i="20" s="1"/>
  <c r="F16" i="20" s="1"/>
  <c r="G18" i="21"/>
  <c r="E15" i="20" s="1"/>
  <c r="F15" i="20" s="1"/>
  <c r="G17" i="21"/>
  <c r="G16" i="21"/>
  <c r="G15" i="21"/>
  <c r="E12" i="20" s="1"/>
  <c r="F12" i="20" s="1"/>
  <c r="G14" i="21"/>
  <c r="G13" i="21"/>
  <c r="E10" i="20" s="1"/>
  <c r="G12" i="21"/>
  <c r="G11" i="21"/>
  <c r="E8" i="20" s="1"/>
  <c r="F8" i="20" s="1"/>
  <c r="F24" i="20" s="1"/>
  <c r="E104" i="20"/>
  <c r="F104" i="20" s="1"/>
  <c r="F103" i="20"/>
  <c r="E103" i="20"/>
  <c r="E102" i="20"/>
  <c r="F102" i="20" s="1"/>
  <c r="E101" i="20"/>
  <c r="F101" i="20" s="1"/>
  <c r="F100" i="20"/>
  <c r="E100" i="20"/>
  <c r="E99" i="20"/>
  <c r="F99" i="20" s="1"/>
  <c r="E95" i="20"/>
  <c r="F95" i="20" s="1"/>
  <c r="F94" i="20"/>
  <c r="E94" i="20"/>
  <c r="E93" i="20"/>
  <c r="F93" i="20" s="1"/>
  <c r="F92" i="20"/>
  <c r="F91" i="20"/>
  <c r="E89" i="20"/>
  <c r="F89" i="20" s="1"/>
  <c r="F88" i="20"/>
  <c r="F84" i="20"/>
  <c r="E84" i="20"/>
  <c r="E83" i="20"/>
  <c r="F83" i="20" s="1"/>
  <c r="E82" i="20"/>
  <c r="F82" i="20" s="1"/>
  <c r="F81" i="20"/>
  <c r="E81" i="20"/>
  <c r="E80" i="20"/>
  <c r="F80" i="20" s="1"/>
  <c r="F86" i="20" s="1"/>
  <c r="F77" i="20"/>
  <c r="F75" i="20"/>
  <c r="F74" i="20"/>
  <c r="E74" i="20"/>
  <c r="F69" i="20"/>
  <c r="E68" i="20"/>
  <c r="F68" i="20" s="1"/>
  <c r="F67" i="20"/>
  <c r="E67" i="20"/>
  <c r="F66" i="20"/>
  <c r="E66" i="20"/>
  <c r="F65" i="20"/>
  <c r="F63" i="20"/>
  <c r="E63" i="20"/>
  <c r="E62" i="20"/>
  <c r="F62" i="20" s="1"/>
  <c r="F61" i="20"/>
  <c r="F59" i="20"/>
  <c r="F58" i="20"/>
  <c r="E58" i="20"/>
  <c r="F56" i="20"/>
  <c r="F53" i="20"/>
  <c r="F50" i="20"/>
  <c r="E50" i="20"/>
  <c r="F49" i="20"/>
  <c r="F47" i="20"/>
  <c r="E47" i="20"/>
  <c r="E46" i="20"/>
  <c r="F46" i="20" s="1"/>
  <c r="F45" i="20"/>
  <c r="F43" i="20"/>
  <c r="F42" i="20"/>
  <c r="E42" i="20"/>
  <c r="E36" i="20"/>
  <c r="F36" i="20" s="1"/>
  <c r="F34" i="20"/>
  <c r="E34" i="20"/>
  <c r="E33" i="20"/>
  <c r="F33" i="20" s="1"/>
  <c r="E32" i="20"/>
  <c r="F32" i="20" s="1"/>
  <c r="E31" i="20"/>
  <c r="F31" i="20" s="1"/>
  <c r="E29" i="20"/>
  <c r="F29" i="20" s="1"/>
  <c r="E28" i="20"/>
  <c r="F28" i="20" s="1"/>
  <c r="E27" i="20"/>
  <c r="F27" i="20" s="1"/>
  <c r="E23" i="20"/>
  <c r="F23" i="20" s="1"/>
  <c r="F22" i="20"/>
  <c r="E22" i="20"/>
  <c r="E19" i="20"/>
  <c r="F19" i="20" s="1"/>
  <c r="E17" i="20"/>
  <c r="F17" i="20" s="1"/>
  <c r="F14" i="20"/>
  <c r="E14" i="20"/>
  <c r="E13" i="20"/>
  <c r="F13" i="20" s="1"/>
  <c r="E11" i="20"/>
  <c r="F11" i="20" s="1"/>
  <c r="F10" i="20"/>
  <c r="F9" i="20"/>
  <c r="E9" i="20"/>
  <c r="A4" i="20"/>
  <c r="A4" i="21" s="1"/>
  <c r="I42" i="19"/>
  <c r="I36" i="19"/>
  <c r="I28" i="19"/>
  <c r="I12" i="19"/>
  <c r="I14" i="19" s="1"/>
  <c r="I22" i="19" s="1"/>
  <c r="I46" i="19" s="1"/>
  <c r="G19" i="18" s="1"/>
  <c r="I11" i="19"/>
  <c r="J34" i="18"/>
  <c r="H29" i="18"/>
  <c r="H17" i="18"/>
  <c r="C17" i="18"/>
  <c r="H16" i="18"/>
  <c r="C16" i="18"/>
  <c r="G10" i="18"/>
  <c r="G11" i="18" s="1"/>
  <c r="G15" i="18" s="1"/>
  <c r="G25" i="18" s="1"/>
  <c r="F10" i="18"/>
  <c r="H10" i="18" s="1"/>
  <c r="F9" i="18"/>
  <c r="H9" i="18" s="1"/>
  <c r="A3" i="18"/>
  <c r="A4" i="19" s="1"/>
  <c r="A2" i="18"/>
  <c r="A1" i="18"/>
  <c r="D42" i="17"/>
  <c r="D37" i="17"/>
  <c r="G37" i="17" s="1"/>
  <c r="E36" i="17"/>
  <c r="D36" i="17"/>
  <c r="D35" i="17"/>
  <c r="G35" i="17" s="1"/>
  <c r="G34" i="17"/>
  <c r="G33" i="17"/>
  <c r="E33" i="17"/>
  <c r="G32" i="17"/>
  <c r="D32" i="17"/>
  <c r="D33" i="17" s="1"/>
  <c r="G31" i="17"/>
  <c r="D31" i="17"/>
  <c r="E30" i="17"/>
  <c r="D30" i="17"/>
  <c r="G30" i="17" s="1"/>
  <c r="E29" i="17"/>
  <c r="D29" i="17"/>
  <c r="E28" i="17"/>
  <c r="G28" i="17" s="1"/>
  <c r="D28" i="17"/>
  <c r="G22" i="17"/>
  <c r="E22" i="17"/>
  <c r="G21" i="17"/>
  <c r="E21" i="17"/>
  <c r="G20" i="17"/>
  <c r="E20" i="17"/>
  <c r="D20" i="17"/>
  <c r="G19" i="17"/>
  <c r="D19" i="17"/>
  <c r="D18" i="17"/>
  <c r="G18" i="17" s="1"/>
  <c r="G17" i="17"/>
  <c r="E17" i="17"/>
  <c r="D17" i="17"/>
  <c r="E16" i="17"/>
  <c r="D16" i="17"/>
  <c r="J51" i="14"/>
  <c r="I51" i="14"/>
  <c r="J50" i="14"/>
  <c r="I50" i="14"/>
  <c r="J49" i="14"/>
  <c r="I49" i="14"/>
  <c r="J48" i="14"/>
  <c r="I48" i="14"/>
  <c r="J46" i="14"/>
  <c r="J45" i="14"/>
  <c r="J44" i="14"/>
  <c r="G42" i="14"/>
  <c r="J42" i="14" s="1"/>
  <c r="G41" i="14"/>
  <c r="J41" i="14" s="1"/>
  <c r="K41" i="14" s="1"/>
  <c r="G40" i="14"/>
  <c r="J40" i="14" s="1"/>
  <c r="K40" i="14" s="1"/>
  <c r="G39" i="14"/>
  <c r="J39" i="14" s="1"/>
  <c r="K39" i="14" s="1"/>
  <c r="G38" i="14"/>
  <c r="J38" i="14" s="1"/>
  <c r="K38" i="14" s="1"/>
  <c r="G37" i="14"/>
  <c r="J37" i="14" s="1"/>
  <c r="K37" i="14" s="1"/>
  <c r="G36" i="14"/>
  <c r="J36" i="14" s="1"/>
  <c r="K36" i="14" s="1"/>
  <c r="G35" i="14"/>
  <c r="J35" i="14" s="1"/>
  <c r="K35" i="14" s="1"/>
  <c r="G34" i="14"/>
  <c r="J34" i="14" s="1"/>
  <c r="G33" i="14"/>
  <c r="J33" i="14" s="1"/>
  <c r="K33" i="14" s="1"/>
  <c r="G31" i="14"/>
  <c r="J31" i="14" s="1"/>
  <c r="K31" i="14" s="1"/>
  <c r="G30" i="14"/>
  <c r="J30" i="14" s="1"/>
  <c r="K30" i="14" s="1"/>
  <c r="G28" i="14"/>
  <c r="J28" i="14" s="1"/>
  <c r="K28" i="14" s="1"/>
  <c r="G27" i="14"/>
  <c r="J27" i="14" s="1"/>
  <c r="K27" i="14" s="1"/>
  <c r="G26" i="14"/>
  <c r="J26" i="14" s="1"/>
  <c r="K26" i="14" s="1"/>
  <c r="G25" i="14"/>
  <c r="J25" i="14" s="1"/>
  <c r="G24" i="14"/>
  <c r="J24" i="14" s="1"/>
  <c r="K24" i="14" s="1"/>
  <c r="G23" i="14"/>
  <c r="G21" i="14"/>
  <c r="J21" i="14" s="1"/>
  <c r="K21" i="14" s="1"/>
  <c r="G20" i="14"/>
  <c r="J20" i="14" s="1"/>
  <c r="K20" i="14" s="1"/>
  <c r="G19" i="14"/>
  <c r="J19" i="14" s="1"/>
  <c r="G17" i="14"/>
  <c r="J17" i="14" s="1"/>
  <c r="G16" i="14"/>
  <c r="J16" i="14" s="1"/>
  <c r="K16" i="14" s="1"/>
  <c r="G15" i="14"/>
  <c r="J15" i="14" s="1"/>
  <c r="K15" i="14" s="1"/>
  <c r="G14" i="14"/>
  <c r="J14" i="14" s="1"/>
  <c r="K14" i="14" s="1"/>
  <c r="G12" i="14"/>
  <c r="G11" i="14"/>
  <c r="K11" i="14" s="1"/>
  <c r="G10" i="14"/>
  <c r="K10" i="14" s="1"/>
  <c r="G9" i="14"/>
  <c r="K9" i="14" s="1"/>
  <c r="G8" i="14"/>
  <c r="K8" i="14" s="1"/>
  <c r="G7" i="14"/>
  <c r="K7" i="14" s="1"/>
  <c r="A2" i="14"/>
  <c r="I37" i="12"/>
  <c r="I36" i="12"/>
  <c r="E36" i="12"/>
  <c r="I35" i="12"/>
  <c r="C35" i="12"/>
  <c r="J35" i="12" s="1"/>
  <c r="K35" i="12" s="1"/>
  <c r="J33" i="12"/>
  <c r="I33" i="12"/>
  <c r="K33" i="12" s="1"/>
  <c r="K32" i="12"/>
  <c r="J32" i="12"/>
  <c r="I32" i="12"/>
  <c r="J31" i="12"/>
  <c r="K31" i="12" s="1"/>
  <c r="I31" i="12"/>
  <c r="J30" i="12"/>
  <c r="I30" i="12"/>
  <c r="J29" i="12"/>
  <c r="I29" i="12"/>
  <c r="K29" i="12" s="1"/>
  <c r="K28" i="12"/>
  <c r="J28" i="12"/>
  <c r="I28" i="12"/>
  <c r="J27" i="12"/>
  <c r="K27" i="12" s="1"/>
  <c r="I27" i="12"/>
  <c r="K25" i="12"/>
  <c r="J25" i="12"/>
  <c r="I25" i="12"/>
  <c r="K24" i="12"/>
  <c r="J24" i="12"/>
  <c r="I24" i="12"/>
  <c r="K23" i="12"/>
  <c r="J23" i="12"/>
  <c r="I23" i="12"/>
  <c r="J22" i="12"/>
  <c r="K22" i="12" s="1"/>
  <c r="I22" i="12"/>
  <c r="J21" i="12"/>
  <c r="K21" i="12" s="1"/>
  <c r="I21" i="12"/>
  <c r="K20" i="12"/>
  <c r="J20" i="12"/>
  <c r="I20" i="12"/>
  <c r="K18" i="12"/>
  <c r="J18" i="12"/>
  <c r="I18" i="12"/>
  <c r="J17" i="12"/>
  <c r="I17" i="12"/>
  <c r="K17" i="12" s="1"/>
  <c r="K16" i="12"/>
  <c r="J16" i="12"/>
  <c r="I16" i="12"/>
  <c r="K15" i="12"/>
  <c r="J15" i="12"/>
  <c r="I15" i="12"/>
  <c r="J13" i="12"/>
  <c r="I13" i="12"/>
  <c r="J12" i="12"/>
  <c r="K12" i="12" s="1"/>
  <c r="I12" i="12"/>
  <c r="J11" i="12"/>
  <c r="I11" i="12"/>
  <c r="J9" i="12"/>
  <c r="I9" i="12"/>
  <c r="K9" i="12" s="1"/>
  <c r="K8" i="12"/>
  <c r="J8" i="12"/>
  <c r="I8" i="12"/>
  <c r="J6" i="12"/>
  <c r="I6" i="12"/>
  <c r="K6" i="12" s="1"/>
  <c r="G1442" i="11"/>
  <c r="G1441" i="11"/>
  <c r="G1443" i="11" s="1"/>
  <c r="B1438" i="11"/>
  <c r="G1437" i="11"/>
  <c r="G1435" i="11"/>
  <c r="G1434" i="11"/>
  <c r="G1433" i="11"/>
  <c r="B1430" i="11"/>
  <c r="G1429" i="11"/>
  <c r="G1426" i="11"/>
  <c r="B1422" i="11"/>
  <c r="G1421" i="11"/>
  <c r="G1418" i="11"/>
  <c r="B1414" i="11"/>
  <c r="G1413" i="11"/>
  <c r="G1410" i="11"/>
  <c r="G1409" i="11"/>
  <c r="G1411" i="11" s="1"/>
  <c r="B1406" i="11"/>
  <c r="G1405" i="11"/>
  <c r="G1403" i="11"/>
  <c r="G1402" i="11"/>
  <c r="F1401" i="11"/>
  <c r="G1401" i="11" s="1"/>
  <c r="C1401" i="11"/>
  <c r="B1398" i="11"/>
  <c r="G1397" i="11"/>
  <c r="G1394" i="11"/>
  <c r="C1393" i="11"/>
  <c r="G1393" i="11" s="1"/>
  <c r="G1395" i="11" s="1"/>
  <c r="B1390" i="11"/>
  <c r="G1389" i="11"/>
  <c r="G1386" i="11"/>
  <c r="G1385" i="11"/>
  <c r="G1387" i="11" s="1"/>
  <c r="C1385" i="11"/>
  <c r="B1382" i="11"/>
  <c r="G1381" i="11"/>
  <c r="G1378" i="11"/>
  <c r="G1377" i="11"/>
  <c r="G1379" i="11" s="1"/>
  <c r="F1377" i="11"/>
  <c r="C1377" i="11"/>
  <c r="B1374" i="11"/>
  <c r="G1373" i="11"/>
  <c r="G1370" i="11"/>
  <c r="G1369" i="11"/>
  <c r="G1371" i="11" s="1"/>
  <c r="B1366" i="11"/>
  <c r="G1365" i="11"/>
  <c r="G1362" i="11"/>
  <c r="G1363" i="11" s="1"/>
  <c r="G1361" i="11"/>
  <c r="B1358" i="11"/>
  <c r="G1357" i="11"/>
  <c r="G1353" i="11"/>
  <c r="G1352" i="11"/>
  <c r="B1349" i="11"/>
  <c r="G1348" i="11"/>
  <c r="G1345" i="11"/>
  <c r="G1346" i="11" s="1"/>
  <c r="G1344" i="11"/>
  <c r="B1341" i="11"/>
  <c r="G1340" i="11"/>
  <c r="G1338" i="11"/>
  <c r="G1337" i="11"/>
  <c r="G1336" i="11"/>
  <c r="B1333" i="11"/>
  <c r="G1332" i="11"/>
  <c r="G1329" i="11"/>
  <c r="G1328" i="11"/>
  <c r="G1330" i="11" s="1"/>
  <c r="B1325" i="11"/>
  <c r="G1324" i="11"/>
  <c r="G1321" i="11"/>
  <c r="G1320" i="11"/>
  <c r="G1322" i="11" s="1"/>
  <c r="B1317" i="11"/>
  <c r="G1316" i="11"/>
  <c r="G1313" i="11"/>
  <c r="G1314" i="11" s="1"/>
  <c r="G1312" i="11"/>
  <c r="B1309" i="11"/>
  <c r="G1306" i="11"/>
  <c r="G1305" i="11"/>
  <c r="G1304" i="11"/>
  <c r="B1301" i="11"/>
  <c r="G1300" i="11"/>
  <c r="G1297" i="11"/>
  <c r="G1296" i="11"/>
  <c r="G1298" i="11" s="1"/>
  <c r="B1293" i="11"/>
  <c r="G1289" i="11"/>
  <c r="G1288" i="11"/>
  <c r="G1290" i="11" s="1"/>
  <c r="C1288" i="11"/>
  <c r="B1285" i="11"/>
  <c r="G1281" i="11"/>
  <c r="D1280" i="11"/>
  <c r="G1280" i="11" s="1"/>
  <c r="G1282" i="11" s="1"/>
  <c r="C1280" i="11"/>
  <c r="B1277" i="11"/>
  <c r="G1276" i="11"/>
  <c r="G1273" i="11"/>
  <c r="G1274" i="11" s="1"/>
  <c r="G1272" i="11"/>
  <c r="B1269" i="11"/>
  <c r="G1268" i="11"/>
  <c r="B1268" i="11"/>
  <c r="B1284" i="11" s="1"/>
  <c r="B1300" i="11" s="1"/>
  <c r="B1316" i="11" s="1"/>
  <c r="B1324" i="11" s="1"/>
  <c r="B1332" i="11" s="1"/>
  <c r="G1265" i="11"/>
  <c r="G1264" i="11"/>
  <c r="G1266" i="11" s="1"/>
  <c r="B1261" i="11"/>
  <c r="G1260" i="11"/>
  <c r="G1257" i="11"/>
  <c r="G1256" i="11"/>
  <c r="G1258" i="11" s="1"/>
  <c r="B1253" i="11"/>
  <c r="G1252" i="11"/>
  <c r="A1252" i="11"/>
  <c r="A1260" i="11" s="1"/>
  <c r="G1249" i="11"/>
  <c r="G1250" i="11" s="1"/>
  <c r="G1248" i="11"/>
  <c r="B1245" i="11"/>
  <c r="G1241" i="11"/>
  <c r="G1240" i="11"/>
  <c r="B1237" i="11"/>
  <c r="G1233" i="11"/>
  <c r="G1232" i="11"/>
  <c r="B1229" i="11"/>
  <c r="G1228" i="11"/>
  <c r="A1228" i="11"/>
  <c r="A1236" i="11" s="1"/>
  <c r="A1244" i="11" s="1"/>
  <c r="G1225" i="11"/>
  <c r="G1224" i="11"/>
  <c r="G1226" i="11" s="1"/>
  <c r="G1216" i="11"/>
  <c r="G1218" i="11" s="1"/>
  <c r="G1208" i="11"/>
  <c r="G1210" i="11" s="1"/>
  <c r="G1202" i="11"/>
  <c r="G1200" i="11"/>
  <c r="G1192" i="11"/>
  <c r="G1194" i="11" s="1"/>
  <c r="G1186" i="11"/>
  <c r="G1184" i="11"/>
  <c r="G1178" i="11"/>
  <c r="G1176" i="11"/>
  <c r="G1169" i="11"/>
  <c r="G1168" i="11"/>
  <c r="G1170" i="11" s="1"/>
  <c r="A1164" i="11"/>
  <c r="A1172" i="11" s="1"/>
  <c r="A1180" i="11" s="1"/>
  <c r="A1188" i="11" s="1"/>
  <c r="A1196" i="11" s="1"/>
  <c r="A1204" i="11" s="1"/>
  <c r="A1212" i="11" s="1"/>
  <c r="G1161" i="11"/>
  <c r="G1160" i="11"/>
  <c r="G1162" i="11" s="1"/>
  <c r="G1152" i="11"/>
  <c r="G1154" i="11" s="1"/>
  <c r="G1144" i="11"/>
  <c r="G1146" i="11" s="1"/>
  <c r="G1136" i="11"/>
  <c r="G1138" i="11" s="1"/>
  <c r="G1130" i="11"/>
  <c r="G1128" i="11"/>
  <c r="G1122" i="11"/>
  <c r="G1120" i="11"/>
  <c r="G1112" i="11"/>
  <c r="G1114" i="11" s="1"/>
  <c r="G1106" i="11"/>
  <c r="G1104" i="11"/>
  <c r="G1096" i="11"/>
  <c r="G1098" i="11" s="1"/>
  <c r="G1088" i="11"/>
  <c r="G1090" i="11" s="1"/>
  <c r="G1082" i="11"/>
  <c r="G1080" i="11"/>
  <c r="G1074" i="11"/>
  <c r="G1072" i="11"/>
  <c r="G1064" i="11"/>
  <c r="G1066" i="11" s="1"/>
  <c r="G1056" i="11"/>
  <c r="G1058" i="11" s="1"/>
  <c r="G1050" i="11"/>
  <c r="G1048" i="11"/>
  <c r="G1040" i="11"/>
  <c r="G1042" i="11" s="1"/>
  <c r="G1033" i="11"/>
  <c r="G1032" i="11"/>
  <c r="G1034" i="11" s="1"/>
  <c r="G1024" i="11"/>
  <c r="G1026" i="11" s="1"/>
  <c r="G1018" i="11"/>
  <c r="G1016" i="11"/>
  <c r="G1008" i="11"/>
  <c r="G1010" i="11" s="1"/>
  <c r="G1002" i="11"/>
  <c r="G1000" i="11"/>
  <c r="G992" i="11"/>
  <c r="G994" i="11" s="1"/>
  <c r="G986" i="11"/>
  <c r="G984" i="11"/>
  <c r="G978" i="11"/>
  <c r="G977" i="11"/>
  <c r="G976" i="11"/>
  <c r="G969" i="11"/>
  <c r="G970" i="11" s="1"/>
  <c r="G968" i="11"/>
  <c r="G962" i="11"/>
  <c r="G961" i="11"/>
  <c r="G960" i="11"/>
  <c r="G953" i="11"/>
  <c r="G954" i="11" s="1"/>
  <c r="G952" i="11"/>
  <c r="G945" i="11"/>
  <c r="G944" i="11"/>
  <c r="G946" i="11" s="1"/>
  <c r="G937" i="11"/>
  <c r="G936" i="11"/>
  <c r="G938" i="11" s="1"/>
  <c r="G929" i="11"/>
  <c r="G928" i="11"/>
  <c r="G930" i="11" s="1"/>
  <c r="G922" i="11"/>
  <c r="G921" i="11"/>
  <c r="G923" i="11" s="1"/>
  <c r="G913" i="11"/>
  <c r="G914" i="11" s="1"/>
  <c r="A909" i="11"/>
  <c r="A917" i="11" s="1"/>
  <c r="A924" i="11" s="1"/>
  <c r="A932" i="11" s="1"/>
  <c r="A940" i="11" s="1"/>
  <c r="A948" i="11" s="1"/>
  <c r="A956" i="11" s="1"/>
  <c r="A964" i="11" s="1"/>
  <c r="A972" i="11" s="1"/>
  <c r="G907" i="11"/>
  <c r="G906" i="11"/>
  <c r="G900" i="11"/>
  <c r="G899" i="11"/>
  <c r="G892" i="11"/>
  <c r="G893" i="11" s="1"/>
  <c r="G886" i="11"/>
  <c r="G885" i="11"/>
  <c r="A881" i="11"/>
  <c r="A902" i="11" s="1"/>
  <c r="G879" i="11"/>
  <c r="G878" i="11"/>
  <c r="A878" i="11"/>
  <c r="A885" i="11" s="1"/>
  <c r="A874" i="11"/>
  <c r="G871" i="11"/>
  <c r="G872" i="11" s="1"/>
  <c r="B867" i="11"/>
  <c r="G864" i="11"/>
  <c r="G865" i="11" s="1"/>
  <c r="G858" i="11"/>
  <c r="G857" i="11"/>
  <c r="G851" i="11"/>
  <c r="G850" i="11"/>
  <c r="G844" i="11"/>
  <c r="G843" i="11"/>
  <c r="G835" i="11"/>
  <c r="G837" i="11" s="1"/>
  <c r="G829" i="11"/>
  <c r="G827" i="11"/>
  <c r="G820" i="11"/>
  <c r="G821" i="11" s="1"/>
  <c r="G814" i="11"/>
  <c r="G812" i="11"/>
  <c r="G805" i="11"/>
  <c r="G806" i="11" s="1"/>
  <c r="B801" i="11"/>
  <c r="B808" i="11" s="1"/>
  <c r="B816" i="11" s="1"/>
  <c r="B823" i="11" s="1"/>
  <c r="B839" i="11" s="1"/>
  <c r="B846" i="11" s="1"/>
  <c r="B853" i="11" s="1"/>
  <c r="B860" i="11" s="1"/>
  <c r="G799" i="11"/>
  <c r="G798" i="11"/>
  <c r="B794" i="11"/>
  <c r="G792" i="11"/>
  <c r="G791" i="11"/>
  <c r="G785" i="11"/>
  <c r="G783" i="11"/>
  <c r="G777" i="11"/>
  <c r="G775" i="11"/>
  <c r="G768" i="11"/>
  <c r="G769" i="11" s="1"/>
  <c r="G761" i="11"/>
  <c r="G762" i="11" s="1"/>
  <c r="B757" i="11"/>
  <c r="A757" i="11"/>
  <c r="G754" i="11"/>
  <c r="G755" i="11" s="1"/>
  <c r="G747" i="11"/>
  <c r="G748" i="11" s="1"/>
  <c r="G743" i="11"/>
  <c r="G740" i="11"/>
  <c r="G741" i="11" s="1"/>
  <c r="G734" i="11"/>
  <c r="G733" i="11"/>
  <c r="B729" i="11"/>
  <c r="B736" i="11" s="1"/>
  <c r="B743" i="11" s="1"/>
  <c r="B750" i="11" s="1"/>
  <c r="A729" i="11"/>
  <c r="A736" i="11" s="1"/>
  <c r="A743" i="11" s="1"/>
  <c r="A750" i="11" s="1"/>
  <c r="G727" i="11"/>
  <c r="G726" i="11"/>
  <c r="G720" i="11"/>
  <c r="G719" i="11"/>
  <c r="G713" i="11"/>
  <c r="G712" i="11"/>
  <c r="G705" i="11"/>
  <c r="G706" i="11" s="1"/>
  <c r="G698" i="11"/>
  <c r="G699" i="11" s="1"/>
  <c r="G691" i="11"/>
  <c r="G692" i="11" s="1"/>
  <c r="G684" i="11"/>
  <c r="G685" i="11" s="1"/>
  <c r="G676" i="11"/>
  <c r="G678" i="11" s="1"/>
  <c r="G668" i="11"/>
  <c r="G670" i="11" s="1"/>
  <c r="G662" i="11"/>
  <c r="G661" i="11"/>
  <c r="G652" i="11"/>
  <c r="G655" i="11" s="1"/>
  <c r="G646" i="11"/>
  <c r="G643" i="11"/>
  <c r="G636" i="11"/>
  <c r="G635" i="11"/>
  <c r="G634" i="11"/>
  <c r="G637" i="11" s="1"/>
  <c r="G625" i="11"/>
  <c r="G628" i="11" s="1"/>
  <c r="IV628" i="11" s="1"/>
  <c r="G621" i="11"/>
  <c r="B621" i="11"/>
  <c r="B630" i="11" s="1"/>
  <c r="A621" i="11"/>
  <c r="G618" i="11"/>
  <c r="G617" i="11"/>
  <c r="G619" i="11" s="1"/>
  <c r="G616" i="11"/>
  <c r="G609" i="11"/>
  <c r="G608" i="11"/>
  <c r="G607" i="11"/>
  <c r="A603" i="11"/>
  <c r="G600" i="11"/>
  <c r="G599" i="11"/>
  <c r="G598" i="11"/>
  <c r="G601" i="11" s="1"/>
  <c r="G594" i="11"/>
  <c r="G603" i="11" s="1"/>
  <c r="G612" i="11" s="1"/>
  <c r="B594" i="11"/>
  <c r="B603" i="11" s="1"/>
  <c r="A594" i="11"/>
  <c r="G591" i="11"/>
  <c r="G590" i="11"/>
  <c r="G589" i="11"/>
  <c r="G583" i="11"/>
  <c r="G582" i="11"/>
  <c r="G581" i="11"/>
  <c r="G580" i="11"/>
  <c r="G576" i="11"/>
  <c r="G585" i="11" s="1"/>
  <c r="G573" i="11"/>
  <c r="G572" i="11"/>
  <c r="G571" i="11"/>
  <c r="G574" i="11" s="1"/>
  <c r="G562" i="11"/>
  <c r="G565" i="11" s="1"/>
  <c r="G555" i="11"/>
  <c r="G554" i="11"/>
  <c r="G553" i="11"/>
  <c r="G556" i="11" s="1"/>
  <c r="G546" i="11"/>
  <c r="G547" i="11" s="1"/>
  <c r="G539" i="11"/>
  <c r="G538" i="11"/>
  <c r="G537" i="11"/>
  <c r="G540" i="11" s="1"/>
  <c r="G530" i="11"/>
  <c r="G529" i="11"/>
  <c r="G531" i="11" s="1"/>
  <c r="G523" i="11"/>
  <c r="G521" i="11"/>
  <c r="G514" i="11"/>
  <c r="G513" i="11"/>
  <c r="G512" i="11"/>
  <c r="G515" i="11" s="1"/>
  <c r="G504" i="11"/>
  <c r="G506" i="11" s="1"/>
  <c r="G503" i="11"/>
  <c r="D495" i="11"/>
  <c r="G495" i="11" s="1"/>
  <c r="G494" i="11"/>
  <c r="B490" i="11"/>
  <c r="B499" i="11" s="1"/>
  <c r="B508" i="11" s="1"/>
  <c r="B517" i="11" s="1"/>
  <c r="B525" i="11" s="1"/>
  <c r="G486" i="11"/>
  <c r="G488" i="11" s="1"/>
  <c r="G479" i="11"/>
  <c r="G478" i="11"/>
  <c r="G471" i="11"/>
  <c r="G470" i="11"/>
  <c r="G463" i="11"/>
  <c r="G455" i="11"/>
  <c r="G445" i="11"/>
  <c r="G444" i="11"/>
  <c r="C436" i="11"/>
  <c r="G436" i="11" s="1"/>
  <c r="G438" i="11" s="1"/>
  <c r="G430" i="11"/>
  <c r="G422" i="11"/>
  <c r="G414" i="11"/>
  <c r="G406" i="11"/>
  <c r="G388" i="11"/>
  <c r="G387" i="11"/>
  <c r="G381" i="11"/>
  <c r="G372" i="11"/>
  <c r="G371" i="11"/>
  <c r="G369" i="11"/>
  <c r="G368" i="11"/>
  <c r="G367" i="11"/>
  <c r="G365" i="11"/>
  <c r="G364" i="11"/>
  <c r="G363" i="11"/>
  <c r="G361" i="11"/>
  <c r="G360" i="11"/>
  <c r="G359" i="11"/>
  <c r="G358" i="11"/>
  <c r="G356" i="11"/>
  <c r="G355" i="11"/>
  <c r="G354" i="11"/>
  <c r="G353" i="11"/>
  <c r="G352" i="11"/>
  <c r="G350" i="11"/>
  <c r="G349" i="11"/>
  <c r="G348" i="11"/>
  <c r="G347" i="11"/>
  <c r="G346" i="11"/>
  <c r="G345" i="11"/>
  <c r="G344" i="11"/>
  <c r="G373" i="11" s="1"/>
  <c r="G343" i="11"/>
  <c r="G336" i="11"/>
  <c r="B330" i="11"/>
  <c r="B338" i="11" s="1"/>
  <c r="B375" i="11" s="1"/>
  <c r="B383" i="11" s="1"/>
  <c r="G328" i="11"/>
  <c r="B322" i="11"/>
  <c r="G320" i="11"/>
  <c r="K314" i="11"/>
  <c r="G312" i="11"/>
  <c r="K305" i="11"/>
  <c r="G303" i="11"/>
  <c r="I303" i="11" s="1"/>
  <c r="J303" i="11" s="1"/>
  <c r="K297" i="11"/>
  <c r="G295" i="11"/>
  <c r="K289" i="11"/>
  <c r="G287" i="11"/>
  <c r="K281" i="11"/>
  <c r="L274" i="11"/>
  <c r="K274" i="11"/>
  <c r="I274" i="11"/>
  <c r="G274" i="11"/>
  <c r="K272" i="11"/>
  <c r="L272" i="11" s="1"/>
  <c r="K268" i="11"/>
  <c r="G264" i="11"/>
  <c r="C264" i="11"/>
  <c r="G263" i="11"/>
  <c r="C263" i="11"/>
  <c r="I262" i="11"/>
  <c r="G262" i="11"/>
  <c r="F253" i="11"/>
  <c r="G253" i="11" s="1"/>
  <c r="G252" i="11"/>
  <c r="F252" i="11"/>
  <c r="F251" i="11"/>
  <c r="G251" i="11" s="1"/>
  <c r="G256" i="11" s="1"/>
  <c r="I249" i="11"/>
  <c r="G244" i="11"/>
  <c r="L239" i="11"/>
  <c r="L240" i="11" s="1"/>
  <c r="K239" i="11"/>
  <c r="G231" i="11"/>
  <c r="C231" i="11"/>
  <c r="B227" i="11"/>
  <c r="B237" i="11" s="1"/>
  <c r="B246" i="11" s="1"/>
  <c r="B258" i="11" s="1"/>
  <c r="B270" i="11" s="1"/>
  <c r="G223" i="11"/>
  <c r="G222" i="11"/>
  <c r="G225" i="11" s="1"/>
  <c r="B217" i="11"/>
  <c r="G214" i="11"/>
  <c r="G213" i="11"/>
  <c r="G215" i="11" s="1"/>
  <c r="G212" i="11"/>
  <c r="G203" i="11"/>
  <c r="G202" i="11"/>
  <c r="G201" i="11"/>
  <c r="G200" i="11"/>
  <c r="G199" i="11"/>
  <c r="G198" i="11"/>
  <c r="G197" i="11"/>
  <c r="G196" i="11"/>
  <c r="G195" i="11"/>
  <c r="G194" i="11"/>
  <c r="G193" i="11"/>
  <c r="G192" i="11"/>
  <c r="G191" i="11"/>
  <c r="G190" i="11"/>
  <c r="G189" i="11"/>
  <c r="G188" i="11"/>
  <c r="C188" i="11"/>
  <c r="G187" i="11"/>
  <c r="G175" i="11"/>
  <c r="G174" i="11"/>
  <c r="G173" i="11"/>
  <c r="G172" i="11"/>
  <c r="G171" i="11"/>
  <c r="G170" i="11"/>
  <c r="G169" i="11"/>
  <c r="G168" i="11"/>
  <c r="G167" i="11"/>
  <c r="G166" i="11"/>
  <c r="F164" i="11"/>
  <c r="G164" i="11" s="1"/>
  <c r="B159" i="11"/>
  <c r="B180" i="11" s="1"/>
  <c r="A159" i="11"/>
  <c r="G157" i="11"/>
  <c r="C154" i="11"/>
  <c r="G154" i="11" s="1"/>
  <c r="B150" i="11"/>
  <c r="A150" i="11"/>
  <c r="G146" i="11"/>
  <c r="G145" i="11"/>
  <c r="G144" i="11"/>
  <c r="G143" i="11"/>
  <c r="G142" i="11"/>
  <c r="G141" i="11"/>
  <c r="G140" i="11"/>
  <c r="G139" i="11"/>
  <c r="G138" i="11"/>
  <c r="G137" i="11"/>
  <c r="G126" i="11"/>
  <c r="G125" i="11"/>
  <c r="B121" i="11"/>
  <c r="A121" i="11"/>
  <c r="G117" i="11"/>
  <c r="G116" i="11"/>
  <c r="G115" i="11"/>
  <c r="G114" i="11"/>
  <c r="G113" i="11"/>
  <c r="G112" i="11"/>
  <c r="G111" i="11"/>
  <c r="G110" i="11"/>
  <c r="G109" i="11"/>
  <c r="G108" i="11"/>
  <c r="G106" i="11"/>
  <c r="G104" i="11"/>
  <c r="B100" i="11"/>
  <c r="A100" i="11"/>
  <c r="G97" i="11"/>
  <c r="F96" i="11"/>
  <c r="G96" i="11" s="1"/>
  <c r="G95" i="11"/>
  <c r="G98" i="11" s="1"/>
  <c r="I16" i="11" s="1"/>
  <c r="B91" i="11"/>
  <c r="A91" i="11"/>
  <c r="G89" i="11"/>
  <c r="I15" i="11" s="1"/>
  <c r="G87" i="11"/>
  <c r="G84" i="11"/>
  <c r="J82" i="11"/>
  <c r="B79" i="11"/>
  <c r="A79" i="11"/>
  <c r="E76" i="11"/>
  <c r="G76" i="11" s="1"/>
  <c r="G75" i="11"/>
  <c r="G74" i="11"/>
  <c r="C74" i="11"/>
  <c r="G73" i="11"/>
  <c r="G70" i="11"/>
  <c r="B65" i="11"/>
  <c r="A65" i="11"/>
  <c r="G62" i="11"/>
  <c r="G63" i="11" s="1"/>
  <c r="I14" i="11" s="1"/>
  <c r="G61" i="11"/>
  <c r="C60" i="11"/>
  <c r="G60" i="11" s="1"/>
  <c r="G59" i="11"/>
  <c r="G56" i="11"/>
  <c r="B51" i="11"/>
  <c r="A51" i="11"/>
  <c r="G45" i="11"/>
  <c r="C45" i="11"/>
  <c r="D44" i="11"/>
  <c r="C44" i="11"/>
  <c r="G44" i="11" s="1"/>
  <c r="B37" i="11"/>
  <c r="A37" i="11"/>
  <c r="G33" i="11"/>
  <c r="C32" i="11"/>
  <c r="G32" i="11" s="1"/>
  <c r="G31" i="11"/>
  <c r="G30" i="11"/>
  <c r="C29" i="11"/>
  <c r="G27" i="11"/>
  <c r="G26" i="11"/>
  <c r="G25" i="11"/>
  <c r="C25" i="11"/>
  <c r="C21" i="11"/>
  <c r="G21" i="11" s="1"/>
  <c r="B16" i="11"/>
  <c r="A16" i="11"/>
  <c r="K11" i="11"/>
  <c r="G11" i="11"/>
  <c r="G13" i="11" s="1"/>
  <c r="C105" i="11" s="1"/>
  <c r="G105" i="11" s="1"/>
  <c r="F179" i="10"/>
  <c r="H177" i="10" s="1"/>
  <c r="F177" i="10"/>
  <c r="F175" i="10"/>
  <c r="H149" i="10" s="1"/>
  <c r="I173" i="10"/>
  <c r="H173" i="10"/>
  <c r="I172" i="10"/>
  <c r="H172" i="10"/>
  <c r="F150" i="10"/>
  <c r="F149" i="10"/>
  <c r="F146" i="10"/>
  <c r="F145" i="10"/>
  <c r="F144" i="10"/>
  <c r="F143" i="10"/>
  <c r="F142" i="10"/>
  <c r="F141" i="10"/>
  <c r="F140" i="10"/>
  <c r="F139" i="10"/>
  <c r="H137" i="10"/>
  <c r="F137" i="10"/>
  <c r="F134" i="10"/>
  <c r="F130" i="10"/>
  <c r="F128" i="10"/>
  <c r="F127" i="10"/>
  <c r="F125" i="10"/>
  <c r="F124" i="10"/>
  <c r="F122" i="10"/>
  <c r="F120" i="10"/>
  <c r="F119" i="10"/>
  <c r="F118" i="10"/>
  <c r="F117" i="10"/>
  <c r="F116" i="10"/>
  <c r="F115" i="10"/>
  <c r="F114" i="10"/>
  <c r="F112" i="10"/>
  <c r="F111" i="10"/>
  <c r="F110" i="10"/>
  <c r="F109" i="10"/>
  <c r="F108" i="10"/>
  <c r="F107" i="10"/>
  <c r="F106" i="10"/>
  <c r="F105" i="10"/>
  <c r="F104" i="10"/>
  <c r="F103" i="10"/>
  <c r="F102" i="10"/>
  <c r="F101" i="10"/>
  <c r="F99" i="10"/>
  <c r="F98" i="10"/>
  <c r="F97" i="10"/>
  <c r="F96" i="10"/>
  <c r="F95" i="10"/>
  <c r="F94" i="10"/>
  <c r="F93" i="10"/>
  <c r="F92" i="10"/>
  <c r="F91" i="10"/>
  <c r="F87" i="10"/>
  <c r="F86" i="10"/>
  <c r="F85" i="10"/>
  <c r="F84" i="10"/>
  <c r="F83" i="10"/>
  <c r="F82" i="10"/>
  <c r="F81" i="10"/>
  <c r="F80" i="10"/>
  <c r="F79" i="10"/>
  <c r="F78" i="10"/>
  <c r="C78" i="10"/>
  <c r="C79" i="10" s="1"/>
  <c r="F77" i="10"/>
  <c r="F76" i="10"/>
  <c r="D75" i="10"/>
  <c r="D74" i="10"/>
  <c r="B69" i="10"/>
  <c r="F66" i="10"/>
  <c r="F65" i="10"/>
  <c r="F64" i="10"/>
  <c r="F63" i="10"/>
  <c r="F62" i="10"/>
  <c r="F61" i="10"/>
  <c r="C61" i="10"/>
  <c r="C62" i="10" s="1"/>
  <c r="C65" i="10" s="1"/>
  <c r="C66" i="10" s="1"/>
  <c r="F59" i="10"/>
  <c r="F58" i="10"/>
  <c r="F57" i="10"/>
  <c r="F56" i="10"/>
  <c r="C56" i="10"/>
  <c r="C57" i="10" s="1"/>
  <c r="C58" i="10" s="1"/>
  <c r="F55" i="10"/>
  <c r="C55" i="10"/>
  <c r="F54" i="10"/>
  <c r="C54" i="10"/>
  <c r="C59" i="10" s="1"/>
  <c r="C60" i="10" s="1"/>
  <c r="B53" i="10"/>
  <c r="D48" i="10"/>
  <c r="F48" i="10" s="1"/>
  <c r="F47" i="10"/>
  <c r="F46" i="10"/>
  <c r="F45" i="10"/>
  <c r="F44" i="10"/>
  <c r="C44" i="10"/>
  <c r="B44" i="10"/>
  <c r="B43" i="10"/>
  <c r="B42" i="10"/>
  <c r="F41" i="10"/>
  <c r="C41" i="10"/>
  <c r="B41" i="10"/>
  <c r="D40" i="10"/>
  <c r="F40" i="10" s="1"/>
  <c r="D39" i="10"/>
  <c r="C39" i="10"/>
  <c r="C38" i="10"/>
  <c r="B38" i="10"/>
  <c r="F37" i="10"/>
  <c r="C37" i="10"/>
  <c r="B37" i="10"/>
  <c r="C36" i="10"/>
  <c r="B36" i="10"/>
  <c r="F35" i="10"/>
  <c r="F50" i="10" s="1"/>
  <c r="H50" i="10" s="1"/>
  <c r="D35" i="10"/>
  <c r="B35" i="10"/>
  <c r="D31" i="10"/>
  <c r="B31" i="10"/>
  <c r="D30" i="10"/>
  <c r="B30" i="10"/>
  <c r="B29" i="10"/>
  <c r="D28" i="10"/>
  <c r="B28" i="10"/>
  <c r="D27" i="10"/>
  <c r="B27" i="10"/>
  <c r="D26" i="10"/>
  <c r="D25" i="10"/>
  <c r="C16" i="10"/>
  <c r="B16" i="10"/>
  <c r="C15" i="10"/>
  <c r="B15" i="10"/>
  <c r="C14" i="10"/>
  <c r="B14" i="10"/>
  <c r="C13" i="10"/>
  <c r="B13" i="10"/>
  <c r="C12" i="10"/>
  <c r="B12" i="10"/>
  <c r="C11" i="10"/>
  <c r="B11" i="10"/>
  <c r="G1440" i="9"/>
  <c r="G1441" i="9" s="1"/>
  <c r="G1439" i="9"/>
  <c r="B1436" i="9"/>
  <c r="G1435" i="9"/>
  <c r="G1432" i="9"/>
  <c r="G1433" i="9" s="1"/>
  <c r="G1431" i="9"/>
  <c r="B1428" i="9"/>
  <c r="G1427" i="9"/>
  <c r="G1424" i="9"/>
  <c r="F1423" i="9"/>
  <c r="B1420" i="9"/>
  <c r="G1419" i="9"/>
  <c r="G1416" i="9"/>
  <c r="F1415" i="9"/>
  <c r="B1412" i="9"/>
  <c r="G1411" i="9"/>
  <c r="G1409" i="9"/>
  <c r="G1408" i="9"/>
  <c r="G1407" i="9"/>
  <c r="B1404" i="9"/>
  <c r="G1403" i="9"/>
  <c r="G1400" i="9"/>
  <c r="C1399" i="9"/>
  <c r="F1399" i="9" s="1"/>
  <c r="G1399" i="9" s="1"/>
  <c r="G1401" i="9" s="1"/>
  <c r="B1396" i="9"/>
  <c r="G1395" i="9"/>
  <c r="G1392" i="9"/>
  <c r="G1391" i="9"/>
  <c r="G1393" i="9" s="1"/>
  <c r="C1391" i="9"/>
  <c r="B1388" i="9"/>
  <c r="G1387" i="9"/>
  <c r="G1384" i="9"/>
  <c r="G1383" i="9"/>
  <c r="G1385" i="9" s="1"/>
  <c r="C1383" i="9"/>
  <c r="B1380" i="9"/>
  <c r="G1379" i="9"/>
  <c r="G1376" i="9"/>
  <c r="G1375" i="9"/>
  <c r="G1377" i="9" s="1"/>
  <c r="C1375" i="9"/>
  <c r="F1375" i="9" s="1"/>
  <c r="B1372" i="9"/>
  <c r="G1371" i="9"/>
  <c r="G1368" i="9"/>
  <c r="G1369" i="9" s="1"/>
  <c r="G1367" i="9"/>
  <c r="B1364" i="9"/>
  <c r="G1363" i="9"/>
  <c r="G1361" i="9"/>
  <c r="G1360" i="9"/>
  <c r="G1359" i="9"/>
  <c r="B1356" i="9"/>
  <c r="G1355" i="9"/>
  <c r="G1351" i="9"/>
  <c r="G1350" i="9"/>
  <c r="G1352" i="9" s="1"/>
  <c r="B1347" i="9"/>
  <c r="G1346" i="9"/>
  <c r="G1343" i="9"/>
  <c r="G1342" i="9"/>
  <c r="B1339" i="9"/>
  <c r="G1338" i="9"/>
  <c r="G1335" i="9"/>
  <c r="G1334" i="9"/>
  <c r="G1336" i="9" s="1"/>
  <c r="B1331" i="9"/>
  <c r="G1330" i="9"/>
  <c r="G1327" i="9"/>
  <c r="G1326" i="9"/>
  <c r="B1323" i="9"/>
  <c r="G1322" i="9"/>
  <c r="G1320" i="9"/>
  <c r="G1319" i="9"/>
  <c r="G1318" i="9"/>
  <c r="B1315" i="9"/>
  <c r="G1314" i="9"/>
  <c r="G1311" i="9"/>
  <c r="G1310" i="9"/>
  <c r="G1312" i="9" s="1"/>
  <c r="B1307" i="9"/>
  <c r="G1303" i="9"/>
  <c r="G1302" i="9"/>
  <c r="G1304" i="9" s="1"/>
  <c r="B1299" i="9"/>
  <c r="G1298" i="9"/>
  <c r="G1295" i="9"/>
  <c r="G1294" i="9"/>
  <c r="G1296" i="9" s="1"/>
  <c r="B1291" i="9"/>
  <c r="G1287" i="9"/>
  <c r="G1288" i="9" s="1"/>
  <c r="G1286" i="9"/>
  <c r="C1286" i="9"/>
  <c r="B1283" i="9"/>
  <c r="G1279" i="9"/>
  <c r="G1278" i="9"/>
  <c r="G1280" i="9" s="1"/>
  <c r="D1278" i="9"/>
  <c r="C1278" i="9"/>
  <c r="B1275" i="9"/>
  <c r="G1274" i="9"/>
  <c r="G1271" i="9"/>
  <c r="G1270" i="9"/>
  <c r="G1272" i="9" s="1"/>
  <c r="B1267" i="9"/>
  <c r="G1266" i="9"/>
  <c r="B1266" i="9"/>
  <c r="B1282" i="9" s="1"/>
  <c r="B1298" i="9" s="1"/>
  <c r="B1314" i="9" s="1"/>
  <c r="B1322" i="9" s="1"/>
  <c r="G1263" i="9"/>
  <c r="G1262" i="9"/>
  <c r="G1264" i="9" s="1"/>
  <c r="B1259" i="9"/>
  <c r="G1258" i="9"/>
  <c r="G1256" i="9"/>
  <c r="G1255" i="9"/>
  <c r="G1254" i="9"/>
  <c r="B1251" i="9"/>
  <c r="G1250" i="9"/>
  <c r="G1248" i="9"/>
  <c r="G1247" i="9"/>
  <c r="G1246" i="9"/>
  <c r="B1243" i="9"/>
  <c r="G1240" i="9"/>
  <c r="G1239" i="9"/>
  <c r="G1238" i="9"/>
  <c r="B1235" i="9"/>
  <c r="G1232" i="9"/>
  <c r="G1231" i="9"/>
  <c r="G1230" i="9"/>
  <c r="B1227" i="9"/>
  <c r="G1226" i="9"/>
  <c r="G1224" i="9"/>
  <c r="G1223" i="9"/>
  <c r="G1222" i="9"/>
  <c r="B1219" i="9"/>
  <c r="G1218" i="9"/>
  <c r="G1215" i="9"/>
  <c r="G1216" i="9" s="1"/>
  <c r="G1214" i="9"/>
  <c r="B1211" i="9"/>
  <c r="G1210" i="9"/>
  <c r="G1207" i="9"/>
  <c r="G1206" i="9"/>
  <c r="B1203" i="9"/>
  <c r="G1202" i="9"/>
  <c r="G1200" i="9"/>
  <c r="G1199" i="9"/>
  <c r="G1198" i="9"/>
  <c r="B1195" i="9"/>
  <c r="G1194" i="9"/>
  <c r="G1192" i="9"/>
  <c r="G1191" i="9"/>
  <c r="G1190" i="9"/>
  <c r="A1190" i="9"/>
  <c r="B1187" i="9"/>
  <c r="G1186" i="9"/>
  <c r="G1183" i="9"/>
  <c r="G1182" i="9"/>
  <c r="G1184" i="9" s="1"/>
  <c r="A1182" i="9"/>
  <c r="B1179" i="9"/>
  <c r="G1175" i="9"/>
  <c r="G1174" i="9"/>
  <c r="G1176" i="9" s="1"/>
  <c r="A1174" i="9"/>
  <c r="B1171" i="9"/>
  <c r="G1170" i="9"/>
  <c r="G1167" i="9"/>
  <c r="G1166" i="9"/>
  <c r="A1166" i="9"/>
  <c r="B1163" i="9"/>
  <c r="G1162" i="9"/>
  <c r="G1159" i="9"/>
  <c r="G1158" i="9"/>
  <c r="A1158" i="9"/>
  <c r="B1155" i="9"/>
  <c r="G1154" i="9"/>
  <c r="G1151" i="9"/>
  <c r="G1150" i="9"/>
  <c r="A1150" i="9"/>
  <c r="B1147" i="9"/>
  <c r="G1146" i="9"/>
  <c r="G1144" i="9"/>
  <c r="G1143" i="9"/>
  <c r="G1142" i="9"/>
  <c r="A1142" i="9"/>
  <c r="B1139" i="9"/>
  <c r="G1138" i="9"/>
  <c r="A1138" i="9"/>
  <c r="A1146" i="9" s="1"/>
  <c r="A1154" i="9" s="1"/>
  <c r="A1162" i="9" s="1"/>
  <c r="A1170" i="9" s="1"/>
  <c r="A1178" i="9" s="1"/>
  <c r="A1186" i="9" s="1"/>
  <c r="A1194" i="9" s="1"/>
  <c r="A1202" i="9" s="1"/>
  <c r="A1210" i="9" s="1"/>
  <c r="A1218" i="9" s="1"/>
  <c r="A1226" i="9" s="1"/>
  <c r="A1234" i="9" s="1"/>
  <c r="A1242" i="9" s="1"/>
  <c r="A1250" i="9" s="1"/>
  <c r="A1258" i="9" s="1"/>
  <c r="G1135" i="9"/>
  <c r="G1136" i="9" s="1"/>
  <c r="G1134" i="9"/>
  <c r="A1134" i="9"/>
  <c r="B1131" i="9"/>
  <c r="G1130" i="9"/>
  <c r="G1128" i="9"/>
  <c r="G1127" i="9"/>
  <c r="G1126" i="9"/>
  <c r="A1126" i="9"/>
  <c r="B1123" i="9"/>
  <c r="G1122" i="9"/>
  <c r="B1122" i="9"/>
  <c r="G1119" i="9"/>
  <c r="G1118" i="9"/>
  <c r="G1120" i="9" s="1"/>
  <c r="A1118" i="9"/>
  <c r="B1115" i="9"/>
  <c r="G1111" i="9"/>
  <c r="G1110" i="9"/>
  <c r="A1110" i="9"/>
  <c r="B1107" i="9"/>
  <c r="G1103" i="9"/>
  <c r="G1102" i="9"/>
  <c r="A1102" i="9"/>
  <c r="B1099" i="9"/>
  <c r="G1096" i="9"/>
  <c r="G1095" i="9"/>
  <c r="G1094" i="9"/>
  <c r="A1094" i="9"/>
  <c r="B1091" i="9"/>
  <c r="G1088" i="9"/>
  <c r="G1089" i="9" s="1"/>
  <c r="G1087" i="9"/>
  <c r="A1087" i="9"/>
  <c r="B1084" i="9"/>
  <c r="G1083" i="9"/>
  <c r="A1083" i="9"/>
  <c r="A1090" i="9" s="1"/>
  <c r="A1098" i="9" s="1"/>
  <c r="A1106" i="9" s="1"/>
  <c r="A1114" i="9" s="1"/>
  <c r="A1122" i="9" s="1"/>
  <c r="A1130" i="9" s="1"/>
  <c r="G1079" i="9"/>
  <c r="G1080" i="9" s="1"/>
  <c r="B1076" i="9"/>
  <c r="G1075" i="9"/>
  <c r="G1072" i="9"/>
  <c r="G1073" i="9" s="1"/>
  <c r="B1069" i="9"/>
  <c r="G1068" i="9"/>
  <c r="A1068" i="9"/>
  <c r="A1075" i="9" s="1"/>
  <c r="G1065" i="9"/>
  <c r="G1066" i="9" s="1"/>
  <c r="B1062" i="9"/>
  <c r="G1059" i="9"/>
  <c r="G1058" i="9"/>
  <c r="B1055" i="9"/>
  <c r="G1054" i="9"/>
  <c r="G1052" i="9"/>
  <c r="G1051" i="9"/>
  <c r="A1051" i="9"/>
  <c r="A1072" i="9" s="1"/>
  <c r="B1048" i="9"/>
  <c r="G1047" i="9"/>
  <c r="A1047" i="9"/>
  <c r="G1045" i="9"/>
  <c r="G1044" i="9"/>
  <c r="B1041" i="9"/>
  <c r="G1040" i="9"/>
  <c r="A1040" i="9"/>
  <c r="G1037" i="9"/>
  <c r="G1038" i="9" s="1"/>
  <c r="A1037" i="9"/>
  <c r="A1044" i="9" s="1"/>
  <c r="B1034" i="9"/>
  <c r="G1033" i="9"/>
  <c r="B1033" i="9"/>
  <c r="B1068" i="9" s="1"/>
  <c r="G1031" i="9"/>
  <c r="G1030" i="9"/>
  <c r="B1027" i="9"/>
  <c r="G1024" i="9"/>
  <c r="G1023" i="9"/>
  <c r="G1016" i="9"/>
  <c r="G1015" i="9"/>
  <c r="G1008" i="9"/>
  <c r="G1009" i="9" s="1"/>
  <c r="G1000" i="9"/>
  <c r="G1002" i="9" s="1"/>
  <c r="G992" i="9"/>
  <c r="G994" i="9" s="1"/>
  <c r="G986" i="9"/>
  <c r="G985" i="9"/>
  <c r="G979" i="9"/>
  <c r="G977" i="9"/>
  <c r="C977" i="9"/>
  <c r="B973" i="9"/>
  <c r="B981" i="9" s="1"/>
  <c r="B988" i="9" s="1"/>
  <c r="C970" i="9"/>
  <c r="G970" i="9" s="1"/>
  <c r="G971" i="9" s="1"/>
  <c r="B966" i="9"/>
  <c r="G964" i="9"/>
  <c r="C963" i="9"/>
  <c r="G963" i="9" s="1"/>
  <c r="B959" i="9"/>
  <c r="G956" i="9"/>
  <c r="G957" i="9" s="1"/>
  <c r="G948" i="9"/>
  <c r="G950" i="9" s="1"/>
  <c r="G942" i="9"/>
  <c r="G940" i="9"/>
  <c r="G933" i="9"/>
  <c r="G934" i="9" s="1"/>
  <c r="G927" i="9"/>
  <c r="G926" i="9"/>
  <c r="C919" i="9"/>
  <c r="G919" i="9" s="1"/>
  <c r="G920" i="9" s="1"/>
  <c r="C912" i="9"/>
  <c r="G912" i="9" s="1"/>
  <c r="G913" i="9" s="1"/>
  <c r="G908" i="9"/>
  <c r="A908" i="9"/>
  <c r="A915" i="9" s="1"/>
  <c r="A922" i="9" s="1"/>
  <c r="A929" i="9" s="1"/>
  <c r="G905" i="9"/>
  <c r="G906" i="9" s="1"/>
  <c r="F898" i="9"/>
  <c r="G898" i="9" s="1"/>
  <c r="G899" i="9" s="1"/>
  <c r="A894" i="9"/>
  <c r="A901" i="9" s="1"/>
  <c r="G891" i="9"/>
  <c r="G892" i="9" s="1"/>
  <c r="A887" i="9"/>
  <c r="G884" i="9"/>
  <c r="G885" i="9" s="1"/>
  <c r="G880" i="9"/>
  <c r="A880" i="9"/>
  <c r="G878" i="9"/>
  <c r="G877" i="9"/>
  <c r="G873" i="9"/>
  <c r="G870" i="9"/>
  <c r="G871" i="9" s="1"/>
  <c r="G864" i="9"/>
  <c r="G863" i="9"/>
  <c r="B859" i="9"/>
  <c r="B866" i="9" s="1"/>
  <c r="B873" i="9" s="1"/>
  <c r="B880" i="9" s="1"/>
  <c r="B887" i="9" s="1"/>
  <c r="B894" i="9" s="1"/>
  <c r="B901" i="9" s="1"/>
  <c r="B908" i="9" s="1"/>
  <c r="B915" i="9" s="1"/>
  <c r="B922" i="9" s="1"/>
  <c r="G857" i="9"/>
  <c r="G856" i="9"/>
  <c r="B852" i="9"/>
  <c r="G849" i="9"/>
  <c r="G850" i="9" s="1"/>
  <c r="B845" i="9"/>
  <c r="G841" i="9"/>
  <c r="G843" i="9" s="1"/>
  <c r="B837" i="9"/>
  <c r="G833" i="9"/>
  <c r="G835" i="9" s="1"/>
  <c r="G827" i="9"/>
  <c r="G818" i="9"/>
  <c r="G817" i="9"/>
  <c r="G820" i="9" s="1"/>
  <c r="G810" i="9"/>
  <c r="K809" i="9"/>
  <c r="C809" i="9"/>
  <c r="G809" i="9" s="1"/>
  <c r="K808" i="9"/>
  <c r="C808" i="9"/>
  <c r="G808" i="9" s="1"/>
  <c r="I807" i="9"/>
  <c r="C807" i="9"/>
  <c r="G807" i="9" s="1"/>
  <c r="G806" i="9"/>
  <c r="C806" i="9"/>
  <c r="G805" i="9"/>
  <c r="G804" i="9"/>
  <c r="C803" i="9"/>
  <c r="G803" i="9" s="1"/>
  <c r="C802" i="9"/>
  <c r="G802" i="9" s="1"/>
  <c r="G801" i="9"/>
  <c r="K800" i="9"/>
  <c r="G800" i="9"/>
  <c r="G794" i="9"/>
  <c r="C792" i="9"/>
  <c r="G792" i="9" s="1"/>
  <c r="D785" i="9"/>
  <c r="G785" i="9" s="1"/>
  <c r="D784" i="9"/>
  <c r="G784" i="9" s="1"/>
  <c r="G783" i="9"/>
  <c r="D783" i="9"/>
  <c r="D782" i="9"/>
  <c r="G782" i="9" s="1"/>
  <c r="D781" i="9"/>
  <c r="G781" i="9" s="1"/>
  <c r="G786" i="9" s="1"/>
  <c r="IV786" i="9" s="1"/>
  <c r="G773" i="9"/>
  <c r="G772" i="9"/>
  <c r="G771" i="9"/>
  <c r="G770" i="9"/>
  <c r="G768" i="9"/>
  <c r="G767" i="9"/>
  <c r="G766" i="9"/>
  <c r="G765" i="9"/>
  <c r="G764" i="9"/>
  <c r="G763" i="9"/>
  <c r="G761" i="9"/>
  <c r="G760" i="9"/>
  <c r="G759" i="9"/>
  <c r="G758" i="9"/>
  <c r="G757" i="9"/>
  <c r="G756" i="9"/>
  <c r="G755" i="9"/>
  <c r="G754" i="9"/>
  <c r="G753" i="9"/>
  <c r="G752" i="9"/>
  <c r="G751" i="9"/>
  <c r="G750" i="9"/>
  <c r="G749" i="9"/>
  <c r="G748" i="9"/>
  <c r="G747" i="9"/>
  <c r="G746" i="9"/>
  <c r="G745" i="9"/>
  <c r="G744" i="9"/>
  <c r="G742" i="9"/>
  <c r="G741" i="9"/>
  <c r="G740" i="9"/>
  <c r="G739" i="9"/>
  <c r="G738" i="9"/>
  <c r="G737" i="9"/>
  <c r="G736" i="9"/>
  <c r="G735" i="9"/>
  <c r="G734" i="9"/>
  <c r="G733" i="9"/>
  <c r="G732" i="9"/>
  <c r="G731" i="9"/>
  <c r="G730" i="9"/>
  <c r="G729" i="9"/>
  <c r="G728" i="9"/>
  <c r="G727" i="9"/>
  <c r="G726" i="9"/>
  <c r="G725" i="9"/>
  <c r="G724" i="9"/>
  <c r="G723" i="9"/>
  <c r="G722" i="9"/>
  <c r="C714" i="9"/>
  <c r="A709" i="9"/>
  <c r="A717" i="9" s="1"/>
  <c r="A776" i="9" s="1"/>
  <c r="B700" i="9"/>
  <c r="B709" i="9" s="1"/>
  <c r="B717" i="9" s="1"/>
  <c r="B776" i="9" s="1"/>
  <c r="B788" i="9" s="1"/>
  <c r="B796" i="9" s="1"/>
  <c r="A700" i="9"/>
  <c r="D696" i="9"/>
  <c r="G691" i="9"/>
  <c r="G700" i="9" s="1"/>
  <c r="G709" i="9" s="1"/>
  <c r="G717" i="9" s="1"/>
  <c r="G776" i="9" s="1"/>
  <c r="C685" i="9"/>
  <c r="G684" i="9"/>
  <c r="C684" i="9"/>
  <c r="G680" i="9"/>
  <c r="B680" i="9"/>
  <c r="G677" i="9"/>
  <c r="C688" i="9" s="1"/>
  <c r="G688" i="9" s="1"/>
  <c r="F677" i="9"/>
  <c r="C677" i="9"/>
  <c r="G675" i="9"/>
  <c r="G674" i="9"/>
  <c r="G673" i="9"/>
  <c r="C673" i="9"/>
  <c r="G671" i="9"/>
  <c r="C671" i="9"/>
  <c r="C670" i="9"/>
  <c r="G670" i="9" s="1"/>
  <c r="E669" i="9"/>
  <c r="C669" i="9"/>
  <c r="G669" i="9" s="1"/>
  <c r="G668" i="9"/>
  <c r="C668" i="9"/>
  <c r="G667" i="9"/>
  <c r="E666" i="9"/>
  <c r="C666" i="9"/>
  <c r="G666" i="9" s="1"/>
  <c r="E665" i="9"/>
  <c r="C665" i="9"/>
  <c r="G664" i="9"/>
  <c r="E664" i="9"/>
  <c r="C664" i="9"/>
  <c r="K663" i="9"/>
  <c r="J663" i="9"/>
  <c r="G663" i="9"/>
  <c r="K662" i="9"/>
  <c r="E662" i="9"/>
  <c r="C662" i="9"/>
  <c r="G662" i="9" s="1"/>
  <c r="K661" i="9"/>
  <c r="G661" i="9"/>
  <c r="L660" i="9"/>
  <c r="I660" i="9"/>
  <c r="G660" i="9"/>
  <c r="L659" i="9"/>
  <c r="K659" i="9"/>
  <c r="C659" i="9"/>
  <c r="G659" i="9" s="1"/>
  <c r="L658" i="9"/>
  <c r="M658" i="9" s="1"/>
  <c r="M657" i="9"/>
  <c r="L657" i="9"/>
  <c r="G657" i="9"/>
  <c r="C657" i="9"/>
  <c r="E656" i="9"/>
  <c r="C656" i="9"/>
  <c r="G656" i="9" s="1"/>
  <c r="G655" i="9"/>
  <c r="E655" i="9"/>
  <c r="C655" i="9"/>
  <c r="K654" i="9"/>
  <c r="E653" i="9" s="1"/>
  <c r="J654" i="9"/>
  <c r="E654" i="9"/>
  <c r="C654" i="9"/>
  <c r="K653" i="9"/>
  <c r="G653" i="9"/>
  <c r="C653" i="9"/>
  <c r="K652" i="9"/>
  <c r="C651" i="9" s="1"/>
  <c r="G651" i="9" s="1"/>
  <c r="G652" i="9"/>
  <c r="C652" i="9"/>
  <c r="K650" i="9"/>
  <c r="C650" i="9" s="1"/>
  <c r="G650" i="9"/>
  <c r="B645" i="9"/>
  <c r="C641" i="9"/>
  <c r="G641" i="9" s="1"/>
  <c r="C687" i="9" s="1"/>
  <c r="G687" i="9" s="1"/>
  <c r="C697" i="9" s="1"/>
  <c r="G697" i="9" s="1"/>
  <c r="G640" i="9"/>
  <c r="C640" i="9"/>
  <c r="G639" i="9"/>
  <c r="C639" i="9"/>
  <c r="E638" i="9"/>
  <c r="C638" i="9"/>
  <c r="E637" i="9"/>
  <c r="C637" i="9"/>
  <c r="G636" i="9"/>
  <c r="G630" i="9"/>
  <c r="G629" i="9"/>
  <c r="G628" i="9"/>
  <c r="G620" i="9"/>
  <c r="G619" i="9"/>
  <c r="G618" i="9"/>
  <c r="G622" i="9" s="1"/>
  <c r="G617" i="9"/>
  <c r="G609" i="9"/>
  <c r="G608" i="9"/>
  <c r="G602" i="9"/>
  <c r="C599" i="9"/>
  <c r="G599" i="9" s="1"/>
  <c r="G592" i="9"/>
  <c r="G580" i="9"/>
  <c r="G570" i="9"/>
  <c r="G572" i="9" s="1"/>
  <c r="D53" i="10" s="1"/>
  <c r="G569" i="9"/>
  <c r="B565" i="9"/>
  <c r="B574" i="9" s="1"/>
  <c r="B582" i="9" s="1"/>
  <c r="B594" i="9" s="1"/>
  <c r="G561" i="9"/>
  <c r="D561" i="9"/>
  <c r="G560" i="9"/>
  <c r="B556" i="9"/>
  <c r="G522" i="9"/>
  <c r="G554" i="9" s="1"/>
  <c r="D52" i="10" s="1"/>
  <c r="G515" i="9"/>
  <c r="D49" i="10" s="1"/>
  <c r="F49" i="10" s="1"/>
  <c r="G512" i="9"/>
  <c r="G498" i="9"/>
  <c r="G501" i="9" s="1"/>
  <c r="G487" i="9"/>
  <c r="G479" i="9"/>
  <c r="G469" i="9"/>
  <c r="G468" i="9"/>
  <c r="C460" i="9"/>
  <c r="G460" i="9" s="1"/>
  <c r="G454" i="9"/>
  <c r="G446" i="9"/>
  <c r="G438" i="9"/>
  <c r="G430" i="9"/>
  <c r="G412" i="9"/>
  <c r="G411" i="9"/>
  <c r="G405" i="9"/>
  <c r="D42" i="10" s="1"/>
  <c r="G402" i="9"/>
  <c r="B397" i="9"/>
  <c r="B407" i="9" s="1"/>
  <c r="G394" i="9"/>
  <c r="G393" i="9"/>
  <c r="G391" i="9"/>
  <c r="G390" i="9"/>
  <c r="G389" i="9"/>
  <c r="G387" i="9"/>
  <c r="G386" i="9"/>
  <c r="G385" i="9"/>
  <c r="G383" i="9"/>
  <c r="G382" i="9"/>
  <c r="G381" i="9"/>
  <c r="G380" i="9"/>
  <c r="G378" i="9"/>
  <c r="G377" i="9"/>
  <c r="G376" i="9"/>
  <c r="G375" i="9"/>
  <c r="G374" i="9"/>
  <c r="G372" i="9"/>
  <c r="G371" i="9"/>
  <c r="G370" i="9"/>
  <c r="G369" i="9"/>
  <c r="G368" i="9"/>
  <c r="G367" i="9"/>
  <c r="G366" i="9"/>
  <c r="G365" i="9"/>
  <c r="B360" i="9"/>
  <c r="G355" i="9"/>
  <c r="G358" i="9" s="1"/>
  <c r="D41" i="10" s="1"/>
  <c r="B350" i="9"/>
  <c r="G345" i="9"/>
  <c r="G348" i="9" s="1"/>
  <c r="B340" i="9"/>
  <c r="G338" i="9"/>
  <c r="K329" i="9"/>
  <c r="G327" i="9"/>
  <c r="K318" i="9"/>
  <c r="I316" i="9"/>
  <c r="J316" i="9" s="1"/>
  <c r="G316" i="9"/>
  <c r="D37" i="10" s="1"/>
  <c r="K307" i="9"/>
  <c r="G305" i="9"/>
  <c r="D36" i="10" s="1"/>
  <c r="F36" i="10" s="1"/>
  <c r="K296" i="9"/>
  <c r="G294" i="9"/>
  <c r="K286" i="9"/>
  <c r="K279" i="9"/>
  <c r="I279" i="9"/>
  <c r="G279" i="9"/>
  <c r="K277" i="9"/>
  <c r="L277" i="9" s="1"/>
  <c r="L279" i="9" s="1"/>
  <c r="K273" i="9"/>
  <c r="K269" i="9"/>
  <c r="C269" i="9"/>
  <c r="G269" i="9" s="1"/>
  <c r="C268" i="9"/>
  <c r="G268" i="9" s="1"/>
  <c r="I267" i="9"/>
  <c r="G267" i="9"/>
  <c r="F258" i="9"/>
  <c r="G258" i="9" s="1"/>
  <c r="G257" i="9"/>
  <c r="F257" i="9"/>
  <c r="G256" i="9"/>
  <c r="F256" i="9"/>
  <c r="I250" i="9"/>
  <c r="L239" i="9"/>
  <c r="K239" i="9"/>
  <c r="L238" i="9" s="1"/>
  <c r="I239" i="9"/>
  <c r="G239" i="9"/>
  <c r="K237" i="9"/>
  <c r="L237" i="9" s="1"/>
  <c r="C232" i="9"/>
  <c r="G232" i="9" s="1"/>
  <c r="C231" i="9"/>
  <c r="G231" i="9" s="1"/>
  <c r="C230" i="9"/>
  <c r="G230" i="9" s="1"/>
  <c r="C229" i="9"/>
  <c r="G229" i="9" s="1"/>
  <c r="C228" i="9"/>
  <c r="G228" i="9" s="1"/>
  <c r="G227" i="9"/>
  <c r="C227" i="9"/>
  <c r="B223" i="9"/>
  <c r="B235" i="9" s="1"/>
  <c r="B247" i="9" s="1"/>
  <c r="B263" i="9" s="1"/>
  <c r="B275" i="9" s="1"/>
  <c r="G221" i="9"/>
  <c r="G218" i="9"/>
  <c r="B209" i="9"/>
  <c r="G205" i="9"/>
  <c r="G207" i="9" s="1"/>
  <c r="G193" i="9"/>
  <c r="G196" i="9" s="1"/>
  <c r="D24" i="10" s="1"/>
  <c r="B188" i="9"/>
  <c r="G179" i="9"/>
  <c r="G178" i="9"/>
  <c r="G177" i="9"/>
  <c r="G176" i="9"/>
  <c r="G175" i="9"/>
  <c r="G174" i="9"/>
  <c r="G173" i="9"/>
  <c r="G172" i="9"/>
  <c r="G186" i="9" s="1"/>
  <c r="D23" i="10" s="1"/>
  <c r="G171" i="9"/>
  <c r="G170" i="9"/>
  <c r="G160" i="9"/>
  <c r="C160" i="9"/>
  <c r="B156" i="9"/>
  <c r="B165" i="9" s="1"/>
  <c r="A156" i="9"/>
  <c r="A165" i="9" s="1"/>
  <c r="G151" i="9"/>
  <c r="G150" i="9"/>
  <c r="G149" i="9"/>
  <c r="G148" i="9"/>
  <c r="G147" i="9"/>
  <c r="G146" i="9"/>
  <c r="G145" i="9"/>
  <c r="G144" i="9"/>
  <c r="G154" i="9" s="1"/>
  <c r="G143" i="9"/>
  <c r="G142" i="9"/>
  <c r="C132" i="9"/>
  <c r="G132" i="9" s="1"/>
  <c r="G131" i="9"/>
  <c r="G130" i="9"/>
  <c r="B126" i="9"/>
  <c r="A126" i="9"/>
  <c r="G122" i="9"/>
  <c r="G121" i="9"/>
  <c r="G120" i="9"/>
  <c r="G119" i="9"/>
  <c r="G118" i="9"/>
  <c r="G117" i="9"/>
  <c r="G116" i="9"/>
  <c r="G115" i="9"/>
  <c r="G114" i="9"/>
  <c r="G113" i="9"/>
  <c r="G124" i="9" s="1"/>
  <c r="B100" i="9"/>
  <c r="A100" i="9"/>
  <c r="G97" i="9"/>
  <c r="G96" i="9"/>
  <c r="F96" i="9"/>
  <c r="G95" i="9"/>
  <c r="B91" i="9"/>
  <c r="A91" i="9"/>
  <c r="G87" i="9"/>
  <c r="G84" i="9"/>
  <c r="J82" i="9"/>
  <c r="B79" i="9"/>
  <c r="A79" i="9"/>
  <c r="G76" i="9"/>
  <c r="E76" i="9"/>
  <c r="G75" i="9"/>
  <c r="G74" i="9"/>
  <c r="C74" i="9"/>
  <c r="G73" i="9"/>
  <c r="G70" i="9"/>
  <c r="B65" i="9"/>
  <c r="A65" i="9"/>
  <c r="G62" i="9"/>
  <c r="G61" i="9"/>
  <c r="G60" i="9"/>
  <c r="C60" i="9"/>
  <c r="G59" i="9"/>
  <c r="G56" i="9"/>
  <c r="B51" i="9"/>
  <c r="A51" i="9"/>
  <c r="G45" i="9"/>
  <c r="C45" i="9"/>
  <c r="D44" i="9"/>
  <c r="G44" i="9" s="1"/>
  <c r="C44" i="9"/>
  <c r="C42" i="9"/>
  <c r="G42" i="9" s="1"/>
  <c r="B37" i="9"/>
  <c r="A37" i="9"/>
  <c r="G33" i="9"/>
  <c r="G32" i="9"/>
  <c r="C32" i="9"/>
  <c r="G31" i="9"/>
  <c r="G30" i="9"/>
  <c r="C29" i="9"/>
  <c r="G29" i="9" s="1"/>
  <c r="G27" i="9"/>
  <c r="G26" i="9"/>
  <c r="G25" i="9"/>
  <c r="C25" i="9"/>
  <c r="C22" i="9"/>
  <c r="C21" i="9"/>
  <c r="G21" i="9" s="1"/>
  <c r="I18" i="9"/>
  <c r="I16" i="9"/>
  <c r="B16" i="9"/>
  <c r="A16" i="9"/>
  <c r="I15" i="9"/>
  <c r="I14" i="9"/>
  <c r="I13" i="9"/>
  <c r="I12" i="9"/>
  <c r="K11" i="9"/>
  <c r="I11" i="9"/>
  <c r="G11" i="9"/>
  <c r="G1430" i="8"/>
  <c r="G1429" i="8"/>
  <c r="G1428" i="8"/>
  <c r="B1425" i="8"/>
  <c r="G1424" i="8"/>
  <c r="G1421" i="8"/>
  <c r="G1420" i="8"/>
  <c r="G1422" i="8" s="1"/>
  <c r="B1417" i="8"/>
  <c r="G1416" i="8"/>
  <c r="G1413" i="8"/>
  <c r="F1412" i="8"/>
  <c r="G1412" i="8" s="1"/>
  <c r="G1414" i="8" s="1"/>
  <c r="C1412" i="8"/>
  <c r="B1409" i="8"/>
  <c r="G1408" i="8"/>
  <c r="G1405" i="8"/>
  <c r="B1401" i="8"/>
  <c r="G1400" i="8"/>
  <c r="G1397" i="8"/>
  <c r="G1396" i="8"/>
  <c r="G1398" i="8" s="1"/>
  <c r="B1393" i="8"/>
  <c r="G1392" i="8"/>
  <c r="G1389" i="8"/>
  <c r="C1388" i="8"/>
  <c r="F1388" i="8" s="1"/>
  <c r="G1388" i="8" s="1"/>
  <c r="G1390" i="8" s="1"/>
  <c r="B1385" i="8"/>
  <c r="G1384" i="8"/>
  <c r="G1381" i="8"/>
  <c r="G1380" i="8"/>
  <c r="G1382" i="8" s="1"/>
  <c r="C1380" i="8"/>
  <c r="B1377" i="8"/>
  <c r="G1376" i="8"/>
  <c r="G1373" i="8"/>
  <c r="G1372" i="8"/>
  <c r="G1374" i="8" s="1"/>
  <c r="C1372" i="8"/>
  <c r="B1369" i="8"/>
  <c r="G1368" i="8"/>
  <c r="G1365" i="8"/>
  <c r="C1364" i="8"/>
  <c r="F1364" i="8" s="1"/>
  <c r="G1364" i="8" s="1"/>
  <c r="G1366" i="8" s="1"/>
  <c r="B1361" i="8"/>
  <c r="G1360" i="8"/>
  <c r="G1358" i="8"/>
  <c r="G1357" i="8"/>
  <c r="G1356" i="8"/>
  <c r="B1353" i="8"/>
  <c r="G1352" i="8"/>
  <c r="G1350" i="8"/>
  <c r="G1349" i="8"/>
  <c r="G1348" i="8"/>
  <c r="B1345" i="8"/>
  <c r="G1344" i="8"/>
  <c r="G1340" i="8"/>
  <c r="G1341" i="8" s="1"/>
  <c r="G1339" i="8"/>
  <c r="B1336" i="8"/>
  <c r="G1335" i="8"/>
  <c r="G1332" i="8"/>
  <c r="G1331" i="8"/>
  <c r="G1333" i="8" s="1"/>
  <c r="B1328" i="8"/>
  <c r="G1327" i="8"/>
  <c r="G1324" i="8"/>
  <c r="G1323" i="8"/>
  <c r="G1325" i="8" s="1"/>
  <c r="B1320" i="8"/>
  <c r="G1319" i="8"/>
  <c r="G1317" i="8"/>
  <c r="G1316" i="8"/>
  <c r="G1315" i="8"/>
  <c r="B1312" i="8"/>
  <c r="G1311" i="8"/>
  <c r="G1308" i="8"/>
  <c r="G1307" i="8"/>
  <c r="G1309" i="8" s="1"/>
  <c r="F1404" i="8" s="1"/>
  <c r="B1304" i="8"/>
  <c r="G1303" i="8"/>
  <c r="G1301" i="8"/>
  <c r="G1300" i="8"/>
  <c r="G1299" i="8"/>
  <c r="B1296" i="8"/>
  <c r="G1292" i="8"/>
  <c r="G1291" i="8"/>
  <c r="G1293" i="8" s="1"/>
  <c r="B1288" i="8"/>
  <c r="G1287" i="8"/>
  <c r="G1284" i="8"/>
  <c r="G1285" i="8" s="1"/>
  <c r="G1283" i="8"/>
  <c r="B1280" i="8"/>
  <c r="G1276" i="8"/>
  <c r="C1275" i="8"/>
  <c r="G1275" i="8" s="1"/>
  <c r="G1277" i="8" s="1"/>
  <c r="C1404" i="8" s="1"/>
  <c r="G1404" i="8" s="1"/>
  <c r="G1406" i="8" s="1"/>
  <c r="B1272" i="8"/>
  <c r="G1269" i="8"/>
  <c r="G1268" i="8"/>
  <c r="D1267" i="8"/>
  <c r="G1267" i="8" s="1"/>
  <c r="C1267" i="8"/>
  <c r="B1264" i="8"/>
  <c r="G1263" i="8"/>
  <c r="G1261" i="8"/>
  <c r="G1260" i="8"/>
  <c r="G1259" i="8"/>
  <c r="B1256" i="8"/>
  <c r="G1255" i="8"/>
  <c r="B1255" i="8"/>
  <c r="B1263" i="8" s="1"/>
  <c r="B1279" i="8" s="1"/>
  <c r="B1295" i="8" s="1"/>
  <c r="G1252" i="8"/>
  <c r="G1253" i="8" s="1"/>
  <c r="G1251" i="8"/>
  <c r="B1248" i="8"/>
  <c r="G1247" i="8"/>
  <c r="G1245" i="8"/>
  <c r="G1244" i="8"/>
  <c r="G1243" i="8"/>
  <c r="B1240" i="8"/>
  <c r="G1239" i="8"/>
  <c r="G1236" i="8"/>
  <c r="G1235" i="8"/>
  <c r="G1237" i="8" s="1"/>
  <c r="B1232" i="8"/>
  <c r="G1228" i="8"/>
  <c r="G1227" i="8"/>
  <c r="G1229" i="8" s="1"/>
  <c r="B1224" i="8"/>
  <c r="G1221" i="8"/>
  <c r="G1220" i="8"/>
  <c r="G1219" i="8"/>
  <c r="B1216" i="8"/>
  <c r="G1215" i="8"/>
  <c r="G1212" i="8"/>
  <c r="G1211" i="8"/>
  <c r="B1208" i="8"/>
  <c r="G1207" i="8"/>
  <c r="G1204" i="8"/>
  <c r="G1203" i="8"/>
  <c r="G1205" i="8" s="1"/>
  <c r="B1200" i="8"/>
  <c r="G1199" i="8"/>
  <c r="G1196" i="8"/>
  <c r="G1195" i="8"/>
  <c r="G1197" i="8" s="1"/>
  <c r="B1192" i="8"/>
  <c r="G1191" i="8"/>
  <c r="G1188" i="8"/>
  <c r="G1187" i="8"/>
  <c r="G1189" i="8" s="1"/>
  <c r="B1184" i="8"/>
  <c r="G1183" i="8"/>
  <c r="G1180" i="8"/>
  <c r="G1179" i="8"/>
  <c r="G1181" i="8" s="1"/>
  <c r="A1179" i="8"/>
  <c r="B1176" i="8"/>
  <c r="G1175" i="8"/>
  <c r="G1173" i="8"/>
  <c r="G1172" i="8"/>
  <c r="G1171" i="8"/>
  <c r="A1171" i="8"/>
  <c r="B1168" i="8"/>
  <c r="G1164" i="8"/>
  <c r="G1163" i="8"/>
  <c r="G1165" i="8" s="1"/>
  <c r="A1163" i="8"/>
  <c r="B1160" i="8"/>
  <c r="G1159" i="8"/>
  <c r="G1157" i="8"/>
  <c r="G1156" i="8"/>
  <c r="G1155" i="8"/>
  <c r="A1155" i="8"/>
  <c r="B1152" i="8"/>
  <c r="G1151" i="8"/>
  <c r="G1148" i="8"/>
  <c r="G1147" i="8"/>
  <c r="A1147" i="8"/>
  <c r="B1144" i="8"/>
  <c r="G1143" i="8"/>
  <c r="G1140" i="8"/>
  <c r="G1139" i="8"/>
  <c r="G1141" i="8" s="1"/>
  <c r="A1139" i="8"/>
  <c r="B1136" i="8"/>
  <c r="G1135" i="8"/>
  <c r="G1133" i="8"/>
  <c r="G1132" i="8"/>
  <c r="G1131" i="8"/>
  <c r="A1131" i="8"/>
  <c r="B1128" i="8"/>
  <c r="G1127" i="8"/>
  <c r="G1124" i="8"/>
  <c r="G1123" i="8"/>
  <c r="G1125" i="8" s="1"/>
  <c r="A1123" i="8"/>
  <c r="B1120" i="8"/>
  <c r="G1119" i="8"/>
  <c r="G1117" i="8"/>
  <c r="G1116" i="8"/>
  <c r="G1115" i="8"/>
  <c r="A1115" i="8"/>
  <c r="B1112" i="8"/>
  <c r="G1111" i="8"/>
  <c r="B1111" i="8"/>
  <c r="G1108" i="8"/>
  <c r="G1109" i="8" s="1"/>
  <c r="G1107" i="8"/>
  <c r="A1107" i="8"/>
  <c r="B1104" i="8"/>
  <c r="G1100" i="8"/>
  <c r="G1099" i="8"/>
  <c r="G1101" i="8" s="1"/>
  <c r="A1099" i="8"/>
  <c r="B1096" i="8"/>
  <c r="G1092" i="8"/>
  <c r="G1091" i="8"/>
  <c r="G1093" i="8" s="1"/>
  <c r="A1091" i="8"/>
  <c r="B1088" i="8"/>
  <c r="G1085" i="8"/>
  <c r="G1084" i="8"/>
  <c r="G1083" i="8"/>
  <c r="A1083" i="8"/>
  <c r="B1080" i="8"/>
  <c r="G1077" i="8"/>
  <c r="G1076" i="8"/>
  <c r="A1076" i="8"/>
  <c r="B1073" i="8"/>
  <c r="G1072" i="8"/>
  <c r="G1068" i="8"/>
  <c r="G1069" i="8" s="1"/>
  <c r="B1065" i="8"/>
  <c r="G1064" i="8"/>
  <c r="G1061" i="8"/>
  <c r="G1062" i="8" s="1"/>
  <c r="B1058" i="8"/>
  <c r="G1057" i="8"/>
  <c r="G1055" i="8"/>
  <c r="G1054" i="8"/>
  <c r="B1051" i="8"/>
  <c r="G1047" i="8"/>
  <c r="G1048" i="8" s="1"/>
  <c r="B1044" i="8"/>
  <c r="G1043" i="8"/>
  <c r="G1041" i="8"/>
  <c r="G1040" i="8"/>
  <c r="A1040" i="8"/>
  <c r="A1061" i="8" s="1"/>
  <c r="B1037" i="8"/>
  <c r="G1036" i="8"/>
  <c r="A1036" i="8"/>
  <c r="A1057" i="8" s="1"/>
  <c r="A1064" i="8" s="1"/>
  <c r="A1072" i="8" s="1"/>
  <c r="A1079" i="8" s="1"/>
  <c r="A1087" i="8" s="1"/>
  <c r="A1095" i="8" s="1"/>
  <c r="A1103" i="8" s="1"/>
  <c r="A1111" i="8" s="1"/>
  <c r="A1119" i="8" s="1"/>
  <c r="A1127" i="8" s="1"/>
  <c r="A1135" i="8" s="1"/>
  <c r="A1143" i="8" s="1"/>
  <c r="A1151" i="8" s="1"/>
  <c r="A1159" i="8" s="1"/>
  <c r="A1167" i="8" s="1"/>
  <c r="A1175" i="8" s="1"/>
  <c r="A1183" i="8" s="1"/>
  <c r="A1191" i="8" s="1"/>
  <c r="A1199" i="8" s="1"/>
  <c r="A1207" i="8" s="1"/>
  <c r="A1215" i="8" s="1"/>
  <c r="A1223" i="8" s="1"/>
  <c r="A1231" i="8" s="1"/>
  <c r="A1239" i="8" s="1"/>
  <c r="A1247" i="8" s="1"/>
  <c r="G1034" i="8"/>
  <c r="G1033" i="8"/>
  <c r="B1030" i="8"/>
  <c r="G1029" i="8"/>
  <c r="A1029" i="8"/>
  <c r="G1027" i="8"/>
  <c r="G1026" i="8"/>
  <c r="A1026" i="8"/>
  <c r="A1033" i="8" s="1"/>
  <c r="B1023" i="8"/>
  <c r="G1022" i="8"/>
  <c r="B1022" i="8"/>
  <c r="B1029" i="8" s="1"/>
  <c r="G1020" i="8"/>
  <c r="G1019" i="8"/>
  <c r="B1016" i="8"/>
  <c r="G1012" i="8"/>
  <c r="G1013" i="8" s="1"/>
  <c r="G1004" i="8"/>
  <c r="G1005" i="8" s="1"/>
  <c r="G997" i="8"/>
  <c r="G998" i="8" s="1"/>
  <c r="G991" i="8"/>
  <c r="G989" i="8"/>
  <c r="G981" i="8"/>
  <c r="G983" i="8" s="1"/>
  <c r="G974" i="8"/>
  <c r="G975" i="8" s="1"/>
  <c r="G966" i="8"/>
  <c r="G968" i="8" s="1"/>
  <c r="C966" i="8"/>
  <c r="G953" i="8"/>
  <c r="G952" i="8"/>
  <c r="C952" i="8"/>
  <c r="B948" i="8"/>
  <c r="B955" i="8" s="1"/>
  <c r="B962" i="8" s="1"/>
  <c r="B970" i="8" s="1"/>
  <c r="B977" i="8" s="1"/>
  <c r="G945" i="8"/>
  <c r="C959" i="8" s="1"/>
  <c r="G959" i="8" s="1"/>
  <c r="G960" i="8" s="1"/>
  <c r="G939" i="8"/>
  <c r="G937" i="8"/>
  <c r="G929" i="8"/>
  <c r="G931" i="8" s="1"/>
  <c r="G922" i="8"/>
  <c r="G923" i="8" s="1"/>
  <c r="G916" i="8"/>
  <c r="G915" i="8"/>
  <c r="G909" i="8"/>
  <c r="G908" i="8"/>
  <c r="C908" i="8"/>
  <c r="C901" i="8"/>
  <c r="G901" i="8" s="1"/>
  <c r="G902" i="8" s="1"/>
  <c r="G897" i="8"/>
  <c r="G895" i="8"/>
  <c r="G894" i="8"/>
  <c r="G887" i="8"/>
  <c r="G888" i="8" s="1"/>
  <c r="F887" i="8"/>
  <c r="G881" i="8"/>
  <c r="G880" i="8"/>
  <c r="G874" i="8"/>
  <c r="G873" i="8"/>
  <c r="A869" i="8"/>
  <c r="A876" i="8" s="1"/>
  <c r="A883" i="8" s="1"/>
  <c r="A890" i="8" s="1"/>
  <c r="A897" i="8" s="1"/>
  <c r="A904" i="8" s="1"/>
  <c r="A911" i="8" s="1"/>
  <c r="G866" i="8"/>
  <c r="G867" i="8" s="1"/>
  <c r="G862" i="8"/>
  <c r="G869" i="8" s="1"/>
  <c r="G860" i="8"/>
  <c r="G859" i="8"/>
  <c r="G852" i="8"/>
  <c r="G853" i="8" s="1"/>
  <c r="G845" i="8"/>
  <c r="G846" i="8" s="1"/>
  <c r="G838" i="8"/>
  <c r="G839" i="8" s="1"/>
  <c r="G830" i="8"/>
  <c r="G832" i="8" s="1"/>
  <c r="B826" i="8"/>
  <c r="B834" i="8" s="1"/>
  <c r="B841" i="8" s="1"/>
  <c r="B848" i="8" s="1"/>
  <c r="B855" i="8" s="1"/>
  <c r="B862" i="8" s="1"/>
  <c r="B869" i="8" s="1"/>
  <c r="B876" i="8" s="1"/>
  <c r="B883" i="8" s="1"/>
  <c r="B890" i="8" s="1"/>
  <c r="B897" i="8" s="1"/>
  <c r="B904" i="8" s="1"/>
  <c r="B911" i="8" s="1"/>
  <c r="G822" i="8"/>
  <c r="G824" i="8" s="1"/>
  <c r="G816" i="8"/>
  <c r="G809" i="8"/>
  <c r="G807" i="8"/>
  <c r="G806" i="8"/>
  <c r="G799" i="8"/>
  <c r="K798" i="8"/>
  <c r="C798" i="8"/>
  <c r="G798" i="8" s="1"/>
  <c r="K797" i="8"/>
  <c r="C797" i="8"/>
  <c r="G797" i="8" s="1"/>
  <c r="I796" i="8"/>
  <c r="C796" i="8"/>
  <c r="G796" i="8" s="1"/>
  <c r="C795" i="8"/>
  <c r="G795" i="8" s="1"/>
  <c r="G794" i="8"/>
  <c r="G793" i="8"/>
  <c r="G792" i="8"/>
  <c r="C792" i="8"/>
  <c r="G791" i="8"/>
  <c r="C791" i="8"/>
  <c r="G790" i="8"/>
  <c r="K789" i="8"/>
  <c r="G789" i="8"/>
  <c r="G783" i="8"/>
  <c r="C781" i="8"/>
  <c r="G781" i="8" s="1"/>
  <c r="D774" i="8"/>
  <c r="G774" i="8" s="1"/>
  <c r="G773" i="8"/>
  <c r="D773" i="8"/>
  <c r="G772" i="8"/>
  <c r="D772" i="8"/>
  <c r="D771" i="8"/>
  <c r="G771" i="8" s="1"/>
  <c r="D770" i="8"/>
  <c r="G770" i="8" s="1"/>
  <c r="G775" i="8" s="1"/>
  <c r="IV775" i="8" s="1"/>
  <c r="G762" i="8"/>
  <c r="G761" i="8"/>
  <c r="G760" i="8"/>
  <c r="G759" i="8"/>
  <c r="G757" i="8"/>
  <c r="G756" i="8"/>
  <c r="G755" i="8"/>
  <c r="G754" i="8"/>
  <c r="G753" i="8"/>
  <c r="G752" i="8"/>
  <c r="G750" i="8"/>
  <c r="G749" i="8"/>
  <c r="G748" i="8"/>
  <c r="G747" i="8"/>
  <c r="G746" i="8"/>
  <c r="G745" i="8"/>
  <c r="G744" i="8"/>
  <c r="G743" i="8"/>
  <c r="G742" i="8"/>
  <c r="G741" i="8"/>
  <c r="G740" i="8"/>
  <c r="G739" i="8"/>
  <c r="G738" i="8"/>
  <c r="G737" i="8"/>
  <c r="G736" i="8"/>
  <c r="G735" i="8"/>
  <c r="G734" i="8"/>
  <c r="G733" i="8"/>
  <c r="G731" i="8"/>
  <c r="G730" i="8"/>
  <c r="G729" i="8"/>
  <c r="G728" i="8"/>
  <c r="G727" i="8"/>
  <c r="G726" i="8"/>
  <c r="G725" i="8"/>
  <c r="G724" i="8"/>
  <c r="G723" i="8"/>
  <c r="G722" i="8"/>
  <c r="G721" i="8"/>
  <c r="G720" i="8"/>
  <c r="G719" i="8"/>
  <c r="G718" i="8"/>
  <c r="G717" i="8"/>
  <c r="G716" i="8"/>
  <c r="G715" i="8"/>
  <c r="G714" i="8"/>
  <c r="G713" i="8"/>
  <c r="G712" i="8"/>
  <c r="G711" i="8"/>
  <c r="G763" i="8" s="1"/>
  <c r="A706" i="8"/>
  <c r="A765" i="8" s="1"/>
  <c r="C703" i="8"/>
  <c r="B689" i="8"/>
  <c r="B698" i="8" s="1"/>
  <c r="B706" i="8" s="1"/>
  <c r="B765" i="8" s="1"/>
  <c r="B777" i="8" s="1"/>
  <c r="A689" i="8"/>
  <c r="A698" i="8" s="1"/>
  <c r="D685" i="8"/>
  <c r="C677" i="8"/>
  <c r="G677" i="8" s="1"/>
  <c r="C676" i="8"/>
  <c r="G676" i="8" s="1"/>
  <c r="C686" i="8" s="1"/>
  <c r="G686" i="8" s="1"/>
  <c r="G674" i="8"/>
  <c r="G673" i="8"/>
  <c r="C673" i="8"/>
  <c r="G669" i="8"/>
  <c r="G680" i="8" s="1"/>
  <c r="G689" i="8" s="1"/>
  <c r="G698" i="8" s="1"/>
  <c r="G706" i="8" s="1"/>
  <c r="G765" i="8" s="1"/>
  <c r="B669" i="8"/>
  <c r="G666" i="8"/>
  <c r="F666" i="8"/>
  <c r="C666" i="8"/>
  <c r="G664" i="8"/>
  <c r="G663" i="8"/>
  <c r="C662" i="8"/>
  <c r="G662" i="8" s="1"/>
  <c r="C660" i="8"/>
  <c r="G660" i="8" s="1"/>
  <c r="G659" i="8"/>
  <c r="C659" i="8"/>
  <c r="E658" i="8"/>
  <c r="C658" i="8"/>
  <c r="G658" i="8" s="1"/>
  <c r="G657" i="8"/>
  <c r="C657" i="8"/>
  <c r="G656" i="8"/>
  <c r="E655" i="8"/>
  <c r="C655" i="8"/>
  <c r="G655" i="8" s="1"/>
  <c r="G654" i="8"/>
  <c r="E654" i="8"/>
  <c r="C654" i="8"/>
  <c r="E653" i="8"/>
  <c r="C653" i="8"/>
  <c r="G653" i="8" s="1"/>
  <c r="K652" i="8"/>
  <c r="J652" i="8"/>
  <c r="G652" i="8"/>
  <c r="K651" i="8"/>
  <c r="G651" i="8"/>
  <c r="E651" i="8"/>
  <c r="C651" i="8"/>
  <c r="K650" i="8"/>
  <c r="G650" i="8"/>
  <c r="I649" i="8"/>
  <c r="G649" i="8"/>
  <c r="L648" i="8"/>
  <c r="K648" i="8"/>
  <c r="C648" i="8"/>
  <c r="G648" i="8" s="1"/>
  <c r="L647" i="8"/>
  <c r="M647" i="8" s="1"/>
  <c r="L646" i="8"/>
  <c r="M646" i="8" s="1"/>
  <c r="L649" i="8" s="1"/>
  <c r="G646" i="8"/>
  <c r="C646" i="8"/>
  <c r="G645" i="8"/>
  <c r="E645" i="8"/>
  <c r="C645" i="8"/>
  <c r="E644" i="8"/>
  <c r="G644" i="8" s="1"/>
  <c r="C644" i="8"/>
  <c r="K643" i="8"/>
  <c r="J643" i="8"/>
  <c r="E643" i="8"/>
  <c r="G643" i="8" s="1"/>
  <c r="C643" i="8"/>
  <c r="K642" i="8"/>
  <c r="E642" i="8"/>
  <c r="C642" i="8"/>
  <c r="K641" i="8"/>
  <c r="C640" i="8" s="1"/>
  <c r="G640" i="8" s="1"/>
  <c r="G641" i="8"/>
  <c r="C641" i="8"/>
  <c r="K639" i="8"/>
  <c r="C639" i="8" s="1"/>
  <c r="G639" i="8" s="1"/>
  <c r="B634" i="8"/>
  <c r="G630" i="8"/>
  <c r="C630" i="8"/>
  <c r="C629" i="8"/>
  <c r="G629" i="8" s="1"/>
  <c r="C628" i="8"/>
  <c r="C674" i="8" s="1"/>
  <c r="C685" i="8" s="1"/>
  <c r="G685" i="8" s="1"/>
  <c r="E627" i="8"/>
  <c r="C627" i="8"/>
  <c r="G627" i="8" s="1"/>
  <c r="E684" i="8" s="1"/>
  <c r="G684" i="8" s="1"/>
  <c r="E626" i="8"/>
  <c r="C626" i="8"/>
  <c r="G625" i="8"/>
  <c r="G619" i="8"/>
  <c r="G618" i="8"/>
  <c r="G617" i="8"/>
  <c r="G609" i="8"/>
  <c r="G608" i="8"/>
  <c r="G607" i="8"/>
  <c r="G606" i="8"/>
  <c r="G611" i="8" s="1"/>
  <c r="G598" i="8"/>
  <c r="G597" i="8"/>
  <c r="G591" i="8"/>
  <c r="G588" i="8"/>
  <c r="C588" i="8"/>
  <c r="G581" i="8"/>
  <c r="G569" i="8"/>
  <c r="B563" i="8"/>
  <c r="B571" i="8" s="1"/>
  <c r="B583" i="8" s="1"/>
  <c r="G561" i="8"/>
  <c r="G559" i="8"/>
  <c r="G558" i="8"/>
  <c r="B554" i="8"/>
  <c r="D550" i="8"/>
  <c r="G550" i="8" s="1"/>
  <c r="G549" i="8"/>
  <c r="B545" i="8"/>
  <c r="G543" i="8"/>
  <c r="D52" i="7" s="1"/>
  <c r="G511" i="8"/>
  <c r="G499" i="8"/>
  <c r="G504" i="8" s="1"/>
  <c r="B492" i="8"/>
  <c r="G485" i="8"/>
  <c r="G490" i="8" s="1"/>
  <c r="G476" i="8"/>
  <c r="G468" i="8"/>
  <c r="G458" i="8"/>
  <c r="G457" i="8"/>
  <c r="C449" i="8"/>
  <c r="G449" i="8" s="1"/>
  <c r="G443" i="8"/>
  <c r="G435" i="8"/>
  <c r="G427" i="8"/>
  <c r="G419" i="8"/>
  <c r="G401" i="8"/>
  <c r="G400" i="8"/>
  <c r="G394" i="8"/>
  <c r="G390" i="8"/>
  <c r="G383" i="8"/>
  <c r="G382" i="8"/>
  <c r="G380" i="8"/>
  <c r="G379" i="8"/>
  <c r="G378" i="8"/>
  <c r="G376" i="8"/>
  <c r="G375" i="8"/>
  <c r="G374" i="8"/>
  <c r="G372" i="8"/>
  <c r="G371" i="8"/>
  <c r="G370" i="8"/>
  <c r="G369" i="8"/>
  <c r="G367" i="8"/>
  <c r="G366" i="8"/>
  <c r="G365" i="8"/>
  <c r="G364" i="8"/>
  <c r="G363" i="8"/>
  <c r="G361" i="8"/>
  <c r="G360" i="8"/>
  <c r="G359" i="8"/>
  <c r="G358" i="8"/>
  <c r="G357" i="8"/>
  <c r="G356" i="8"/>
  <c r="G355" i="8"/>
  <c r="G354" i="8"/>
  <c r="G344" i="8"/>
  <c r="G343" i="8"/>
  <c r="B339" i="8"/>
  <c r="B349" i="8" s="1"/>
  <c r="B386" i="8" s="1"/>
  <c r="B396" i="8" s="1"/>
  <c r="B445" i="8" s="1"/>
  <c r="B453" i="8" s="1"/>
  <c r="B462" i="8" s="1"/>
  <c r="B470" i="8" s="1"/>
  <c r="B478" i="8" s="1"/>
  <c r="G334" i="8"/>
  <c r="G333" i="8"/>
  <c r="B329" i="8"/>
  <c r="G327" i="8"/>
  <c r="K318" i="8"/>
  <c r="K307" i="8"/>
  <c r="J305" i="8"/>
  <c r="I305" i="8"/>
  <c r="G305" i="8"/>
  <c r="K296" i="8"/>
  <c r="G294" i="8"/>
  <c r="K285" i="8"/>
  <c r="G283" i="8"/>
  <c r="K275" i="8"/>
  <c r="K268" i="8"/>
  <c r="L267" i="8" s="1"/>
  <c r="I268" i="8"/>
  <c r="G268" i="8"/>
  <c r="K266" i="8"/>
  <c r="L266" i="8" s="1"/>
  <c r="L268" i="8" s="1"/>
  <c r="K262" i="8"/>
  <c r="K258" i="8"/>
  <c r="C258" i="8"/>
  <c r="G258" i="8" s="1"/>
  <c r="C257" i="8"/>
  <c r="G257" i="8" s="1"/>
  <c r="I256" i="8"/>
  <c r="G256" i="8"/>
  <c r="G247" i="8"/>
  <c r="G246" i="8"/>
  <c r="G245" i="8"/>
  <c r="G243" i="8"/>
  <c r="G242" i="8"/>
  <c r="G241" i="8"/>
  <c r="G250" i="8" s="1"/>
  <c r="I239" i="8"/>
  <c r="G234" i="8"/>
  <c r="D28" i="7" s="1"/>
  <c r="L228" i="8"/>
  <c r="K228" i="8"/>
  <c r="L227" i="8" s="1"/>
  <c r="I228" i="8"/>
  <c r="G228" i="8"/>
  <c r="K226" i="8"/>
  <c r="L226" i="8" s="1"/>
  <c r="C221" i="8"/>
  <c r="G221" i="8" s="1"/>
  <c r="C220" i="8"/>
  <c r="G220" i="8" s="1"/>
  <c r="G219" i="8"/>
  <c r="C219" i="8"/>
  <c r="C218" i="8"/>
  <c r="G218" i="8" s="1"/>
  <c r="C217" i="8"/>
  <c r="G217" i="8" s="1"/>
  <c r="C216" i="8"/>
  <c r="G216" i="8" s="1"/>
  <c r="B212" i="8"/>
  <c r="B224" i="8" s="1"/>
  <c r="B236" i="8" s="1"/>
  <c r="B252" i="8" s="1"/>
  <c r="B264" i="8" s="1"/>
  <c r="G207" i="8"/>
  <c r="F205" i="8"/>
  <c r="G205" i="8" s="1"/>
  <c r="G203" i="8"/>
  <c r="B198" i="8"/>
  <c r="G194" i="8"/>
  <c r="G192" i="8"/>
  <c r="F184" i="8"/>
  <c r="G184" i="8" s="1"/>
  <c r="G182" i="8"/>
  <c r="G181" i="8"/>
  <c r="G172" i="8"/>
  <c r="G170" i="8"/>
  <c r="G169" i="8"/>
  <c r="G168" i="8"/>
  <c r="G167" i="8"/>
  <c r="G165" i="8"/>
  <c r="G164" i="8"/>
  <c r="G163" i="8"/>
  <c r="G162" i="8"/>
  <c r="G161" i="8"/>
  <c r="G160" i="8"/>
  <c r="G159" i="8"/>
  <c r="G158" i="8"/>
  <c r="G148" i="8"/>
  <c r="G151" i="8" s="1"/>
  <c r="B144" i="8"/>
  <c r="B153" i="8" s="1"/>
  <c r="B177" i="8" s="1"/>
  <c r="A144" i="8"/>
  <c r="A153" i="8" s="1"/>
  <c r="G138" i="8"/>
  <c r="G137" i="8"/>
  <c r="G136" i="8"/>
  <c r="G135" i="8"/>
  <c r="G133" i="8"/>
  <c r="G131" i="8"/>
  <c r="G130" i="8"/>
  <c r="G129" i="8"/>
  <c r="G128" i="8"/>
  <c r="G127" i="8"/>
  <c r="G117" i="8"/>
  <c r="G116" i="8"/>
  <c r="G115" i="8"/>
  <c r="G120" i="8" s="1"/>
  <c r="I18" i="8" s="1"/>
  <c r="B111" i="8"/>
  <c r="A111" i="8"/>
  <c r="J107" i="8"/>
  <c r="G107" i="8"/>
  <c r="J106" i="8"/>
  <c r="G106" i="8"/>
  <c r="D105" i="8"/>
  <c r="G105" i="8" s="1"/>
  <c r="G109" i="8" s="1"/>
  <c r="B100" i="8"/>
  <c r="A100" i="8"/>
  <c r="G97" i="8"/>
  <c r="G96" i="8"/>
  <c r="F96" i="8"/>
  <c r="G95" i="8"/>
  <c r="G98" i="8" s="1"/>
  <c r="I16" i="8" s="1"/>
  <c r="B91" i="8"/>
  <c r="A91" i="8"/>
  <c r="G87" i="8"/>
  <c r="G89" i="8" s="1"/>
  <c r="I15" i="8" s="1"/>
  <c r="G84" i="8"/>
  <c r="J82" i="8"/>
  <c r="B79" i="8"/>
  <c r="A79" i="8"/>
  <c r="E76" i="8"/>
  <c r="G76" i="8" s="1"/>
  <c r="G75" i="8"/>
  <c r="C74" i="8"/>
  <c r="G74" i="8" s="1"/>
  <c r="G77" i="8" s="1"/>
  <c r="G73" i="8"/>
  <c r="G70" i="8"/>
  <c r="B65" i="8"/>
  <c r="A65" i="8"/>
  <c r="G62" i="8"/>
  <c r="G61" i="8"/>
  <c r="G60" i="8"/>
  <c r="C60" i="8"/>
  <c r="G59" i="8"/>
  <c r="G56" i="8"/>
  <c r="B51" i="8"/>
  <c r="A51" i="8"/>
  <c r="C47" i="8"/>
  <c r="G47" i="8" s="1"/>
  <c r="C45" i="8"/>
  <c r="G45" i="8" s="1"/>
  <c r="D44" i="8"/>
  <c r="G44" i="8" s="1"/>
  <c r="C44" i="8"/>
  <c r="C42" i="8"/>
  <c r="G42" i="8" s="1"/>
  <c r="B37" i="8"/>
  <c r="A37" i="8"/>
  <c r="G33" i="8"/>
  <c r="C32" i="8"/>
  <c r="G32" i="8" s="1"/>
  <c r="G31" i="8"/>
  <c r="G30" i="8"/>
  <c r="G29" i="8"/>
  <c r="C29" i="8"/>
  <c r="G27" i="8"/>
  <c r="G26" i="8"/>
  <c r="C25" i="8"/>
  <c r="G25" i="8" s="1"/>
  <c r="C22" i="8"/>
  <c r="G21" i="8"/>
  <c r="C21" i="8"/>
  <c r="B16" i="8"/>
  <c r="A16" i="8"/>
  <c r="K11" i="8"/>
  <c r="G11" i="8"/>
  <c r="G13" i="8" s="1"/>
  <c r="F184" i="7"/>
  <c r="H182" i="7"/>
  <c r="F182" i="7"/>
  <c r="I178" i="7"/>
  <c r="H178" i="7"/>
  <c r="H177" i="7"/>
  <c r="I177" i="7" s="1"/>
  <c r="F155" i="7"/>
  <c r="F154" i="7"/>
  <c r="F180" i="7" s="1"/>
  <c r="H154" i="7" s="1"/>
  <c r="F151" i="7"/>
  <c r="F150" i="7"/>
  <c r="F149" i="7"/>
  <c r="F148" i="7"/>
  <c r="F147" i="7"/>
  <c r="F146" i="7"/>
  <c r="F145" i="7"/>
  <c r="F144" i="7"/>
  <c r="H142" i="7"/>
  <c r="F139" i="7"/>
  <c r="F142" i="7" s="1"/>
  <c r="F135" i="7"/>
  <c r="F133" i="7"/>
  <c r="F132" i="7"/>
  <c r="F130" i="7"/>
  <c r="F129" i="7"/>
  <c r="F127" i="7"/>
  <c r="F125" i="7"/>
  <c r="F124" i="7"/>
  <c r="F123" i="7"/>
  <c r="F122" i="7"/>
  <c r="F121" i="7"/>
  <c r="F120" i="7"/>
  <c r="F119" i="7"/>
  <c r="F117" i="7"/>
  <c r="F116" i="7"/>
  <c r="F115" i="7"/>
  <c r="F114" i="7"/>
  <c r="F113" i="7"/>
  <c r="F112" i="7"/>
  <c r="F111" i="7"/>
  <c r="F110" i="7"/>
  <c r="F109" i="7"/>
  <c r="F108" i="7"/>
  <c r="F107" i="7"/>
  <c r="F106" i="7"/>
  <c r="F104" i="7"/>
  <c r="F103" i="7"/>
  <c r="F102" i="7"/>
  <c r="F101" i="7"/>
  <c r="F100" i="7"/>
  <c r="F99" i="7"/>
  <c r="F98" i="7"/>
  <c r="F97" i="7"/>
  <c r="F96" i="7"/>
  <c r="F92" i="7"/>
  <c r="F91" i="7"/>
  <c r="F90" i="7"/>
  <c r="F89" i="7"/>
  <c r="F88" i="7"/>
  <c r="F87" i="7"/>
  <c r="F86" i="7"/>
  <c r="F85" i="7"/>
  <c r="F84" i="7"/>
  <c r="F83" i="7"/>
  <c r="F82" i="7"/>
  <c r="F81" i="7"/>
  <c r="F80" i="7"/>
  <c r="F79" i="7"/>
  <c r="F78" i="7"/>
  <c r="C78" i="7"/>
  <c r="C79" i="7" s="1"/>
  <c r="F77" i="7"/>
  <c r="F76" i="7"/>
  <c r="D75" i="7"/>
  <c r="D74" i="7"/>
  <c r="B69" i="7"/>
  <c r="F66" i="7"/>
  <c r="C66" i="7"/>
  <c r="F65" i="7"/>
  <c r="C65" i="7"/>
  <c r="F64" i="7"/>
  <c r="F63" i="7"/>
  <c r="F62" i="7"/>
  <c r="F61" i="7"/>
  <c r="F59" i="7"/>
  <c r="C59" i="7"/>
  <c r="C60" i="7" s="1"/>
  <c r="C61" i="7" s="1"/>
  <c r="C62" i="7" s="1"/>
  <c r="C63" i="7" s="1"/>
  <c r="C64" i="7" s="1"/>
  <c r="F58" i="7"/>
  <c r="F57" i="7"/>
  <c r="F56" i="7"/>
  <c r="F55" i="7"/>
  <c r="C55" i="7"/>
  <c r="C56" i="7" s="1"/>
  <c r="C57" i="7" s="1"/>
  <c r="C58" i="7" s="1"/>
  <c r="F54" i="7"/>
  <c r="C54" i="7"/>
  <c r="B53" i="7"/>
  <c r="D49" i="7"/>
  <c r="F49" i="7" s="1"/>
  <c r="F48" i="7"/>
  <c r="D48" i="7"/>
  <c r="F47" i="7"/>
  <c r="F46" i="7"/>
  <c r="F45" i="7"/>
  <c r="F44" i="7"/>
  <c r="C44" i="7"/>
  <c r="B44" i="7"/>
  <c r="B43" i="7"/>
  <c r="D42" i="7"/>
  <c r="B42" i="7"/>
  <c r="F41" i="7"/>
  <c r="C41" i="7"/>
  <c r="B41" i="7"/>
  <c r="F40" i="7"/>
  <c r="D39" i="7"/>
  <c r="C39" i="7"/>
  <c r="F38" i="7"/>
  <c r="C38" i="7"/>
  <c r="B38" i="7"/>
  <c r="C37" i="7"/>
  <c r="B37" i="7"/>
  <c r="D36" i="7"/>
  <c r="F36" i="7" s="1"/>
  <c r="C36" i="7"/>
  <c r="B36" i="7"/>
  <c r="F35" i="7"/>
  <c r="B35" i="7"/>
  <c r="D31" i="7"/>
  <c r="B31" i="7"/>
  <c r="D30" i="7"/>
  <c r="B30" i="7"/>
  <c r="B29" i="7"/>
  <c r="B28" i="7"/>
  <c r="B27" i="7"/>
  <c r="C16" i="7"/>
  <c r="B16" i="7"/>
  <c r="C15" i="7"/>
  <c r="B15" i="7"/>
  <c r="C14" i="7"/>
  <c r="B14" i="7"/>
  <c r="C13" i="7"/>
  <c r="B13" i="7"/>
  <c r="C12" i="7"/>
  <c r="B12" i="7"/>
  <c r="C11" i="7"/>
  <c r="B11" i="7"/>
  <c r="G1410" i="6"/>
  <c r="G1409" i="6"/>
  <c r="G1408" i="6"/>
  <c r="B1405" i="6"/>
  <c r="G1404" i="6"/>
  <c r="G1402" i="6"/>
  <c r="G1401" i="6"/>
  <c r="G1400" i="6"/>
  <c r="B1397" i="6"/>
  <c r="G1396" i="6"/>
  <c r="G1393" i="6"/>
  <c r="B1389" i="6"/>
  <c r="G1388" i="6"/>
  <c r="G1385" i="6"/>
  <c r="B1381" i="6"/>
  <c r="G1380" i="6"/>
  <c r="G1377" i="6"/>
  <c r="G1376" i="6"/>
  <c r="G1378" i="6" s="1"/>
  <c r="B1373" i="6"/>
  <c r="G1372" i="6"/>
  <c r="G1369" i="6"/>
  <c r="G1370" i="6" s="1"/>
  <c r="G1368" i="6"/>
  <c r="C1368" i="6"/>
  <c r="F1368" i="6" s="1"/>
  <c r="B1365" i="6"/>
  <c r="G1364" i="6"/>
  <c r="G1361" i="6"/>
  <c r="C1360" i="6"/>
  <c r="G1360" i="6" s="1"/>
  <c r="G1362" i="6" s="1"/>
  <c r="B1357" i="6"/>
  <c r="G1356" i="6"/>
  <c r="G1353" i="6"/>
  <c r="C1352" i="6"/>
  <c r="G1352" i="6" s="1"/>
  <c r="G1354" i="6" s="1"/>
  <c r="B1349" i="6"/>
  <c r="G1348" i="6"/>
  <c r="G1345" i="6"/>
  <c r="F1344" i="6"/>
  <c r="G1344" i="6" s="1"/>
  <c r="G1346" i="6" s="1"/>
  <c r="C1344" i="6"/>
  <c r="B1341" i="6"/>
  <c r="G1340" i="6"/>
  <c r="G1337" i="6"/>
  <c r="G1336" i="6"/>
  <c r="B1333" i="6"/>
  <c r="G1332" i="6"/>
  <c r="G1330" i="6"/>
  <c r="G1329" i="6"/>
  <c r="G1328" i="6"/>
  <c r="B1325" i="6"/>
  <c r="G1324" i="6"/>
  <c r="G1320" i="6"/>
  <c r="G1319" i="6"/>
  <c r="G1321" i="6" s="1"/>
  <c r="B1316" i="6"/>
  <c r="G1315" i="6"/>
  <c r="G1313" i="6"/>
  <c r="G1312" i="6"/>
  <c r="G1311" i="6"/>
  <c r="B1308" i="6"/>
  <c r="G1307" i="6"/>
  <c r="G1305" i="6"/>
  <c r="G1304" i="6"/>
  <c r="G1303" i="6"/>
  <c r="B1300" i="6"/>
  <c r="G1299" i="6"/>
  <c r="G1296" i="6"/>
  <c r="G1295" i="6"/>
  <c r="G1297" i="6" s="1"/>
  <c r="B1292" i="6"/>
  <c r="G1291" i="6"/>
  <c r="G1289" i="6"/>
  <c r="G1288" i="6"/>
  <c r="G1287" i="6"/>
  <c r="B1284" i="6"/>
  <c r="G1283" i="6"/>
  <c r="G1280" i="6"/>
  <c r="G1279" i="6"/>
  <c r="G1281" i="6" s="1"/>
  <c r="B1276" i="6"/>
  <c r="G1272" i="6"/>
  <c r="G1271" i="6"/>
  <c r="G1273" i="6" s="1"/>
  <c r="B1268" i="6"/>
  <c r="G1267" i="6"/>
  <c r="G1264" i="6"/>
  <c r="G1265" i="6" s="1"/>
  <c r="G1263" i="6"/>
  <c r="B1260" i="6"/>
  <c r="G1256" i="6"/>
  <c r="G1255" i="6"/>
  <c r="G1257" i="6" s="1"/>
  <c r="C1255" i="6"/>
  <c r="B1252" i="6"/>
  <c r="G1248" i="6"/>
  <c r="D1247" i="6"/>
  <c r="G1247" i="6" s="1"/>
  <c r="G1249" i="6" s="1"/>
  <c r="C1247" i="6"/>
  <c r="B1244" i="6"/>
  <c r="G1243" i="6"/>
  <c r="G1241" i="6"/>
  <c r="G1240" i="6"/>
  <c r="G1239" i="6"/>
  <c r="B1236" i="6"/>
  <c r="G1235" i="6"/>
  <c r="B1235" i="6"/>
  <c r="G1232" i="6"/>
  <c r="G1231" i="6"/>
  <c r="G1233" i="6" s="1"/>
  <c r="B1228" i="6"/>
  <c r="G1227" i="6"/>
  <c r="G1224" i="6"/>
  <c r="G1223" i="6"/>
  <c r="G1225" i="6" s="1"/>
  <c r="B1220" i="6"/>
  <c r="G1219" i="6"/>
  <c r="G1216" i="6"/>
  <c r="G1215" i="6"/>
  <c r="G1217" i="6" s="1"/>
  <c r="B1212" i="6"/>
  <c r="G1209" i="6"/>
  <c r="G1208" i="6"/>
  <c r="G1207" i="6"/>
  <c r="B1204" i="6"/>
  <c r="G1200" i="6"/>
  <c r="G1199" i="6"/>
  <c r="G1201" i="6" s="1"/>
  <c r="B1196" i="6"/>
  <c r="G1195" i="6"/>
  <c r="G1192" i="6"/>
  <c r="G1191" i="6"/>
  <c r="G1193" i="6" s="1"/>
  <c r="B1188" i="6"/>
  <c r="G1187" i="6"/>
  <c r="G1184" i="6"/>
  <c r="G1185" i="6" s="1"/>
  <c r="G1183" i="6"/>
  <c r="B1180" i="6"/>
  <c r="G1179" i="6"/>
  <c r="G1176" i="6"/>
  <c r="G1175" i="6"/>
  <c r="G1177" i="6" s="1"/>
  <c r="B1172" i="6"/>
  <c r="G1171" i="6"/>
  <c r="G1169" i="6"/>
  <c r="G1168" i="6"/>
  <c r="G1167" i="6"/>
  <c r="B1164" i="6"/>
  <c r="G1163" i="6"/>
  <c r="G1160" i="6"/>
  <c r="G1159" i="6"/>
  <c r="G1161" i="6" s="1"/>
  <c r="A1159" i="6"/>
  <c r="B1156" i="6"/>
  <c r="G1155" i="6"/>
  <c r="G1152" i="6"/>
  <c r="G1151" i="6"/>
  <c r="G1153" i="6" s="1"/>
  <c r="A1151" i="6"/>
  <c r="B1148" i="6"/>
  <c r="G1145" i="6"/>
  <c r="G1144" i="6"/>
  <c r="G1143" i="6"/>
  <c r="A1143" i="6"/>
  <c r="B1140" i="6"/>
  <c r="G1139" i="6"/>
  <c r="G1137" i="6"/>
  <c r="G1136" i="6"/>
  <c r="G1135" i="6"/>
  <c r="A1135" i="6"/>
  <c r="B1132" i="6"/>
  <c r="G1131" i="6"/>
  <c r="G1128" i="6"/>
  <c r="G1127" i="6"/>
  <c r="G1129" i="6" s="1"/>
  <c r="A1127" i="6"/>
  <c r="B1124" i="6"/>
  <c r="G1123" i="6"/>
  <c r="G1120" i="6"/>
  <c r="G1119" i="6"/>
  <c r="G1121" i="6" s="1"/>
  <c r="A1119" i="6"/>
  <c r="B1116" i="6"/>
  <c r="G1115" i="6"/>
  <c r="G1112" i="6"/>
  <c r="G1111" i="6"/>
  <c r="G1113" i="6" s="1"/>
  <c r="A1111" i="6"/>
  <c r="B1108" i="6"/>
  <c r="G1107" i="6"/>
  <c r="G1104" i="6"/>
  <c r="G1105" i="6" s="1"/>
  <c r="G1103" i="6"/>
  <c r="A1103" i="6"/>
  <c r="B1100" i="6"/>
  <c r="G1099" i="6"/>
  <c r="G1096" i="6"/>
  <c r="G1095" i="6"/>
  <c r="G1097" i="6" s="1"/>
  <c r="A1095" i="6"/>
  <c r="B1092" i="6"/>
  <c r="G1091" i="6"/>
  <c r="B1091" i="6"/>
  <c r="G1089" i="6"/>
  <c r="G1088" i="6"/>
  <c r="G1087" i="6"/>
  <c r="A1087" i="6"/>
  <c r="B1084" i="6"/>
  <c r="G1080" i="6"/>
  <c r="G1079" i="6"/>
  <c r="G1081" i="6" s="1"/>
  <c r="A1079" i="6"/>
  <c r="B1076" i="6"/>
  <c r="G1072" i="6"/>
  <c r="G1071" i="6"/>
  <c r="G1073" i="6" s="1"/>
  <c r="A1071" i="6"/>
  <c r="B1068" i="6"/>
  <c r="G1064" i="6"/>
  <c r="G1065" i="6" s="1"/>
  <c r="G1063" i="6"/>
  <c r="A1063" i="6"/>
  <c r="B1060" i="6"/>
  <c r="G1057" i="6"/>
  <c r="G1058" i="6" s="1"/>
  <c r="G1056" i="6"/>
  <c r="A1056" i="6"/>
  <c r="B1053" i="6"/>
  <c r="G1052" i="6"/>
  <c r="A1052" i="6"/>
  <c r="A1059" i="6" s="1"/>
  <c r="A1067" i="6" s="1"/>
  <c r="A1075" i="6" s="1"/>
  <c r="A1083" i="6" s="1"/>
  <c r="A1091" i="6" s="1"/>
  <c r="A1099" i="6" s="1"/>
  <c r="A1107" i="6" s="1"/>
  <c r="A1115" i="6" s="1"/>
  <c r="A1123" i="6" s="1"/>
  <c r="A1131" i="6" s="1"/>
  <c r="A1139" i="6" s="1"/>
  <c r="A1147" i="6" s="1"/>
  <c r="A1155" i="6" s="1"/>
  <c r="A1163" i="6" s="1"/>
  <c r="A1171" i="6" s="1"/>
  <c r="A1179" i="6" s="1"/>
  <c r="A1187" i="6" s="1"/>
  <c r="A1195" i="6" s="1"/>
  <c r="A1203" i="6" s="1"/>
  <c r="A1211" i="6" s="1"/>
  <c r="A1219" i="6" s="1"/>
  <c r="A1227" i="6" s="1"/>
  <c r="G1048" i="6"/>
  <c r="G1049" i="6" s="1"/>
  <c r="B1045" i="6"/>
  <c r="G1044" i="6"/>
  <c r="A1044" i="6"/>
  <c r="G1042" i="6"/>
  <c r="G1041" i="6"/>
  <c r="B1038" i="6"/>
  <c r="G1037" i="6"/>
  <c r="A1037" i="6"/>
  <c r="G1035" i="6"/>
  <c r="G1034" i="6"/>
  <c r="B1031" i="6"/>
  <c r="G1027" i="6"/>
  <c r="G1028" i="6" s="1"/>
  <c r="B1024" i="6"/>
  <c r="G1023" i="6"/>
  <c r="G1020" i="6"/>
  <c r="G1021" i="6" s="1"/>
  <c r="A1020" i="6"/>
  <c r="A1041" i="6" s="1"/>
  <c r="B1017" i="6"/>
  <c r="G1016" i="6"/>
  <c r="A1016" i="6"/>
  <c r="G1013" i="6"/>
  <c r="G1014" i="6" s="1"/>
  <c r="B1010" i="6"/>
  <c r="G1009" i="6"/>
  <c r="A1009" i="6"/>
  <c r="G1007" i="6"/>
  <c r="G1006" i="6"/>
  <c r="A1006" i="6"/>
  <c r="A1013" i="6" s="1"/>
  <c r="B1003" i="6"/>
  <c r="G1002" i="6"/>
  <c r="B1002" i="6"/>
  <c r="B1037" i="6" s="1"/>
  <c r="G999" i="6"/>
  <c r="G1000" i="6" s="1"/>
  <c r="B996" i="6"/>
  <c r="G992" i="6"/>
  <c r="G993" i="6" s="1"/>
  <c r="G984" i="6"/>
  <c r="G985" i="6" s="1"/>
  <c r="G977" i="6"/>
  <c r="G978" i="6" s="1"/>
  <c r="B973" i="6"/>
  <c r="B980" i="6" s="1"/>
  <c r="B988" i="6" s="1"/>
  <c r="B995" i="6" s="1"/>
  <c r="G971" i="6"/>
  <c r="G969" i="6"/>
  <c r="G961" i="6"/>
  <c r="G963" i="6" s="1"/>
  <c r="G954" i="6"/>
  <c r="G955" i="6" s="1"/>
  <c r="C946" i="6"/>
  <c r="G946" i="6" s="1"/>
  <c r="G948" i="6" s="1"/>
  <c r="G933" i="6"/>
  <c r="G932" i="6"/>
  <c r="C932" i="6"/>
  <c r="B928" i="6"/>
  <c r="B935" i="6" s="1"/>
  <c r="B942" i="6" s="1"/>
  <c r="B950" i="6" s="1"/>
  <c r="B957" i="6" s="1"/>
  <c r="B965" i="6" s="1"/>
  <c r="G925" i="6"/>
  <c r="G926" i="6" s="1"/>
  <c r="G917" i="6"/>
  <c r="G919" i="6" s="1"/>
  <c r="G909" i="6"/>
  <c r="G911" i="6" s="1"/>
  <c r="G902" i="6"/>
  <c r="G903" i="6" s="1"/>
  <c r="G896" i="6"/>
  <c r="G895" i="6"/>
  <c r="C888" i="6"/>
  <c r="G888" i="6" s="1"/>
  <c r="G889" i="6" s="1"/>
  <c r="G881" i="6"/>
  <c r="G882" i="6" s="1"/>
  <c r="C881" i="6"/>
  <c r="G877" i="6"/>
  <c r="G874" i="6"/>
  <c r="G875" i="6" s="1"/>
  <c r="G867" i="6"/>
  <c r="G868" i="6" s="1"/>
  <c r="F867" i="6"/>
  <c r="A863" i="6"/>
  <c r="A870" i="6" s="1"/>
  <c r="A877" i="6" s="1"/>
  <c r="A884" i="6" s="1"/>
  <c r="A891" i="6" s="1"/>
  <c r="G861" i="6"/>
  <c r="G860" i="6"/>
  <c r="A856" i="6"/>
  <c r="G854" i="6"/>
  <c r="G853" i="6"/>
  <c r="A849" i="6"/>
  <c r="G846" i="6"/>
  <c r="G847" i="6" s="1"/>
  <c r="G842" i="6"/>
  <c r="G849" i="6" s="1"/>
  <c r="G839" i="6"/>
  <c r="G840" i="6" s="1"/>
  <c r="G832" i="6"/>
  <c r="G833" i="6" s="1"/>
  <c r="G826" i="6"/>
  <c r="G825" i="6"/>
  <c r="G818" i="6"/>
  <c r="G819" i="6" s="1"/>
  <c r="G810" i="6"/>
  <c r="G812" i="6" s="1"/>
  <c r="B806" i="6"/>
  <c r="B814" i="6" s="1"/>
  <c r="B821" i="6" s="1"/>
  <c r="B828" i="6" s="1"/>
  <c r="B835" i="6" s="1"/>
  <c r="B842" i="6" s="1"/>
  <c r="B849" i="6" s="1"/>
  <c r="B856" i="6" s="1"/>
  <c r="B863" i="6" s="1"/>
  <c r="B870" i="6" s="1"/>
  <c r="B877" i="6" s="1"/>
  <c r="B884" i="6" s="1"/>
  <c r="B891" i="6" s="1"/>
  <c r="G802" i="6"/>
  <c r="G804" i="6" s="1"/>
  <c r="G796" i="6"/>
  <c r="G787" i="6"/>
  <c r="G786" i="6"/>
  <c r="G789" i="6" s="1"/>
  <c r="G779" i="6"/>
  <c r="K778" i="6"/>
  <c r="C778" i="6"/>
  <c r="G778" i="6" s="1"/>
  <c r="K777" i="6"/>
  <c r="G777" i="6"/>
  <c r="C777" i="6"/>
  <c r="I776" i="6"/>
  <c r="G776" i="6"/>
  <c r="C776" i="6"/>
  <c r="C775" i="6"/>
  <c r="G775" i="6" s="1"/>
  <c r="G774" i="6"/>
  <c r="G773" i="6"/>
  <c r="C772" i="6"/>
  <c r="G772" i="6" s="1"/>
  <c r="G780" i="6" s="1"/>
  <c r="G771" i="6"/>
  <c r="C771" i="6"/>
  <c r="G770" i="6"/>
  <c r="K769" i="6"/>
  <c r="G769" i="6"/>
  <c r="C761" i="6"/>
  <c r="G761" i="6" s="1"/>
  <c r="G763" i="6" s="1"/>
  <c r="D754" i="6"/>
  <c r="G754" i="6" s="1"/>
  <c r="G753" i="6"/>
  <c r="D753" i="6"/>
  <c r="G752" i="6"/>
  <c r="D752" i="6"/>
  <c r="D751" i="6"/>
  <c r="G751" i="6" s="1"/>
  <c r="G755" i="6" s="1"/>
  <c r="IV755" i="6" s="1"/>
  <c r="D750" i="6"/>
  <c r="G750" i="6" s="1"/>
  <c r="G742" i="6"/>
  <c r="G741" i="6"/>
  <c r="G740" i="6"/>
  <c r="G739" i="6"/>
  <c r="G737" i="6"/>
  <c r="G736" i="6"/>
  <c r="G735" i="6"/>
  <c r="G734" i="6"/>
  <c r="G733" i="6"/>
  <c r="G732" i="6"/>
  <c r="G730" i="6"/>
  <c r="G729" i="6"/>
  <c r="G728" i="6"/>
  <c r="G727" i="6"/>
  <c r="G726" i="6"/>
  <c r="G725" i="6"/>
  <c r="G724" i="6"/>
  <c r="G723" i="6"/>
  <c r="G722" i="6"/>
  <c r="G721" i="6"/>
  <c r="G720" i="6"/>
  <c r="G719" i="6"/>
  <c r="G718" i="6"/>
  <c r="G717" i="6"/>
  <c r="G716" i="6"/>
  <c r="G715" i="6"/>
  <c r="G714" i="6"/>
  <c r="G713" i="6"/>
  <c r="G711" i="6"/>
  <c r="G710" i="6"/>
  <c r="G709" i="6"/>
  <c r="G708" i="6"/>
  <c r="G707" i="6"/>
  <c r="G706" i="6"/>
  <c r="G705" i="6"/>
  <c r="G704" i="6"/>
  <c r="G703" i="6"/>
  <c r="G702" i="6"/>
  <c r="G701" i="6"/>
  <c r="G700" i="6"/>
  <c r="G699" i="6"/>
  <c r="G698" i="6"/>
  <c r="G697" i="6"/>
  <c r="G696" i="6"/>
  <c r="G695" i="6"/>
  <c r="G694" i="6"/>
  <c r="G693" i="6"/>
  <c r="G692" i="6"/>
  <c r="G743" i="6" s="1"/>
  <c r="G691" i="6"/>
  <c r="A686" i="6"/>
  <c r="A745" i="6" s="1"/>
  <c r="C683" i="6"/>
  <c r="G678" i="6"/>
  <c r="G686" i="6" s="1"/>
  <c r="G745" i="6" s="1"/>
  <c r="B678" i="6"/>
  <c r="B686" i="6" s="1"/>
  <c r="B745" i="6" s="1"/>
  <c r="B757" i="6" s="1"/>
  <c r="B765" i="6" s="1"/>
  <c r="B669" i="6"/>
  <c r="A669" i="6"/>
  <c r="A678" i="6" s="1"/>
  <c r="D665" i="6"/>
  <c r="G660" i="6"/>
  <c r="G669" i="6" s="1"/>
  <c r="G654" i="6"/>
  <c r="G653" i="6"/>
  <c r="C653" i="6"/>
  <c r="G649" i="6"/>
  <c r="F646" i="6"/>
  <c r="C646" i="6"/>
  <c r="G646" i="6" s="1"/>
  <c r="C657" i="6" s="1"/>
  <c r="G657" i="6" s="1"/>
  <c r="G644" i="6"/>
  <c r="G643" i="6"/>
  <c r="C642" i="6"/>
  <c r="G642" i="6" s="1"/>
  <c r="G640" i="6"/>
  <c r="C640" i="6"/>
  <c r="C639" i="6"/>
  <c r="G639" i="6" s="1"/>
  <c r="E638" i="6"/>
  <c r="C638" i="6"/>
  <c r="G638" i="6" s="1"/>
  <c r="C637" i="6"/>
  <c r="G637" i="6" s="1"/>
  <c r="G636" i="6"/>
  <c r="E635" i="6"/>
  <c r="C635" i="6"/>
  <c r="G635" i="6" s="1"/>
  <c r="E634" i="6"/>
  <c r="C634" i="6"/>
  <c r="G634" i="6" s="1"/>
  <c r="G633" i="6"/>
  <c r="E633" i="6"/>
  <c r="C633" i="6"/>
  <c r="K632" i="6"/>
  <c r="J632" i="6"/>
  <c r="G632" i="6"/>
  <c r="K631" i="6"/>
  <c r="E631" i="6"/>
  <c r="G631" i="6" s="1"/>
  <c r="C631" i="6"/>
  <c r="K630" i="6"/>
  <c r="G630" i="6"/>
  <c r="I629" i="6"/>
  <c r="G629" i="6"/>
  <c r="L628" i="6"/>
  <c r="K628" i="6"/>
  <c r="C628" i="6"/>
  <c r="G628" i="6" s="1"/>
  <c r="M627" i="6"/>
  <c r="L627" i="6"/>
  <c r="M626" i="6"/>
  <c r="L626" i="6"/>
  <c r="C626" i="6"/>
  <c r="G626" i="6" s="1"/>
  <c r="E625" i="6"/>
  <c r="C625" i="6"/>
  <c r="G625" i="6" s="1"/>
  <c r="E624" i="6"/>
  <c r="G624" i="6" s="1"/>
  <c r="C624" i="6"/>
  <c r="K623" i="6"/>
  <c r="E622" i="6" s="1"/>
  <c r="J623" i="6"/>
  <c r="E623" i="6" s="1"/>
  <c r="C623" i="6"/>
  <c r="K622" i="6"/>
  <c r="C622" i="6"/>
  <c r="G622" i="6" s="1"/>
  <c r="K621" i="6"/>
  <c r="C621" i="6"/>
  <c r="G621" i="6" s="1"/>
  <c r="G620" i="6"/>
  <c r="C620" i="6"/>
  <c r="K619" i="6"/>
  <c r="C619" i="6"/>
  <c r="G619" i="6" s="1"/>
  <c r="B614" i="6"/>
  <c r="B649" i="6" s="1"/>
  <c r="C610" i="6"/>
  <c r="G610" i="6" s="1"/>
  <c r="C656" i="6" s="1"/>
  <c r="G656" i="6" s="1"/>
  <c r="G609" i="6"/>
  <c r="C609" i="6"/>
  <c r="G608" i="6"/>
  <c r="C608" i="6"/>
  <c r="C654" i="6" s="1"/>
  <c r="C665" i="6" s="1"/>
  <c r="G665" i="6" s="1"/>
  <c r="E607" i="6"/>
  <c r="G607" i="6" s="1"/>
  <c r="C607" i="6"/>
  <c r="E606" i="6"/>
  <c r="C606" i="6"/>
  <c r="G606" i="6" s="1"/>
  <c r="G611" i="6" s="1"/>
  <c r="G605" i="6"/>
  <c r="G598" i="6"/>
  <c r="G597" i="6"/>
  <c r="G599" i="6" s="1"/>
  <c r="G589" i="6"/>
  <c r="G591" i="6" s="1"/>
  <c r="G588" i="6"/>
  <c r="G587" i="6"/>
  <c r="G586" i="6"/>
  <c r="G578" i="6"/>
  <c r="G577" i="6"/>
  <c r="G571" i="6"/>
  <c r="G568" i="6"/>
  <c r="C568" i="6"/>
  <c r="G561" i="6"/>
  <c r="B551" i="6"/>
  <c r="B563" i="6" s="1"/>
  <c r="G549" i="6"/>
  <c r="B543" i="6"/>
  <c r="G541" i="6"/>
  <c r="D53" i="5" s="1"/>
  <c r="G536" i="6"/>
  <c r="B532" i="6"/>
  <c r="D528" i="6"/>
  <c r="G528" i="6" s="1"/>
  <c r="G527" i="6"/>
  <c r="B523" i="6"/>
  <c r="G518" i="6"/>
  <c r="G517" i="6"/>
  <c r="G516" i="6"/>
  <c r="G515" i="6"/>
  <c r="G521" i="6" s="1"/>
  <c r="D52" i="5" s="1"/>
  <c r="G501" i="6"/>
  <c r="G508" i="6" s="1"/>
  <c r="D49" i="5" s="1"/>
  <c r="F49" i="5" s="1"/>
  <c r="G487" i="6"/>
  <c r="G494" i="6" s="1"/>
  <c r="D48" i="5" s="1"/>
  <c r="F48" i="5" s="1"/>
  <c r="G480" i="6"/>
  <c r="G472" i="6"/>
  <c r="G462" i="6"/>
  <c r="G461" i="6"/>
  <c r="C453" i="6"/>
  <c r="G453" i="6" s="1"/>
  <c r="G455" i="6" s="1"/>
  <c r="B449" i="6"/>
  <c r="B457" i="6" s="1"/>
  <c r="B466" i="6" s="1"/>
  <c r="B474" i="6" s="1"/>
  <c r="B482" i="6" s="1"/>
  <c r="B496" i="6" s="1"/>
  <c r="G447" i="6"/>
  <c r="B441" i="6"/>
  <c r="G439" i="6"/>
  <c r="G431" i="6"/>
  <c r="G423" i="6"/>
  <c r="G405" i="6"/>
  <c r="G404" i="6"/>
  <c r="B400" i="6"/>
  <c r="B408" i="6" s="1"/>
  <c r="B417" i="6" s="1"/>
  <c r="B425" i="6" s="1"/>
  <c r="B433" i="6" s="1"/>
  <c r="G398" i="6"/>
  <c r="G387" i="6"/>
  <c r="G386" i="6"/>
  <c r="G384" i="6"/>
  <c r="G383" i="6"/>
  <c r="G382" i="6"/>
  <c r="G380" i="6"/>
  <c r="G379" i="6"/>
  <c r="G378" i="6"/>
  <c r="G376" i="6"/>
  <c r="G375" i="6"/>
  <c r="G374" i="6"/>
  <c r="G373" i="6"/>
  <c r="G371" i="6"/>
  <c r="G370" i="6"/>
  <c r="G369" i="6"/>
  <c r="G368" i="6"/>
  <c r="G367" i="6"/>
  <c r="G365" i="6"/>
  <c r="G364" i="6"/>
  <c r="G363" i="6"/>
  <c r="G362" i="6"/>
  <c r="G361" i="6"/>
  <c r="G360" i="6"/>
  <c r="G388" i="6" s="1"/>
  <c r="G359" i="6"/>
  <c r="G358" i="6"/>
  <c r="B353" i="6"/>
  <c r="B390" i="6" s="1"/>
  <c r="G347" i="6"/>
  <c r="G351" i="6" s="1"/>
  <c r="D41" i="5" s="1"/>
  <c r="F41" i="5" s="1"/>
  <c r="B343" i="6"/>
  <c r="G341" i="6"/>
  <c r="G337" i="6"/>
  <c r="B333" i="6"/>
  <c r="G331" i="6"/>
  <c r="D39" i="5" s="1"/>
  <c r="K322" i="6"/>
  <c r="J320" i="6"/>
  <c r="I320" i="6"/>
  <c r="G320" i="6"/>
  <c r="K311" i="6"/>
  <c r="G309" i="6"/>
  <c r="I309" i="6" s="1"/>
  <c r="J309" i="6" s="1"/>
  <c r="K300" i="6"/>
  <c r="G298" i="6"/>
  <c r="K289" i="6"/>
  <c r="G287" i="6"/>
  <c r="K279" i="6"/>
  <c r="K272" i="6"/>
  <c r="I272" i="6"/>
  <c r="G272" i="6"/>
  <c r="K270" i="6"/>
  <c r="L270" i="6" s="1"/>
  <c r="K266" i="6"/>
  <c r="G262" i="6"/>
  <c r="C262" i="6"/>
  <c r="G261" i="6"/>
  <c r="C261" i="6"/>
  <c r="I260" i="6"/>
  <c r="G260" i="6"/>
  <c r="G247" i="6"/>
  <c r="G246" i="6"/>
  <c r="G245" i="6"/>
  <c r="G254" i="6" s="1"/>
  <c r="D29" i="5" s="1"/>
  <c r="I243" i="6"/>
  <c r="B240" i="6"/>
  <c r="B256" i="6" s="1"/>
  <c r="B268" i="6" s="1"/>
  <c r="L232" i="6"/>
  <c r="K232" i="6"/>
  <c r="I232" i="6"/>
  <c r="G232" i="6"/>
  <c r="L230" i="6"/>
  <c r="L231" i="6" s="1"/>
  <c r="K230" i="6"/>
  <c r="B228" i="6"/>
  <c r="G225" i="6"/>
  <c r="C225" i="6"/>
  <c r="C224" i="6"/>
  <c r="G224" i="6" s="1"/>
  <c r="G223" i="6"/>
  <c r="C223" i="6"/>
  <c r="C222" i="6"/>
  <c r="G222" i="6" s="1"/>
  <c r="G221" i="6"/>
  <c r="C221" i="6"/>
  <c r="G220" i="6"/>
  <c r="C220" i="6"/>
  <c r="B216" i="6"/>
  <c r="G214" i="6"/>
  <c r="G207" i="6"/>
  <c r="B202" i="6"/>
  <c r="G200" i="6"/>
  <c r="D25" i="5" s="1"/>
  <c r="G196" i="6"/>
  <c r="G185" i="6"/>
  <c r="G189" i="6" s="1"/>
  <c r="B181" i="6"/>
  <c r="G179" i="6"/>
  <c r="D23" i="5" s="1"/>
  <c r="G176" i="6"/>
  <c r="G175" i="6"/>
  <c r="G174" i="6"/>
  <c r="G173" i="6"/>
  <c r="G172" i="6"/>
  <c r="G171" i="6"/>
  <c r="G170" i="6"/>
  <c r="G169" i="6"/>
  <c r="G159" i="6"/>
  <c r="G162" i="6" s="1"/>
  <c r="C159" i="6"/>
  <c r="B155" i="6"/>
  <c r="B164" i="6" s="1"/>
  <c r="A155" i="6"/>
  <c r="A164" i="6" s="1"/>
  <c r="G149" i="6"/>
  <c r="G153" i="6" s="1"/>
  <c r="G148" i="6"/>
  <c r="G147" i="6"/>
  <c r="G146" i="6"/>
  <c r="G145" i="6"/>
  <c r="G144" i="6"/>
  <c r="G143" i="6"/>
  <c r="G142" i="6"/>
  <c r="G131" i="6"/>
  <c r="G130" i="6"/>
  <c r="B126" i="6"/>
  <c r="A126" i="6"/>
  <c r="J121" i="6"/>
  <c r="J122" i="6" s="1"/>
  <c r="G112" i="6"/>
  <c r="G111" i="6"/>
  <c r="G110" i="6"/>
  <c r="G109" i="6"/>
  <c r="G108" i="6"/>
  <c r="G107" i="6"/>
  <c r="G106" i="6"/>
  <c r="G105" i="6"/>
  <c r="B100" i="6"/>
  <c r="A100" i="6"/>
  <c r="G97" i="6"/>
  <c r="G96" i="6"/>
  <c r="F96" i="6"/>
  <c r="G95" i="6"/>
  <c r="B91" i="6"/>
  <c r="A91" i="6"/>
  <c r="G87" i="6"/>
  <c r="G84" i="6"/>
  <c r="J82" i="6"/>
  <c r="B79" i="6"/>
  <c r="A79" i="6"/>
  <c r="G76" i="6"/>
  <c r="E76" i="6"/>
  <c r="G75" i="6"/>
  <c r="G74" i="6"/>
  <c r="C74" i="6"/>
  <c r="G73" i="6"/>
  <c r="G70" i="6"/>
  <c r="B65" i="6"/>
  <c r="A65" i="6"/>
  <c r="G62" i="6"/>
  <c r="G61" i="6"/>
  <c r="G60" i="6"/>
  <c r="C60" i="6"/>
  <c r="G59" i="6"/>
  <c r="G56" i="6"/>
  <c r="B51" i="6"/>
  <c r="A51" i="6"/>
  <c r="C45" i="6"/>
  <c r="G45" i="6" s="1"/>
  <c r="D44" i="6"/>
  <c r="G44" i="6" s="1"/>
  <c r="C44" i="6"/>
  <c r="B37" i="6"/>
  <c r="A37" i="6"/>
  <c r="G33" i="6"/>
  <c r="C32" i="6"/>
  <c r="G32" i="6" s="1"/>
  <c r="G31" i="6"/>
  <c r="G30" i="6"/>
  <c r="G29" i="6"/>
  <c r="C29" i="6"/>
  <c r="C47" i="6" s="1"/>
  <c r="G47" i="6" s="1"/>
  <c r="G27" i="6"/>
  <c r="G26" i="6"/>
  <c r="C25" i="6"/>
  <c r="G25" i="6" s="1"/>
  <c r="C22" i="6"/>
  <c r="G21" i="6"/>
  <c r="C21" i="6"/>
  <c r="I18" i="6"/>
  <c r="I16" i="6"/>
  <c r="B16" i="6"/>
  <c r="A16" i="6"/>
  <c r="I15" i="6"/>
  <c r="I14" i="6"/>
  <c r="I13" i="6"/>
  <c r="I12" i="6"/>
  <c r="K11" i="6"/>
  <c r="G11" i="6"/>
  <c r="F184" i="5"/>
  <c r="H182" i="5" s="1"/>
  <c r="F182" i="5"/>
  <c r="H178" i="5"/>
  <c r="I178" i="5" s="1"/>
  <c r="I177" i="5"/>
  <c r="H177" i="5"/>
  <c r="F155" i="5"/>
  <c r="H154" i="5"/>
  <c r="F154" i="5"/>
  <c r="F180" i="5" s="1"/>
  <c r="F151" i="5"/>
  <c r="F150" i="5"/>
  <c r="F149" i="5"/>
  <c r="F148" i="5"/>
  <c r="F147" i="5"/>
  <c r="F152" i="5" s="1"/>
  <c r="H152" i="5" s="1"/>
  <c r="F146" i="5"/>
  <c r="F145" i="5"/>
  <c r="F144" i="5"/>
  <c r="F142" i="5"/>
  <c r="H142" i="5" s="1"/>
  <c r="F139" i="5"/>
  <c r="F135" i="5"/>
  <c r="F133" i="5"/>
  <c r="F132" i="5"/>
  <c r="F130" i="5"/>
  <c r="F129" i="5"/>
  <c r="F127" i="5"/>
  <c r="F125" i="5"/>
  <c r="F124" i="5"/>
  <c r="F123" i="5"/>
  <c r="F122" i="5"/>
  <c r="F121" i="5"/>
  <c r="F120" i="5"/>
  <c r="F119" i="5"/>
  <c r="F117" i="5"/>
  <c r="F116" i="5"/>
  <c r="F115" i="5"/>
  <c r="F114" i="5"/>
  <c r="F113" i="5"/>
  <c r="F112" i="5"/>
  <c r="F111" i="5"/>
  <c r="F110" i="5"/>
  <c r="F109" i="5"/>
  <c r="F108" i="5"/>
  <c r="F107" i="5"/>
  <c r="F106" i="5"/>
  <c r="F104" i="5"/>
  <c r="F103" i="5"/>
  <c r="F102" i="5"/>
  <c r="F101" i="5"/>
  <c r="F100" i="5"/>
  <c r="F99" i="5"/>
  <c r="F98" i="5"/>
  <c r="F97" i="5"/>
  <c r="F96" i="5"/>
  <c r="F92" i="5"/>
  <c r="F91" i="5"/>
  <c r="F90" i="5"/>
  <c r="F89" i="5"/>
  <c r="F88" i="5"/>
  <c r="F87" i="5"/>
  <c r="F86" i="5"/>
  <c r="F85" i="5"/>
  <c r="F84" i="5"/>
  <c r="F83" i="5"/>
  <c r="F82" i="5"/>
  <c r="F81" i="5"/>
  <c r="F80" i="5"/>
  <c r="F79" i="5"/>
  <c r="C79" i="5"/>
  <c r="F78" i="5"/>
  <c r="C78" i="5"/>
  <c r="F77" i="5"/>
  <c r="F76" i="5"/>
  <c r="D75" i="5"/>
  <c r="D74" i="5"/>
  <c r="B69" i="5"/>
  <c r="F66" i="5"/>
  <c r="F65" i="5"/>
  <c r="F64" i="5"/>
  <c r="F63" i="5"/>
  <c r="F62" i="5"/>
  <c r="F61" i="5"/>
  <c r="F59" i="5"/>
  <c r="F58" i="5"/>
  <c r="F57" i="5"/>
  <c r="F56" i="5"/>
  <c r="F55" i="5"/>
  <c r="F54" i="5"/>
  <c r="C54" i="5"/>
  <c r="B53" i="5"/>
  <c r="F47" i="5"/>
  <c r="F46" i="5"/>
  <c r="F45" i="5"/>
  <c r="F44" i="5"/>
  <c r="C44" i="5"/>
  <c r="B44" i="5"/>
  <c r="B43" i="5"/>
  <c r="D42" i="5"/>
  <c r="B42" i="5"/>
  <c r="C41" i="5"/>
  <c r="B41" i="5"/>
  <c r="D40" i="5"/>
  <c r="F40" i="5" s="1"/>
  <c r="C39" i="5"/>
  <c r="D38" i="5"/>
  <c r="F38" i="5" s="1"/>
  <c r="C38" i="5"/>
  <c r="B38" i="5"/>
  <c r="C37" i="5"/>
  <c r="B37" i="5"/>
  <c r="D36" i="5"/>
  <c r="F36" i="5" s="1"/>
  <c r="C36" i="5"/>
  <c r="B36" i="5"/>
  <c r="D35" i="5"/>
  <c r="F35" i="5" s="1"/>
  <c r="B35" i="5"/>
  <c r="D31" i="5"/>
  <c r="B31" i="5"/>
  <c r="D30" i="5"/>
  <c r="B30" i="5"/>
  <c r="B29" i="5"/>
  <c r="D28" i="5"/>
  <c r="B28" i="5"/>
  <c r="D27" i="5"/>
  <c r="B27" i="5"/>
  <c r="D26" i="5"/>
  <c r="C16" i="5"/>
  <c r="B16" i="5"/>
  <c r="C15" i="5"/>
  <c r="B15" i="5"/>
  <c r="C14" i="5"/>
  <c r="B14" i="5"/>
  <c r="C13" i="5"/>
  <c r="B13" i="5"/>
  <c r="C12" i="5"/>
  <c r="B12" i="5"/>
  <c r="C11" i="5"/>
  <c r="B11" i="5"/>
  <c r="F363" i="4"/>
  <c r="F362" i="4"/>
  <c r="F361" i="4"/>
  <c r="F360" i="4"/>
  <c r="F359" i="4"/>
  <c r="F358" i="4"/>
  <c r="F357" i="4"/>
  <c r="F356" i="4"/>
  <c r="F355" i="4"/>
  <c r="F354" i="4"/>
  <c r="F353" i="4"/>
  <c r="F352" i="4"/>
  <c r="F351" i="4"/>
  <c r="F350" i="4"/>
  <c r="F349" i="4"/>
  <c r="F348" i="4"/>
  <c r="F347" i="4"/>
  <c r="F346" i="4"/>
  <c r="F345" i="4"/>
  <c r="F344" i="4"/>
  <c r="F343" i="4"/>
  <c r="F342" i="4"/>
  <c r="F341" i="4"/>
  <c r="F340" i="4"/>
  <c r="F339" i="4"/>
  <c r="F338" i="4"/>
  <c r="F337" i="4"/>
  <c r="F336" i="4"/>
  <c r="F335" i="4"/>
  <c r="F334" i="4"/>
  <c r="F333" i="4"/>
  <c r="F332" i="4"/>
  <c r="F331" i="4"/>
  <c r="F330" i="4"/>
  <c r="F329" i="4"/>
  <c r="F328" i="4"/>
  <c r="F327" i="4"/>
  <c r="F326" i="4"/>
  <c r="F325" i="4"/>
  <c r="F324" i="4"/>
  <c r="F323" i="4"/>
  <c r="F322" i="4"/>
  <c r="F321" i="4"/>
  <c r="F320" i="4"/>
  <c r="F319" i="4"/>
  <c r="F318" i="4"/>
  <c r="F317" i="4"/>
  <c r="F316" i="4"/>
  <c r="F315" i="4"/>
  <c r="F314" i="4"/>
  <c r="F313" i="4"/>
  <c r="F312" i="4"/>
  <c r="F311" i="4"/>
  <c r="F310" i="4"/>
  <c r="F309" i="4"/>
  <c r="F308" i="4"/>
  <c r="F307" i="4"/>
  <c r="F306" i="4"/>
  <c r="F305" i="4"/>
  <c r="F304" i="4"/>
  <c r="F303" i="4"/>
  <c r="F302" i="4"/>
  <c r="F301" i="4"/>
  <c r="F300" i="4"/>
  <c r="F299" i="4"/>
  <c r="F298" i="4"/>
  <c r="F297" i="4"/>
  <c r="F296" i="4"/>
  <c r="F295" i="4"/>
  <c r="F294" i="4"/>
  <c r="F293" i="4"/>
  <c r="F292" i="4"/>
  <c r="F291" i="4"/>
  <c r="F290" i="4"/>
  <c r="F289" i="4"/>
  <c r="F288" i="4"/>
  <c r="F287" i="4"/>
  <c r="F286" i="4"/>
  <c r="F285" i="4"/>
  <c r="F284" i="4"/>
  <c r="F283" i="4"/>
  <c r="F282" i="4"/>
  <c r="F281" i="4"/>
  <c r="F280" i="4"/>
  <c r="F279" i="4"/>
  <c r="F278" i="4"/>
  <c r="F277" i="4"/>
  <c r="F276" i="4"/>
  <c r="F275" i="4"/>
  <c r="F274" i="4"/>
  <c r="F273" i="4"/>
  <c r="F272" i="4"/>
  <c r="F271" i="4"/>
  <c r="F270" i="4"/>
  <c r="F269" i="4"/>
  <c r="F268" i="4"/>
  <c r="F267" i="4"/>
  <c r="F266" i="4"/>
  <c r="F265" i="4"/>
  <c r="F264" i="4"/>
  <c r="F263" i="4"/>
  <c r="F262" i="4"/>
  <c r="F261" i="4"/>
  <c r="F260" i="4"/>
  <c r="F259" i="4"/>
  <c r="F258" i="4"/>
  <c r="F257" i="4"/>
  <c r="F256" i="4"/>
  <c r="F255" i="4"/>
  <c r="F254" i="4"/>
  <c r="F253" i="4"/>
  <c r="F252" i="4"/>
  <c r="F251" i="4"/>
  <c r="F250" i="4"/>
  <c r="F249" i="4"/>
  <c r="F248" i="4"/>
  <c r="F247" i="4"/>
  <c r="F246" i="4"/>
  <c r="F245" i="4"/>
  <c r="F244" i="4"/>
  <c r="F243" i="4"/>
  <c r="F242" i="4"/>
  <c r="F241" i="4"/>
  <c r="F240" i="4"/>
  <c r="F239" i="4"/>
  <c r="F238" i="4"/>
  <c r="F237" i="4"/>
  <c r="F236" i="4"/>
  <c r="F235" i="4"/>
  <c r="F234" i="4"/>
  <c r="F233" i="4"/>
  <c r="F232" i="4"/>
  <c r="F231" i="4"/>
  <c r="F230" i="4"/>
  <c r="F229" i="4"/>
  <c r="F228" i="4"/>
  <c r="F227" i="4"/>
  <c r="F226" i="4"/>
  <c r="F225" i="4"/>
  <c r="F224" i="4"/>
  <c r="F223" i="4"/>
  <c r="F222" i="4"/>
  <c r="F221" i="4"/>
  <c r="F220" i="4"/>
  <c r="F219" i="4"/>
  <c r="F218" i="4"/>
  <c r="F217" i="4"/>
  <c r="F216" i="4"/>
  <c r="F215" i="4"/>
  <c r="F214" i="4"/>
  <c r="F213" i="4"/>
  <c r="F212" i="4"/>
  <c r="F211" i="4"/>
  <c r="F210" i="4"/>
  <c r="F209" i="4"/>
  <c r="F208" i="4"/>
  <c r="F207" i="4"/>
  <c r="F206" i="4"/>
  <c r="F205" i="4"/>
  <c r="F204" i="4"/>
  <c r="F203" i="4"/>
  <c r="F202" i="4"/>
  <c r="F201" i="4"/>
  <c r="F200" i="4"/>
  <c r="F199" i="4"/>
  <c r="F198" i="4"/>
  <c r="F197" i="4"/>
  <c r="F196" i="4"/>
  <c r="F195" i="4"/>
  <c r="F194" i="4"/>
  <c r="F193" i="4"/>
  <c r="F192" i="4"/>
  <c r="F191" i="4"/>
  <c r="F190" i="4"/>
  <c r="F189" i="4"/>
  <c r="F188" i="4"/>
  <c r="F187" i="4"/>
  <c r="F186" i="4"/>
  <c r="F185" i="4"/>
  <c r="F184" i="4"/>
  <c r="F183" i="4"/>
  <c r="F182" i="4"/>
  <c r="F181" i="4"/>
  <c r="F180" i="4"/>
  <c r="F179" i="4"/>
  <c r="F178" i="4"/>
  <c r="F177" i="4"/>
  <c r="F176" i="4"/>
  <c r="F175" i="4"/>
  <c r="F174" i="4"/>
  <c r="F173" i="4"/>
  <c r="F172" i="4"/>
  <c r="F171" i="4"/>
  <c r="F170" i="4"/>
  <c r="F169" i="4"/>
  <c r="F168" i="4"/>
  <c r="F167" i="4"/>
  <c r="F166" i="4"/>
  <c r="F165" i="4"/>
  <c r="F164" i="4"/>
  <c r="F163" i="4"/>
  <c r="F162" i="4"/>
  <c r="F161" i="4"/>
  <c r="F160" i="4"/>
  <c r="F159" i="4"/>
  <c r="F158" i="4"/>
  <c r="F157" i="4"/>
  <c r="F156" i="4"/>
  <c r="F155" i="4"/>
  <c r="F154" i="4"/>
  <c r="F153" i="4"/>
  <c r="F152" i="4"/>
  <c r="F151" i="4"/>
  <c r="F150" i="4"/>
  <c r="F149" i="4"/>
  <c r="F148" i="4"/>
  <c r="F147" i="4"/>
  <c r="F146" i="4"/>
  <c r="F145" i="4"/>
  <c r="F144" i="4"/>
  <c r="F143" i="4"/>
  <c r="F142" i="4"/>
  <c r="F141" i="4"/>
  <c r="F140" i="4"/>
  <c r="F139" i="4"/>
  <c r="F138" i="4"/>
  <c r="F137" i="4"/>
  <c r="F136" i="4"/>
  <c r="F135" i="4"/>
  <c r="F134" i="4"/>
  <c r="F131" i="4"/>
  <c r="F127" i="4"/>
  <c r="F126" i="4"/>
  <c r="D124" i="4"/>
  <c r="F124" i="4" s="1"/>
  <c r="F123" i="4"/>
  <c r="F122" i="4"/>
  <c r="F121" i="4"/>
  <c r="F120" i="4"/>
  <c r="F119" i="4"/>
  <c r="F118" i="4"/>
  <c r="F117" i="4"/>
  <c r="F116" i="4"/>
  <c r="F115" i="4"/>
  <c r="F114" i="4"/>
  <c r="F113" i="4"/>
  <c r="F112" i="4"/>
  <c r="F111" i="4"/>
  <c r="F110" i="4"/>
  <c r="F109" i="4"/>
  <c r="F108" i="4"/>
  <c r="F107" i="4"/>
  <c r="F106" i="4"/>
  <c r="D105" i="4"/>
  <c r="F105" i="4" s="1"/>
  <c r="D104" i="4"/>
  <c r="F104" i="4" s="1"/>
  <c r="F103" i="4"/>
  <c r="D102" i="4"/>
  <c r="F102" i="4" s="1"/>
  <c r="F101" i="4"/>
  <c r="F100" i="4"/>
  <c r="F99" i="4"/>
  <c r="F98" i="4"/>
  <c r="F97" i="4"/>
  <c r="F96" i="4"/>
  <c r="F95" i="4"/>
  <c r="D95" i="4"/>
  <c r="F94" i="4"/>
  <c r="F93" i="4"/>
  <c r="F92" i="4"/>
  <c r="F91" i="4"/>
  <c r="F90" i="4"/>
  <c r="F89" i="4"/>
  <c r="F88" i="4"/>
  <c r="E77" i="4"/>
  <c r="D77" i="4"/>
  <c r="B77" i="4"/>
  <c r="B76" i="4"/>
  <c r="F75" i="4"/>
  <c r="F74" i="4"/>
  <c r="D74" i="4"/>
  <c r="D73" i="4"/>
  <c r="F73" i="4" s="1"/>
  <c r="F72" i="4"/>
  <c r="F71" i="4"/>
  <c r="F70" i="4"/>
  <c r="F69" i="4"/>
  <c r="F68" i="4"/>
  <c r="F67" i="4"/>
  <c r="F66" i="4"/>
  <c r="F65" i="4"/>
  <c r="F64" i="4"/>
  <c r="F63" i="4"/>
  <c r="F62" i="4"/>
  <c r="F61" i="4"/>
  <c r="D59" i="4"/>
  <c r="F58" i="4"/>
  <c r="F57" i="4"/>
  <c r="F56" i="4"/>
  <c r="F55" i="4"/>
  <c r="F54" i="4"/>
  <c r="F53" i="4"/>
  <c r="F52" i="4"/>
  <c r="F51" i="4"/>
  <c r="F50" i="4"/>
  <c r="F49" i="4"/>
  <c r="F48" i="4"/>
  <c r="F47" i="4"/>
  <c r="F46" i="4"/>
  <c r="F45" i="4"/>
  <c r="F44" i="4"/>
  <c r="F43" i="4"/>
  <c r="F42" i="4"/>
  <c r="F41" i="4"/>
  <c r="F40" i="4"/>
  <c r="F39" i="4"/>
  <c r="F38" i="4"/>
  <c r="F37" i="4"/>
  <c r="F36" i="4"/>
  <c r="F35" i="4"/>
  <c r="F34" i="4"/>
  <c r="F33" i="4"/>
  <c r="F32" i="4"/>
  <c r="F31" i="4"/>
  <c r="F30" i="4"/>
  <c r="F29" i="4"/>
  <c r="F28" i="4"/>
  <c r="F25" i="4"/>
  <c r="F24" i="4"/>
  <c r="D24" i="4"/>
  <c r="D23" i="4"/>
  <c r="F23" i="4" s="1"/>
  <c r="F22" i="4"/>
  <c r="D21" i="4"/>
  <c r="D26" i="4" s="1"/>
  <c r="F26" i="4" s="1"/>
  <c r="F20" i="4"/>
  <c r="F19" i="4"/>
  <c r="F18" i="4"/>
  <c r="F17" i="4"/>
  <c r="F16" i="4"/>
  <c r="F15" i="4"/>
  <c r="D14" i="4"/>
  <c r="F14" i="4" s="1"/>
  <c r="F13" i="4"/>
  <c r="F12" i="4"/>
  <c r="F11" i="4"/>
  <c r="F10" i="4"/>
  <c r="F9" i="4"/>
  <c r="F8" i="4"/>
  <c r="F7" i="4"/>
  <c r="B52" i="10"/>
  <c r="B40" i="7"/>
  <c r="C40" i="5"/>
  <c r="B39" i="10"/>
  <c r="C35" i="7"/>
  <c r="B26" i="10"/>
  <c r="B25" i="10"/>
  <c r="B23" i="7"/>
  <c r="B18" i="7"/>
  <c r="C18" i="10"/>
  <c r="B17" i="10"/>
  <c r="B10" i="10"/>
  <c r="A7" i="47"/>
  <c r="A7" i="52" s="1"/>
  <c r="A403" i="41" s="1"/>
  <c r="D78" i="2"/>
  <c r="D77" i="2"/>
  <c r="D76" i="2"/>
  <c r="D75" i="2"/>
  <c r="D74" i="2"/>
  <c r="D73" i="2"/>
  <c r="D72" i="2"/>
  <c r="D71" i="2"/>
  <c r="D67" i="2"/>
  <c r="BF52" i="2"/>
  <c r="BE52" i="2"/>
  <c r="BD52" i="2"/>
  <c r="BC52" i="2"/>
  <c r="BB52" i="2"/>
  <c r="BA52" i="2"/>
  <c r="AZ52" i="2"/>
  <c r="AY52" i="2"/>
  <c r="AX52" i="2"/>
  <c r="AW52" i="2"/>
  <c r="AV52" i="2"/>
  <c r="AU52" i="2"/>
  <c r="AT52" i="2"/>
  <c r="AS52" i="2"/>
  <c r="AR52" i="2"/>
  <c r="AQ52" i="2"/>
  <c r="AP52" i="2"/>
  <c r="AO52" i="2"/>
  <c r="AN52" i="2"/>
  <c r="AM52" i="2"/>
  <c r="AL52" i="2"/>
  <c r="AK52" i="2"/>
  <c r="AJ52" i="2"/>
  <c r="AI52" i="2"/>
  <c r="AH52" i="2"/>
  <c r="Q52" i="2"/>
  <c r="P52" i="2"/>
  <c r="BF51" i="2"/>
  <c r="BE51" i="2"/>
  <c r="BD51" i="2"/>
  <c r="BC51" i="2"/>
  <c r="BB51" i="2"/>
  <c r="BA51" i="2"/>
  <c r="AZ51" i="2"/>
  <c r="AY51" i="2"/>
  <c r="AX51" i="2"/>
  <c r="AW51" i="2"/>
  <c r="AV51" i="2"/>
  <c r="AU51" i="2"/>
  <c r="AT51" i="2"/>
  <c r="AS51" i="2"/>
  <c r="AR51" i="2"/>
  <c r="AP51" i="2"/>
  <c r="AO51" i="2"/>
  <c r="AN51" i="2"/>
  <c r="AM51" i="2"/>
  <c r="AL51" i="2"/>
  <c r="AK51" i="2"/>
  <c r="AJ51" i="2"/>
  <c r="AI51" i="2"/>
  <c r="AH51" i="2"/>
  <c r="Q51" i="2"/>
  <c r="AQ51" i="2" s="1"/>
  <c r="P51" i="2"/>
  <c r="BF39" i="2"/>
  <c r="BC39" i="2"/>
  <c r="BB39" i="2"/>
  <c r="BA39" i="2"/>
  <c r="AZ39" i="2"/>
  <c r="AX39" i="2"/>
  <c r="AW39" i="2"/>
  <c r="AV39" i="2"/>
  <c r="AU39" i="2"/>
  <c r="AT39" i="2"/>
  <c r="AS39" i="2"/>
  <c r="AR39" i="2"/>
  <c r="AQ39" i="2"/>
  <c r="AP39" i="2"/>
  <c r="AO39" i="2"/>
  <c r="AN39" i="2"/>
  <c r="AM39" i="2"/>
  <c r="AL39" i="2"/>
  <c r="AK39" i="2"/>
  <c r="AJ39" i="2"/>
  <c r="AI39" i="2"/>
  <c r="AH39" i="2"/>
  <c r="BF38" i="2"/>
  <c r="BD38" i="2"/>
  <c r="BC38" i="2"/>
  <c r="BB38" i="2"/>
  <c r="BA38" i="2"/>
  <c r="AZ38" i="2"/>
  <c r="AY38" i="2"/>
  <c r="AX38" i="2"/>
  <c r="AW38" i="2"/>
  <c r="AV38" i="2"/>
  <c r="AU38" i="2"/>
  <c r="AT38" i="2"/>
  <c r="AS38" i="2"/>
  <c r="AR38" i="2"/>
  <c r="AQ38" i="2"/>
  <c r="AP38" i="2"/>
  <c r="AO38" i="2"/>
  <c r="AN38" i="2"/>
  <c r="AM38" i="2"/>
  <c r="AL38" i="2"/>
  <c r="AK38" i="2"/>
  <c r="AJ38" i="2"/>
  <c r="AI38" i="2"/>
  <c r="AH38" i="2"/>
  <c r="BF37" i="2"/>
  <c r="BE37" i="2"/>
  <c r="BC37" i="2"/>
  <c r="BB37" i="2"/>
  <c r="BA37" i="2"/>
  <c r="AZ37" i="2"/>
  <c r="AY37" i="2"/>
  <c r="AX37" i="2"/>
  <c r="AW37" i="2"/>
  <c r="AV37" i="2"/>
  <c r="AU37" i="2"/>
  <c r="AT37" i="2"/>
  <c r="AS37" i="2"/>
  <c r="AR37" i="2"/>
  <c r="AQ37" i="2"/>
  <c r="AP37" i="2"/>
  <c r="AO37" i="2"/>
  <c r="AN37" i="2"/>
  <c r="AM37" i="2"/>
  <c r="AL37" i="2"/>
  <c r="AK37" i="2"/>
  <c r="AJ37" i="2"/>
  <c r="AI37" i="2"/>
  <c r="AH37" i="2"/>
  <c r="BF36" i="2"/>
  <c r="BE36" i="2"/>
  <c r="BD36" i="2"/>
  <c r="BB36" i="2"/>
  <c r="BA36" i="2"/>
  <c r="AZ36" i="2"/>
  <c r="AY36" i="2"/>
  <c r="AX36" i="2"/>
  <c r="AW36" i="2"/>
  <c r="AV36" i="2"/>
  <c r="AU36" i="2"/>
  <c r="AT36" i="2"/>
  <c r="AS36" i="2"/>
  <c r="AR36" i="2"/>
  <c r="AQ36" i="2"/>
  <c r="AP36" i="2"/>
  <c r="AO36" i="2"/>
  <c r="AN36" i="2"/>
  <c r="AM36" i="2"/>
  <c r="AL36" i="2"/>
  <c r="AK36" i="2"/>
  <c r="AJ36" i="2"/>
  <c r="AI36" i="2"/>
  <c r="AH36" i="2"/>
  <c r="BF35" i="2"/>
  <c r="BE35" i="2"/>
  <c r="BD35" i="2"/>
  <c r="BC35" i="2"/>
  <c r="BA35" i="2"/>
  <c r="AZ35" i="2"/>
  <c r="AY35" i="2"/>
  <c r="AX35" i="2"/>
  <c r="AW35" i="2"/>
  <c r="AV35" i="2"/>
  <c r="AU35" i="2"/>
  <c r="AT35" i="2"/>
  <c r="AS35" i="2"/>
  <c r="AR35" i="2"/>
  <c r="AQ35" i="2"/>
  <c r="AP35" i="2"/>
  <c r="AO35" i="2"/>
  <c r="AN35" i="2"/>
  <c r="AM35" i="2"/>
  <c r="AL35" i="2"/>
  <c r="AK35" i="2"/>
  <c r="AJ35" i="2"/>
  <c r="AI35" i="2"/>
  <c r="AH35" i="2"/>
  <c r="BF34" i="2"/>
  <c r="BE34" i="2"/>
  <c r="BD34" i="2"/>
  <c r="BC34" i="2"/>
  <c r="BB34" i="2"/>
  <c r="AZ34" i="2"/>
  <c r="AY34" i="2"/>
  <c r="AX34" i="2"/>
  <c r="AW34" i="2"/>
  <c r="AV34" i="2"/>
  <c r="AU34" i="2"/>
  <c r="AT34" i="2"/>
  <c r="AS34" i="2"/>
  <c r="AR34" i="2"/>
  <c r="AQ34" i="2"/>
  <c r="AP34" i="2"/>
  <c r="AO34" i="2"/>
  <c r="AN34" i="2"/>
  <c r="AM34" i="2"/>
  <c r="AL34" i="2"/>
  <c r="AK34" i="2"/>
  <c r="AJ34" i="2"/>
  <c r="AI34" i="2"/>
  <c r="AH34" i="2"/>
  <c r="BF33" i="2"/>
  <c r="BE33" i="2"/>
  <c r="BD33" i="2"/>
  <c r="BC33" i="2"/>
  <c r="BB33" i="2"/>
  <c r="BA33" i="2"/>
  <c r="AY33" i="2"/>
  <c r="AX33" i="2"/>
  <c r="AW33" i="2"/>
  <c r="AV33" i="2"/>
  <c r="AU33" i="2"/>
  <c r="AT33" i="2"/>
  <c r="AS33" i="2"/>
  <c r="AR33" i="2"/>
  <c r="AQ33" i="2"/>
  <c r="AP33" i="2"/>
  <c r="AO33" i="2"/>
  <c r="AN33" i="2"/>
  <c r="AM33" i="2"/>
  <c r="AL33" i="2"/>
  <c r="AK33" i="2"/>
  <c r="AJ33" i="2"/>
  <c r="AI33" i="2"/>
  <c r="AH33" i="2"/>
  <c r="BF32" i="2"/>
  <c r="BE32" i="2"/>
  <c r="BD32" i="2"/>
  <c r="BC32" i="2"/>
  <c r="BB32" i="2"/>
  <c r="BA32" i="2"/>
  <c r="AZ32" i="2"/>
  <c r="AX32" i="2"/>
  <c r="AW32" i="2"/>
  <c r="AV32" i="2"/>
  <c r="AU32" i="2"/>
  <c r="AT32" i="2"/>
  <c r="AS32" i="2"/>
  <c r="AR32" i="2"/>
  <c r="AQ32" i="2"/>
  <c r="AP32" i="2"/>
  <c r="AO32" i="2"/>
  <c r="AN32" i="2"/>
  <c r="AM32" i="2"/>
  <c r="AL32" i="2"/>
  <c r="AK32" i="2"/>
  <c r="AJ32" i="2"/>
  <c r="AI32" i="2"/>
  <c r="AH32" i="2"/>
  <c r="BF31" i="2"/>
  <c r="BE31" i="2"/>
  <c r="BD31" i="2"/>
  <c r="BC31" i="2"/>
  <c r="BB31" i="2"/>
  <c r="BA31" i="2"/>
  <c r="AZ31" i="2"/>
  <c r="AY31" i="2"/>
  <c r="AW31" i="2"/>
  <c r="AV31" i="2"/>
  <c r="AU31" i="2"/>
  <c r="AT31" i="2"/>
  <c r="AS31" i="2"/>
  <c r="AR31" i="2"/>
  <c r="AQ31" i="2"/>
  <c r="AP31" i="2"/>
  <c r="AO31" i="2"/>
  <c r="AN31" i="2"/>
  <c r="AM31" i="2"/>
  <c r="AL31" i="2"/>
  <c r="AK31" i="2"/>
  <c r="AJ31" i="2"/>
  <c r="AI31" i="2"/>
  <c r="AH31" i="2"/>
  <c r="BF30" i="2"/>
  <c r="BE30" i="2"/>
  <c r="BD30" i="2"/>
  <c r="BC30" i="2"/>
  <c r="BB30" i="2"/>
  <c r="BA30" i="2"/>
  <c r="AZ30" i="2"/>
  <c r="AY30" i="2"/>
  <c r="AX30" i="2"/>
  <c r="AV30" i="2"/>
  <c r="AU30" i="2"/>
  <c r="AT30" i="2"/>
  <c r="AS30" i="2"/>
  <c r="AR30" i="2"/>
  <c r="AQ30" i="2"/>
  <c r="AP30" i="2"/>
  <c r="AO30" i="2"/>
  <c r="AN30" i="2"/>
  <c r="AM30" i="2"/>
  <c r="AL30" i="2"/>
  <c r="AK30" i="2"/>
  <c r="AJ30" i="2"/>
  <c r="AI30" i="2"/>
  <c r="AH30" i="2"/>
  <c r="BF29" i="2"/>
  <c r="BE29" i="2"/>
  <c r="BD29" i="2"/>
  <c r="BC29" i="2"/>
  <c r="BB29" i="2"/>
  <c r="BA29" i="2"/>
  <c r="AZ29" i="2"/>
  <c r="AY29" i="2"/>
  <c r="AW29" i="2"/>
  <c r="AV29" i="2"/>
  <c r="AU29" i="2"/>
  <c r="AT29" i="2"/>
  <c r="AS29" i="2"/>
  <c r="AR29" i="2"/>
  <c r="AQ29" i="2"/>
  <c r="AP29" i="2"/>
  <c r="AO29" i="2"/>
  <c r="AN29" i="2"/>
  <c r="AM29" i="2"/>
  <c r="AL29" i="2"/>
  <c r="AK29" i="2"/>
  <c r="AJ29" i="2"/>
  <c r="AI29" i="2"/>
  <c r="AH29" i="2"/>
  <c r="BF28" i="2"/>
  <c r="BE28" i="2"/>
  <c r="BD28" i="2"/>
  <c r="BC28" i="2"/>
  <c r="BB28" i="2"/>
  <c r="BA28" i="2"/>
  <c r="AZ28" i="2"/>
  <c r="AY28" i="2"/>
  <c r="AX28" i="2"/>
  <c r="AV28" i="2"/>
  <c r="AU28" i="2"/>
  <c r="AT28" i="2"/>
  <c r="AS28" i="2"/>
  <c r="AR28" i="2"/>
  <c r="AQ28" i="2"/>
  <c r="AP28" i="2"/>
  <c r="AO28" i="2"/>
  <c r="AN28" i="2"/>
  <c r="AM28" i="2"/>
  <c r="AL28" i="2"/>
  <c r="AK28" i="2"/>
  <c r="AJ28" i="2"/>
  <c r="AI28" i="2"/>
  <c r="AH28" i="2"/>
  <c r="BF27" i="2"/>
  <c r="BE27" i="2"/>
  <c r="BD27" i="2"/>
  <c r="BC27" i="2"/>
  <c r="BB27" i="2"/>
  <c r="BA27" i="2"/>
  <c r="AZ27" i="2"/>
  <c r="AY27" i="2"/>
  <c r="AX27" i="2"/>
  <c r="AW27" i="2"/>
  <c r="AU27" i="2"/>
  <c r="AT27" i="2"/>
  <c r="AS27" i="2"/>
  <c r="AR27" i="2"/>
  <c r="AQ27" i="2"/>
  <c r="AP27" i="2"/>
  <c r="AO27" i="2"/>
  <c r="AN27" i="2"/>
  <c r="AM27" i="2"/>
  <c r="AL27" i="2"/>
  <c r="AK27" i="2"/>
  <c r="AJ27" i="2"/>
  <c r="AI27" i="2"/>
  <c r="AH27" i="2"/>
  <c r="BF26" i="2"/>
  <c r="BE26" i="2"/>
  <c r="BD26" i="2"/>
  <c r="BC26" i="2"/>
  <c r="BB26" i="2"/>
  <c r="BA26" i="2"/>
  <c r="AZ26" i="2"/>
  <c r="AY26" i="2"/>
  <c r="AT26" i="2"/>
  <c r="AS26" i="2"/>
  <c r="AR26" i="2"/>
  <c r="AQ26" i="2"/>
  <c r="AP26" i="2"/>
  <c r="AO26" i="2"/>
  <c r="AN26" i="2"/>
  <c r="AM26" i="2"/>
  <c r="AL26" i="2"/>
  <c r="AK26" i="2"/>
  <c r="AJ26" i="2"/>
  <c r="AI26" i="2"/>
  <c r="AH26" i="2"/>
  <c r="BF25" i="2"/>
  <c r="BE25" i="2"/>
  <c r="BD25" i="2"/>
  <c r="BC25" i="2"/>
  <c r="BB25" i="2"/>
  <c r="BA25" i="2"/>
  <c r="AZ25" i="2"/>
  <c r="AY25" i="2"/>
  <c r="AT25" i="2"/>
  <c r="AS25" i="2"/>
  <c r="AR25" i="2"/>
  <c r="AQ25" i="2"/>
  <c r="AP25" i="2"/>
  <c r="AO25" i="2"/>
  <c r="AN25" i="2"/>
  <c r="AM25" i="2"/>
  <c r="AL25" i="2"/>
  <c r="AK25" i="2"/>
  <c r="AJ25" i="2"/>
  <c r="AI25" i="2"/>
  <c r="AH25" i="2"/>
  <c r="BF24" i="2"/>
  <c r="BE24" i="2"/>
  <c r="BD24" i="2"/>
  <c r="BC24" i="2"/>
  <c r="BB24" i="2"/>
  <c r="BA24" i="2"/>
  <c r="AZ24" i="2"/>
  <c r="AY24" i="2"/>
  <c r="AX24" i="2"/>
  <c r="AW24" i="2"/>
  <c r="AV24" i="2"/>
  <c r="AT24" i="2"/>
  <c r="AS24" i="2"/>
  <c r="AR24" i="2"/>
  <c r="AQ24" i="2"/>
  <c r="AP24" i="2"/>
  <c r="AO24" i="2"/>
  <c r="AN24" i="2"/>
  <c r="AM24" i="2"/>
  <c r="AL24" i="2"/>
  <c r="AK24" i="2"/>
  <c r="AJ24" i="2"/>
  <c r="AI24" i="2"/>
  <c r="AH24" i="2"/>
  <c r="BF23" i="2"/>
  <c r="BE23" i="2"/>
  <c r="BD23" i="2"/>
  <c r="BC23" i="2"/>
  <c r="BB23" i="2"/>
  <c r="BA23" i="2"/>
  <c r="AZ23" i="2"/>
  <c r="AY23" i="2"/>
  <c r="AX23" i="2"/>
  <c r="AW23" i="2"/>
  <c r="AV23" i="2"/>
  <c r="AU23" i="2"/>
  <c r="AS23" i="2"/>
  <c r="AR23" i="2"/>
  <c r="AQ23" i="2"/>
  <c r="AP23" i="2"/>
  <c r="AO23" i="2"/>
  <c r="AN23" i="2"/>
  <c r="AM23" i="2"/>
  <c r="AL23" i="2"/>
  <c r="AK23" i="2"/>
  <c r="AJ23" i="2"/>
  <c r="AI23" i="2"/>
  <c r="AH23" i="2"/>
  <c r="BF22" i="2"/>
  <c r="BE22" i="2"/>
  <c r="BD22" i="2"/>
  <c r="BC22" i="2"/>
  <c r="BB22" i="2"/>
  <c r="BA22" i="2"/>
  <c r="AZ22" i="2"/>
  <c r="AY22" i="2"/>
  <c r="AX22" i="2"/>
  <c r="AW22" i="2"/>
  <c r="AV22" i="2"/>
  <c r="AU22" i="2"/>
  <c r="AT22" i="2"/>
  <c r="AR22" i="2"/>
  <c r="AQ22" i="2"/>
  <c r="AP22" i="2"/>
  <c r="AO22" i="2"/>
  <c r="AN22" i="2"/>
  <c r="AM22" i="2"/>
  <c r="AL22" i="2"/>
  <c r="AK22" i="2"/>
  <c r="AJ22" i="2"/>
  <c r="AI22" i="2"/>
  <c r="AH22" i="2"/>
  <c r="BF21" i="2"/>
  <c r="BE21" i="2"/>
  <c r="BD21" i="2"/>
  <c r="BC21" i="2"/>
  <c r="BB21" i="2"/>
  <c r="BA21" i="2"/>
  <c r="AZ21" i="2"/>
  <c r="AY21" i="2"/>
  <c r="AX21" i="2"/>
  <c r="AW21" i="2"/>
  <c r="AV21" i="2"/>
  <c r="AU21" i="2"/>
  <c r="AT21" i="2"/>
  <c r="AS21" i="2"/>
  <c r="AQ21" i="2"/>
  <c r="AP21" i="2"/>
  <c r="AO21" i="2"/>
  <c r="AN21" i="2"/>
  <c r="AM21" i="2"/>
  <c r="AL21" i="2"/>
  <c r="AK21" i="2"/>
  <c r="AJ21" i="2"/>
  <c r="AI21" i="2"/>
  <c r="AH21" i="2"/>
  <c r="BF20" i="2"/>
  <c r="BE20" i="2"/>
  <c r="BD20" i="2"/>
  <c r="BC20" i="2"/>
  <c r="BB20" i="2"/>
  <c r="BA20" i="2"/>
  <c r="AZ20" i="2"/>
  <c r="AY20" i="2"/>
  <c r="AX20" i="2"/>
  <c r="AW20" i="2"/>
  <c r="AV20" i="2"/>
  <c r="AU20" i="2"/>
  <c r="AS20" i="2"/>
  <c r="AO20" i="2"/>
  <c r="AN20" i="2"/>
  <c r="AM20" i="2"/>
  <c r="AL20" i="2"/>
  <c r="AK20" i="2"/>
  <c r="AJ20" i="2"/>
  <c r="AI20" i="2"/>
  <c r="AH20" i="2"/>
  <c r="BF19" i="2"/>
  <c r="BE19" i="2"/>
  <c r="BD19" i="2"/>
  <c r="BC19" i="2"/>
  <c r="BB19" i="2"/>
  <c r="BA19" i="2"/>
  <c r="AZ19" i="2"/>
  <c r="AY19" i="2"/>
  <c r="AX19" i="2"/>
  <c r="AW19" i="2"/>
  <c r="AV19" i="2"/>
  <c r="AU19" i="2"/>
  <c r="AT19" i="2"/>
  <c r="AS19" i="2"/>
  <c r="AR19" i="2"/>
  <c r="AP19" i="2"/>
  <c r="AO19" i="2"/>
  <c r="AN19" i="2"/>
  <c r="AM19" i="2"/>
  <c r="AL19" i="2"/>
  <c r="AK19" i="2"/>
  <c r="AJ19" i="2"/>
  <c r="AI19" i="2"/>
  <c r="AH19" i="2"/>
  <c r="BF18" i="2"/>
  <c r="BE18" i="2"/>
  <c r="BD18" i="2"/>
  <c r="BC18" i="2"/>
  <c r="BB18" i="2"/>
  <c r="BA18" i="2"/>
  <c r="AZ18" i="2"/>
  <c r="AY18" i="2"/>
  <c r="AX18" i="2"/>
  <c r="AW18" i="2"/>
  <c r="AV18" i="2"/>
  <c r="AU18" i="2"/>
  <c r="AT18" i="2"/>
  <c r="AS18" i="2"/>
  <c r="AR18" i="2"/>
  <c r="AO18" i="2"/>
  <c r="AN18" i="2"/>
  <c r="AM18" i="2"/>
  <c r="AL18" i="2"/>
  <c r="AK18" i="2"/>
  <c r="AJ18" i="2"/>
  <c r="AI18" i="2"/>
  <c r="AH18" i="2"/>
  <c r="BF17" i="2"/>
  <c r="BE17" i="2"/>
  <c r="BD17" i="2"/>
  <c r="BC17" i="2"/>
  <c r="BB17" i="2"/>
  <c r="BA17" i="2"/>
  <c r="AZ17" i="2"/>
  <c r="AY17" i="2"/>
  <c r="AX17" i="2"/>
  <c r="AW17" i="2"/>
  <c r="AV17" i="2"/>
  <c r="AU17" i="2"/>
  <c r="AT17" i="2"/>
  <c r="AS17" i="2"/>
  <c r="AR17" i="2"/>
  <c r="AO17" i="2"/>
  <c r="AN17" i="2"/>
  <c r="AM17" i="2"/>
  <c r="AL17" i="2"/>
  <c r="AK17" i="2"/>
  <c r="AJ17" i="2"/>
  <c r="AI17" i="2"/>
  <c r="AH17" i="2"/>
  <c r="BF16" i="2"/>
  <c r="BE16" i="2"/>
  <c r="BD16" i="2"/>
  <c r="BC16" i="2"/>
  <c r="BB16" i="2"/>
  <c r="BA16" i="2"/>
  <c r="AZ16" i="2"/>
  <c r="AY16" i="2"/>
  <c r="AX16" i="2"/>
  <c r="AW16" i="2"/>
  <c r="AV16" i="2"/>
  <c r="AU16" i="2"/>
  <c r="AT16" i="2"/>
  <c r="AS16" i="2"/>
  <c r="AR16" i="2"/>
  <c r="AO16" i="2"/>
  <c r="AN16" i="2"/>
  <c r="AM16" i="2"/>
  <c r="AL16" i="2"/>
  <c r="AK16" i="2"/>
  <c r="AJ16" i="2"/>
  <c r="AI16" i="2"/>
  <c r="AH16" i="2"/>
  <c r="BF15" i="2"/>
  <c r="BE15" i="2"/>
  <c r="BD15" i="2"/>
  <c r="BC15" i="2"/>
  <c r="BB15" i="2"/>
  <c r="BA15" i="2"/>
  <c r="AZ15" i="2"/>
  <c r="AY15" i="2"/>
  <c r="AX15" i="2"/>
  <c r="AW15" i="2"/>
  <c r="AV15" i="2"/>
  <c r="AU15" i="2"/>
  <c r="AT15" i="2"/>
  <c r="AS15" i="2"/>
  <c r="AR15" i="2"/>
  <c r="AQ15" i="2"/>
  <c r="AP15" i="2"/>
  <c r="AN15" i="2"/>
  <c r="AM15" i="2"/>
  <c r="AL15" i="2"/>
  <c r="AK15" i="2"/>
  <c r="AJ15" i="2"/>
  <c r="AI15" i="2"/>
  <c r="AH15" i="2"/>
  <c r="BF14" i="2"/>
  <c r="BE14" i="2"/>
  <c r="BD14" i="2"/>
  <c r="BC14" i="2"/>
  <c r="BB14" i="2"/>
  <c r="BA14" i="2"/>
  <c r="AZ14" i="2"/>
  <c r="AY14" i="2"/>
  <c r="AX14" i="2"/>
  <c r="AW14" i="2"/>
  <c r="AV14" i="2"/>
  <c r="AU14" i="2"/>
  <c r="AT14" i="2"/>
  <c r="AS14" i="2"/>
  <c r="AR14" i="2"/>
  <c r="AQ14" i="2"/>
  <c r="AP14" i="2"/>
  <c r="AN14" i="2"/>
  <c r="AM14" i="2"/>
  <c r="AL14" i="2"/>
  <c r="AK14" i="2"/>
  <c r="AJ14" i="2"/>
  <c r="AI14" i="2"/>
  <c r="AH14" i="2"/>
  <c r="BF13" i="2"/>
  <c r="BE13" i="2"/>
  <c r="BD13" i="2"/>
  <c r="BC13" i="2"/>
  <c r="BB13" i="2"/>
  <c r="BA13" i="2"/>
  <c r="AZ13" i="2"/>
  <c r="AY13" i="2"/>
  <c r="AX13" i="2"/>
  <c r="AW13" i="2"/>
  <c r="AV13" i="2"/>
  <c r="AU13" i="2"/>
  <c r="AT13" i="2"/>
  <c r="AS13" i="2"/>
  <c r="AR13" i="2"/>
  <c r="AQ13" i="2"/>
  <c r="AP13" i="2"/>
  <c r="AO13" i="2"/>
  <c r="AM13" i="2"/>
  <c r="AL13" i="2"/>
  <c r="AK13" i="2"/>
  <c r="AJ13" i="2"/>
  <c r="AI13" i="2"/>
  <c r="AH13" i="2"/>
  <c r="BF12" i="2"/>
  <c r="BE12" i="2"/>
  <c r="BD12" i="2"/>
  <c r="BC12" i="2"/>
  <c r="BB12" i="2"/>
  <c r="BA12" i="2"/>
  <c r="AZ12" i="2"/>
  <c r="AY12" i="2"/>
  <c r="AX12" i="2"/>
  <c r="AW12" i="2"/>
  <c r="AV12" i="2"/>
  <c r="AU12" i="2"/>
  <c r="AT12" i="2"/>
  <c r="AS12" i="2"/>
  <c r="AR12" i="2"/>
  <c r="AQ12" i="2"/>
  <c r="AP12" i="2"/>
  <c r="AO12" i="2"/>
  <c r="AN12" i="2"/>
  <c r="AL12" i="2"/>
  <c r="AK12" i="2"/>
  <c r="AJ12" i="2"/>
  <c r="AI12" i="2"/>
  <c r="AH12" i="2"/>
  <c r="BF11" i="2"/>
  <c r="BE11" i="2"/>
  <c r="BD11" i="2"/>
  <c r="BC11" i="2"/>
  <c r="BB11" i="2"/>
  <c r="BA11" i="2"/>
  <c r="AZ11" i="2"/>
  <c r="AY11" i="2"/>
  <c r="AX11" i="2"/>
  <c r="AW11" i="2"/>
  <c r="AV11" i="2"/>
  <c r="AU11" i="2"/>
  <c r="AT11" i="2"/>
  <c r="AS11" i="2"/>
  <c r="AR11" i="2"/>
  <c r="AQ11" i="2"/>
  <c r="AP11" i="2"/>
  <c r="AO11" i="2"/>
  <c r="AN11" i="2"/>
  <c r="AM11" i="2"/>
  <c r="AL11" i="2"/>
  <c r="AK11" i="2"/>
  <c r="AJ11" i="2"/>
  <c r="AI11" i="2"/>
  <c r="BF10" i="2"/>
  <c r="BE10" i="2"/>
  <c r="BD10" i="2"/>
  <c r="BC10" i="2"/>
  <c r="BB10" i="2"/>
  <c r="BA10" i="2"/>
  <c r="AZ10" i="2"/>
  <c r="AY10" i="2"/>
  <c r="AX10" i="2"/>
  <c r="AW10" i="2"/>
  <c r="AV10" i="2"/>
  <c r="AU10" i="2"/>
  <c r="AT10" i="2"/>
  <c r="AS10" i="2"/>
  <c r="AR10" i="2"/>
  <c r="AQ10" i="2"/>
  <c r="AP10" i="2"/>
  <c r="AO10" i="2"/>
  <c r="AN10" i="2"/>
  <c r="AM10" i="2"/>
  <c r="AL10" i="2"/>
  <c r="AK10" i="2"/>
  <c r="AJ10" i="2"/>
  <c r="AI10" i="2"/>
  <c r="BF9" i="2"/>
  <c r="BE9" i="2"/>
  <c r="BD9" i="2"/>
  <c r="BC9" i="2"/>
  <c r="BB9" i="2"/>
  <c r="BA9" i="2"/>
  <c r="AZ9" i="2"/>
  <c r="AY9" i="2"/>
  <c r="AX9" i="2"/>
  <c r="AW9" i="2"/>
  <c r="AV9" i="2"/>
  <c r="AU9" i="2"/>
  <c r="AT9" i="2"/>
  <c r="AS9" i="2"/>
  <c r="AR9" i="2"/>
  <c r="AQ9" i="2"/>
  <c r="AP9" i="2"/>
  <c r="AO9" i="2"/>
  <c r="AN9" i="2"/>
  <c r="AM9" i="2"/>
  <c r="AL9" i="2"/>
  <c r="AK9" i="2"/>
  <c r="AJ9" i="2"/>
  <c r="AI9" i="2"/>
  <c r="BF8" i="2"/>
  <c r="BE8" i="2"/>
  <c r="BD8" i="2"/>
  <c r="BC8" i="2"/>
  <c r="BB8" i="2"/>
  <c r="BA8" i="2"/>
  <c r="AZ8" i="2"/>
  <c r="AY8" i="2"/>
  <c r="AX8" i="2"/>
  <c r="AW8" i="2"/>
  <c r="AV8" i="2"/>
  <c r="AU8" i="2"/>
  <c r="AT8" i="2"/>
  <c r="AS8" i="2"/>
  <c r="AR8" i="2"/>
  <c r="AQ8" i="2"/>
  <c r="AP8" i="2"/>
  <c r="AO8" i="2"/>
  <c r="AN8" i="2"/>
  <c r="AM8" i="2"/>
  <c r="AL8" i="2"/>
  <c r="AK8" i="2"/>
  <c r="AJ8" i="2"/>
  <c r="AI8" i="2"/>
  <c r="BF7" i="2"/>
  <c r="BE7" i="2"/>
  <c r="BD7" i="2"/>
  <c r="BC7" i="2"/>
  <c r="BB7" i="2"/>
  <c r="BA7" i="2"/>
  <c r="AZ7" i="2"/>
  <c r="AY7" i="2"/>
  <c r="AX7" i="2"/>
  <c r="AW7" i="2"/>
  <c r="AV7" i="2"/>
  <c r="AU7" i="2"/>
  <c r="AT7" i="2"/>
  <c r="AS7" i="2"/>
  <c r="AR7" i="2"/>
  <c r="AQ7" i="2"/>
  <c r="AP7" i="2"/>
  <c r="AO7" i="2"/>
  <c r="AN7" i="2"/>
  <c r="AM7" i="2"/>
  <c r="AL7" i="2"/>
  <c r="AK7" i="2"/>
  <c r="AJ7" i="2"/>
  <c r="AI7" i="2"/>
  <c r="AI40" i="2" s="1"/>
  <c r="A5" i="2"/>
  <c r="B4" i="2"/>
  <c r="B1" i="2"/>
  <c r="H86" i="1"/>
  <c r="F81" i="1"/>
  <c r="F80" i="1"/>
  <c r="F79" i="1" s="1"/>
  <c r="F78" i="1"/>
  <c r="F77" i="1"/>
  <c r="F76" i="1"/>
  <c r="F75" i="1"/>
  <c r="F74" i="1"/>
  <c r="F73" i="1"/>
  <c r="F72" i="1"/>
  <c r="F71" i="1"/>
  <c r="F70" i="1"/>
  <c r="F69" i="1"/>
  <c r="F68" i="1"/>
  <c r="F67" i="1"/>
  <c r="D66" i="1"/>
  <c r="F66" i="1" s="1"/>
  <c r="F65" i="1"/>
  <c r="F64" i="1"/>
  <c r="F63" i="1"/>
  <c r="F62" i="1"/>
  <c r="F61" i="1"/>
  <c r="F60" i="1"/>
  <c r="F59" i="1"/>
  <c r="F58" i="1"/>
  <c r="F57" i="1"/>
  <c r="F56" i="1"/>
  <c r="F55" i="1"/>
  <c r="F54" i="1"/>
  <c r="D53" i="1"/>
  <c r="F53" i="1" s="1"/>
  <c r="F52" i="1"/>
  <c r="F51" i="1"/>
  <c r="F50" i="1"/>
  <c r="D50" i="1"/>
  <c r="F49" i="1"/>
  <c r="D47" i="1"/>
  <c r="F47" i="1" s="1"/>
  <c r="F45" i="1"/>
  <c r="D44" i="1"/>
  <c r="F44" i="1" s="1"/>
  <c r="F43" i="1"/>
  <c r="F41" i="1"/>
  <c r="F39" i="1"/>
  <c r="F38" i="1"/>
  <c r="F37" i="1"/>
  <c r="E35" i="1"/>
  <c r="F35" i="1" s="1"/>
  <c r="F34" i="1"/>
  <c r="F33" i="1"/>
  <c r="F32" i="1"/>
  <c r="F31" i="1"/>
  <c r="F28" i="1"/>
  <c r="F27" i="1"/>
  <c r="D26" i="1"/>
  <c r="F26" i="1" s="1"/>
  <c r="D23" i="1"/>
  <c r="F23" i="1" s="1"/>
  <c r="F22" i="1"/>
  <c r="I21" i="1"/>
  <c r="D21" i="1"/>
  <c r="F21" i="1" s="1"/>
  <c r="D20" i="1"/>
  <c r="F20" i="1" s="1"/>
  <c r="J19" i="1"/>
  <c r="J21" i="1" s="1"/>
  <c r="I19" i="1"/>
  <c r="I20" i="1" s="1"/>
  <c r="F19" i="1"/>
  <c r="D19" i="1"/>
  <c r="F17" i="1"/>
  <c r="F9" i="1" s="1"/>
  <c r="F16" i="1"/>
  <c r="F15" i="1"/>
  <c r="F14" i="1"/>
  <c r="F13" i="1"/>
  <c r="F12" i="1"/>
  <c r="F11" i="1"/>
  <c r="F10" i="1"/>
  <c r="F8" i="1"/>
  <c r="D7" i="1"/>
  <c r="F7" i="1" s="1"/>
  <c r="I6" i="1"/>
  <c r="B1271" i="8" l="1"/>
  <c r="B1287" i="8" s="1"/>
  <c r="B1303" i="8" s="1"/>
  <c r="B1311" i="8" s="1"/>
  <c r="B1319" i="8" s="1"/>
  <c r="B1054" i="9"/>
  <c r="B1083" i="9"/>
  <c r="B1090" i="9" s="1"/>
  <c r="B1075" i="9"/>
  <c r="B1047" i="9"/>
  <c r="D242" i="44"/>
  <c r="F242" i="44" s="1"/>
  <c r="D85" i="45"/>
  <c r="F85" i="45" s="1"/>
  <c r="G89" i="45" s="1"/>
  <c r="G101" i="45" s="1"/>
  <c r="B1098" i="9"/>
  <c r="B1009" i="6"/>
  <c r="A1034" i="6"/>
  <c r="A1" i="17"/>
  <c r="B1040" i="9"/>
  <c r="B1016" i="6"/>
  <c r="B1274" i="9"/>
  <c r="B1290" i="9" s="1"/>
  <c r="B1306" i="9" s="1"/>
  <c r="A1047" i="8"/>
  <c r="G127" i="45"/>
  <c r="G139" i="45" s="1"/>
  <c r="A1054" i="8"/>
  <c r="B1067" i="6"/>
  <c r="B1276" i="11"/>
  <c r="B1292" i="11" s="1"/>
  <c r="B1308" i="11" s="1"/>
  <c r="B1052" i="6"/>
  <c r="B1059" i="6" s="1"/>
  <c r="K51" i="14"/>
  <c r="K50" i="14"/>
  <c r="K45" i="14"/>
  <c r="K46" i="14"/>
  <c r="K48" i="14"/>
  <c r="K49" i="14"/>
  <c r="K17" i="14"/>
  <c r="K44" i="14"/>
  <c r="B39" i="5"/>
  <c r="B40" i="10"/>
  <c r="B26" i="5"/>
  <c r="B10" i="5"/>
  <c r="B40" i="5"/>
  <c r="B10" i="7"/>
  <c r="B52" i="7"/>
  <c r="C35" i="10"/>
  <c r="A327" i="37"/>
  <c r="B18" i="10"/>
  <c r="A39" i="37"/>
  <c r="B18" i="5"/>
  <c r="A80" i="35"/>
  <c r="A437" i="41"/>
  <c r="C18" i="5"/>
  <c r="B25" i="5"/>
  <c r="L272" i="6"/>
  <c r="L271" i="6"/>
  <c r="C666" i="6"/>
  <c r="G666" i="6" s="1"/>
  <c r="B898" i="6"/>
  <c r="B905" i="6"/>
  <c r="B913" i="6" s="1"/>
  <c r="B802" i="8"/>
  <c r="B811" i="8" s="1"/>
  <c r="B785" i="8"/>
  <c r="B993" i="8"/>
  <c r="B1000" i="8" s="1"/>
  <c r="B1008" i="8" s="1"/>
  <c r="B1015" i="8" s="1"/>
  <c r="B985" i="8"/>
  <c r="B918" i="8"/>
  <c r="B925" i="8"/>
  <c r="B933" i="8" s="1"/>
  <c r="D17" i="7"/>
  <c r="I17" i="8"/>
  <c r="B582" i="6"/>
  <c r="B593" i="6" s="1"/>
  <c r="B573" i="6"/>
  <c r="K262" i="6"/>
  <c r="D21" i="5"/>
  <c r="D21" i="10"/>
  <c r="F106" i="20"/>
  <c r="C18" i="27"/>
  <c r="C1384" i="6"/>
  <c r="C1392" i="6"/>
  <c r="F78" i="20"/>
  <c r="E545" i="37"/>
  <c r="F544" i="37"/>
  <c r="I11" i="8"/>
  <c r="I11" i="11"/>
  <c r="I11" i="6"/>
  <c r="C42" i="6"/>
  <c r="G42" i="6" s="1"/>
  <c r="G22" i="6"/>
  <c r="F23" i="6"/>
  <c r="G23" i="6" s="1"/>
  <c r="F1384" i="6"/>
  <c r="F1392" i="6"/>
  <c r="G687" i="8"/>
  <c r="I327" i="9"/>
  <c r="J327" i="9" s="1"/>
  <c r="D38" i="10"/>
  <c r="F38" i="10" s="1"/>
  <c r="C59" i="5"/>
  <c r="C60" i="5" s="1"/>
  <c r="C61" i="5" s="1"/>
  <c r="C62" i="5" s="1"/>
  <c r="C55" i="5"/>
  <c r="C56" i="5" s="1"/>
  <c r="C57" i="5" s="1"/>
  <c r="C58" i="5" s="1"/>
  <c r="C132" i="6"/>
  <c r="G132" i="6" s="1"/>
  <c r="G124" i="6"/>
  <c r="C693" i="8"/>
  <c r="G693" i="8" s="1"/>
  <c r="G696" i="8" s="1"/>
  <c r="B456" i="9"/>
  <c r="B464" i="9" s="1"/>
  <c r="B473" i="9" s="1"/>
  <c r="B481" i="9" s="1"/>
  <c r="B489" i="9" s="1"/>
  <c r="B503" i="9" s="1"/>
  <c r="B415" i="9"/>
  <c r="B424" i="9" s="1"/>
  <c r="B432" i="9" s="1"/>
  <c r="B440" i="9" s="1"/>
  <c r="B448" i="9" s="1"/>
  <c r="C22" i="11"/>
  <c r="G148" i="11"/>
  <c r="K264" i="11" s="1"/>
  <c r="D60" i="4"/>
  <c r="F60" i="4" s="1"/>
  <c r="F59" i="4"/>
  <c r="B542" i="11"/>
  <c r="B549" i="11" s="1"/>
  <c r="B558" i="11" s="1"/>
  <c r="B567" i="11" s="1"/>
  <c r="B576" i="11" s="1"/>
  <c r="B533" i="11"/>
  <c r="B771" i="11"/>
  <c r="B779" i="11" s="1"/>
  <c r="B764" i="11"/>
  <c r="AL40" i="2"/>
  <c r="AJ40" i="2"/>
  <c r="G811" i="9"/>
  <c r="A899" i="11"/>
  <c r="A892" i="11"/>
  <c r="H15" i="18"/>
  <c r="H18" i="18" s="1"/>
  <c r="G49" i="8"/>
  <c r="I13" i="8" s="1"/>
  <c r="B404" i="8"/>
  <c r="B413" i="8" s="1"/>
  <c r="B421" i="8" s="1"/>
  <c r="B429" i="8" s="1"/>
  <c r="B437" i="8" s="1"/>
  <c r="B813" i="9"/>
  <c r="B822" i="9" s="1"/>
  <c r="B391" i="11"/>
  <c r="B400" i="11" s="1"/>
  <c r="B408" i="11" s="1"/>
  <c r="B416" i="11" s="1"/>
  <c r="B424" i="11" s="1"/>
  <c r="B432" i="11"/>
  <c r="B440" i="11" s="1"/>
  <c r="B449" i="11" s="1"/>
  <c r="B457" i="11" s="1"/>
  <c r="B465" i="11" s="1"/>
  <c r="B473" i="11" s="1"/>
  <c r="A905" i="6"/>
  <c r="A913" i="6" s="1"/>
  <c r="A921" i="6" s="1"/>
  <c r="A928" i="6" s="1"/>
  <c r="A935" i="6" s="1"/>
  <c r="A942" i="6" s="1"/>
  <c r="A950" i="6" s="1"/>
  <c r="A957" i="6" s="1"/>
  <c r="A898" i="6"/>
  <c r="BF40" i="2"/>
  <c r="G384" i="8"/>
  <c r="B831" i="11"/>
  <c r="A764" i="11"/>
  <c r="A771" i="11"/>
  <c r="A779" i="11" s="1"/>
  <c r="A787" i="11" s="1"/>
  <c r="A794" i="11" s="1"/>
  <c r="A801" i="11" s="1"/>
  <c r="A808" i="11" s="1"/>
  <c r="A816" i="11" s="1"/>
  <c r="A823" i="11" s="1"/>
  <c r="E664" i="6"/>
  <c r="G664" i="6" s="1"/>
  <c r="G667" i="6" s="1"/>
  <c r="C655" i="6"/>
  <c r="G655" i="6" s="1"/>
  <c r="G658" i="6" s="1"/>
  <c r="G623" i="6"/>
  <c r="G647" i="6" s="1"/>
  <c r="G22" i="8"/>
  <c r="G35" i="8" s="1"/>
  <c r="I12" i="8" s="1"/>
  <c r="F23" i="8"/>
  <c r="G23" i="8" s="1"/>
  <c r="A925" i="8"/>
  <c r="A933" i="8" s="1"/>
  <c r="A941" i="8" s="1"/>
  <c r="A948" i="8" s="1"/>
  <c r="A955" i="8" s="1"/>
  <c r="A962" i="8" s="1"/>
  <c r="A970" i="8" s="1"/>
  <c r="A977" i="8" s="1"/>
  <c r="A918" i="8"/>
  <c r="F23" i="9"/>
  <c r="G23" i="9" s="1"/>
  <c r="G22" i="9"/>
  <c r="G395" i="9"/>
  <c r="F147" i="10"/>
  <c r="H147" i="10" s="1"/>
  <c r="G36" i="17"/>
  <c r="D29" i="31"/>
  <c r="F29" i="31" s="1"/>
  <c r="G31" i="31" s="1"/>
  <c r="D26" i="30"/>
  <c r="C23" i="30"/>
  <c r="D2338" i="44"/>
  <c r="F2338" i="44" s="1"/>
  <c r="D490" i="42"/>
  <c r="F490" i="42" s="1"/>
  <c r="D346" i="35"/>
  <c r="D473" i="37"/>
  <c r="F473" i="37" s="1"/>
  <c r="G474" i="37" s="1"/>
  <c r="D505" i="35"/>
  <c r="F505" i="35" s="1"/>
  <c r="G506" i="35" s="1"/>
  <c r="D410" i="35"/>
  <c r="D378" i="35"/>
  <c r="F378" i="35" s="1"/>
  <c r="G379" i="35" s="1"/>
  <c r="F18" i="1"/>
  <c r="F82" i="1" s="1"/>
  <c r="F48" i="1"/>
  <c r="G1338" i="6"/>
  <c r="G642" i="8"/>
  <c r="G667" i="8" s="1"/>
  <c r="D17" i="10"/>
  <c r="I17" i="9"/>
  <c r="I19" i="9" s="1"/>
  <c r="A936" i="9"/>
  <c r="A944" i="9" s="1"/>
  <c r="A952" i="9" s="1"/>
  <c r="A959" i="9" s="1"/>
  <c r="A966" i="9" s="1"/>
  <c r="A973" i="9" s="1"/>
  <c r="A981" i="9" s="1"/>
  <c r="A988" i="9" s="1"/>
  <c r="B1243" i="6"/>
  <c r="B1259" i="6" s="1"/>
  <c r="B1275" i="6" s="1"/>
  <c r="B1251" i="6"/>
  <c r="B1267" i="6" s="1"/>
  <c r="B1283" i="6" s="1"/>
  <c r="B1291" i="6" s="1"/>
  <c r="K270" i="9"/>
  <c r="C1415" i="9"/>
  <c r="G1415" i="9" s="1"/>
  <c r="G1417" i="9" s="1"/>
  <c r="C1423" i="9"/>
  <c r="G1423" i="9" s="1"/>
  <c r="G1425" i="9" s="1"/>
  <c r="B648" i="11"/>
  <c r="B657" i="11" s="1"/>
  <c r="B664" i="11" s="1"/>
  <c r="B672" i="11" s="1"/>
  <c r="B680" i="11" s="1"/>
  <c r="B687" i="11" s="1"/>
  <c r="B694" i="11" s="1"/>
  <c r="B701" i="11" s="1"/>
  <c r="B708" i="11" s="1"/>
  <c r="B715" i="11" s="1"/>
  <c r="B639" i="11"/>
  <c r="B932" i="11"/>
  <c r="B874" i="11"/>
  <c r="B948" i="11"/>
  <c r="B956" i="11" s="1"/>
  <c r="B940" i="11"/>
  <c r="B888" i="11"/>
  <c r="B917" i="11"/>
  <c r="B924" i="11" s="1"/>
  <c r="B881" i="11"/>
  <c r="B909" i="11"/>
  <c r="B972" i="11"/>
  <c r="B964" i="11"/>
  <c r="B782" i="6"/>
  <c r="B791" i="6" s="1"/>
  <c r="H25" i="18"/>
  <c r="G26" i="18"/>
  <c r="AK40" i="2"/>
  <c r="B24" i="10"/>
  <c r="B24" i="7"/>
  <c r="B24" i="5"/>
  <c r="B1004" i="9"/>
  <c r="B1011" i="9" s="1"/>
  <c r="B1019" i="9" s="1"/>
  <c r="B1026" i="9" s="1"/>
  <c r="B996" i="9"/>
  <c r="F29" i="1"/>
  <c r="L629" i="6"/>
  <c r="B613" i="9"/>
  <c r="B624" i="9" s="1"/>
  <c r="B604" i="9"/>
  <c r="S4" i="2"/>
  <c r="S22" i="2" s="1"/>
  <c r="A10" i="52"/>
  <c r="A4" i="10"/>
  <c r="A4" i="5"/>
  <c r="A4" i="7"/>
  <c r="C40" i="7"/>
  <c r="C40" i="10"/>
  <c r="G63" i="8"/>
  <c r="I14" i="8" s="1"/>
  <c r="G185" i="8"/>
  <c r="K256" i="8" s="1"/>
  <c r="K257" i="8" s="1"/>
  <c r="K259" i="8" s="1"/>
  <c r="D37" i="7"/>
  <c r="F37" i="7" s="1"/>
  <c r="I316" i="8"/>
  <c r="J316" i="8" s="1"/>
  <c r="C1417" i="11"/>
  <c r="G1417" i="11" s="1"/>
  <c r="G1419" i="11" s="1"/>
  <c r="C1425" i="11"/>
  <c r="G1425" i="11" s="1"/>
  <c r="G1427" i="11" s="1"/>
  <c r="B929" i="9"/>
  <c r="B936" i="9"/>
  <c r="B944" i="9" s="1"/>
  <c r="F6" i="1"/>
  <c r="B593" i="8"/>
  <c r="B602" i="8"/>
  <c r="B613" i="8" s="1"/>
  <c r="G1078" i="8"/>
  <c r="B1330" i="9"/>
  <c r="B1338" i="9"/>
  <c r="B1346" i="9" s="1"/>
  <c r="B1355" i="9" s="1"/>
  <c r="B1363" i="9" s="1"/>
  <c r="B1371" i="9" s="1"/>
  <c r="B902" i="11"/>
  <c r="F1417" i="11"/>
  <c r="F1425" i="11"/>
  <c r="K42" i="14"/>
  <c r="F97" i="20"/>
  <c r="D25" i="1"/>
  <c r="F25" i="1" s="1"/>
  <c r="F24" i="1" s="1"/>
  <c r="F152" i="7"/>
  <c r="H152" i="7" s="1"/>
  <c r="C35" i="5"/>
  <c r="A1027" i="6"/>
  <c r="G654" i="9"/>
  <c r="G665" i="9"/>
  <c r="G774" i="9"/>
  <c r="G1328" i="9"/>
  <c r="L273" i="11"/>
  <c r="B1340" i="11"/>
  <c r="B1348" i="11" s="1"/>
  <c r="B1357" i="11" s="1"/>
  <c r="B1365" i="11" s="1"/>
  <c r="B1373" i="11" s="1"/>
  <c r="K12" i="14"/>
  <c r="G190" i="32"/>
  <c r="F21" i="4"/>
  <c r="F77" i="4"/>
  <c r="F79" i="4" s="1"/>
  <c r="G946" i="8"/>
  <c r="A1058" i="9"/>
  <c r="G1208" i="9"/>
  <c r="G77" i="11"/>
  <c r="K23" i="14"/>
  <c r="D21" i="47"/>
  <c r="E20" i="47"/>
  <c r="D955" i="38"/>
  <c r="F955" i="38" s="1"/>
  <c r="G960" i="38" s="1"/>
  <c r="G972" i="38" s="1"/>
  <c r="D780" i="38"/>
  <c r="F780" i="38" s="1"/>
  <c r="D746" i="38"/>
  <c r="F746" i="38" s="1"/>
  <c r="G747" i="38" s="1"/>
  <c r="G759" i="38" s="1"/>
  <c r="D273" i="41"/>
  <c r="F273" i="41" s="1"/>
  <c r="D1029" i="38"/>
  <c r="F1029" i="38" s="1"/>
  <c r="G1034" i="38" s="1"/>
  <c r="G1046" i="38" s="1"/>
  <c r="D992" i="38"/>
  <c r="F992" i="38" s="1"/>
  <c r="G997" i="38" s="1"/>
  <c r="D710" i="38"/>
  <c r="F710" i="38" s="1"/>
  <c r="D1402" i="41"/>
  <c r="F1402" i="41" s="1"/>
  <c r="D91" i="41"/>
  <c r="F91" i="41" s="1"/>
  <c r="D1397" i="41"/>
  <c r="F1397" i="41" s="1"/>
  <c r="D706" i="38"/>
  <c r="F706" i="38" s="1"/>
  <c r="G711" i="38" s="1"/>
  <c r="G723" i="38" s="1"/>
  <c r="D871" i="41"/>
  <c r="F871" i="41" s="1"/>
  <c r="G877" i="41" s="1"/>
  <c r="G889" i="41" s="1"/>
  <c r="D55" i="41"/>
  <c r="F55" i="41" s="1"/>
  <c r="G678" i="9"/>
  <c r="G628" i="8"/>
  <c r="B1064" i="8"/>
  <c r="B1057" i="8"/>
  <c r="B1036" i="8"/>
  <c r="B1072" i="8"/>
  <c r="B1079" i="8" s="1"/>
  <c r="L278" i="9"/>
  <c r="F105" i="20"/>
  <c r="D37" i="5"/>
  <c r="F37" i="5" s="1"/>
  <c r="B17" i="7"/>
  <c r="B25" i="7"/>
  <c r="G800" i="8"/>
  <c r="G1213" i="8"/>
  <c r="G261" i="9"/>
  <c r="D29" i="10" s="1"/>
  <c r="G685" i="9"/>
  <c r="C696" i="9"/>
  <c r="G696" i="9" s="1"/>
  <c r="C704" i="9" s="1"/>
  <c r="G704" i="9" s="1"/>
  <c r="G707" i="9" s="1"/>
  <c r="G1104" i="9"/>
  <c r="K13" i="12"/>
  <c r="A1065" i="9"/>
  <c r="G1168" i="9"/>
  <c r="G1344" i="9"/>
  <c r="C63" i="10"/>
  <c r="C64" i="10" s="1"/>
  <c r="C185" i="11"/>
  <c r="G185" i="11" s="1"/>
  <c r="G205" i="11" s="1"/>
  <c r="K262" i="11" s="1"/>
  <c r="K263" i="11" s="1"/>
  <c r="G447" i="11"/>
  <c r="G610" i="11"/>
  <c r="G1234" i="11"/>
  <c r="G1354" i="11"/>
  <c r="B1043" i="8"/>
  <c r="G642" i="9"/>
  <c r="G119" i="11"/>
  <c r="I17" i="11" s="1"/>
  <c r="C127" i="11"/>
  <c r="G127" i="11" s="1"/>
  <c r="G130" i="11" s="1"/>
  <c r="I18" i="11" s="1"/>
  <c r="I312" i="11"/>
  <c r="J312" i="11" s="1"/>
  <c r="D675" i="38"/>
  <c r="F675" i="38" s="1"/>
  <c r="G676" i="38" s="1"/>
  <c r="K267" i="9"/>
  <c r="K268" i="9" s="1"/>
  <c r="F128" i="4"/>
  <c r="C17" i="7"/>
  <c r="C17" i="10"/>
  <c r="B23" i="5"/>
  <c r="C673" i="6"/>
  <c r="G673" i="6" s="1"/>
  <c r="G676" i="6" s="1"/>
  <c r="B1044" i="6"/>
  <c r="B1023" i="6"/>
  <c r="B26" i="7"/>
  <c r="G1149" i="8"/>
  <c r="G637" i="9"/>
  <c r="C47" i="11"/>
  <c r="G47" i="11" s="1"/>
  <c r="G29" i="11"/>
  <c r="K25" i="14"/>
  <c r="F1269" i="38"/>
  <c r="E1270" i="38"/>
  <c r="B23" i="10"/>
  <c r="J37" i="12"/>
  <c r="K37" i="12" s="1"/>
  <c r="J36" i="12"/>
  <c r="K36" i="12" s="1"/>
  <c r="K260" i="6"/>
  <c r="K261" i="6" s="1"/>
  <c r="G175" i="8"/>
  <c r="A231" i="52"/>
  <c r="A103" i="52"/>
  <c r="A363" i="52"/>
  <c r="A460" i="52"/>
  <c r="A71" i="52"/>
  <c r="A2166" i="44"/>
  <c r="A263" i="52"/>
  <c r="A2230" i="44"/>
  <c r="A426" i="52"/>
  <c r="A39" i="52"/>
  <c r="A40" i="45"/>
  <c r="A2263" i="44"/>
  <c r="A295" i="52"/>
  <c r="A8" i="45"/>
  <c r="A72" i="45" s="1"/>
  <c r="A2070" i="44"/>
  <c r="A1192" i="44"/>
  <c r="A2327" i="44"/>
  <c r="A167" i="52"/>
  <c r="A331" i="52"/>
  <c r="A199" i="52"/>
  <c r="A2295" i="44"/>
  <c r="A276" i="45"/>
  <c r="A2038" i="44"/>
  <c r="A1224" i="44"/>
  <c r="A39" i="42"/>
  <c r="A2134" i="44"/>
  <c r="A1160" i="44"/>
  <c r="A1778" i="44"/>
  <c r="A480" i="42"/>
  <c r="A1417" i="44"/>
  <c r="A516" i="42"/>
  <c r="A2198" i="44"/>
  <c r="A2102" i="44"/>
  <c r="A2006" i="44"/>
  <c r="A1942" i="44"/>
  <c r="A646" i="42"/>
  <c r="A1108" i="41"/>
  <c r="A195" i="39"/>
  <c r="A34" i="39"/>
  <c r="A1329" i="38"/>
  <c r="A241" i="38"/>
  <c r="A199" i="37"/>
  <c r="A135" i="52"/>
  <c r="A1144" i="41"/>
  <c r="A818" i="41"/>
  <c r="A347" i="42"/>
  <c r="A1214" i="41"/>
  <c r="A1179" i="41"/>
  <c r="A711" i="41"/>
  <c r="A394" i="52"/>
  <c r="A7" i="44"/>
  <c r="A67" i="39"/>
  <c r="A479" i="38"/>
  <c r="A103" i="38"/>
  <c r="A1482" i="44"/>
  <c r="A1450" i="44"/>
  <c r="A804" i="44"/>
  <c r="A549" i="42"/>
  <c r="A1348" i="41"/>
  <c r="A259" i="39"/>
  <c r="A1094" i="44"/>
  <c r="A582" i="42"/>
  <c r="A131" i="39"/>
  <c r="A99" i="39"/>
  <c r="A2" i="39"/>
  <c r="A1515" i="44"/>
  <c r="A149" i="41"/>
  <c r="A369" i="41"/>
  <c r="A183" i="41"/>
  <c r="A1261" i="38"/>
  <c r="A489" i="32"/>
  <c r="A1153" i="38"/>
  <c r="A614" i="42"/>
  <c r="A200" i="38"/>
  <c r="A231" i="44"/>
  <c r="A71" i="44"/>
  <c r="A427" i="37"/>
  <c r="A1128" i="44"/>
  <c r="A505" i="41"/>
  <c r="A227" i="39"/>
  <c r="A1189" i="38"/>
  <c r="A272" i="35"/>
  <c r="A360" i="32"/>
  <c r="A264" i="32"/>
  <c r="A404" i="45"/>
  <c r="A532" i="45" s="1"/>
  <c r="A1746" i="44"/>
  <c r="A447" i="42"/>
  <c r="A537" i="41"/>
  <c r="A781" i="41"/>
  <c r="A1081" i="38"/>
  <c r="A1974" i="44"/>
  <c r="A167" i="38"/>
  <c r="A570" i="41"/>
  <c r="A425" i="32"/>
  <c r="A471" i="41"/>
  <c r="A457" i="32"/>
  <c r="A71" i="32"/>
  <c r="A1117" i="38"/>
  <c r="A135" i="38"/>
  <c r="A496" i="37"/>
  <c r="A232" i="32"/>
  <c r="A103" i="32"/>
  <c r="A219" i="42"/>
  <c r="A163" i="39"/>
  <c r="A1" i="53" s="1"/>
  <c r="A1" i="54" s="1"/>
  <c r="A1225" i="38"/>
  <c r="A304" i="35"/>
  <c r="A39" i="32"/>
  <c r="A8" i="31"/>
  <c r="A536" i="37"/>
  <c r="A135" i="32"/>
  <c r="A392" i="32"/>
  <c r="A642" i="41"/>
  <c r="A40" i="35"/>
  <c r="A328" i="32"/>
  <c r="A200" i="32"/>
  <c r="A463" i="37"/>
  <c r="A7" i="32"/>
  <c r="A167" i="32"/>
  <c r="A513" i="38"/>
  <c r="A1295" i="38"/>
  <c r="A499" i="44"/>
  <c r="A296" i="32"/>
  <c r="B17" i="5"/>
  <c r="B52" i="5"/>
  <c r="C939" i="6"/>
  <c r="G939" i="6" s="1"/>
  <c r="G940" i="6" s="1"/>
  <c r="B39" i="7"/>
  <c r="B1087" i="8"/>
  <c r="K34" i="14"/>
  <c r="D671" i="38"/>
  <c r="F671" i="38" s="1"/>
  <c r="G16" i="17"/>
  <c r="G24" i="17" s="1"/>
  <c r="D27" i="4"/>
  <c r="F27" i="4" s="1"/>
  <c r="C17" i="5"/>
  <c r="C18" i="7"/>
  <c r="G638" i="9"/>
  <c r="G1112" i="9"/>
  <c r="G1152" i="9"/>
  <c r="G178" i="11"/>
  <c r="G389" i="11"/>
  <c r="G1242" i="11"/>
  <c r="K19" i="14"/>
  <c r="G1160" i="9"/>
  <c r="F11" i="18"/>
  <c r="H11" i="18" s="1"/>
  <c r="H12" i="18" s="1"/>
  <c r="G29" i="17"/>
  <c r="G38" i="17" s="1"/>
  <c r="D641" i="45"/>
  <c r="F641" i="45" s="1"/>
  <c r="G645" i="45" s="1"/>
  <c r="D449" i="45"/>
  <c r="F449" i="45" s="1"/>
  <c r="G453" i="45" s="1"/>
  <c r="H329" i="40"/>
  <c r="G638" i="41"/>
  <c r="G72" i="46"/>
  <c r="G626" i="8"/>
  <c r="C47" i="9"/>
  <c r="G47" i="9" s="1"/>
  <c r="K30" i="12"/>
  <c r="G61" i="32"/>
  <c r="F175" i="32"/>
  <c r="G178" i="32" s="1"/>
  <c r="G34" i="38"/>
  <c r="G36" i="38" s="1"/>
  <c r="H123" i="40"/>
  <c r="G592" i="11"/>
  <c r="D235" i="39"/>
  <c r="F235" i="39" s="1"/>
  <c r="G238" i="39" s="1"/>
  <c r="D203" i="39"/>
  <c r="F203" i="39" s="1"/>
  <c r="G205" i="39" s="1"/>
  <c r="D267" i="39"/>
  <c r="K11" i="12"/>
  <c r="K38" i="12" s="1"/>
  <c r="G403" i="32"/>
  <c r="G422" i="32" s="1"/>
  <c r="G52" i="31"/>
  <c r="G889" i="38"/>
  <c r="H788" i="40"/>
  <c r="H790" i="40" s="1"/>
  <c r="G180" i="39"/>
  <c r="H739" i="40"/>
  <c r="G986" i="40"/>
  <c r="H1423" i="40"/>
  <c r="G229" i="42"/>
  <c r="G856" i="38"/>
  <c r="G49" i="37"/>
  <c r="F10" i="39"/>
  <c r="G12" i="39" s="1"/>
  <c r="G31" i="39" s="1"/>
  <c r="D42" i="39"/>
  <c r="F42" i="39" s="1"/>
  <c r="G44" i="39" s="1"/>
  <c r="A2" i="17"/>
  <c r="D51" i="35"/>
  <c r="F51" i="35" s="1"/>
  <c r="G52" i="35" s="1"/>
  <c r="F305" i="32"/>
  <c r="G306" i="32" s="1"/>
  <c r="G516" i="37"/>
  <c r="G179" i="38"/>
  <c r="F204" i="39"/>
  <c r="G604" i="38"/>
  <c r="G616" i="38" s="1"/>
  <c r="E1162" i="38"/>
  <c r="F1161" i="38"/>
  <c r="G411" i="35"/>
  <c r="G1102" i="38"/>
  <c r="H206" i="40"/>
  <c r="E177" i="38"/>
  <c r="F177" i="38" s="1"/>
  <c r="F176" i="38"/>
  <c r="E178" i="38"/>
  <c r="F178" i="38" s="1"/>
  <c r="E1198" i="38"/>
  <c r="F1197" i="38"/>
  <c r="F241" i="44"/>
  <c r="G443" i="38"/>
  <c r="G923" i="38"/>
  <c r="F379" i="44"/>
  <c r="G381" i="44" s="1"/>
  <c r="G286" i="32"/>
  <c r="G431" i="38"/>
  <c r="G1093" i="38"/>
  <c r="E1340" i="38"/>
  <c r="F1340" i="38" s="1"/>
  <c r="E1339" i="38"/>
  <c r="F1339" i="38" s="1"/>
  <c r="F1338" i="38"/>
  <c r="G1341" i="38" s="1"/>
  <c r="H987" i="40"/>
  <c r="H989" i="40" s="1"/>
  <c r="G641" i="38"/>
  <c r="H652" i="40"/>
  <c r="H661" i="40" s="1"/>
  <c r="H1345" i="40"/>
  <c r="H1347" i="40" s="1"/>
  <c r="G251" i="44"/>
  <c r="G1307" i="38"/>
  <c r="F139" i="39"/>
  <c r="G141" i="39" s="1"/>
  <c r="H30" i="40"/>
  <c r="H609" i="40"/>
  <c r="H868" i="40"/>
  <c r="H870" i="40" s="1"/>
  <c r="F368" i="32"/>
  <c r="G370" i="32" s="1"/>
  <c r="G120" i="38"/>
  <c r="G145" i="38"/>
  <c r="F1125" i="38"/>
  <c r="E1126" i="38"/>
  <c r="G286" i="39"/>
  <c r="H1226" i="40"/>
  <c r="H1228" i="40" s="1"/>
  <c r="G1345" i="41"/>
  <c r="G1500" i="44"/>
  <c r="G564" i="46"/>
  <c r="G145" i="37"/>
  <c r="H156" i="40"/>
  <c r="H165" i="40" s="1"/>
  <c r="H557" i="40"/>
  <c r="H1376" i="40"/>
  <c r="F578" i="41"/>
  <c r="G581" i="41" s="1"/>
  <c r="G491" i="42"/>
  <c r="E3" i="43"/>
  <c r="F3" i="43" s="1"/>
  <c r="G988" i="38"/>
  <c r="E1235" i="38"/>
  <c r="F1235" i="38" s="1"/>
  <c r="F1234" i="38"/>
  <c r="H361" i="40"/>
  <c r="H370" i="40" s="1"/>
  <c r="H450" i="40"/>
  <c r="H452" i="40" s="1"/>
  <c r="G129" i="41"/>
  <c r="G134" i="41"/>
  <c r="G59" i="35"/>
  <c r="F410" i="35"/>
  <c r="F207" i="37"/>
  <c r="G209" i="37" s="1"/>
  <c r="F1233" i="38"/>
  <c r="H409" i="40"/>
  <c r="H411" i="40" s="1"/>
  <c r="H566" i="40"/>
  <c r="H575" i="40" s="1"/>
  <c r="E346" i="35"/>
  <c r="F346" i="35" s="1"/>
  <c r="F345" i="35"/>
  <c r="G347" i="35" s="1"/>
  <c r="G329" i="39"/>
  <c r="H288" i="40"/>
  <c r="H1179" i="40"/>
  <c r="H1188" i="40" s="1"/>
  <c r="G490" i="41"/>
  <c r="G485" i="41"/>
  <c r="G1959" i="44"/>
  <c r="G81" i="38"/>
  <c r="G100" i="38" s="1"/>
  <c r="H79" i="40"/>
  <c r="H81" i="40" s="1"/>
  <c r="H703" i="40"/>
  <c r="H705" i="40" s="1"/>
  <c r="H822" i="40"/>
  <c r="H831" i="40" s="1"/>
  <c r="H1052" i="40"/>
  <c r="G451" i="41"/>
  <c r="G456" i="41"/>
  <c r="G1103" i="41"/>
  <c r="G1105" i="41" s="1"/>
  <c r="G1265" i="41"/>
  <c r="G1277" i="41" s="1"/>
  <c r="F505" i="37"/>
  <c r="G507" i="37" s="1"/>
  <c r="F211" i="38"/>
  <c r="G212" i="38" s="1"/>
  <c r="G664" i="42"/>
  <c r="G631" i="38"/>
  <c r="G653" i="38" s="1"/>
  <c r="G1210" i="38"/>
  <c r="E131" i="43"/>
  <c r="F131" i="43" s="1"/>
  <c r="G162" i="38"/>
  <c r="G362" i="38"/>
  <c r="G380" i="38" s="1"/>
  <c r="G667" i="38"/>
  <c r="H37" i="40"/>
  <c r="H39" i="40" s="1"/>
  <c r="H1013" i="40"/>
  <c r="H1029" i="40" s="1"/>
  <c r="H1068" i="40"/>
  <c r="G38" i="41"/>
  <c r="G706" i="41"/>
  <c r="H238" i="40"/>
  <c r="H247" i="40" s="1"/>
  <c r="H1383" i="40"/>
  <c r="G77" i="42"/>
  <c r="C27" i="51"/>
  <c r="H402" i="40"/>
  <c r="D10" i="51"/>
  <c r="E252" i="38"/>
  <c r="F252" i="38" s="1"/>
  <c r="E251" i="38"/>
  <c r="F251" i="38" s="1"/>
  <c r="G253" i="38" s="1"/>
  <c r="G52" i="39"/>
  <c r="F357" i="39"/>
  <c r="G358" i="39" s="1"/>
  <c r="H685" i="40"/>
  <c r="G146" i="41"/>
  <c r="G663" i="41"/>
  <c r="G101" i="42"/>
  <c r="E480" i="46"/>
  <c r="G480" i="46" s="1"/>
  <c r="G492" i="46" s="1"/>
  <c r="E551" i="46"/>
  <c r="G551" i="46" s="1"/>
  <c r="G456" i="46"/>
  <c r="G468" i="46" s="1"/>
  <c r="D149" i="44"/>
  <c r="F149" i="44" s="1"/>
  <c r="D795" i="41"/>
  <c r="F795" i="41" s="1"/>
  <c r="D104" i="42"/>
  <c r="F104" i="42" s="1"/>
  <c r="D758" i="41"/>
  <c r="F758" i="41" s="1"/>
  <c r="H352" i="40"/>
  <c r="G1299" i="41"/>
  <c r="G1311" i="41" s="1"/>
  <c r="F455" i="42"/>
  <c r="E456" i="42"/>
  <c r="H443" i="40"/>
  <c r="H746" i="40"/>
  <c r="H748" i="40" s="1"/>
  <c r="G2023" i="44"/>
  <c r="D609" i="45"/>
  <c r="F609" i="45" s="1"/>
  <c r="G613" i="45" s="1"/>
  <c r="D577" i="45"/>
  <c r="F577" i="45" s="1"/>
  <c r="G581" i="45" s="1"/>
  <c r="G1068" i="41"/>
  <c r="F1296" i="44"/>
  <c r="G1298" i="44" s="1"/>
  <c r="F17" i="45"/>
  <c r="G18" i="45" s="1"/>
  <c r="G56" i="52"/>
  <c r="G465" i="42"/>
  <c r="G615" i="40"/>
  <c r="H616" i="40" s="1"/>
  <c r="H618" i="40" s="1"/>
  <c r="G567" i="42"/>
  <c r="G276" i="46"/>
  <c r="G286" i="41"/>
  <c r="G1417" i="41"/>
  <c r="G501" i="42"/>
  <c r="F311" i="44"/>
  <c r="G314" i="44" s="1"/>
  <c r="F2046" i="44"/>
  <c r="G360" i="46"/>
  <c r="G948" i="40"/>
  <c r="H949" i="40" s="1"/>
  <c r="H951" i="40" s="1"/>
  <c r="F2110" i="44"/>
  <c r="D944" i="41"/>
  <c r="F944" i="41" s="1"/>
  <c r="D272" i="41"/>
  <c r="F272" i="41" s="1"/>
  <c r="D956" i="38"/>
  <c r="F956" i="38" s="1"/>
  <c r="D920" i="38"/>
  <c r="F920" i="38" s="1"/>
  <c r="D779" i="38"/>
  <c r="F779" i="38" s="1"/>
  <c r="G781" i="38" s="1"/>
  <c r="G793" i="38" s="1"/>
  <c r="G190" i="45"/>
  <c r="G24" i="46"/>
  <c r="G96" i="46"/>
  <c r="G108" i="46" s="1"/>
  <c r="D43" i="47"/>
  <c r="E40" i="47"/>
  <c r="D245" i="52"/>
  <c r="F245" i="52" s="1"/>
  <c r="D378" i="52"/>
  <c r="F378" i="52" s="1"/>
  <c r="D181" i="52"/>
  <c r="F181" i="52" s="1"/>
  <c r="G184" i="52" s="1"/>
  <c r="D213" i="52"/>
  <c r="F213" i="52" s="1"/>
  <c r="D149" i="52"/>
  <c r="F149" i="52" s="1"/>
  <c r="G165" i="42"/>
  <c r="G620" i="44"/>
  <c r="G1048" i="44"/>
  <c r="G358" i="46"/>
  <c r="G88" i="52"/>
  <c r="G248" i="52"/>
  <c r="G708" i="41"/>
  <c r="G1105" i="40"/>
  <c r="H1106" i="40" s="1"/>
  <c r="H1108" i="40" s="1"/>
  <c r="F1458" i="44"/>
  <c r="G1460" i="44" s="1"/>
  <c r="G2280" i="44"/>
  <c r="G396" i="46"/>
  <c r="G516" i="44"/>
  <c r="G638" i="45"/>
  <c r="G420" i="46"/>
  <c r="D193" i="45"/>
  <c r="F193" i="45" s="1"/>
  <c r="G197" i="45" s="1"/>
  <c r="D225" i="45"/>
  <c r="F225" i="45" s="1"/>
  <c r="G229" i="45" s="1"/>
  <c r="G2055" i="44"/>
  <c r="G312" i="46"/>
  <c r="D279" i="52"/>
  <c r="F279" i="52" s="1"/>
  <c r="D315" i="52"/>
  <c r="F315" i="52" s="1"/>
  <c r="D1794" i="44"/>
  <c r="F1794" i="44" s="1"/>
  <c r="G120" i="52"/>
  <c r="G65" i="46"/>
  <c r="G316" i="52"/>
  <c r="F1957" i="44"/>
  <c r="G2247" i="44"/>
  <c r="G132" i="46"/>
  <c r="G144" i="46" s="1"/>
  <c r="G152" i="52"/>
  <c r="F189" i="45"/>
  <c r="D345" i="52"/>
  <c r="F345" i="52" s="1"/>
  <c r="D277" i="52"/>
  <c r="F277" i="52" s="1"/>
  <c r="G280" i="52" s="1"/>
  <c r="F444" i="45"/>
  <c r="G446" i="45" s="1"/>
  <c r="G250" i="46"/>
  <c r="G252" i="46" s="1"/>
  <c r="G216" i="46"/>
  <c r="G281" i="46"/>
  <c r="E405" i="46"/>
  <c r="G405" i="46" s="1"/>
  <c r="E481" i="46"/>
  <c r="G481" i="46" s="1"/>
  <c r="D183" i="52"/>
  <c r="F183" i="52" s="1"/>
  <c r="F111" i="52"/>
  <c r="G113" i="52" s="1"/>
  <c r="D347" i="52"/>
  <c r="F347" i="52" s="1"/>
  <c r="D314" i="52"/>
  <c r="F314" i="52" s="1"/>
  <c r="D278" i="52"/>
  <c r="F278" i="52" s="1"/>
  <c r="D477" i="52"/>
  <c r="F477" i="52" s="1"/>
  <c r="G478" i="52" s="1"/>
  <c r="D150" i="52"/>
  <c r="F150" i="52" s="1"/>
  <c r="D377" i="52"/>
  <c r="F377" i="52" s="1"/>
  <c r="G379" i="52" s="1"/>
  <c r="D246" i="52"/>
  <c r="F246" i="52" s="1"/>
  <c r="D182" i="52"/>
  <c r="F182" i="52" s="1"/>
  <c r="D516" i="45"/>
  <c r="F516" i="45" s="1"/>
  <c r="D482" i="45"/>
  <c r="F482" i="45" s="1"/>
  <c r="G485" i="45" s="1"/>
  <c r="D214" i="52"/>
  <c r="F214" i="52" s="1"/>
  <c r="G216" i="52" s="1"/>
  <c r="D442" i="52"/>
  <c r="F442" i="52" s="1"/>
  <c r="G445" i="52" s="1"/>
  <c r="D23" i="52"/>
  <c r="F23" i="52" s="1"/>
  <c r="G24" i="52" s="1"/>
  <c r="D54" i="45"/>
  <c r="F54" i="45" s="1"/>
  <c r="D2084" i="44"/>
  <c r="F2084" i="44" s="1"/>
  <c r="G2087" i="44" s="1"/>
  <c r="D2180" i="44"/>
  <c r="F2180" i="44" s="1"/>
  <c r="G2183" i="44" s="1"/>
  <c r="D515" i="45"/>
  <c r="F515" i="45" s="1"/>
  <c r="G517" i="45" s="1"/>
  <c r="F474" i="52"/>
  <c r="D71" i="57" l="1"/>
  <c r="M72" i="57" s="1"/>
  <c r="D77" i="57"/>
  <c r="M78" i="57" s="1"/>
  <c r="M77" i="57" s="1"/>
  <c r="D80" i="57"/>
  <c r="M81" i="57" s="1"/>
  <c r="O81" i="57" s="1"/>
  <c r="D46" i="57"/>
  <c r="M47" i="57" s="1"/>
  <c r="O47" i="57" s="1"/>
  <c r="C19" i="27"/>
  <c r="D92" i="57"/>
  <c r="D59" i="57"/>
  <c r="P60" i="57" s="1"/>
  <c r="D83" i="57"/>
  <c r="M84" i="57" s="1"/>
  <c r="O84" i="57" s="1"/>
  <c r="D56" i="57"/>
  <c r="L57" i="57" s="1"/>
  <c r="D62" i="57"/>
  <c r="L63" i="57" s="1"/>
  <c r="L62" i="57" s="1"/>
  <c r="D53" i="57"/>
  <c r="L54" i="57" s="1"/>
  <c r="D89" i="57"/>
  <c r="P90" i="57" s="1"/>
  <c r="D14" i="57"/>
  <c r="D43" i="57"/>
  <c r="P44" i="57" s="1"/>
  <c r="D86" i="57"/>
  <c r="M87" i="57" s="1"/>
  <c r="O87" i="57" s="1"/>
  <c r="B1327" i="8"/>
  <c r="B1335" i="8" s="1"/>
  <c r="B1344" i="8" s="1"/>
  <c r="B1352" i="8" s="1"/>
  <c r="B1360" i="8" s="1"/>
  <c r="B1368" i="8" s="1"/>
  <c r="B1384" i="8" s="1"/>
  <c r="B1392" i="8" s="1"/>
  <c r="B1400" i="8" s="1"/>
  <c r="B1408" i="8" s="1"/>
  <c r="B1416" i="8" s="1"/>
  <c r="B1424" i="8" s="1"/>
  <c r="H20" i="18"/>
  <c r="R4" i="26"/>
  <c r="S4" i="26"/>
  <c r="N4" i="26"/>
  <c r="G71" i="35"/>
  <c r="G243" i="44"/>
  <c r="G263" i="44" s="1"/>
  <c r="K53" i="14"/>
  <c r="T4" i="2"/>
  <c r="T20" i="2" s="1"/>
  <c r="AT20" i="2" s="1"/>
  <c r="C17" i="27"/>
  <c r="C29" i="27"/>
  <c r="H4" i="2"/>
  <c r="F80" i="4"/>
  <c r="F82" i="4" s="1"/>
  <c r="F133" i="4" s="1"/>
  <c r="F84" i="1"/>
  <c r="F86" i="1" s="1"/>
  <c r="F87" i="1" s="1"/>
  <c r="F83" i="1"/>
  <c r="F129" i="4"/>
  <c r="F130" i="4" s="1"/>
  <c r="G22" i="11"/>
  <c r="F23" i="11"/>
  <c r="G23" i="11" s="1"/>
  <c r="C42" i="11"/>
  <c r="G42" i="11" s="1"/>
  <c r="G49" i="11" s="1"/>
  <c r="I13" i="11" s="1"/>
  <c r="B1387" i="9"/>
  <c r="B1379" i="9"/>
  <c r="B1395" i="9" s="1"/>
  <c r="B1403" i="9" s="1"/>
  <c r="B1411" i="9" s="1"/>
  <c r="B1419" i="9" s="1"/>
  <c r="B1427" i="9" s="1"/>
  <c r="B1435" i="9" s="1"/>
  <c r="B1381" i="11"/>
  <c r="B1397" i="11" s="1"/>
  <c r="B1405" i="11" s="1"/>
  <c r="B1413" i="11" s="1"/>
  <c r="B1421" i="11" s="1"/>
  <c r="B1429" i="11" s="1"/>
  <c r="B1437" i="11" s="1"/>
  <c r="B1389" i="11"/>
  <c r="AS22" i="2"/>
  <c r="AS40" i="2" s="1"/>
  <c r="E22" i="2"/>
  <c r="A996" i="9"/>
  <c r="A1004" i="9"/>
  <c r="A1011" i="9" s="1"/>
  <c r="A1019" i="9" s="1"/>
  <c r="A1026" i="9" s="1"/>
  <c r="C686" i="9"/>
  <c r="G686" i="9" s="1"/>
  <c r="G689" i="9" s="1"/>
  <c r="E695" i="9"/>
  <c r="G695" i="9" s="1"/>
  <c r="G698" i="9" s="1"/>
  <c r="G1384" i="6"/>
  <c r="G1386" i="6" s="1"/>
  <c r="C30" i="27"/>
  <c r="AE4" i="2"/>
  <c r="AE38" i="2" s="1"/>
  <c r="C63" i="5"/>
  <c r="C64" i="5" s="1"/>
  <c r="C65" i="5"/>
  <c r="C66" i="5" s="1"/>
  <c r="K263" i="6"/>
  <c r="G1237" i="38"/>
  <c r="E1199" i="38"/>
  <c r="F1199" i="38" s="1"/>
  <c r="E1200" i="38"/>
  <c r="F1200" i="38" s="1"/>
  <c r="F1198" i="38"/>
  <c r="G1201" i="38" s="1"/>
  <c r="AA4" i="2"/>
  <c r="AA34" i="2" s="1"/>
  <c r="C26" i="27"/>
  <c r="I19" i="6"/>
  <c r="G40" i="17"/>
  <c r="G42" i="17" s="1"/>
  <c r="E1272" i="38"/>
  <c r="F1272" i="38" s="1"/>
  <c r="E1271" i="38"/>
  <c r="F1271" i="38" s="1"/>
  <c r="G1273" i="38" s="1"/>
  <c r="F1270" i="38"/>
  <c r="A839" i="11"/>
  <c r="A846" i="11" s="1"/>
  <c r="A853" i="11" s="1"/>
  <c r="A860" i="11" s="1"/>
  <c r="A831" i="11"/>
  <c r="G55" i="41"/>
  <c r="G60" i="41"/>
  <c r="G72" i="41" s="1"/>
  <c r="D17" i="5"/>
  <c r="I17" i="6"/>
  <c r="G631" i="8"/>
  <c r="C675" i="8"/>
  <c r="G675" i="8" s="1"/>
  <c r="G678" i="8" s="1"/>
  <c r="C21" i="27"/>
  <c r="V4" i="2"/>
  <c r="C20" i="27"/>
  <c r="U4" i="2"/>
  <c r="E10" i="51"/>
  <c r="E27" i="51" s="1"/>
  <c r="D27" i="51"/>
  <c r="C25" i="27"/>
  <c r="Z4" i="2"/>
  <c r="Z33" i="2" s="1"/>
  <c r="B1307" i="6"/>
  <c r="B1315" i="6" s="1"/>
  <c r="B1324" i="6" s="1"/>
  <c r="B1332" i="6" s="1"/>
  <c r="B1340" i="6" s="1"/>
  <c r="B1299" i="6"/>
  <c r="H1385" i="40"/>
  <c r="D22" i="47"/>
  <c r="E21" i="47"/>
  <c r="G27" i="18"/>
  <c r="H26" i="18"/>
  <c r="I19" i="8"/>
  <c r="G688" i="38"/>
  <c r="F267" i="39"/>
  <c r="G270" i="39" s="1"/>
  <c r="G298" i="39" s="1"/>
  <c r="D339" i="39"/>
  <c r="F339" i="39" s="1"/>
  <c r="G341" i="39" s="1"/>
  <c r="G1009" i="38"/>
  <c r="C28" i="27"/>
  <c r="AC4" i="2"/>
  <c r="AC36" i="2" s="1"/>
  <c r="F1126" i="38"/>
  <c r="E1128" i="38"/>
  <c r="F1128" i="38" s="1"/>
  <c r="G1129" i="38" s="1"/>
  <c r="E1127" i="38"/>
  <c r="F1127" i="38" s="1"/>
  <c r="A973" i="6"/>
  <c r="A980" i="6" s="1"/>
  <c r="A988" i="6" s="1"/>
  <c r="A995" i="6" s="1"/>
  <c r="A965" i="6"/>
  <c r="D44" i="47"/>
  <c r="E43" i="47"/>
  <c r="G1392" i="6"/>
  <c r="G1394" i="6" s="1"/>
  <c r="G348" i="52"/>
  <c r="AW9" i="26"/>
  <c r="AG9" i="26"/>
  <c r="AX9" i="26"/>
  <c r="AO9" i="26"/>
  <c r="AN9" i="26"/>
  <c r="BD9" i="26"/>
  <c r="BC9" i="26"/>
  <c r="AK9" i="26"/>
  <c r="AZ9" i="26"/>
  <c r="AH9" i="26"/>
  <c r="AS9" i="26"/>
  <c r="AR9" i="26"/>
  <c r="AU9" i="26"/>
  <c r="AT9" i="26"/>
  <c r="AQ9" i="26"/>
  <c r="AI9" i="26"/>
  <c r="BA9" i="26"/>
  <c r="BB9" i="26"/>
  <c r="AY9" i="26"/>
  <c r="AV9" i="26"/>
  <c r="C27" i="27"/>
  <c r="AB4" i="2"/>
  <c r="AB35" i="2" s="1"/>
  <c r="G164" i="38"/>
  <c r="E1163" i="38"/>
  <c r="F1163" i="38" s="1"/>
  <c r="F1162" i="38"/>
  <c r="G1165" i="38" s="1"/>
  <c r="E1164" i="38"/>
  <c r="F1164" i="38" s="1"/>
  <c r="A334" i="52"/>
  <c r="A42" i="52"/>
  <c r="A429" i="52"/>
  <c r="A298" i="52"/>
  <c r="A463" i="52"/>
  <c r="A266" i="52"/>
  <c r="A234" i="52"/>
  <c r="A202" i="52"/>
  <c r="A366" i="52"/>
  <c r="A138" i="52"/>
  <c r="A397" i="52"/>
  <c r="A170" i="52"/>
  <c r="A74" i="52"/>
  <c r="A106" i="52"/>
  <c r="A11" i="31"/>
  <c r="A993" i="8"/>
  <c r="A1000" i="8" s="1"/>
  <c r="A1008" i="8" s="1"/>
  <c r="A1015" i="8" s="1"/>
  <c r="A985" i="8"/>
  <c r="K265" i="11"/>
  <c r="P93" i="57" l="1"/>
  <c r="O72" i="57"/>
  <c r="L15" i="57"/>
  <c r="L14" i="57" s="1"/>
  <c r="J15" i="57"/>
  <c r="E49" i="57"/>
  <c r="F49" i="57" s="1"/>
  <c r="P47" i="57"/>
  <c r="M46" i="57"/>
  <c r="D49" i="57"/>
  <c r="M90" i="57"/>
  <c r="O90" i="57" s="1"/>
  <c r="Q90" i="57" s="1"/>
  <c r="M83" i="57"/>
  <c r="M54" i="57"/>
  <c r="M53" i="57" s="1"/>
  <c r="M63" i="57"/>
  <c r="O63" i="57" s="1"/>
  <c r="M80" i="57"/>
  <c r="M44" i="57"/>
  <c r="M43" i="57" s="1"/>
  <c r="P54" i="57"/>
  <c r="M86" i="57"/>
  <c r="O78" i="57"/>
  <c r="M57" i="57"/>
  <c r="M56" i="57" s="1"/>
  <c r="P57" i="57"/>
  <c r="P15" i="57"/>
  <c r="K15" i="57"/>
  <c r="K14" i="57" s="1"/>
  <c r="M15" i="57"/>
  <c r="M14" i="57" s="1"/>
  <c r="L60" i="57"/>
  <c r="L59" i="57" s="1"/>
  <c r="D40" i="57"/>
  <c r="M60" i="57"/>
  <c r="M59" i="57" s="1"/>
  <c r="M93" i="57"/>
  <c r="O93" i="57" s="1"/>
  <c r="M71" i="57"/>
  <c r="D37" i="57"/>
  <c r="P38" i="57" s="1"/>
  <c r="L53" i="57"/>
  <c r="L56" i="57"/>
  <c r="B1376" i="8"/>
  <c r="P4" i="26"/>
  <c r="O4" i="26"/>
  <c r="T23" i="2"/>
  <c r="E23" i="2" s="1"/>
  <c r="H45" i="35"/>
  <c r="H52" i="35" s="1"/>
  <c r="H236" i="44"/>
  <c r="R4" i="2"/>
  <c r="R21" i="2" s="1"/>
  <c r="H10" i="2"/>
  <c r="AH10" i="2" s="1"/>
  <c r="C22" i="27"/>
  <c r="X4" i="2"/>
  <c r="X26" i="2" s="1"/>
  <c r="AX26" i="2" s="1"/>
  <c r="C23" i="27"/>
  <c r="AD4" i="2"/>
  <c r="AD37" i="2" s="1"/>
  <c r="W4" i="2"/>
  <c r="W25" i="2" s="1"/>
  <c r="AW25" i="2" s="1"/>
  <c r="C7" i="27"/>
  <c r="H8" i="2"/>
  <c r="E8" i="2" s="1"/>
  <c r="H7" i="2"/>
  <c r="E7" i="2" s="1"/>
  <c r="H11" i="2"/>
  <c r="AH11" i="2" s="1"/>
  <c r="Y4" i="2"/>
  <c r="Y32" i="2" s="1"/>
  <c r="C24" i="27"/>
  <c r="H9" i="2"/>
  <c r="AH9" i="2" s="1"/>
  <c r="H30" i="18"/>
  <c r="H32" i="18" s="1"/>
  <c r="H33" i="18" s="1"/>
  <c r="H34" i="18" s="1"/>
  <c r="B1348" i="6"/>
  <c r="B1364" i="6" s="1"/>
  <c r="B1372" i="6" s="1"/>
  <c r="B1380" i="6" s="1"/>
  <c r="B1388" i="6" s="1"/>
  <c r="B1396" i="6" s="1"/>
  <c r="B1404" i="6" s="1"/>
  <c r="B1356" i="6"/>
  <c r="AZ33" i="2"/>
  <c r="AZ40" i="2" s="1"/>
  <c r="E33" i="2"/>
  <c r="H27" i="18"/>
  <c r="G28" i="18"/>
  <c r="H28" i="18" s="1"/>
  <c r="V25" i="2"/>
  <c r="AV25" i="2" s="1"/>
  <c r="V26" i="2"/>
  <c r="AV26" i="2" s="1"/>
  <c r="V27" i="2"/>
  <c r="E22" i="47"/>
  <c r="D23" i="47"/>
  <c r="BA34" i="2"/>
  <c r="BA40" i="2" s="1"/>
  <c r="E34" i="2"/>
  <c r="G35" i="11"/>
  <c r="I12" i="11" s="1"/>
  <c r="I19" i="11" s="1"/>
  <c r="E36" i="2"/>
  <c r="BC36" i="2"/>
  <c r="BC40" i="2" s="1"/>
  <c r="C8" i="27"/>
  <c r="I4" i="2"/>
  <c r="E38" i="2"/>
  <c r="BE38" i="2"/>
  <c r="BE40" i="2" s="1"/>
  <c r="D24" i="5"/>
  <c r="U26" i="2"/>
  <c r="U25" i="2"/>
  <c r="U24" i="2"/>
  <c r="D45" i="47"/>
  <c r="E44" i="47"/>
  <c r="A10" i="32"/>
  <c r="E35" i="2"/>
  <c r="BB35" i="2"/>
  <c r="BB40" i="2" s="1"/>
  <c r="A243" i="31"/>
  <c r="A179" i="31"/>
  <c r="A211" i="31"/>
  <c r="A109" i="31"/>
  <c r="A44" i="31"/>
  <c r="A77" i="31"/>
  <c r="A144" i="31"/>
  <c r="G49" i="57" l="1"/>
  <c r="E43" i="57"/>
  <c r="F43" i="57" s="1"/>
  <c r="G43" i="57" s="1"/>
  <c r="K45" i="57" s="1"/>
  <c r="J14" i="57"/>
  <c r="E40" i="57"/>
  <c r="F40" i="57" s="1"/>
  <c r="G40" i="57" s="1"/>
  <c r="J42" i="57" s="1"/>
  <c r="M50" i="57"/>
  <c r="M49" i="57" s="1"/>
  <c r="P50" i="57"/>
  <c r="L50" i="57"/>
  <c r="L49" i="57"/>
  <c r="M89" i="57"/>
  <c r="O60" i="57"/>
  <c r="Q60" i="57" s="1"/>
  <c r="M62" i="57"/>
  <c r="O15" i="57"/>
  <c r="O57" i="57"/>
  <c r="Q57" i="57" s="1"/>
  <c r="O44" i="57"/>
  <c r="O54" i="57"/>
  <c r="Q54" i="57" s="1"/>
  <c r="L41" i="57"/>
  <c r="L40" i="57" s="1"/>
  <c r="M41" i="57"/>
  <c r="M40" i="57" s="1"/>
  <c r="K41" i="57"/>
  <c r="P41" i="57"/>
  <c r="D34" i="57"/>
  <c r="M35" i="57" s="1"/>
  <c r="D21" i="57"/>
  <c r="P22" i="57" s="1"/>
  <c r="D18" i="57"/>
  <c r="L19" i="57" s="1"/>
  <c r="M92" i="57"/>
  <c r="K38" i="57"/>
  <c r="K37" i="57" s="1"/>
  <c r="J38" i="57"/>
  <c r="J37" i="57" s="1"/>
  <c r="R20" i="2"/>
  <c r="AR20" i="2" s="1"/>
  <c r="C15" i="27"/>
  <c r="P4" i="2"/>
  <c r="P16" i="2" s="1"/>
  <c r="AP16" i="2" s="1"/>
  <c r="C2" i="30"/>
  <c r="B8" i="30" s="1"/>
  <c r="D8" i="30" s="1"/>
  <c r="AT23" i="2"/>
  <c r="AT40" i="2" s="1"/>
  <c r="C16" i="27"/>
  <c r="Q4" i="2"/>
  <c r="Q18" i="2" s="1"/>
  <c r="AQ18" i="2" s="1"/>
  <c r="P7" i="26"/>
  <c r="AP7" i="26" s="1"/>
  <c r="AP9" i="26" s="1"/>
  <c r="H59" i="35"/>
  <c r="E10" i="2"/>
  <c r="AD39" i="2"/>
  <c r="BD39" i="2" s="1"/>
  <c r="X31" i="2"/>
  <c r="E31" i="2" s="1"/>
  <c r="Y39" i="2"/>
  <c r="AY39" i="2" s="1"/>
  <c r="X29" i="2"/>
  <c r="E29" i="2" s="1"/>
  <c r="X25" i="2"/>
  <c r="AX25" i="2" s="1"/>
  <c r="AH8" i="2"/>
  <c r="W28" i="2"/>
  <c r="AW28" i="2" s="1"/>
  <c r="W26" i="2"/>
  <c r="AW26" i="2" s="1"/>
  <c r="W30" i="2"/>
  <c r="AW30" i="2" s="1"/>
  <c r="AH7" i="2"/>
  <c r="E11" i="2"/>
  <c r="E9" i="2"/>
  <c r="E21" i="2"/>
  <c r="AR21" i="2"/>
  <c r="D24" i="47"/>
  <c r="E23" i="47"/>
  <c r="E45" i="47"/>
  <c r="D46" i="47"/>
  <c r="BD37" i="2"/>
  <c r="E37" i="2"/>
  <c r="A428" i="32"/>
  <c r="A460" i="32"/>
  <c r="A267" i="32"/>
  <c r="A74" i="32"/>
  <c r="A331" i="32"/>
  <c r="A42" i="32"/>
  <c r="A138" i="32"/>
  <c r="A395" i="32"/>
  <c r="A363" i="32"/>
  <c r="A203" i="32"/>
  <c r="A299" i="32"/>
  <c r="A106" i="32"/>
  <c r="A235" i="32"/>
  <c r="A170" i="32"/>
  <c r="A492" i="32"/>
  <c r="E24" i="2"/>
  <c r="AU24" i="2"/>
  <c r="E32" i="2"/>
  <c r="AY32" i="2"/>
  <c r="C14" i="27"/>
  <c r="C1" i="30"/>
  <c r="D11" i="30" s="1"/>
  <c r="O4" i="2"/>
  <c r="AU25" i="2"/>
  <c r="A43" i="35"/>
  <c r="AU26" i="2"/>
  <c r="AV27" i="2"/>
  <c r="AV40" i="2" s="1"/>
  <c r="E27" i="2"/>
  <c r="H256" i="44"/>
  <c r="H243" i="44"/>
  <c r="H251" i="44"/>
  <c r="J4" i="2"/>
  <c r="C9" i="27"/>
  <c r="J45" i="57" l="1"/>
  <c r="M45" i="57"/>
  <c r="E65" i="57"/>
  <c r="F65" i="57" s="1"/>
  <c r="G65" i="57" s="1"/>
  <c r="M67" i="57" s="1"/>
  <c r="L45" i="57"/>
  <c r="E95" i="57"/>
  <c r="F95" i="57" s="1"/>
  <c r="G95" i="57" s="1"/>
  <c r="M97" i="57" s="1"/>
  <c r="E68" i="57"/>
  <c r="F68" i="57" s="1"/>
  <c r="G68" i="57" s="1"/>
  <c r="M70" i="57" s="1"/>
  <c r="K42" i="57"/>
  <c r="E46" i="57"/>
  <c r="F46" i="57" s="1"/>
  <c r="G46" i="57" s="1"/>
  <c r="E37" i="57"/>
  <c r="F37" i="57" s="1"/>
  <c r="G37" i="57" s="1"/>
  <c r="M39" i="57" s="1"/>
  <c r="O50" i="57"/>
  <c r="L51" i="57"/>
  <c r="J51" i="57"/>
  <c r="M51" i="57"/>
  <c r="K51" i="57"/>
  <c r="L42" i="57"/>
  <c r="P35" i="57"/>
  <c r="O41" i="57"/>
  <c r="K40" i="57"/>
  <c r="M42" i="57"/>
  <c r="O38" i="57"/>
  <c r="K22" i="57"/>
  <c r="K21" i="57" s="1"/>
  <c r="K19" i="57"/>
  <c r="K18" i="57" s="1"/>
  <c r="J22" i="57"/>
  <c r="J21" i="57" s="1"/>
  <c r="J19" i="57"/>
  <c r="J18" i="57" s="1"/>
  <c r="L22" i="57"/>
  <c r="L21" i="57" s="1"/>
  <c r="D30" i="57"/>
  <c r="M31" i="57" s="1"/>
  <c r="J35" i="57"/>
  <c r="K35" i="57"/>
  <c r="K34" i="57" s="1"/>
  <c r="L35" i="57"/>
  <c r="L34" i="57" s="1"/>
  <c r="L18" i="57"/>
  <c r="M34" i="57"/>
  <c r="C12" i="27"/>
  <c r="L7" i="26"/>
  <c r="AL7" i="26" s="1"/>
  <c r="AL9" i="26" s="1"/>
  <c r="M4" i="2"/>
  <c r="M12" i="2" s="1"/>
  <c r="AR40" i="2"/>
  <c r="C11" i="27"/>
  <c r="L4" i="2"/>
  <c r="Q16" i="2"/>
  <c r="AQ16" i="2" s="1"/>
  <c r="Q17" i="2"/>
  <c r="AQ17" i="2" s="1"/>
  <c r="Q20" i="2"/>
  <c r="AQ20" i="2" s="1"/>
  <c r="Q19" i="2"/>
  <c r="E19" i="2" s="1"/>
  <c r="P17" i="2"/>
  <c r="AP17" i="2" s="1"/>
  <c r="B9" i="30"/>
  <c r="D9" i="30" s="1"/>
  <c r="P18" i="2"/>
  <c r="AP18" i="2" s="1"/>
  <c r="P20" i="2"/>
  <c r="AP20" i="2" s="1"/>
  <c r="BD40" i="2"/>
  <c r="AX31" i="2"/>
  <c r="E39" i="2"/>
  <c r="E26" i="2"/>
  <c r="E25" i="2"/>
  <c r="AH40" i="2"/>
  <c r="AX29" i="2"/>
  <c r="E28" i="2"/>
  <c r="E30" i="2"/>
  <c r="AW40" i="2"/>
  <c r="C10" i="27"/>
  <c r="J7" i="26"/>
  <c r="K4" i="2"/>
  <c r="A275" i="35"/>
  <c r="A307" i="35" s="1"/>
  <c r="A83" i="35"/>
  <c r="C3" i="30"/>
  <c r="B10" i="30" s="1"/>
  <c r="D10" i="30" s="1"/>
  <c r="M7" i="26"/>
  <c r="AM7" i="26" s="1"/>
  <c r="AM9" i="26" s="1"/>
  <c r="C13" i="27"/>
  <c r="N4" i="2"/>
  <c r="N13" i="2" s="1"/>
  <c r="D27" i="47"/>
  <c r="E24" i="47"/>
  <c r="AY40" i="2"/>
  <c r="AU40" i="2"/>
  <c r="O14" i="2"/>
  <c r="O15" i="2"/>
  <c r="E46" i="47"/>
  <c r="D47" i="47"/>
  <c r="O45" i="57" l="1"/>
  <c r="Q45" i="57" s="1"/>
  <c r="D27" i="57"/>
  <c r="L28" i="57" s="1"/>
  <c r="L27" i="57" s="1"/>
  <c r="E74" i="57"/>
  <c r="F74" i="57" s="1"/>
  <c r="G74" i="57" s="1"/>
  <c r="M76" i="57" s="1"/>
  <c r="J39" i="57"/>
  <c r="L39" i="57"/>
  <c r="L48" i="57"/>
  <c r="K48" i="57"/>
  <c r="J48" i="57"/>
  <c r="M48" i="57"/>
  <c r="K39" i="57"/>
  <c r="D24" i="57"/>
  <c r="P25" i="57" s="1"/>
  <c r="O51" i="57"/>
  <c r="P31" i="57"/>
  <c r="L31" i="57"/>
  <c r="O31" i="57" s="1"/>
  <c r="O42" i="57"/>
  <c r="O35" i="57"/>
  <c r="O19" i="57"/>
  <c r="J34" i="57"/>
  <c r="O22" i="57"/>
  <c r="M30" i="57"/>
  <c r="D7" i="26"/>
  <c r="F7" i="26" s="1"/>
  <c r="E12" i="2"/>
  <c r="AM12" i="2"/>
  <c r="AM40" i="2" s="1"/>
  <c r="D12" i="30"/>
  <c r="C26" i="30" s="1"/>
  <c r="E26" i="30" s="1"/>
  <c r="E16" i="2"/>
  <c r="E20" i="2"/>
  <c r="AQ19" i="2"/>
  <c r="AQ40" i="2" s="1"/>
  <c r="AP40" i="2"/>
  <c r="E17" i="2"/>
  <c r="E18" i="2"/>
  <c r="AX40" i="2"/>
  <c r="BE9" i="26"/>
  <c r="E27" i="47"/>
  <c r="D28" i="47"/>
  <c r="AN13" i="2"/>
  <c r="AN40" i="2" s="1"/>
  <c r="E13" i="2"/>
  <c r="E14" i="2"/>
  <c r="AO14" i="2"/>
  <c r="A42" i="42"/>
  <c r="A222" i="42" s="1"/>
  <c r="A350" i="42" s="1"/>
  <c r="A450" i="42" s="1"/>
  <c r="A42" i="37"/>
  <c r="D48" i="47"/>
  <c r="E47" i="47"/>
  <c r="AO15" i="2"/>
  <c r="E15" i="2"/>
  <c r="AJ7" i="26"/>
  <c r="AJ9" i="26" s="1"/>
  <c r="O48" i="57" l="1"/>
  <c r="P42" i="57"/>
  <c r="Q42" i="57"/>
  <c r="P45" i="57"/>
  <c r="M28" i="57"/>
  <c r="O28" i="57" s="1"/>
  <c r="P28" i="57"/>
  <c r="O39" i="57"/>
  <c r="L25" i="57"/>
  <c r="L24" i="57" s="1"/>
  <c r="K25" i="57"/>
  <c r="K24" i="57" s="1"/>
  <c r="Q51" i="57"/>
  <c r="P51" i="57"/>
  <c r="L30" i="57"/>
  <c r="F9" i="26"/>
  <c r="AO40" i="2"/>
  <c r="AF40" i="2" s="1"/>
  <c r="A519" i="42"/>
  <c r="A552" i="42" s="1"/>
  <c r="A585" i="42" s="1"/>
  <c r="A617" i="42" s="1"/>
  <c r="A649" i="42" s="1"/>
  <c r="A483" i="42"/>
  <c r="AE9" i="26"/>
  <c r="D29" i="47"/>
  <c r="E28" i="47"/>
  <c r="E48" i="47"/>
  <c r="D51" i="47"/>
  <c r="A138" i="38"/>
  <c r="A202" i="37"/>
  <c r="A330" i="37" s="1"/>
  <c r="A430" i="37" s="1"/>
  <c r="P39" i="57" l="1"/>
  <c r="Q39" i="57"/>
  <c r="M27" i="57"/>
  <c r="P48" i="57"/>
  <c r="Q48" i="57"/>
  <c r="O25" i="57"/>
  <c r="A170" i="38"/>
  <c r="A203" i="38" s="1"/>
  <c r="A244" i="38" s="1"/>
  <c r="A482" i="38" s="1"/>
  <c r="A516" i="38" s="1"/>
  <c r="A1084" i="38" s="1"/>
  <c r="A1120" i="38" s="1"/>
  <c r="A1156" i="38" s="1"/>
  <c r="A1192" i="38" s="1"/>
  <c r="A1228" i="38" s="1"/>
  <c r="A1264" i="38" s="1"/>
  <c r="A1298" i="38" s="1"/>
  <c r="A1332" i="38" s="1"/>
  <c r="A106" i="38"/>
  <c r="A10" i="44" s="1"/>
  <c r="D30" i="47"/>
  <c r="E29" i="47"/>
  <c r="A466" i="37"/>
  <c r="A499" i="37"/>
  <c r="A539" i="37" s="1"/>
  <c r="D52" i="47"/>
  <c r="E51" i="47"/>
  <c r="A1097" i="44" l="1"/>
  <c r="A807" i="44"/>
  <c r="A568" i="44"/>
  <c r="A11" i="45"/>
  <c r="A1617" i="44"/>
  <c r="A1131" i="44"/>
  <c r="A502" i="44"/>
  <c r="A470" i="44"/>
  <c r="A374" i="44"/>
  <c r="A1584" i="44"/>
  <c r="A1387" i="44"/>
  <c r="A274" i="44"/>
  <c r="A1163" i="44"/>
  <c r="A42" i="44"/>
  <c r="A1781" i="44"/>
  <c r="A1323" i="44"/>
  <c r="A1420" i="44"/>
  <c r="A1847" i="44"/>
  <c r="A1717" i="44"/>
  <c r="A1195" i="44"/>
  <c r="A438" i="44"/>
  <c r="A534" i="44"/>
  <c r="A1485" i="44"/>
  <c r="A1453" i="44"/>
  <c r="A1977" i="44"/>
  <c r="A2298" i="44" s="1"/>
  <c r="A2330" i="44" s="1"/>
  <c r="A1551" i="44"/>
  <c r="A1912" i="44"/>
  <c r="A1813" i="44"/>
  <c r="A1650" i="44"/>
  <c r="A306" i="44"/>
  <c r="A1518" i="44"/>
  <c r="A1945" i="44"/>
  <c r="A2266" i="44" s="1"/>
  <c r="A1683" i="44"/>
  <c r="A406" i="44"/>
  <c r="A74" i="44"/>
  <c r="A2041" i="44" s="1"/>
  <c r="A2073" i="44" s="1"/>
  <c r="A2105" i="44" s="1"/>
  <c r="A2137" i="44" s="1"/>
  <c r="A2169" i="44" s="1"/>
  <c r="A2201" i="44" s="1"/>
  <c r="A2233" i="44" s="1"/>
  <c r="A170" i="44"/>
  <c r="A234" i="44"/>
  <c r="A1749" i="44"/>
  <c r="A1880" i="44"/>
  <c r="A342" i="44"/>
  <c r="A1259" i="44"/>
  <c r="A1227" i="44"/>
  <c r="A202" i="44"/>
  <c r="A1355" i="44"/>
  <c r="A1291" i="44"/>
  <c r="D53" i="47"/>
  <c r="E52" i="47"/>
  <c r="D32" i="47"/>
  <c r="E32" i="47" s="1"/>
  <c r="E30" i="47"/>
  <c r="D54" i="47" l="1"/>
  <c r="E53" i="47"/>
  <c r="A43" i="45"/>
  <c r="A2009" i="44"/>
  <c r="E35" i="47"/>
  <c r="E36" i="47" s="1"/>
  <c r="A663" i="45"/>
  <c r="A599" i="45"/>
  <c r="A215" i="45"/>
  <c r="A375" i="45"/>
  <c r="A471" i="45"/>
  <c r="A439" i="45"/>
  <c r="A279" i="45"/>
  <c r="A183" i="45"/>
  <c r="A535" i="45"/>
  <c r="A247" i="45"/>
  <c r="A75" i="45"/>
  <c r="A407" i="45"/>
  <c r="A631" i="45"/>
  <c r="A343" i="45"/>
  <c r="A151" i="45"/>
  <c r="A311" i="45"/>
  <c r="A567" i="45"/>
  <c r="A37" i="39"/>
  <c r="A113" i="45"/>
  <c r="A503" i="45"/>
  <c r="A1351" i="41" l="1"/>
  <c r="A1217" i="41" s="1"/>
  <c r="A1182" i="41" s="1"/>
  <c r="A1147" i="41" s="1"/>
  <c r="A1111" i="41" s="1"/>
  <c r="A5" i="39"/>
  <c r="A152" i="41"/>
  <c r="A186" i="41" s="1"/>
  <c r="A70" i="39"/>
  <c r="A102" i="39" s="1"/>
  <c r="A134" i="39" s="1"/>
  <c r="A166" i="39" s="1"/>
  <c r="D86" i="47"/>
  <c r="D79" i="47"/>
  <c r="E79" i="47" s="1"/>
  <c r="D65" i="47"/>
  <c r="D100" i="47"/>
  <c r="E100" i="47" s="1"/>
  <c r="D72" i="47"/>
  <c r="E72" i="47" s="1"/>
  <c r="D93" i="47"/>
  <c r="E93" i="47" s="1"/>
  <c r="D56" i="47"/>
  <c r="E56" i="47" s="1"/>
  <c r="E54" i="47"/>
  <c r="A372" i="41" l="1"/>
  <c r="A406" i="41" s="1"/>
  <c r="A440" i="41" s="1"/>
  <c r="A474" i="41" s="1"/>
  <c r="A508" i="41"/>
  <c r="A303" i="39"/>
  <c r="A334" i="39"/>
  <c r="E59" i="47"/>
  <c r="E60" i="47" s="1"/>
  <c r="C429" i="46"/>
  <c r="G429" i="46" s="1"/>
  <c r="C321" i="46"/>
  <c r="G321" i="46" s="1"/>
  <c r="C573" i="46"/>
  <c r="G573" i="46" s="1"/>
  <c r="C33" i="46"/>
  <c r="G33" i="46" s="1"/>
  <c r="C501" i="46"/>
  <c r="G501" i="46" s="1"/>
  <c r="C285" i="46"/>
  <c r="G285" i="46" s="1"/>
  <c r="E65" i="47"/>
  <c r="E86" i="47"/>
  <c r="C865" i="38"/>
  <c r="F865" i="38" s="1"/>
  <c r="C824" i="38"/>
  <c r="F824" i="38" s="1"/>
  <c r="C898" i="38"/>
  <c r="F898" i="38" s="1"/>
  <c r="C932" i="38"/>
  <c r="F932" i="38" s="1"/>
  <c r="A230" i="39"/>
  <c r="A198" i="39"/>
  <c r="A262" i="39" s="1"/>
  <c r="C487" i="52" l="1"/>
  <c r="F487" i="52" s="1"/>
  <c r="C129" i="52"/>
  <c r="F129" i="52" s="1"/>
  <c r="C1968" i="44"/>
  <c r="F1968" i="44" s="1"/>
  <c r="C160" i="52"/>
  <c r="F160" i="52" s="1"/>
  <c r="C2064" i="44"/>
  <c r="F2064" i="44" s="1"/>
  <c r="C97" i="52"/>
  <c r="F97" i="52" s="1"/>
  <c r="C2289" i="44"/>
  <c r="F2289" i="44" s="1"/>
  <c r="C2096" i="44"/>
  <c r="F2096" i="44" s="1"/>
  <c r="C454" i="52"/>
  <c r="F454" i="52" s="1"/>
  <c r="C224" i="52"/>
  <c r="F224" i="52" s="1"/>
  <c r="C419" i="52"/>
  <c r="F419" i="52" s="1"/>
  <c r="G421" i="52" s="1"/>
  <c r="G423" i="52" s="1"/>
  <c r="C256" i="52"/>
  <c r="F256" i="52" s="1"/>
  <c r="C136" i="45"/>
  <c r="F136" i="45" s="1"/>
  <c r="C2160" i="44"/>
  <c r="F2160" i="44" s="1"/>
  <c r="C1057" i="44"/>
  <c r="F1057" i="44" s="1"/>
  <c r="C66" i="45"/>
  <c r="F66" i="45" s="1"/>
  <c r="C1641" i="44"/>
  <c r="F1641" i="44" s="1"/>
  <c r="C1542" i="44"/>
  <c r="F1542" i="44" s="1"/>
  <c r="C1411" i="44"/>
  <c r="F1411" i="44" s="1"/>
  <c r="C1283" i="44"/>
  <c r="F1283" i="44" s="1"/>
  <c r="C1155" i="44"/>
  <c r="F1155" i="44" s="1"/>
  <c r="C387" i="52"/>
  <c r="F387" i="52" s="1"/>
  <c r="C2356" i="44"/>
  <c r="F2356" i="44" s="1"/>
  <c r="C2224" i="44"/>
  <c r="F2224" i="44" s="1"/>
  <c r="C357" i="52"/>
  <c r="F357" i="52" s="1"/>
  <c r="C1674" i="44"/>
  <c r="F1674" i="44" s="1"/>
  <c r="C1187" i="44"/>
  <c r="F1187" i="44" s="1"/>
  <c r="C662" i="44"/>
  <c r="F662" i="44" s="1"/>
  <c r="C629" i="44"/>
  <c r="F629" i="44" s="1"/>
  <c r="C397" i="44"/>
  <c r="F397" i="44" s="1"/>
  <c r="C213" i="42"/>
  <c r="F213" i="42" s="1"/>
  <c r="C181" i="42"/>
  <c r="F181" i="42" s="1"/>
  <c r="C34" i="45"/>
  <c r="F34" i="45" s="1"/>
  <c r="C2192" i="44"/>
  <c r="F2192" i="44" s="1"/>
  <c r="C1122" i="44"/>
  <c r="F1122" i="44" s="1"/>
  <c r="C994" i="44"/>
  <c r="F994" i="44" s="1"/>
  <c r="C729" i="44"/>
  <c r="F729" i="44" s="1"/>
  <c r="C696" i="44"/>
  <c r="F696" i="44" s="1"/>
  <c r="C429" i="44"/>
  <c r="F429" i="44" s="1"/>
  <c r="C609" i="42"/>
  <c r="F609" i="42" s="1"/>
  <c r="C563" i="41"/>
  <c r="F563" i="41" s="1"/>
  <c r="C397" i="41"/>
  <c r="F397" i="41" s="1"/>
  <c r="C174" i="45"/>
  <c r="F174" i="45" s="1"/>
  <c r="C1379" i="44"/>
  <c r="F1379" i="44" s="1"/>
  <c r="C365" i="44"/>
  <c r="F365" i="44" s="1"/>
  <c r="C2256" i="44"/>
  <c r="F2256" i="44" s="1"/>
  <c r="C225" i="44"/>
  <c r="F225" i="44" s="1"/>
  <c r="C161" i="44"/>
  <c r="F161" i="44" s="1"/>
  <c r="C641" i="42"/>
  <c r="F641" i="42" s="1"/>
  <c r="C1740" i="44"/>
  <c r="F1740" i="44" s="1"/>
  <c r="C1509" i="44"/>
  <c r="F1509" i="44" s="1"/>
  <c r="C1088" i="44"/>
  <c r="F1088" i="44" s="1"/>
  <c r="C798" i="44"/>
  <c r="F798" i="44" s="1"/>
  <c r="C193" i="44"/>
  <c r="F193" i="44" s="1"/>
  <c r="C260" i="44"/>
  <c r="F260" i="44" s="1"/>
  <c r="C97" i="44"/>
  <c r="F97" i="44" s="1"/>
  <c r="C277" i="42"/>
  <c r="F277" i="42" s="1"/>
  <c r="C85" i="42"/>
  <c r="F85" i="42" s="1"/>
  <c r="C421" i="37"/>
  <c r="F421" i="37" s="1"/>
  <c r="C385" i="37"/>
  <c r="F385" i="37" s="1"/>
  <c r="C321" i="37"/>
  <c r="F321" i="37" s="1"/>
  <c r="C289" i="37"/>
  <c r="F289" i="37" s="1"/>
  <c r="C962" i="44"/>
  <c r="F962" i="44" s="1"/>
  <c r="C595" i="44"/>
  <c r="F595" i="44" s="1"/>
  <c r="C65" i="44"/>
  <c r="F65" i="44" s="1"/>
  <c r="C531" i="41"/>
  <c r="F531" i="41" s="1"/>
  <c r="C33" i="44"/>
  <c r="F33" i="44" s="1"/>
  <c r="C373" i="42"/>
  <c r="F373" i="42" s="1"/>
  <c r="C849" i="41"/>
  <c r="F849" i="41" s="1"/>
  <c r="C289" i="52"/>
  <c r="F289" i="52" s="1"/>
  <c r="C98" i="45"/>
  <c r="F98" i="45" s="1"/>
  <c r="C2000" i="44"/>
  <c r="F2000" i="44" s="1"/>
  <c r="C1871" i="44"/>
  <c r="F1871" i="44" s="1"/>
  <c r="C1707" i="44"/>
  <c r="F1707" i="44" s="1"/>
  <c r="C192" i="52"/>
  <c r="F192" i="52" s="1"/>
  <c r="C1251" i="44"/>
  <c r="F1251" i="44" s="1"/>
  <c r="C830" i="44"/>
  <c r="F830" i="44" s="1"/>
  <c r="C510" i="42"/>
  <c r="F510" i="42" s="1"/>
  <c r="C441" i="42"/>
  <c r="F441" i="42" s="1"/>
  <c r="C366" i="45"/>
  <c r="F366" i="45" s="1"/>
  <c r="C929" i="44"/>
  <c r="F929" i="44" s="1"/>
  <c r="C2032" i="44"/>
  <c r="F2032" i="44" s="1"/>
  <c r="C1608" i="44"/>
  <c r="F1608" i="44" s="1"/>
  <c r="C1444" i="44"/>
  <c r="F1444" i="44" s="1"/>
  <c r="C297" i="44"/>
  <c r="F297" i="44" s="1"/>
  <c r="C325" i="52"/>
  <c r="F325" i="52" s="1"/>
  <c r="C1838" i="44"/>
  <c r="F1838" i="44" s="1"/>
  <c r="C309" i="42"/>
  <c r="F309" i="42" s="1"/>
  <c r="C117" i="42"/>
  <c r="F117" i="42" s="1"/>
  <c r="C33" i="42"/>
  <c r="F33" i="42" s="1"/>
  <c r="C1208" i="41"/>
  <c r="F1208" i="41" s="1"/>
  <c r="C499" i="41"/>
  <c r="F499" i="41" s="1"/>
  <c r="C431" i="41"/>
  <c r="F431" i="41" s="1"/>
  <c r="C221" i="39"/>
  <c r="F221" i="39" s="1"/>
  <c r="C1804" i="44"/>
  <c r="F1804" i="44" s="1"/>
  <c r="C1219" i="44"/>
  <c r="F1219" i="44" s="1"/>
  <c r="C559" i="44"/>
  <c r="F559" i="44" s="1"/>
  <c r="C1376" i="41"/>
  <c r="F1376" i="41" s="1"/>
  <c r="C1173" i="41"/>
  <c r="F1173" i="41" s="1"/>
  <c r="C599" i="41"/>
  <c r="F599" i="41" s="1"/>
  <c r="C33" i="52"/>
  <c r="F33" i="52" s="1"/>
  <c r="C1903" i="44"/>
  <c r="F1903" i="44" s="1"/>
  <c r="C461" i="44"/>
  <c r="F461" i="44" s="1"/>
  <c r="C65" i="52"/>
  <c r="F65" i="52" s="1"/>
  <c r="C189" i="39"/>
  <c r="F189" i="39" s="1"/>
  <c r="C157" i="39"/>
  <c r="F157" i="39" s="1"/>
  <c r="C238" i="45"/>
  <c r="F238" i="45" s="1"/>
  <c r="C1315" i="44"/>
  <c r="F1315" i="44" s="1"/>
  <c r="C405" i="42"/>
  <c r="F405" i="42" s="1"/>
  <c r="C149" i="42"/>
  <c r="F149" i="42" s="1"/>
  <c r="C206" i="45"/>
  <c r="F206" i="45" s="1"/>
  <c r="C896" i="44"/>
  <c r="F896" i="44" s="1"/>
  <c r="C761" i="44"/>
  <c r="F761" i="44" s="1"/>
  <c r="C341" i="42"/>
  <c r="F341" i="42" s="1"/>
  <c r="C522" i="35"/>
  <c r="F522" i="35" s="1"/>
  <c r="C138" i="35"/>
  <c r="F138" i="35" s="1"/>
  <c r="C1772" i="44"/>
  <c r="F1772" i="44" s="1"/>
  <c r="C1477" i="44"/>
  <c r="F1477" i="44" s="1"/>
  <c r="C543" i="42"/>
  <c r="F543" i="42" s="1"/>
  <c r="C211" i="41"/>
  <c r="F211" i="41" s="1"/>
  <c r="C93" i="39"/>
  <c r="F93" i="39" s="1"/>
  <c r="C161" i="37"/>
  <c r="F161" i="37" s="1"/>
  <c r="C33" i="37"/>
  <c r="F33" i="37" s="1"/>
  <c r="C493" i="44"/>
  <c r="F493" i="44" s="1"/>
  <c r="C812" i="41"/>
  <c r="F812" i="41" s="1"/>
  <c r="C672" i="41"/>
  <c r="F672" i="41" s="1"/>
  <c r="C125" i="39"/>
  <c r="F125" i="39" s="1"/>
  <c r="C257" i="37"/>
  <c r="F257" i="37" s="1"/>
  <c r="C525" i="44"/>
  <c r="F525" i="44" s="1"/>
  <c r="C465" i="41"/>
  <c r="F465" i="41" s="1"/>
  <c r="C193" i="37"/>
  <c r="F193" i="37" s="1"/>
  <c r="C65" i="37"/>
  <c r="F65" i="37" s="1"/>
  <c r="C553" i="35"/>
  <c r="F553" i="35" s="1"/>
  <c r="C427" i="35"/>
  <c r="F427" i="35" s="1"/>
  <c r="C687" i="45"/>
  <c r="F687" i="45" s="1"/>
  <c r="C1347" i="44"/>
  <c r="F1347" i="44" s="1"/>
  <c r="C1240" i="41"/>
  <c r="F1240" i="41" s="1"/>
  <c r="C234" i="35"/>
  <c r="F234" i="35" s="1"/>
  <c r="C2128" i="44"/>
  <c r="F2128" i="44" s="1"/>
  <c r="C1936" i="44"/>
  <c r="F1936" i="44" s="1"/>
  <c r="C1575" i="44"/>
  <c r="F1575" i="44" s="1"/>
  <c r="C673" i="42"/>
  <c r="F673" i="42" s="1"/>
  <c r="C61" i="39"/>
  <c r="F61" i="39" s="1"/>
  <c r="C525" i="37"/>
  <c r="F525" i="37" s="1"/>
  <c r="C193" i="32"/>
  <c r="F193" i="32" s="1"/>
  <c r="G195" i="32" s="1"/>
  <c r="G197" i="32" s="1"/>
  <c r="C1026" i="44"/>
  <c r="F1026" i="44" s="1"/>
  <c r="C298" i="35"/>
  <c r="F298" i="35" s="1"/>
  <c r="C170" i="35"/>
  <c r="F170" i="35" s="1"/>
  <c r="C245" i="42"/>
  <c r="F245" i="42" s="1"/>
  <c r="C458" i="35"/>
  <c r="F458" i="35" s="1"/>
  <c r="C97" i="37"/>
  <c r="F97" i="37" s="1"/>
  <c r="C106" i="35"/>
  <c r="F106" i="35" s="1"/>
  <c r="C864" i="44"/>
  <c r="F864" i="44" s="1"/>
  <c r="C1137" i="41"/>
  <c r="F1137" i="41" s="1"/>
  <c r="C490" i="37"/>
  <c r="F490" i="37" s="1"/>
  <c r="C333" i="44"/>
  <c r="F333" i="44" s="1"/>
  <c r="C225" i="37"/>
  <c r="F225" i="37" s="1"/>
  <c r="C592" i="35"/>
  <c r="F592" i="35" s="1"/>
  <c r="C289" i="32"/>
  <c r="F289" i="32" s="1"/>
  <c r="G291" i="32" s="1"/>
  <c r="G293" i="32" s="1"/>
  <c r="C129" i="32"/>
  <c r="F129" i="32" s="1"/>
  <c r="G130" i="32" s="1"/>
  <c r="G132" i="32" s="1"/>
  <c r="C100" i="31"/>
  <c r="F100" i="31" s="1"/>
  <c r="C177" i="41"/>
  <c r="F177" i="41" s="1"/>
  <c r="C97" i="32"/>
  <c r="F97" i="32" s="1"/>
  <c r="C169" i="31"/>
  <c r="F169" i="31" s="1"/>
  <c r="G171" i="31" s="1"/>
  <c r="G173" i="31" s="1"/>
  <c r="C129" i="44"/>
  <c r="F129" i="44" s="1"/>
  <c r="C564" i="37"/>
  <c r="F564" i="37" s="1"/>
  <c r="C129" i="38"/>
  <c r="F129" i="38" s="1"/>
  <c r="C68" i="35"/>
  <c r="F68" i="35" s="1"/>
  <c r="C331" i="35"/>
  <c r="F331" i="35" s="1"/>
  <c r="C202" i="35"/>
  <c r="F202" i="35" s="1"/>
  <c r="C68" i="31"/>
  <c r="F68" i="31" s="1"/>
  <c r="G69" i="31" s="1"/>
  <c r="G71" i="31" s="1"/>
  <c r="C515" i="32"/>
  <c r="F515" i="32" s="1"/>
  <c r="G516" i="32" s="1"/>
  <c r="G518" i="32" s="1"/>
  <c r="C482" i="32"/>
  <c r="F482" i="32" s="1"/>
  <c r="G484" i="32" s="1"/>
  <c r="G486" i="32" s="1"/>
  <c r="C160" i="32"/>
  <c r="F160" i="32" s="1"/>
  <c r="G162" i="32" s="1"/>
  <c r="G164" i="32" s="1"/>
  <c r="C363" i="35"/>
  <c r="F363" i="35" s="1"/>
  <c r="C270" i="45"/>
  <c r="F270" i="45" s="1"/>
  <c r="C490" i="35"/>
  <c r="F490" i="35" s="1"/>
  <c r="C225" i="32"/>
  <c r="F225" i="32" s="1"/>
  <c r="G227" i="32" s="1"/>
  <c r="G229" i="32" s="1"/>
  <c r="C385" i="32"/>
  <c r="F385" i="32" s="1"/>
  <c r="G387" i="32" s="1"/>
  <c r="G389" i="32" s="1"/>
  <c r="C65" i="32"/>
  <c r="F65" i="32" s="1"/>
  <c r="G66" i="32" s="1"/>
  <c r="G68" i="32" s="1"/>
  <c r="C395" i="35"/>
  <c r="F395" i="35" s="1"/>
  <c r="C353" i="32"/>
  <c r="F353" i="32" s="1"/>
  <c r="G355" i="32" s="1"/>
  <c r="G357" i="32" s="1"/>
  <c r="C450" i="32"/>
  <c r="F450" i="32" s="1"/>
  <c r="G452" i="32" s="1"/>
  <c r="G454" i="32" s="1"/>
  <c r="C129" i="37"/>
  <c r="F129" i="37" s="1"/>
  <c r="C234" i="31"/>
  <c r="F234" i="31" s="1"/>
  <c r="G235" i="31" s="1"/>
  <c r="G237" i="31" s="1"/>
  <c r="C738" i="41"/>
  <c r="F738" i="41" s="1"/>
  <c r="C266" i="31"/>
  <c r="F266" i="31" s="1"/>
  <c r="C253" i="39"/>
  <c r="F253" i="39" s="1"/>
  <c r="C134" i="31"/>
  <c r="F134" i="31" s="1"/>
  <c r="G136" i="31" s="1"/>
  <c r="G138" i="31" s="1"/>
  <c r="C266" i="35"/>
  <c r="F266" i="35" s="1"/>
  <c r="C353" i="37"/>
  <c r="F353" i="37" s="1"/>
  <c r="C321" i="32"/>
  <c r="F321" i="32" s="1"/>
  <c r="G323" i="32" s="1"/>
  <c r="G325" i="32" s="1"/>
  <c r="C257" i="32"/>
  <c r="F257" i="32" s="1"/>
  <c r="G259" i="32" s="1"/>
  <c r="G261" i="32" s="1"/>
  <c r="C474" i="42"/>
  <c r="F474" i="42" s="1"/>
  <c r="C2321" i="44"/>
  <c r="F2321" i="44" s="1"/>
  <c r="C457" i="37"/>
  <c r="F457" i="37" s="1"/>
  <c r="C576" i="42"/>
  <c r="F576" i="42" s="1"/>
  <c r="C202" i="31"/>
  <c r="F202" i="31" s="1"/>
  <c r="C34" i="35"/>
  <c r="F34" i="35" s="1"/>
  <c r="C33" i="32"/>
  <c r="F33" i="32" s="1"/>
  <c r="A540" i="41"/>
  <c r="A573" i="41"/>
  <c r="A645" i="41" s="1"/>
  <c r="A714" i="41" s="1"/>
  <c r="A784" i="41" s="1"/>
  <c r="A821" i="41" s="1"/>
  <c r="D92" i="47"/>
  <c r="E92" i="47" s="1"/>
  <c r="E95" i="47" s="1"/>
  <c r="D99" i="47"/>
  <c r="E99" i="47" s="1"/>
  <c r="E102" i="47" s="1"/>
  <c r="D85" i="47"/>
  <c r="D78" i="47"/>
  <c r="E78" i="47" s="1"/>
  <c r="E81" i="47" s="1"/>
  <c r="D64" i="47"/>
  <c r="E64" i="47" s="1"/>
  <c r="D71" i="47"/>
  <c r="E71" i="47" s="1"/>
  <c r="C577" i="38"/>
  <c r="F577" i="38" s="1"/>
  <c r="G579" i="38" s="1"/>
  <c r="G581" i="38" s="1"/>
  <c r="E12" i="27" l="1"/>
  <c r="F12" i="27" s="1"/>
  <c r="M7" i="27" s="1"/>
  <c r="C572" i="46"/>
  <c r="G572" i="46" s="1"/>
  <c r="G574" i="46" s="1"/>
  <c r="G576" i="46" s="1"/>
  <c r="C428" i="46"/>
  <c r="G428" i="46" s="1"/>
  <c r="G430" i="46" s="1"/>
  <c r="G432" i="46" s="1"/>
  <c r="E74" i="47"/>
  <c r="C32" i="46"/>
  <c r="G32" i="46" s="1"/>
  <c r="G34" i="46" s="1"/>
  <c r="G36" i="46" s="1"/>
  <c r="C320" i="46"/>
  <c r="G320" i="46" s="1"/>
  <c r="G322" i="46" s="1"/>
  <c r="G324" i="46" s="1"/>
  <c r="C500" i="46"/>
  <c r="G500" i="46" s="1"/>
  <c r="G502" i="46" s="1"/>
  <c r="G504" i="46" s="1"/>
  <c r="E16" i="7"/>
  <c r="F16" i="7" s="1"/>
  <c r="E16" i="5"/>
  <c r="F16" i="5" s="1"/>
  <c r="E16" i="10"/>
  <c r="F16" i="10" s="1"/>
  <c r="E15" i="10"/>
  <c r="F15" i="10" s="1"/>
  <c r="E15" i="7"/>
  <c r="F15" i="7" s="1"/>
  <c r="E15" i="5"/>
  <c r="F15" i="5" s="1"/>
  <c r="C64" i="52"/>
  <c r="F64" i="52" s="1"/>
  <c r="G66" i="52" s="1"/>
  <c r="G68" i="52" s="1"/>
  <c r="C324" i="52"/>
  <c r="F324" i="52" s="1"/>
  <c r="G326" i="52" s="1"/>
  <c r="G328" i="52" s="1"/>
  <c r="C32" i="52"/>
  <c r="F32" i="52" s="1"/>
  <c r="G34" i="52" s="1"/>
  <c r="G36" i="52" s="1"/>
  <c r="C356" i="52"/>
  <c r="F356" i="52" s="1"/>
  <c r="G358" i="52" s="1"/>
  <c r="G360" i="52" s="1"/>
  <c r="C257" i="52"/>
  <c r="F257" i="52" s="1"/>
  <c r="C193" i="52"/>
  <c r="F193" i="52" s="1"/>
  <c r="G194" i="52" s="1"/>
  <c r="G196" i="52" s="1"/>
  <c r="C486" i="52"/>
  <c r="F486" i="52" s="1"/>
  <c r="G488" i="52" s="1"/>
  <c r="G490" i="52" s="1"/>
  <c r="C65" i="45"/>
  <c r="F65" i="45" s="1"/>
  <c r="G67" i="45" s="1"/>
  <c r="C388" i="52"/>
  <c r="F388" i="52" s="1"/>
  <c r="G389" i="52" s="1"/>
  <c r="G391" i="52" s="1"/>
  <c r="C284" i="46"/>
  <c r="G284" i="46" s="1"/>
  <c r="G286" i="46" s="1"/>
  <c r="G288" i="46" s="1"/>
  <c r="C97" i="45"/>
  <c r="F97" i="45" s="1"/>
  <c r="G99" i="45" s="1"/>
  <c r="C1999" i="44"/>
  <c r="F1999" i="44" s="1"/>
  <c r="G2001" i="44" s="1"/>
  <c r="C453" i="52"/>
  <c r="F453" i="52" s="1"/>
  <c r="G455" i="52" s="1"/>
  <c r="G457" i="52" s="1"/>
  <c r="C2127" i="44"/>
  <c r="F2127" i="44" s="1"/>
  <c r="G2129" i="44" s="1"/>
  <c r="C1410" i="44"/>
  <c r="F1410" i="44" s="1"/>
  <c r="G1412" i="44" s="1"/>
  <c r="C1025" i="44"/>
  <c r="F1025" i="44" s="1"/>
  <c r="G1027" i="44" s="1"/>
  <c r="C1870" i="44"/>
  <c r="F1870" i="44" s="1"/>
  <c r="G1872" i="44" s="1"/>
  <c r="C1837" i="44"/>
  <c r="F1837" i="44" s="1"/>
  <c r="G1839" i="44" s="1"/>
  <c r="C1476" i="44"/>
  <c r="F1476" i="44" s="1"/>
  <c r="G1478" i="44" s="1"/>
  <c r="G1480" i="44" s="1"/>
  <c r="C1121" i="44"/>
  <c r="F1121" i="44" s="1"/>
  <c r="G1123" i="44" s="1"/>
  <c r="C829" i="44"/>
  <c r="F829" i="44" s="1"/>
  <c r="G831" i="44" s="1"/>
  <c r="G833" i="44" s="1"/>
  <c r="C161" i="52"/>
  <c r="F161" i="52" s="1"/>
  <c r="C2031" i="44"/>
  <c r="F2031" i="44" s="1"/>
  <c r="G2033" i="44" s="1"/>
  <c r="C128" i="52"/>
  <c r="F128" i="52" s="1"/>
  <c r="G130" i="52" s="1"/>
  <c r="G132" i="52" s="1"/>
  <c r="C2223" i="44"/>
  <c r="F2223" i="44" s="1"/>
  <c r="G2225" i="44" s="1"/>
  <c r="C428" i="44"/>
  <c r="F428" i="44" s="1"/>
  <c r="G430" i="44" s="1"/>
  <c r="C1314" i="44"/>
  <c r="F1314" i="44" s="1"/>
  <c r="G1316" i="44" s="1"/>
  <c r="C594" i="44"/>
  <c r="F594" i="44" s="1"/>
  <c r="G596" i="44" s="1"/>
  <c r="C524" i="44"/>
  <c r="F524" i="44" s="1"/>
  <c r="G526" i="44" s="1"/>
  <c r="G528" i="44" s="1"/>
  <c r="C84" i="42"/>
  <c r="F84" i="42" s="1"/>
  <c r="G86" i="42" s="1"/>
  <c r="G88" i="42" s="1"/>
  <c r="C96" i="52"/>
  <c r="F96" i="52" s="1"/>
  <c r="G98" i="52" s="1"/>
  <c r="G100" i="52" s="1"/>
  <c r="C1967" i="44"/>
  <c r="F1967" i="44" s="1"/>
  <c r="G1969" i="44" s="1"/>
  <c r="G1971" i="44" s="1"/>
  <c r="C1902" i="44"/>
  <c r="F1902" i="44" s="1"/>
  <c r="G1904" i="44" s="1"/>
  <c r="C1443" i="44"/>
  <c r="F1443" i="44" s="1"/>
  <c r="G1445" i="44" s="1"/>
  <c r="C1186" i="44"/>
  <c r="F1186" i="44" s="1"/>
  <c r="G1188" i="44" s="1"/>
  <c r="C928" i="44"/>
  <c r="F928" i="44" s="1"/>
  <c r="G930" i="44" s="1"/>
  <c r="C340" i="42"/>
  <c r="F340" i="42" s="1"/>
  <c r="G342" i="42" s="1"/>
  <c r="C148" i="42"/>
  <c r="F148" i="42" s="1"/>
  <c r="G150" i="42" s="1"/>
  <c r="C1239" i="41"/>
  <c r="F1239" i="41" s="1"/>
  <c r="G1241" i="41" s="1"/>
  <c r="G1243" i="41" s="1"/>
  <c r="C598" i="41"/>
  <c r="F598" i="41" s="1"/>
  <c r="G600" i="41" s="1"/>
  <c r="G602" i="41" s="1"/>
  <c r="C430" i="41"/>
  <c r="F430" i="41" s="1"/>
  <c r="G432" i="41" s="1"/>
  <c r="G434" i="41" s="1"/>
  <c r="C396" i="44"/>
  <c r="F396" i="44" s="1"/>
  <c r="G398" i="44" s="1"/>
  <c r="C64" i="44"/>
  <c r="F64" i="44" s="1"/>
  <c r="G66" i="44" s="1"/>
  <c r="C961" i="44"/>
  <c r="F961" i="44" s="1"/>
  <c r="G963" i="44" s="1"/>
  <c r="C492" i="44"/>
  <c r="F492" i="44" s="1"/>
  <c r="G494" i="44" s="1"/>
  <c r="C128" i="44"/>
  <c r="F128" i="44" s="1"/>
  <c r="G130" i="44" s="1"/>
  <c r="C575" i="42"/>
  <c r="F575" i="42" s="1"/>
  <c r="G577" i="42" s="1"/>
  <c r="G579" i="42" s="1"/>
  <c r="C440" i="42"/>
  <c r="F440" i="42" s="1"/>
  <c r="G442" i="42" s="1"/>
  <c r="C212" i="42"/>
  <c r="F212" i="42" s="1"/>
  <c r="G214" i="42" s="1"/>
  <c r="C173" i="45"/>
  <c r="F173" i="45" s="1"/>
  <c r="G175" i="45" s="1"/>
  <c r="G177" i="45" s="1"/>
  <c r="C135" i="45"/>
  <c r="F135" i="45" s="1"/>
  <c r="G137" i="45" s="1"/>
  <c r="C33" i="45"/>
  <c r="F33" i="45" s="1"/>
  <c r="G35" i="45" s="1"/>
  <c r="G37" i="45" s="1"/>
  <c r="C2191" i="44"/>
  <c r="F2191" i="44" s="1"/>
  <c r="G2193" i="44" s="1"/>
  <c r="C1282" i="44"/>
  <c r="F1282" i="44" s="1"/>
  <c r="G1284" i="44" s="1"/>
  <c r="C993" i="44"/>
  <c r="F993" i="44" s="1"/>
  <c r="G995" i="44" s="1"/>
  <c r="C728" i="44"/>
  <c r="F728" i="44" s="1"/>
  <c r="G730" i="44" s="1"/>
  <c r="G732" i="44" s="1"/>
  <c r="C695" i="44"/>
  <c r="F695" i="44" s="1"/>
  <c r="G697" i="44" s="1"/>
  <c r="C608" i="42"/>
  <c r="F608" i="42" s="1"/>
  <c r="G610" i="42" s="1"/>
  <c r="G612" i="42" s="1"/>
  <c r="C811" i="41"/>
  <c r="F811" i="41" s="1"/>
  <c r="G813" i="41" s="1"/>
  <c r="C2320" i="44"/>
  <c r="F2320" i="44" s="1"/>
  <c r="G2322" i="44" s="1"/>
  <c r="G2324" i="44" s="1"/>
  <c r="C1607" i="44"/>
  <c r="F1607" i="44" s="1"/>
  <c r="G1609" i="44" s="1"/>
  <c r="C1346" i="44"/>
  <c r="F1346" i="44" s="1"/>
  <c r="G1348" i="44" s="1"/>
  <c r="C160" i="44"/>
  <c r="F160" i="44" s="1"/>
  <c r="G162" i="44" s="1"/>
  <c r="C562" i="41"/>
  <c r="F562" i="41" s="1"/>
  <c r="G564" i="41" s="1"/>
  <c r="G566" i="41" s="1"/>
  <c r="C256" i="37"/>
  <c r="F256" i="37" s="1"/>
  <c r="G258" i="37" s="1"/>
  <c r="C1803" i="44"/>
  <c r="F1803" i="44" s="1"/>
  <c r="G1805" i="44" s="1"/>
  <c r="C863" i="44"/>
  <c r="F863" i="44" s="1"/>
  <c r="G865" i="44" s="1"/>
  <c r="C404" i="42"/>
  <c r="F404" i="42" s="1"/>
  <c r="G406" i="42" s="1"/>
  <c r="C180" i="42"/>
  <c r="F180" i="42" s="1"/>
  <c r="G182" i="42" s="1"/>
  <c r="C686" i="45"/>
  <c r="F686" i="45" s="1"/>
  <c r="G688" i="45" s="1"/>
  <c r="C1087" i="44"/>
  <c r="F1087" i="44" s="1"/>
  <c r="G1089" i="44" s="1"/>
  <c r="G1091" i="44" s="1"/>
  <c r="C364" i="44"/>
  <c r="F364" i="44" s="1"/>
  <c r="G366" i="44" s="1"/>
  <c r="C332" i="44"/>
  <c r="F332" i="44" s="1"/>
  <c r="G334" i="44" s="1"/>
  <c r="C96" i="44"/>
  <c r="F96" i="44" s="1"/>
  <c r="G98" i="44" s="1"/>
  <c r="C473" i="42"/>
  <c r="F473" i="42" s="1"/>
  <c r="G475" i="42" s="1"/>
  <c r="C1739" i="44"/>
  <c r="F1739" i="44" s="1"/>
  <c r="G1741" i="44" s="1"/>
  <c r="C259" i="44"/>
  <c r="F259" i="44" s="1"/>
  <c r="G261" i="44" s="1"/>
  <c r="C276" i="42"/>
  <c r="F276" i="42" s="1"/>
  <c r="G278" i="42" s="1"/>
  <c r="C530" i="41"/>
  <c r="F530" i="41" s="1"/>
  <c r="G532" i="41" s="1"/>
  <c r="G534" i="41" s="1"/>
  <c r="C420" i="37"/>
  <c r="F420" i="37" s="1"/>
  <c r="G422" i="37" s="1"/>
  <c r="C384" i="37"/>
  <c r="F384" i="37" s="1"/>
  <c r="G386" i="37" s="1"/>
  <c r="C320" i="37"/>
  <c r="F320" i="37" s="1"/>
  <c r="G322" i="37" s="1"/>
  <c r="C288" i="37"/>
  <c r="F288" i="37" s="1"/>
  <c r="G290" i="37" s="1"/>
  <c r="C1673" i="44"/>
  <c r="F1673" i="44" s="1"/>
  <c r="G1675" i="44" s="1"/>
  <c r="C1640" i="44"/>
  <c r="F1640" i="44" s="1"/>
  <c r="G1642" i="44" s="1"/>
  <c r="C1508" i="44"/>
  <c r="F1508" i="44" s="1"/>
  <c r="G1510" i="44" s="1"/>
  <c r="G1512" i="44" s="1"/>
  <c r="C192" i="44"/>
  <c r="F192" i="44" s="1"/>
  <c r="G194" i="44" s="1"/>
  <c r="C225" i="52"/>
  <c r="F225" i="52" s="1"/>
  <c r="G226" i="52" s="1"/>
  <c r="G228" i="52" s="1"/>
  <c r="C2355" i="44"/>
  <c r="F2355" i="44" s="1"/>
  <c r="G2357" i="44" s="1"/>
  <c r="C1706" i="44"/>
  <c r="F1706" i="44" s="1"/>
  <c r="G1708" i="44" s="1"/>
  <c r="C1574" i="44"/>
  <c r="F1574" i="44" s="1"/>
  <c r="G1576" i="44" s="1"/>
  <c r="C2159" i="44"/>
  <c r="F2159" i="44" s="1"/>
  <c r="G2161" i="44" s="1"/>
  <c r="C1056" i="44"/>
  <c r="F1056" i="44" s="1"/>
  <c r="G1058" i="44" s="1"/>
  <c r="G1060" i="44" s="1"/>
  <c r="C661" i="44"/>
  <c r="F661" i="44" s="1"/>
  <c r="G663" i="44" s="1"/>
  <c r="C797" i="44"/>
  <c r="F797" i="44" s="1"/>
  <c r="G799" i="44" s="1"/>
  <c r="C224" i="44"/>
  <c r="F224" i="44" s="1"/>
  <c r="G226" i="44" s="1"/>
  <c r="C672" i="42"/>
  <c r="F672" i="42" s="1"/>
  <c r="G674" i="42" s="1"/>
  <c r="G676" i="42" s="1"/>
  <c r="C188" i="39"/>
  <c r="F188" i="39" s="1"/>
  <c r="G190" i="39" s="1"/>
  <c r="G192" i="39" s="1"/>
  <c r="C1771" i="44"/>
  <c r="F1771" i="44" s="1"/>
  <c r="G1773" i="44" s="1"/>
  <c r="C895" i="44"/>
  <c r="F895" i="44" s="1"/>
  <c r="G897" i="44" s="1"/>
  <c r="G899" i="44" s="1"/>
  <c r="C628" i="44"/>
  <c r="F628" i="44" s="1"/>
  <c r="G630" i="44" s="1"/>
  <c r="G632" i="44" s="1"/>
  <c r="C542" i="42"/>
  <c r="F542" i="42" s="1"/>
  <c r="G544" i="42" s="1"/>
  <c r="G546" i="42" s="1"/>
  <c r="C671" i="41"/>
  <c r="F671" i="41" s="1"/>
  <c r="G673" i="41" s="1"/>
  <c r="G675" i="41" s="1"/>
  <c r="C252" i="39"/>
  <c r="F252" i="39" s="1"/>
  <c r="G254" i="39" s="1"/>
  <c r="G256" i="39" s="1"/>
  <c r="C2255" i="44"/>
  <c r="F2255" i="44" s="1"/>
  <c r="G2257" i="44" s="1"/>
  <c r="C2095" i="44"/>
  <c r="F2095" i="44" s="1"/>
  <c r="G2097" i="44" s="1"/>
  <c r="C1172" i="41"/>
  <c r="F1172" i="41" s="1"/>
  <c r="G1174" i="41" s="1"/>
  <c r="G1176" i="41" s="1"/>
  <c r="C352" i="37"/>
  <c r="F352" i="37" s="1"/>
  <c r="G354" i="37" s="1"/>
  <c r="C2288" i="44"/>
  <c r="F2288" i="44" s="1"/>
  <c r="G2290" i="44" s="1"/>
  <c r="G2292" i="44" s="1"/>
  <c r="C1218" i="44"/>
  <c r="F1218" i="44" s="1"/>
  <c r="G1220" i="44" s="1"/>
  <c r="C558" i="44"/>
  <c r="F558" i="44" s="1"/>
  <c r="G560" i="44" s="1"/>
  <c r="C640" i="42"/>
  <c r="F640" i="42" s="1"/>
  <c r="G642" i="42" s="1"/>
  <c r="G644" i="42" s="1"/>
  <c r="C1375" i="41"/>
  <c r="F1375" i="41" s="1"/>
  <c r="G1377" i="41" s="1"/>
  <c r="G1379" i="41" s="1"/>
  <c r="C288" i="52"/>
  <c r="F288" i="52" s="1"/>
  <c r="G290" i="52" s="1"/>
  <c r="C460" i="44"/>
  <c r="F460" i="44" s="1"/>
  <c r="G462" i="44" s="1"/>
  <c r="C156" i="39"/>
  <c r="F156" i="39" s="1"/>
  <c r="G158" i="39" s="1"/>
  <c r="G160" i="39" s="1"/>
  <c r="C192" i="37"/>
  <c r="F192" i="37" s="1"/>
  <c r="G194" i="37" s="1"/>
  <c r="C269" i="45"/>
  <c r="F269" i="45" s="1"/>
  <c r="G271" i="45" s="1"/>
  <c r="G273" i="45" s="1"/>
  <c r="C1250" i="44"/>
  <c r="F1250" i="44" s="1"/>
  <c r="G1252" i="44" s="1"/>
  <c r="C244" i="42"/>
  <c r="F244" i="42" s="1"/>
  <c r="G246" i="42" s="1"/>
  <c r="G248" i="42" s="1"/>
  <c r="C1136" i="41"/>
  <c r="F1136" i="41" s="1"/>
  <c r="G1138" i="41" s="1"/>
  <c r="G1140" i="41" s="1"/>
  <c r="E67" i="47"/>
  <c r="C396" i="41"/>
  <c r="F396" i="41" s="1"/>
  <c r="G398" i="41" s="1"/>
  <c r="G400" i="41" s="1"/>
  <c r="C1154" i="44"/>
  <c r="F1154" i="44" s="1"/>
  <c r="G1156" i="44" s="1"/>
  <c r="C176" i="41"/>
  <c r="F176" i="41" s="1"/>
  <c r="G178" i="41" s="1"/>
  <c r="G180" i="41" s="1"/>
  <c r="C92" i="39"/>
  <c r="F92" i="39" s="1"/>
  <c r="G94" i="39" s="1"/>
  <c r="G96" i="39" s="1"/>
  <c r="C160" i="37"/>
  <c r="F160" i="37" s="1"/>
  <c r="G162" i="37" s="1"/>
  <c r="C330" i="35"/>
  <c r="F330" i="35" s="1"/>
  <c r="G332" i="35" s="1"/>
  <c r="G334" i="35" s="1"/>
  <c r="C308" i="42"/>
  <c r="F308" i="42" s="1"/>
  <c r="G310" i="42" s="1"/>
  <c r="C116" i="42"/>
  <c r="F116" i="42" s="1"/>
  <c r="G118" i="42" s="1"/>
  <c r="C210" i="41"/>
  <c r="F210" i="41" s="1"/>
  <c r="G212" i="41" s="1"/>
  <c r="G214" i="41" s="1"/>
  <c r="C32" i="37"/>
  <c r="F32" i="37" s="1"/>
  <c r="G34" i="37" s="1"/>
  <c r="C32" i="44"/>
  <c r="F32" i="44" s="1"/>
  <c r="G34" i="44" s="1"/>
  <c r="C124" i="39"/>
  <c r="F124" i="39" s="1"/>
  <c r="G126" i="39" s="1"/>
  <c r="G128" i="39" s="1"/>
  <c r="C457" i="35"/>
  <c r="F457" i="35" s="1"/>
  <c r="G459" i="35" s="1"/>
  <c r="C2063" i="44"/>
  <c r="F2063" i="44" s="1"/>
  <c r="G2065" i="44" s="1"/>
  <c r="C1541" i="44"/>
  <c r="F1541" i="44" s="1"/>
  <c r="G1543" i="44" s="1"/>
  <c r="G1545" i="44" s="1"/>
  <c r="C760" i="44"/>
  <c r="F760" i="44" s="1"/>
  <c r="G762" i="44" s="1"/>
  <c r="G764" i="44" s="1"/>
  <c r="C498" i="41"/>
  <c r="F498" i="41" s="1"/>
  <c r="G500" i="41" s="1"/>
  <c r="G502" i="41" s="1"/>
  <c r="C60" i="39"/>
  <c r="F60" i="39" s="1"/>
  <c r="G62" i="39" s="1"/>
  <c r="G64" i="39" s="1"/>
  <c r="C524" i="37"/>
  <c r="F524" i="37" s="1"/>
  <c r="G526" i="37" s="1"/>
  <c r="C737" i="41"/>
  <c r="F737" i="41" s="1"/>
  <c r="G739" i="41" s="1"/>
  <c r="G741" i="41" s="1"/>
  <c r="C128" i="38"/>
  <c r="F128" i="38" s="1"/>
  <c r="G130" i="38" s="1"/>
  <c r="G132" i="38" s="1"/>
  <c r="C67" i="35"/>
  <c r="F67" i="35" s="1"/>
  <c r="G69" i="35" s="1"/>
  <c r="C1207" i="41"/>
  <c r="F1207" i="41" s="1"/>
  <c r="G1209" i="41" s="1"/>
  <c r="G1211" i="41" s="1"/>
  <c r="C848" i="41"/>
  <c r="F848" i="41" s="1"/>
  <c r="G850" i="41" s="1"/>
  <c r="C297" i="35"/>
  <c r="F297" i="35" s="1"/>
  <c r="G299" i="35" s="1"/>
  <c r="G301" i="35" s="1"/>
  <c r="C169" i="35"/>
  <c r="F169" i="35" s="1"/>
  <c r="G171" i="35" s="1"/>
  <c r="C96" i="37"/>
  <c r="F96" i="37" s="1"/>
  <c r="G98" i="37" s="1"/>
  <c r="C233" i="35"/>
  <c r="F233" i="35" s="1"/>
  <c r="G235" i="35" s="1"/>
  <c r="C489" i="37"/>
  <c r="F489" i="37" s="1"/>
  <c r="G491" i="37" s="1"/>
  <c r="C105" i="35"/>
  <c r="F105" i="35" s="1"/>
  <c r="G107" i="35" s="1"/>
  <c r="G109" i="35" s="1"/>
  <c r="C205" i="45"/>
  <c r="F205" i="45" s="1"/>
  <c r="G207" i="45" s="1"/>
  <c r="G209" i="45" s="1"/>
  <c r="C296" i="44"/>
  <c r="F296" i="44" s="1"/>
  <c r="G298" i="44" s="1"/>
  <c r="C464" i="41"/>
  <c r="F464" i="41" s="1"/>
  <c r="G466" i="41" s="1"/>
  <c r="G468" i="41" s="1"/>
  <c r="C96" i="32"/>
  <c r="F96" i="32" s="1"/>
  <c r="G98" i="32" s="1"/>
  <c r="G100" i="32" s="1"/>
  <c r="C1935" i="44"/>
  <c r="F1935" i="44" s="1"/>
  <c r="G1937" i="44" s="1"/>
  <c r="G1939" i="44" s="1"/>
  <c r="C32" i="42"/>
  <c r="F32" i="42" s="1"/>
  <c r="G34" i="42" s="1"/>
  <c r="C128" i="37"/>
  <c r="F128" i="37" s="1"/>
  <c r="G130" i="37" s="1"/>
  <c r="C64" i="37"/>
  <c r="F64" i="37" s="1"/>
  <c r="G66" i="37" s="1"/>
  <c r="C394" i="35"/>
  <c r="F394" i="35" s="1"/>
  <c r="G396" i="35" s="1"/>
  <c r="C372" i="42"/>
  <c r="F372" i="42" s="1"/>
  <c r="G374" i="42" s="1"/>
  <c r="C552" i="35"/>
  <c r="F552" i="35" s="1"/>
  <c r="G554" i="35" s="1"/>
  <c r="C237" i="45"/>
  <c r="F237" i="45" s="1"/>
  <c r="G239" i="45" s="1"/>
  <c r="G241" i="45" s="1"/>
  <c r="C426" i="35"/>
  <c r="F426" i="35" s="1"/>
  <c r="G428" i="35" s="1"/>
  <c r="C220" i="39"/>
  <c r="F220" i="39" s="1"/>
  <c r="G222" i="39" s="1"/>
  <c r="G224" i="39" s="1"/>
  <c r="C99" i="31"/>
  <c r="F99" i="31" s="1"/>
  <c r="G101" i="31" s="1"/>
  <c r="G103" i="31" s="1"/>
  <c r="C1378" i="44"/>
  <c r="F1378" i="44" s="1"/>
  <c r="G1380" i="44" s="1"/>
  <c r="C509" i="42"/>
  <c r="F509" i="42" s="1"/>
  <c r="G511" i="42" s="1"/>
  <c r="G513" i="42" s="1"/>
  <c r="C201" i="35"/>
  <c r="F201" i="35" s="1"/>
  <c r="G203" i="35" s="1"/>
  <c r="C224" i="37"/>
  <c r="F224" i="37" s="1"/>
  <c r="G226" i="37" s="1"/>
  <c r="G228" i="37" s="1"/>
  <c r="C521" i="35"/>
  <c r="F521" i="35" s="1"/>
  <c r="G523" i="35" s="1"/>
  <c r="C456" i="37"/>
  <c r="F456" i="37" s="1"/>
  <c r="G458" i="37" s="1"/>
  <c r="C33" i="35"/>
  <c r="F33" i="35" s="1"/>
  <c r="G35" i="35" s="1"/>
  <c r="C32" i="32"/>
  <c r="F32" i="32" s="1"/>
  <c r="G34" i="32" s="1"/>
  <c r="G36" i="32" s="1"/>
  <c r="C563" i="37"/>
  <c r="F563" i="37" s="1"/>
  <c r="G565" i="37" s="1"/>
  <c r="C265" i="31"/>
  <c r="F265" i="31" s="1"/>
  <c r="G267" i="31" s="1"/>
  <c r="G269" i="31" s="1"/>
  <c r="C265" i="35"/>
  <c r="F265" i="35" s="1"/>
  <c r="G267" i="35" s="1"/>
  <c r="C489" i="35"/>
  <c r="F489" i="35" s="1"/>
  <c r="G491" i="35" s="1"/>
  <c r="C137" i="35"/>
  <c r="F137" i="35" s="1"/>
  <c r="G139" i="35" s="1"/>
  <c r="C591" i="35"/>
  <c r="F591" i="35" s="1"/>
  <c r="G593" i="35" s="1"/>
  <c r="C362" i="35"/>
  <c r="F362" i="35" s="1"/>
  <c r="G364" i="35" s="1"/>
  <c r="C201" i="31"/>
  <c r="F201" i="31" s="1"/>
  <c r="G203" i="31" s="1"/>
  <c r="G205" i="31" s="1"/>
  <c r="E10" i="27"/>
  <c r="F10" i="27" s="1"/>
  <c r="K7" i="27" s="1"/>
  <c r="C621" i="45"/>
  <c r="F621" i="45" s="1"/>
  <c r="G623" i="45" s="1"/>
  <c r="G625" i="45" s="1"/>
  <c r="C301" i="45"/>
  <c r="F301" i="45" s="1"/>
  <c r="G303" i="45" s="1"/>
  <c r="G305" i="45" s="1"/>
  <c r="C461" i="45"/>
  <c r="F461" i="45" s="1"/>
  <c r="G463" i="45" s="1"/>
  <c r="G465" i="45" s="1"/>
  <c r="C397" i="45"/>
  <c r="F397" i="45" s="1"/>
  <c r="G399" i="45" s="1"/>
  <c r="G401" i="45" s="1"/>
  <c r="C365" i="45"/>
  <c r="F365" i="45" s="1"/>
  <c r="G367" i="45" s="1"/>
  <c r="G369" i="45" s="1"/>
  <c r="C589" i="45"/>
  <c r="F589" i="45" s="1"/>
  <c r="G591" i="45" s="1"/>
  <c r="G593" i="45" s="1"/>
  <c r="C525" i="45"/>
  <c r="F525" i="45" s="1"/>
  <c r="G527" i="45" s="1"/>
  <c r="G529" i="45" s="1"/>
  <c r="C493" i="45"/>
  <c r="F493" i="45" s="1"/>
  <c r="G495" i="45" s="1"/>
  <c r="G497" i="45" s="1"/>
  <c r="C557" i="45"/>
  <c r="F557" i="45" s="1"/>
  <c r="G559" i="45" s="1"/>
  <c r="G561" i="45" s="1"/>
  <c r="C429" i="45"/>
  <c r="F429" i="45" s="1"/>
  <c r="G431" i="45" s="1"/>
  <c r="G433" i="45" s="1"/>
  <c r="C333" i="45"/>
  <c r="F333" i="45" s="1"/>
  <c r="G335" i="45" s="1"/>
  <c r="G337" i="45" s="1"/>
  <c r="C653" i="45"/>
  <c r="F653" i="45" s="1"/>
  <c r="G655" i="45" s="1"/>
  <c r="G657" i="45" s="1"/>
  <c r="E85" i="47"/>
  <c r="E88" i="47" s="1"/>
  <c r="C931" i="38"/>
  <c r="F931" i="38" s="1"/>
  <c r="G933" i="38" s="1"/>
  <c r="G935" i="38" s="1"/>
  <c r="C864" i="38"/>
  <c r="F864" i="38" s="1"/>
  <c r="G867" i="38" s="1"/>
  <c r="G869" i="38" s="1"/>
  <c r="C823" i="38"/>
  <c r="F823" i="38" s="1"/>
  <c r="G825" i="38" s="1"/>
  <c r="G827" i="38" s="1"/>
  <c r="C897" i="38"/>
  <c r="F897" i="38" s="1"/>
  <c r="G899" i="38" s="1"/>
  <c r="G901" i="38" s="1"/>
  <c r="E11" i="27"/>
  <c r="F11" i="27" s="1"/>
  <c r="L7" i="27" s="1"/>
  <c r="E12" i="7"/>
  <c r="F12" i="7" s="1"/>
  <c r="E12" i="10"/>
  <c r="F12" i="10" s="1"/>
  <c r="E12" i="5"/>
  <c r="F12" i="5" s="1"/>
  <c r="G253" i="52"/>
  <c r="G258" i="52"/>
  <c r="C1182" i="38"/>
  <c r="F1182" i="38" s="1"/>
  <c r="G1184" i="38" s="1"/>
  <c r="G1186" i="38" s="1"/>
  <c r="C1288" i="38"/>
  <c r="F1288" i="38" s="1"/>
  <c r="G1290" i="38" s="1"/>
  <c r="G1292" i="38" s="1"/>
  <c r="C866" i="38"/>
  <c r="F866" i="38" s="1"/>
  <c r="C193" i="38"/>
  <c r="F193" i="38" s="1"/>
  <c r="G195" i="38" s="1"/>
  <c r="G197" i="38" s="1"/>
  <c r="C1322" i="38"/>
  <c r="F1322" i="38" s="1"/>
  <c r="G1324" i="38" s="1"/>
  <c r="G1326" i="38" s="1"/>
  <c r="C228" i="38"/>
  <c r="F228" i="38" s="1"/>
  <c r="G230" i="38" s="1"/>
  <c r="C267" i="38"/>
  <c r="F267" i="38" s="1"/>
  <c r="G269" i="38" s="1"/>
  <c r="C1110" i="38"/>
  <c r="F1110" i="38" s="1"/>
  <c r="G1112" i="38" s="1"/>
  <c r="G1114" i="38" s="1"/>
  <c r="C1254" i="38"/>
  <c r="F1254" i="38" s="1"/>
  <c r="G1256" i="38" s="1"/>
  <c r="G1258" i="38" s="1"/>
  <c r="C1146" i="38"/>
  <c r="F1146" i="38" s="1"/>
  <c r="G1148" i="38" s="1"/>
  <c r="G1150" i="38" s="1"/>
  <c r="C539" i="38"/>
  <c r="F539" i="38" s="1"/>
  <c r="G541" i="38" s="1"/>
  <c r="C506" i="38"/>
  <c r="F506" i="38" s="1"/>
  <c r="G508" i="38" s="1"/>
  <c r="G510" i="38" s="1"/>
  <c r="C1358" i="38"/>
  <c r="F1358" i="38" s="1"/>
  <c r="G1360" i="38" s="1"/>
  <c r="C1218" i="38"/>
  <c r="F1218" i="38" s="1"/>
  <c r="G1220" i="38" s="1"/>
  <c r="G1222" i="38" s="1"/>
  <c r="G162" i="52"/>
  <c r="G164" i="52" s="1"/>
  <c r="E13" i="10"/>
  <c r="F13" i="10" s="1"/>
  <c r="E13" i="7"/>
  <c r="F13" i="7" s="1"/>
  <c r="E13" i="5"/>
  <c r="F13" i="5" s="1"/>
  <c r="E11" i="5"/>
  <c r="F11" i="5" s="1"/>
  <c r="E11" i="10"/>
  <c r="F11" i="10" s="1"/>
  <c r="E11" i="7"/>
  <c r="F11" i="7" s="1"/>
  <c r="E14" i="10"/>
  <c r="F14" i="10" s="1"/>
  <c r="E14" i="7"/>
  <c r="F14" i="7" s="1"/>
  <c r="E14" i="5"/>
  <c r="F14" i="5" s="1"/>
  <c r="E13" i="27" l="1"/>
  <c r="F13" i="27" s="1"/>
  <c r="N7" i="27" s="1"/>
  <c r="D849" i="44"/>
  <c r="F849" i="44" s="1"/>
  <c r="G855" i="44" s="1"/>
  <c r="G867" i="44" s="1"/>
  <c r="D544" i="44"/>
  <c r="F544" i="44" s="1"/>
  <c r="G550" i="44" s="1"/>
  <c r="G562" i="44" s="1"/>
  <c r="D416" i="44"/>
  <c r="F416" i="44" s="1"/>
  <c r="G420" i="44" s="1"/>
  <c r="G432" i="44" s="1"/>
  <c r="D53" i="45"/>
  <c r="F53" i="45" s="1"/>
  <c r="G57" i="45" s="1"/>
  <c r="G69" i="45" s="1"/>
  <c r="D949" i="44"/>
  <c r="F949" i="44" s="1"/>
  <c r="G953" i="44" s="1"/>
  <c r="G965" i="44" s="1"/>
  <c r="D480" i="44"/>
  <c r="F480" i="44" s="1"/>
  <c r="G484" i="44" s="1"/>
  <c r="G496" i="44" s="1"/>
  <c r="D384" i="44"/>
  <c r="F384" i="44" s="1"/>
  <c r="G388" i="44" s="1"/>
  <c r="G400" i="44" s="1"/>
  <c r="D448" i="44"/>
  <c r="F448" i="44" s="1"/>
  <c r="G452" i="44" s="1"/>
  <c r="G464" i="44" s="1"/>
  <c r="D265" i="42"/>
  <c r="F265" i="42" s="1"/>
  <c r="G268" i="42" s="1"/>
  <c r="G280" i="42" s="1"/>
  <c r="D117" i="37"/>
  <c r="F117" i="37" s="1"/>
  <c r="G120" i="37" s="1"/>
  <c r="G132" i="37" s="1"/>
  <c r="D329" i="42"/>
  <c r="F329" i="42" s="1"/>
  <c r="G332" i="42" s="1"/>
  <c r="G344" i="42" s="1"/>
  <c r="D799" i="41"/>
  <c r="F799" i="41" s="1"/>
  <c r="D352" i="44"/>
  <c r="F352" i="44" s="1"/>
  <c r="G356" i="44" s="1"/>
  <c r="G368" i="44" s="1"/>
  <c r="D762" i="41"/>
  <c r="F762" i="41" s="1"/>
  <c r="D681" i="44"/>
  <c r="F681" i="44" s="1"/>
  <c r="G687" i="44" s="1"/>
  <c r="G699" i="44" s="1"/>
  <c r="D393" i="42"/>
  <c r="F393" i="42" s="1"/>
  <c r="G396" i="42" s="1"/>
  <c r="G408" i="42" s="1"/>
  <c r="D137" i="42"/>
  <c r="F137" i="42" s="1"/>
  <c r="G140" i="42" s="1"/>
  <c r="G152" i="42" s="1"/>
  <c r="D916" i="44"/>
  <c r="F916" i="44" s="1"/>
  <c r="G920" i="44" s="1"/>
  <c r="G932" i="44" s="1"/>
  <c r="D649" i="44"/>
  <c r="F649" i="44" s="1"/>
  <c r="G653" i="44" s="1"/>
  <c r="G665" i="44" s="1"/>
  <c r="D20" i="44"/>
  <c r="F20" i="44" s="1"/>
  <c r="G24" i="44" s="1"/>
  <c r="G36" i="44" s="1"/>
  <c r="D981" i="44"/>
  <c r="F981" i="44" s="1"/>
  <c r="G985" i="44" s="1"/>
  <c r="G997" i="44" s="1"/>
  <c r="D169" i="42"/>
  <c r="F169" i="42" s="1"/>
  <c r="G172" i="42" s="1"/>
  <c r="G184" i="42" s="1"/>
  <c r="D105" i="42"/>
  <c r="F105" i="42" s="1"/>
  <c r="G108" i="42" s="1"/>
  <c r="G120" i="42" s="1"/>
  <c r="D344" i="41"/>
  <c r="F344" i="41" s="1"/>
  <c r="G353" i="41" s="1"/>
  <c r="G365" i="41" s="1"/>
  <c r="D297" i="42"/>
  <c r="F297" i="42" s="1"/>
  <c r="G300" i="42" s="1"/>
  <c r="G312" i="42" s="1"/>
  <c r="D317" i="44"/>
  <c r="F317" i="44" s="1"/>
  <c r="G324" i="44" s="1"/>
  <c r="G336" i="44" s="1"/>
  <c r="D85" i="37"/>
  <c r="F85" i="37" s="1"/>
  <c r="G88" i="37" s="1"/>
  <c r="G100" i="37" s="1"/>
  <c r="D373" i="37"/>
  <c r="F373" i="37" s="1"/>
  <c r="G376" i="37" s="1"/>
  <c r="G388" i="37" s="1"/>
  <c r="D181" i="37"/>
  <c r="F181" i="37" s="1"/>
  <c r="G184" i="37" s="1"/>
  <c r="G196" i="37" s="1"/>
  <c r="D245" i="37"/>
  <c r="F245" i="37" s="1"/>
  <c r="G248" i="37" s="1"/>
  <c r="G260" i="37" s="1"/>
  <c r="D309" i="37"/>
  <c r="F309" i="37" s="1"/>
  <c r="G312" i="37" s="1"/>
  <c r="G324" i="37" s="1"/>
  <c r="D277" i="37"/>
  <c r="F277" i="37" s="1"/>
  <c r="G280" i="37" s="1"/>
  <c r="G292" i="37" s="1"/>
  <c r="D149" i="37"/>
  <c r="F149" i="37" s="1"/>
  <c r="G152" i="37" s="1"/>
  <c r="G164" i="37" s="1"/>
  <c r="D1051" i="41"/>
  <c r="F1051" i="41" s="1"/>
  <c r="D201" i="42"/>
  <c r="F201" i="42" s="1"/>
  <c r="G204" i="42" s="1"/>
  <c r="G216" i="42" s="1"/>
  <c r="D836" i="41"/>
  <c r="F836" i="41" s="1"/>
  <c r="D1238" i="44"/>
  <c r="F1238" i="44" s="1"/>
  <c r="G1242" i="44" s="1"/>
  <c r="G1254" i="44" s="1"/>
  <c r="D1302" i="44"/>
  <c r="F1302" i="44" s="1"/>
  <c r="G1306" i="44" s="1"/>
  <c r="G1318" i="44" s="1"/>
  <c r="D1660" i="44"/>
  <c r="F1660" i="44" s="1"/>
  <c r="G1665" i="44" s="1"/>
  <c r="G1677" i="44" s="1"/>
  <c r="D1398" i="44"/>
  <c r="F1398" i="44" s="1"/>
  <c r="G1402" i="44" s="1"/>
  <c r="G1414" i="44" s="1"/>
  <c r="D1562" i="44"/>
  <c r="F1562" i="44" s="1"/>
  <c r="G1566" i="44" s="1"/>
  <c r="G1578" i="44" s="1"/>
  <c r="D1431" i="44"/>
  <c r="F1431" i="44" s="1"/>
  <c r="G1435" i="44" s="1"/>
  <c r="G1447" i="44" s="1"/>
  <c r="D1270" i="44"/>
  <c r="F1270" i="44" s="1"/>
  <c r="G1274" i="44" s="1"/>
  <c r="G1286" i="44" s="1"/>
  <c r="D1366" i="44"/>
  <c r="F1366" i="44" s="1"/>
  <c r="G1370" i="44" s="1"/>
  <c r="G1382" i="44" s="1"/>
  <c r="D1206" i="44"/>
  <c r="F1206" i="44" s="1"/>
  <c r="G1210" i="44" s="1"/>
  <c r="G1222" i="44" s="1"/>
  <c r="D1334" i="44"/>
  <c r="F1334" i="44" s="1"/>
  <c r="G1338" i="44" s="1"/>
  <c r="G1350" i="44" s="1"/>
  <c r="D1727" i="44"/>
  <c r="F1727" i="44" s="1"/>
  <c r="G1731" i="44" s="1"/>
  <c r="G1743" i="44" s="1"/>
  <c r="G260" i="52"/>
  <c r="E70" i="7"/>
  <c r="F70" i="7" s="1"/>
  <c r="E70" i="10"/>
  <c r="F70" i="10" s="1"/>
  <c r="E70" i="5"/>
  <c r="F70" i="5" s="1"/>
  <c r="D212" i="44"/>
  <c r="F212" i="44" s="1"/>
  <c r="G216" i="44" s="1"/>
  <c r="D180" i="44"/>
  <c r="F180" i="44" s="1"/>
  <c r="G184" i="44" s="1"/>
  <c r="D1013" i="44"/>
  <c r="F1013" i="44" s="1"/>
  <c r="G1017" i="44" s="1"/>
  <c r="D84" i="44"/>
  <c r="F84" i="44" s="1"/>
  <c r="G88" i="44" s="1"/>
  <c r="D148" i="44"/>
  <c r="F148" i="44" s="1"/>
  <c r="G152" i="44" s="1"/>
  <c r="G164" i="44" s="1"/>
  <c r="D284" i="44"/>
  <c r="F284" i="44" s="1"/>
  <c r="G288" i="44" s="1"/>
  <c r="G300" i="44" s="1"/>
  <c r="D833" i="41"/>
  <c r="F833" i="41" s="1"/>
  <c r="G840" i="41" s="1"/>
  <c r="G852" i="41" s="1"/>
  <c r="D759" i="41"/>
  <c r="F759" i="41" s="1"/>
  <c r="G766" i="41" s="1"/>
  <c r="G778" i="41" s="1"/>
  <c r="D157" i="35"/>
  <c r="F157" i="35" s="1"/>
  <c r="G161" i="35" s="1"/>
  <c r="G173" i="35" s="1"/>
  <c r="D796" i="41"/>
  <c r="F796" i="41" s="1"/>
  <c r="D477" i="35"/>
  <c r="F477" i="35" s="1"/>
  <c r="G481" i="35" s="1"/>
  <c r="G493" i="35" s="1"/>
  <c r="D189" i="35"/>
  <c r="F189" i="35" s="1"/>
  <c r="G193" i="35" s="1"/>
  <c r="G205" i="35" s="1"/>
  <c r="D1627" i="44"/>
  <c r="F1627" i="44" s="1"/>
  <c r="G1632" i="44" s="1"/>
  <c r="G1644" i="44" s="1"/>
  <c r="D1594" i="44"/>
  <c r="F1594" i="44" s="1"/>
  <c r="G1599" i="44" s="1"/>
  <c r="G1611" i="44" s="1"/>
  <c r="D947" i="41"/>
  <c r="F947" i="41" s="1"/>
  <c r="G949" i="41" s="1"/>
  <c r="G961" i="41" s="1"/>
  <c r="D673" i="45"/>
  <c r="F673" i="45" s="1"/>
  <c r="G678" i="45" s="1"/>
  <c r="G690" i="45" s="1"/>
  <c r="D1693" i="44"/>
  <c r="F1693" i="44" s="1"/>
  <c r="G1698" i="44" s="1"/>
  <c r="G1710" i="44" s="1"/>
  <c r="D21" i="42"/>
  <c r="F21" i="42" s="1"/>
  <c r="G24" i="42" s="1"/>
  <c r="G36" i="42" s="1"/>
  <c r="D426" i="42"/>
  <c r="F426" i="42" s="1"/>
  <c r="D1347" i="38"/>
  <c r="F1347" i="38" s="1"/>
  <c r="G1350" i="38" s="1"/>
  <c r="G1362" i="38" s="1"/>
  <c r="D1405" i="41"/>
  <c r="F1405" i="41" s="1"/>
  <c r="G1407" i="41" s="1"/>
  <c r="G1419" i="41" s="1"/>
  <c r="D53" i="37"/>
  <c r="F53" i="37" s="1"/>
  <c r="G56" i="37" s="1"/>
  <c r="G68" i="37" s="1"/>
  <c r="D21" i="37"/>
  <c r="F21" i="37" s="1"/>
  <c r="G24" i="37" s="1"/>
  <c r="G36" i="37" s="1"/>
  <c r="D578" i="44"/>
  <c r="F578" i="44" s="1"/>
  <c r="G586" i="44" s="1"/>
  <c r="G598" i="44" s="1"/>
  <c r="D406" i="37"/>
  <c r="F406" i="37" s="1"/>
  <c r="D1173" i="44"/>
  <c r="F1173" i="44" s="1"/>
  <c r="G1178" i="44" s="1"/>
  <c r="D274" i="41"/>
  <c r="F274" i="41" s="1"/>
  <c r="G276" i="41" s="1"/>
  <c r="G288" i="41" s="1"/>
  <c r="D98" i="41"/>
  <c r="F98" i="41" s="1"/>
  <c r="G100" i="41" s="1"/>
  <c r="G112" i="41" s="1"/>
  <c r="D306" i="41"/>
  <c r="F306" i="41" s="1"/>
  <c r="G315" i="41" s="1"/>
  <c r="G327" i="41" s="1"/>
  <c r="H69" i="35"/>
  <c r="H71" i="35" s="1"/>
  <c r="E15" i="27"/>
  <c r="F15" i="27" s="1"/>
  <c r="P7" i="27" s="1"/>
  <c r="E9" i="27"/>
  <c r="F9" i="27" s="1"/>
  <c r="J7" i="27" s="1"/>
  <c r="D579" i="35"/>
  <c r="F579" i="35" s="1"/>
  <c r="G583" i="35" s="1"/>
  <c r="G595" i="35" s="1"/>
  <c r="D21" i="35"/>
  <c r="F21" i="35" s="1"/>
  <c r="G25" i="35" s="1"/>
  <c r="G37" i="35" s="1"/>
  <c r="D125" i="35"/>
  <c r="F125" i="35" s="1"/>
  <c r="G129" i="35" s="1"/>
  <c r="G141" i="35" s="1"/>
  <c r="E43" i="10"/>
  <c r="F43" i="10" s="1"/>
  <c r="E43" i="7"/>
  <c r="F43" i="7" s="1"/>
  <c r="E43" i="5"/>
  <c r="F43" i="5" s="1"/>
  <c r="E22" i="10"/>
  <c r="F22" i="10" s="1"/>
  <c r="E22" i="5"/>
  <c r="F22" i="5" s="1"/>
  <c r="E22" i="7"/>
  <c r="F22" i="7" s="1"/>
  <c r="D2015" i="44"/>
  <c r="F2015" i="44" s="1"/>
  <c r="G2016" i="44" s="1"/>
  <c r="G2035" i="44" s="1"/>
  <c r="D777" i="44"/>
  <c r="F777" i="44" s="1"/>
  <c r="G778" i="44" s="1"/>
  <c r="G801" i="44" s="1"/>
  <c r="D2079" i="44"/>
  <c r="F2079" i="44" s="1"/>
  <c r="G2080" i="44" s="1"/>
  <c r="G2099" i="44" s="1"/>
  <c r="D1983" i="44"/>
  <c r="F1983" i="44" s="1"/>
  <c r="G1984" i="44" s="1"/>
  <c r="G2003" i="44" s="1"/>
  <c r="D2336" i="44"/>
  <c r="F2336" i="44" s="1"/>
  <c r="G2340" i="44" s="1"/>
  <c r="G2359" i="44" s="1"/>
  <c r="D2239" i="44"/>
  <c r="F2239" i="44" s="1"/>
  <c r="G2240" i="44" s="1"/>
  <c r="G2259" i="44" s="1"/>
  <c r="D112" i="44"/>
  <c r="F112" i="44" s="1"/>
  <c r="G113" i="44" s="1"/>
  <c r="G132" i="44" s="1"/>
  <c r="D2175" i="44"/>
  <c r="F2175" i="44" s="1"/>
  <c r="G2176" i="44" s="1"/>
  <c r="G2195" i="44" s="1"/>
  <c r="D2047" i="44"/>
  <c r="F2047" i="44" s="1"/>
  <c r="G2048" i="44" s="1"/>
  <c r="G2067" i="44" s="1"/>
  <c r="D420" i="42"/>
  <c r="F420" i="42" s="1"/>
  <c r="G422" i="42" s="1"/>
  <c r="G444" i="42" s="1"/>
  <c r="D2111" i="44"/>
  <c r="F2111" i="44" s="1"/>
  <c r="G2112" i="44" s="1"/>
  <c r="G2131" i="44" s="1"/>
  <c r="D456" i="42"/>
  <c r="F456" i="42" s="1"/>
  <c r="G458" i="42" s="1"/>
  <c r="G477" i="42" s="1"/>
  <c r="D176" i="44"/>
  <c r="F176" i="44" s="1"/>
  <c r="G177" i="44" s="1"/>
  <c r="G196" i="44" s="1"/>
  <c r="D436" i="37"/>
  <c r="F436" i="37" s="1"/>
  <c r="G438" i="37" s="1"/>
  <c r="D1169" i="44"/>
  <c r="F1169" i="44" s="1"/>
  <c r="G1170" i="44" s="1"/>
  <c r="D208" i="44"/>
  <c r="F208" i="44" s="1"/>
  <c r="G209" i="44" s="1"/>
  <c r="G228" i="44" s="1"/>
  <c r="D2207" i="44"/>
  <c r="F2207" i="44" s="1"/>
  <c r="G2208" i="44" s="1"/>
  <c r="G2227" i="44" s="1"/>
  <c r="D80" i="44"/>
  <c r="F80" i="44" s="1"/>
  <c r="G81" i="44" s="1"/>
  <c r="D1009" i="44"/>
  <c r="F1009" i="44" s="1"/>
  <c r="G1010" i="44" s="1"/>
  <c r="G1029" i="44" s="1"/>
  <c r="D446" i="35"/>
  <c r="F446" i="35" s="1"/>
  <c r="D510" i="35"/>
  <c r="F510" i="35" s="1"/>
  <c r="D415" i="35"/>
  <c r="F415" i="35" s="1"/>
  <c r="D336" i="37"/>
  <c r="F336" i="37" s="1"/>
  <c r="G337" i="37" s="1"/>
  <c r="G356" i="37" s="1"/>
  <c r="D383" i="35"/>
  <c r="F383" i="35" s="1"/>
  <c r="D1755" i="44"/>
  <c r="F1755" i="44" s="1"/>
  <c r="G1756" i="44" s="1"/>
  <c r="D400" i="37"/>
  <c r="F400" i="37" s="1"/>
  <c r="G402" i="37" s="1"/>
  <c r="D545" i="37"/>
  <c r="F545" i="37" s="1"/>
  <c r="G546" i="37" s="1"/>
  <c r="D356" i="42"/>
  <c r="F356" i="42" s="1"/>
  <c r="G357" i="42" s="1"/>
  <c r="G376" i="42" s="1"/>
  <c r="D351" i="35"/>
  <c r="F351" i="35" s="1"/>
  <c r="D2143" i="44"/>
  <c r="F2143" i="44" s="1"/>
  <c r="G2144" i="44" s="1"/>
  <c r="G2163" i="44" s="1"/>
  <c r="G292" i="52"/>
  <c r="E19" i="27"/>
  <c r="F19" i="27" s="1"/>
  <c r="T7" i="27" s="1"/>
  <c r="D1759" i="44"/>
  <c r="F1759" i="44" s="1"/>
  <c r="G1763" i="44" s="1"/>
  <c r="D1890" i="44"/>
  <c r="F1890" i="44" s="1"/>
  <c r="G1894" i="44" s="1"/>
  <c r="G1906" i="44" s="1"/>
  <c r="D1987" i="44"/>
  <c r="F1987" i="44" s="1"/>
  <c r="G1991" i="44" s="1"/>
  <c r="D425" i="42"/>
  <c r="F425" i="42" s="1"/>
  <c r="G432" i="42" s="1"/>
  <c r="D116" i="44"/>
  <c r="F116" i="44" s="1"/>
  <c r="G120" i="44" s="1"/>
  <c r="D1018" i="41"/>
  <c r="F1018" i="41" s="1"/>
  <c r="G1020" i="41" s="1"/>
  <c r="G1032" i="41" s="1"/>
  <c r="D1048" i="41"/>
  <c r="F1048" i="41" s="1"/>
  <c r="G1058" i="41" s="1"/>
  <c r="G1070" i="41" s="1"/>
  <c r="D360" i="42"/>
  <c r="F360" i="42" s="1"/>
  <c r="G364" i="42" s="1"/>
  <c r="D1348" i="38"/>
  <c r="F1348" i="38" s="1"/>
  <c r="D253" i="35"/>
  <c r="F253" i="35" s="1"/>
  <c r="G257" i="35" s="1"/>
  <c r="G269" i="35" s="1"/>
  <c r="D445" i="35"/>
  <c r="F445" i="35" s="1"/>
  <c r="D344" i="39"/>
  <c r="F344" i="39" s="1"/>
  <c r="G348" i="39" s="1"/>
  <c r="G360" i="39" s="1"/>
  <c r="D340" i="37"/>
  <c r="F340" i="37" s="1"/>
  <c r="G344" i="37" s="1"/>
  <c r="D2343" i="44"/>
  <c r="F2343" i="44" s="1"/>
  <c r="G2347" i="44" s="1"/>
  <c r="D441" i="37"/>
  <c r="F441" i="37" s="1"/>
  <c r="G448" i="37" s="1"/>
  <c r="D414" i="35"/>
  <c r="F414" i="35" s="1"/>
  <c r="G418" i="35" s="1"/>
  <c r="G430" i="35" s="1"/>
  <c r="D221" i="35"/>
  <c r="F221" i="35" s="1"/>
  <c r="G225" i="35" s="1"/>
  <c r="G237" i="35" s="1"/>
  <c r="D382" i="35"/>
  <c r="F382" i="35" s="1"/>
  <c r="G386" i="35" s="1"/>
  <c r="G398" i="35" s="1"/>
  <c r="D350" i="35"/>
  <c r="F350" i="35" s="1"/>
  <c r="D477" i="37"/>
  <c r="F477" i="37" s="1"/>
  <c r="G481" i="37" s="1"/>
  <c r="G493" i="37" s="1"/>
  <c r="D541" i="35"/>
  <c r="F541" i="35" s="1"/>
  <c r="G544" i="35" s="1"/>
  <c r="G556" i="35" s="1"/>
  <c r="D509" i="35"/>
  <c r="F509" i="35" s="1"/>
  <c r="D1791" i="44"/>
  <c r="F1791" i="44" s="1"/>
  <c r="G1795" i="44" s="1"/>
  <c r="G1807" i="44" s="1"/>
  <c r="D405" i="37"/>
  <c r="F405" i="37" s="1"/>
  <c r="G412" i="37" s="1"/>
  <c r="E75" i="10"/>
  <c r="F75" i="10" s="1"/>
  <c r="E75" i="5"/>
  <c r="F75" i="5" s="1"/>
  <c r="E75" i="7"/>
  <c r="F75" i="7" s="1"/>
  <c r="E42" i="10"/>
  <c r="F42" i="10" s="1"/>
  <c r="E42" i="5"/>
  <c r="F42" i="5" s="1"/>
  <c r="E42" i="7"/>
  <c r="F42" i="7" s="1"/>
  <c r="E74" i="7"/>
  <c r="F74" i="7" s="1"/>
  <c r="E74" i="5"/>
  <c r="F74" i="5" s="1"/>
  <c r="E74" i="10"/>
  <c r="F74" i="10" s="1"/>
  <c r="E25" i="10"/>
  <c r="F25" i="10" s="1"/>
  <c r="E25" i="7"/>
  <c r="F25" i="7" s="1"/>
  <c r="E25" i="5"/>
  <c r="F25" i="5" s="1"/>
  <c r="E18" i="10"/>
  <c r="F18" i="10" s="1"/>
  <c r="E18" i="7"/>
  <c r="F18" i="7" s="1"/>
  <c r="E18" i="5"/>
  <c r="F18" i="5" s="1"/>
  <c r="H261" i="44"/>
  <c r="E16" i="27"/>
  <c r="F16" i="27" s="1"/>
  <c r="Q7" i="27" s="1"/>
  <c r="E7" i="27"/>
  <c r="F7" i="27" s="1"/>
  <c r="E23" i="10"/>
  <c r="F23" i="10" s="1"/>
  <c r="E23" i="7"/>
  <c r="F23" i="7" s="1"/>
  <c r="E23" i="5"/>
  <c r="F23" i="5" s="1"/>
  <c r="E14" i="27"/>
  <c r="F14" i="27" s="1"/>
  <c r="O7" i="27" s="1"/>
  <c r="E17" i="27"/>
  <c r="F17" i="27" s="1"/>
  <c r="R7" i="27" s="1"/>
  <c r="E24" i="10"/>
  <c r="F24" i="10" s="1"/>
  <c r="E24" i="7"/>
  <c r="F24" i="7" s="1"/>
  <c r="E24" i="5"/>
  <c r="F24" i="5" s="1"/>
  <c r="E71" i="7"/>
  <c r="F71" i="7" s="1"/>
  <c r="E71" i="5"/>
  <c r="F71" i="5" s="1"/>
  <c r="E71" i="10"/>
  <c r="F71" i="10" s="1"/>
  <c r="E26" i="7"/>
  <c r="F26" i="7" s="1"/>
  <c r="E26" i="5"/>
  <c r="F26" i="5" s="1"/>
  <c r="E26" i="10"/>
  <c r="F26" i="10" s="1"/>
  <c r="E52" i="7"/>
  <c r="F52" i="7" s="1"/>
  <c r="E52" i="10"/>
  <c r="F52" i="10" s="1"/>
  <c r="E52" i="5"/>
  <c r="F52" i="5" s="1"/>
  <c r="E34" i="57" l="1"/>
  <c r="F34" i="57" s="1"/>
  <c r="G34" i="57" s="1"/>
  <c r="G33" i="57" s="1"/>
  <c r="E27" i="57"/>
  <c r="F27" i="57" s="1"/>
  <c r="E8" i="27"/>
  <c r="F8" i="27" s="1"/>
  <c r="I7" i="27" s="1"/>
  <c r="F93" i="7"/>
  <c r="H93" i="7" s="1"/>
  <c r="D1857" i="44"/>
  <c r="F1857" i="44" s="1"/>
  <c r="G1862" i="44" s="1"/>
  <c r="G1874" i="44" s="1"/>
  <c r="D1823" i="44"/>
  <c r="F1823" i="44" s="1"/>
  <c r="G1829" i="44" s="1"/>
  <c r="G1841" i="44" s="1"/>
  <c r="D1107" i="44"/>
  <c r="F1107" i="44" s="1"/>
  <c r="G1113" i="44" s="1"/>
  <c r="G1125" i="44" s="1"/>
  <c r="D52" i="44"/>
  <c r="F52" i="44" s="1"/>
  <c r="G56" i="44" s="1"/>
  <c r="G68" i="44" s="1"/>
  <c r="D1141" i="44"/>
  <c r="F1141" i="44" s="1"/>
  <c r="G1146" i="44" s="1"/>
  <c r="G1158" i="44" s="1"/>
  <c r="G803" i="41"/>
  <c r="G815" i="41" s="1"/>
  <c r="G449" i="35"/>
  <c r="G461" i="35" s="1"/>
  <c r="E10" i="10"/>
  <c r="F10" i="10" s="1"/>
  <c r="E10" i="7"/>
  <c r="F10" i="7" s="1"/>
  <c r="E10" i="5"/>
  <c r="F10" i="5" s="1"/>
  <c r="G1775" i="44"/>
  <c r="E17" i="10"/>
  <c r="F17" i="10" s="1"/>
  <c r="E17" i="7"/>
  <c r="F17" i="7" s="1"/>
  <c r="E17" i="5"/>
  <c r="F17" i="5" s="1"/>
  <c r="G100" i="44"/>
  <c r="G513" i="35"/>
  <c r="G525" i="35" s="1"/>
  <c r="G1190" i="44"/>
  <c r="E39" i="7"/>
  <c r="E39" i="5"/>
  <c r="E39" i="10"/>
  <c r="G424" i="37"/>
  <c r="H7" i="27"/>
  <c r="G460" i="37"/>
  <c r="E21" i="5"/>
  <c r="F21" i="5" s="1"/>
  <c r="E21" i="10"/>
  <c r="F21" i="10" s="1"/>
  <c r="E21" i="7"/>
  <c r="F21" i="7" s="1"/>
  <c r="E69" i="7"/>
  <c r="F69" i="7" s="1"/>
  <c r="F72" i="7" s="1"/>
  <c r="H72" i="7" s="1"/>
  <c r="E69" i="5"/>
  <c r="F69" i="5" s="1"/>
  <c r="F72" i="5" s="1"/>
  <c r="H72" i="5" s="1"/>
  <c r="E69" i="10"/>
  <c r="F69" i="10" s="1"/>
  <c r="F72" i="10" s="1"/>
  <c r="H72" i="10" s="1"/>
  <c r="F88" i="10"/>
  <c r="H88" i="10" s="1"/>
  <c r="E18" i="27"/>
  <c r="F18" i="27" s="1"/>
  <c r="S7" i="27" s="1"/>
  <c r="F93" i="5"/>
  <c r="H93" i="5" s="1"/>
  <c r="G354" i="35"/>
  <c r="G366" i="35" s="1"/>
  <c r="E14" i="57" l="1"/>
  <c r="F14" i="57" s="1"/>
  <c r="E28" i="27"/>
  <c r="F28" i="27" s="1"/>
  <c r="AC7" i="27" s="1"/>
  <c r="E30" i="57"/>
  <c r="F30" i="57" s="1"/>
  <c r="E22" i="27"/>
  <c r="F22" i="27" s="1"/>
  <c r="W7" i="27" s="1"/>
  <c r="E23" i="27"/>
  <c r="F23" i="27" s="1"/>
  <c r="X7" i="27" s="1"/>
  <c r="E29" i="27"/>
  <c r="F29" i="27" s="1"/>
  <c r="AD7" i="27" s="1"/>
  <c r="E21" i="27"/>
  <c r="F21" i="27" s="1"/>
  <c r="V7" i="27" s="1"/>
  <c r="E27" i="27"/>
  <c r="F27" i="27" s="1"/>
  <c r="AB7" i="27" s="1"/>
  <c r="E30" i="27"/>
  <c r="F30" i="27" s="1"/>
  <c r="AE7" i="27" s="1"/>
  <c r="E20" i="27"/>
  <c r="F20" i="27" s="1"/>
  <c r="U7" i="27" s="1"/>
  <c r="E26" i="27"/>
  <c r="F26" i="27" s="1"/>
  <c r="AA7" i="27" s="1"/>
  <c r="E25" i="27"/>
  <c r="F25" i="27" s="1"/>
  <c r="Z7" i="27" s="1"/>
  <c r="E24" i="27"/>
  <c r="F24" i="27" s="1"/>
  <c r="Y7" i="27" s="1"/>
  <c r="M36" i="57"/>
  <c r="L36" i="57"/>
  <c r="K36" i="57"/>
  <c r="J36" i="57"/>
  <c r="E24" i="57"/>
  <c r="F24" i="57" s="1"/>
  <c r="E21" i="57"/>
  <c r="F21" i="57" s="1"/>
  <c r="G27" i="57"/>
  <c r="M29" i="57"/>
  <c r="L29" i="57"/>
  <c r="F19" i="7"/>
  <c r="H19" i="7" s="1"/>
  <c r="F19" i="5"/>
  <c r="H19" i="5" s="1"/>
  <c r="F31" i="27"/>
  <c r="E29" i="7"/>
  <c r="F29" i="7" s="1"/>
  <c r="E29" i="10"/>
  <c r="F29" i="10" s="1"/>
  <c r="E29" i="5"/>
  <c r="F29" i="5" s="1"/>
  <c r="E53" i="7"/>
  <c r="F53" i="7" s="1"/>
  <c r="F67" i="7" s="1"/>
  <c r="H67" i="7" s="1"/>
  <c r="E53" i="10"/>
  <c r="F53" i="10" s="1"/>
  <c r="E53" i="5"/>
  <c r="F53" i="5" s="1"/>
  <c r="E128" i="5"/>
  <c r="F128" i="5" s="1"/>
  <c r="F137" i="5" s="1"/>
  <c r="H137" i="5" s="1"/>
  <c r="F39" i="5"/>
  <c r="F50" i="5" s="1"/>
  <c r="H50" i="5" s="1"/>
  <c r="E128" i="7"/>
  <c r="F128" i="7" s="1"/>
  <c r="F137" i="7" s="1"/>
  <c r="H137" i="7" s="1"/>
  <c r="F39" i="7"/>
  <c r="F50" i="7" s="1"/>
  <c r="H50" i="7" s="1"/>
  <c r="F19" i="10"/>
  <c r="E60" i="10"/>
  <c r="F60" i="10" s="1"/>
  <c r="E60" i="7"/>
  <c r="F60" i="7" s="1"/>
  <c r="E60" i="5"/>
  <c r="F60" i="5" s="1"/>
  <c r="E123" i="10"/>
  <c r="F123" i="10" s="1"/>
  <c r="F132" i="10" s="1"/>
  <c r="H132" i="10" s="1"/>
  <c r="F39" i="10"/>
  <c r="E31" i="7"/>
  <c r="F31" i="7" s="1"/>
  <c r="E31" i="5"/>
  <c r="F31" i="5" s="1"/>
  <c r="E31" i="10"/>
  <c r="F31" i="10" s="1"/>
  <c r="E28" i="10"/>
  <c r="F28" i="10" s="1"/>
  <c r="E28" i="7"/>
  <c r="F28" i="7" s="1"/>
  <c r="E28" i="5"/>
  <c r="F28" i="5" s="1"/>
  <c r="E30" i="5"/>
  <c r="F30" i="5" s="1"/>
  <c r="E30" i="10"/>
  <c r="F30" i="10" s="1"/>
  <c r="E30" i="7"/>
  <c r="F30" i="7" s="1"/>
  <c r="E27" i="10"/>
  <c r="F27" i="10" s="1"/>
  <c r="F33" i="10" s="1"/>
  <c r="H33" i="10" s="1"/>
  <c r="E27" i="5"/>
  <c r="F27" i="5" s="1"/>
  <c r="F33" i="5" s="1"/>
  <c r="E27" i="7"/>
  <c r="F27" i="7" s="1"/>
  <c r="E71" i="57" l="1"/>
  <c r="F71" i="57" s="1"/>
  <c r="G71" i="57" s="1"/>
  <c r="M73" i="57" s="1"/>
  <c r="G14" i="57"/>
  <c r="J16" i="57"/>
  <c r="E80" i="57"/>
  <c r="F80" i="57" s="1"/>
  <c r="G80" i="57" s="1"/>
  <c r="E77" i="57"/>
  <c r="M32" i="57"/>
  <c r="L32" i="57"/>
  <c r="G30" i="57"/>
  <c r="O36" i="57"/>
  <c r="E53" i="57"/>
  <c r="E83" i="57"/>
  <c r="E18" i="57"/>
  <c r="F18" i="57" s="1"/>
  <c r="E59" i="57"/>
  <c r="G24" i="57"/>
  <c r="K26" i="57"/>
  <c r="L26" i="57"/>
  <c r="E86" i="57"/>
  <c r="E92" i="57"/>
  <c r="E56" i="57"/>
  <c r="E89" i="57"/>
  <c r="G21" i="57"/>
  <c r="M23" i="57"/>
  <c r="J23" i="57"/>
  <c r="K23" i="57"/>
  <c r="L23" i="57"/>
  <c r="E62" i="57"/>
  <c r="F62" i="57" s="1"/>
  <c r="G62" i="57" s="1"/>
  <c r="F33" i="7"/>
  <c r="H33" i="7" s="1"/>
  <c r="H33" i="5"/>
  <c r="F67" i="5"/>
  <c r="H67" i="5" s="1"/>
  <c r="H19" i="10"/>
  <c r="F67" i="10"/>
  <c r="H67" i="10" s="1"/>
  <c r="Q36" i="57" l="1"/>
  <c r="S52" i="57"/>
  <c r="T52" i="57" s="1"/>
  <c r="F77" i="57"/>
  <c r="G77" i="57" s="1"/>
  <c r="M79" i="57" s="1"/>
  <c r="E102" i="57"/>
  <c r="P36" i="57"/>
  <c r="F86" i="57"/>
  <c r="G86" i="57" s="1"/>
  <c r="M88" i="57" s="1"/>
  <c r="F83" i="57"/>
  <c r="G83" i="57" s="1"/>
  <c r="M85" i="57" s="1"/>
  <c r="F92" i="57"/>
  <c r="G92" i="57" s="1"/>
  <c r="F53" i="57"/>
  <c r="G53" i="57" s="1"/>
  <c r="M82" i="57"/>
  <c r="F59" i="57"/>
  <c r="G59" i="57" s="1"/>
  <c r="F89" i="57"/>
  <c r="G89" i="57" s="1"/>
  <c r="F56" i="57"/>
  <c r="G56" i="57" s="1"/>
  <c r="M20" i="57"/>
  <c r="G18" i="57"/>
  <c r="G17" i="57" s="1"/>
  <c r="L20" i="57"/>
  <c r="K20" i="57"/>
  <c r="J20" i="57"/>
  <c r="O23" i="57"/>
  <c r="J26" i="57"/>
  <c r="K29" i="57"/>
  <c r="M26" i="57"/>
  <c r="K32" i="57"/>
  <c r="J29" i="57"/>
  <c r="J32" i="57"/>
  <c r="G13" i="57"/>
  <c r="F186" i="7"/>
  <c r="F187" i="7" s="1"/>
  <c r="F188" i="7" s="1"/>
  <c r="F190" i="7" s="1"/>
  <c r="F192" i="7" s="1"/>
  <c r="F181" i="10"/>
  <c r="F182" i="10" s="1"/>
  <c r="F183" i="10" s="1"/>
  <c r="F185" i="10" s="1"/>
  <c r="F187" i="10" s="1"/>
  <c r="F186" i="5"/>
  <c r="F187" i="5" s="1"/>
  <c r="F188" i="5" s="1"/>
  <c r="F190" i="5" s="1"/>
  <c r="F192" i="5" s="1"/>
  <c r="G52" i="57" l="1"/>
  <c r="K97" i="57"/>
  <c r="L97" i="57"/>
  <c r="J97" i="57"/>
  <c r="L76" i="57"/>
  <c r="J76" i="57"/>
  <c r="K76" i="57"/>
  <c r="J70" i="57"/>
  <c r="K70" i="57"/>
  <c r="L70" i="57"/>
  <c r="K91" i="57"/>
  <c r="M91" i="57"/>
  <c r="L91" i="57"/>
  <c r="K58" i="57"/>
  <c r="J58" i="57"/>
  <c r="L58" i="57"/>
  <c r="M58" i="57"/>
  <c r="L82" i="57"/>
  <c r="L79" i="57"/>
  <c r="J64" i="57"/>
  <c r="K61" i="57"/>
  <c r="J67" i="57"/>
  <c r="J61" i="57"/>
  <c r="J73" i="57"/>
  <c r="L61" i="57"/>
  <c r="K79" i="57"/>
  <c r="L85" i="57"/>
  <c r="J79" i="57"/>
  <c r="K85" i="57"/>
  <c r="L67" i="57"/>
  <c r="M61" i="57"/>
  <c r="L88" i="57"/>
  <c r="K73" i="57"/>
  <c r="J85" i="57"/>
  <c r="K67" i="57"/>
  <c r="L73" i="57"/>
  <c r="J82" i="57"/>
  <c r="K82" i="57"/>
  <c r="J88" i="57"/>
  <c r="K64" i="57"/>
  <c r="K88" i="57"/>
  <c r="L64" i="57"/>
  <c r="M64" i="57"/>
  <c r="L55" i="57"/>
  <c r="M55" i="57"/>
  <c r="K55" i="57"/>
  <c r="J55" i="57"/>
  <c r="K94" i="57"/>
  <c r="J94" i="57"/>
  <c r="M94" i="57"/>
  <c r="L94" i="57"/>
  <c r="J91" i="57"/>
  <c r="O26" i="57"/>
  <c r="Q26" i="57" s="1"/>
  <c r="O32" i="57"/>
  <c r="O29" i="57"/>
  <c r="P29" i="57" s="1"/>
  <c r="M16" i="57"/>
  <c r="K16" i="57"/>
  <c r="L16" i="57"/>
  <c r="P23" i="57"/>
  <c r="Q23" i="57"/>
  <c r="O20" i="57"/>
  <c r="S33" i="57" l="1"/>
  <c r="T33" i="57" s="1"/>
  <c r="O97" i="57"/>
  <c r="P97" i="57" s="1"/>
  <c r="P32" i="57"/>
  <c r="O76" i="57"/>
  <c r="Q76" i="57" s="1"/>
  <c r="O70" i="57"/>
  <c r="Q70" i="57" s="1"/>
  <c r="Q20" i="57"/>
  <c r="O73" i="57"/>
  <c r="Q73" i="57" s="1"/>
  <c r="O94" i="57"/>
  <c r="Q94" i="57" s="1"/>
  <c r="O58" i="57"/>
  <c r="P58" i="57" s="1"/>
  <c r="O61" i="57"/>
  <c r="Q61" i="57" s="1"/>
  <c r="O67" i="57"/>
  <c r="Q67" i="57" s="1"/>
  <c r="O91" i="57"/>
  <c r="O82" i="57"/>
  <c r="Q82" i="57" s="1"/>
  <c r="O85" i="57"/>
  <c r="Q85" i="57" s="1"/>
  <c r="O55" i="57"/>
  <c r="Q55" i="57" s="1"/>
  <c r="O64" i="57"/>
  <c r="Q64" i="57" s="1"/>
  <c r="O88" i="57"/>
  <c r="Q88" i="57" s="1"/>
  <c r="O79" i="57"/>
  <c r="P26" i="57"/>
  <c r="Q32" i="57"/>
  <c r="Q29" i="57"/>
  <c r="O16" i="57"/>
  <c r="P20" i="57"/>
  <c r="S16" i="57" l="1"/>
  <c r="T16" i="57" s="1"/>
  <c r="Q16" i="57"/>
  <c r="Q97" i="57"/>
  <c r="S97" i="57"/>
  <c r="T97" i="57" s="1"/>
  <c r="Q79" i="57"/>
  <c r="P94" i="57"/>
  <c r="P61" i="57"/>
  <c r="P55" i="57"/>
  <c r="Q58" i="57"/>
  <c r="Q91" i="57"/>
  <c r="P91" i="57"/>
  <c r="P16" i="57"/>
  <c r="S98" i="57" l="1"/>
  <c r="G98" i="57" l="1"/>
  <c r="K98" i="57" l="1"/>
  <c r="J98" i="57"/>
  <c r="M98" i="57"/>
  <c r="L98" i="57"/>
  <c r="O98" i="57" l="1"/>
  <c r="Q98" i="57" l="1"/>
  <c r="G100" i="57" l="1"/>
  <c r="M100" i="57" l="1"/>
  <c r="K100" i="57"/>
  <c r="L100" i="57"/>
  <c r="J100" i="57"/>
  <c r="G99" i="57"/>
  <c r="M99" i="57" l="1"/>
  <c r="M103" i="57" s="1"/>
  <c r="J99" i="57"/>
  <c r="L99" i="57"/>
  <c r="L103" i="57" s="1"/>
  <c r="K99" i="57"/>
  <c r="K103" i="57" s="1"/>
  <c r="O100" i="57"/>
  <c r="G101" i="57"/>
  <c r="M104" i="57" l="1"/>
  <c r="J103" i="57"/>
  <c r="O99" i="57"/>
  <c r="Q99" i="57" s="1"/>
  <c r="H46" i="57"/>
  <c r="H92" i="57"/>
  <c r="H14" i="57"/>
  <c r="H62" i="57"/>
  <c r="H21" i="57"/>
  <c r="H24" i="57"/>
  <c r="H30" i="57"/>
  <c r="H33" i="57"/>
  <c r="H77" i="57"/>
  <c r="H37" i="57"/>
  <c r="H89" i="57"/>
  <c r="H49" i="57"/>
  <c r="H95" i="57"/>
  <c r="H56" i="57"/>
  <c r="H71" i="57"/>
  <c r="H74" i="57"/>
  <c r="H34" i="57"/>
  <c r="H86" i="57"/>
  <c r="H43" i="57"/>
  <c r="H52" i="57"/>
  <c r="H98" i="57"/>
  <c r="H59" i="57"/>
  <c r="H18" i="57"/>
  <c r="H27" i="57"/>
  <c r="H80" i="57"/>
  <c r="H83" i="57"/>
  <c r="H40" i="57"/>
  <c r="H13" i="57"/>
  <c r="H53" i="57"/>
  <c r="H17" i="57"/>
  <c r="H65" i="57"/>
  <c r="H68" i="57"/>
  <c r="H100" i="57"/>
  <c r="K104" i="57"/>
  <c r="Q100" i="57"/>
  <c r="S100" i="57"/>
  <c r="L104" i="57"/>
  <c r="H99" i="57"/>
  <c r="O103" i="57" l="1"/>
  <c r="P103" i="57" s="1"/>
  <c r="H101" i="57"/>
  <c r="J104" i="57"/>
  <c r="J106" i="57" s="1"/>
  <c r="K106" i="57" s="1"/>
  <c r="L106" i="57" s="1"/>
  <c r="M106" i="57" s="1"/>
  <c r="J105" i="57"/>
  <c r="K105" i="57" s="1"/>
  <c r="L105" i="57" s="1"/>
  <c r="M105" i="57" s="1"/>
  <c r="O104" i="5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31" authorId="0" shapeId="0" xr:uid="{00000000-0006-0000-1000-000001000000}">
      <text>
        <r>
          <rPr>
            <sz val="11"/>
            <color theme="1"/>
            <rFont val="Calibri"/>
            <family val="2"/>
            <scheme val="minor"/>
          </rPr>
          <t>======
ID#AAABuIHCkwk
admin    (2025-11-06 21:38:52)
Cubrimiento de 30m2 x 1 frente de obra y l duració ndel plastixco se estima para 12
 meses</t>
        </r>
      </text>
    </comment>
    <comment ref="A33" authorId="0" shapeId="0" xr:uid="{00000000-0006-0000-1000-000002000000}">
      <text>
        <r>
          <rPr>
            <sz val="11"/>
            <color theme="1"/>
            <rFont val="Calibri"/>
            <family val="2"/>
            <scheme val="minor"/>
          </rPr>
          <t>======
ID#AAABuIHCkwc
admin    (2025-11-06 21:38:52)
APLICA PARA SOCIAL CMUNITARIO EN CASO DE NO PAGAR CAMPAMENTO</t>
        </r>
      </text>
    </comment>
    <comment ref="A34" authorId="0" shapeId="0" xr:uid="{00000000-0006-0000-1000-000003000000}">
      <text>
        <r>
          <rPr>
            <sz val="11"/>
            <color theme="1"/>
            <rFont val="Calibri"/>
            <family val="2"/>
            <scheme val="minor"/>
          </rPr>
          <t>======
ID#AAABuIHCkwY
admin    (2025-11-06 21:38:52)
APLICA PARA SOCIAL CMUNITARIO EN CASO DE NO PAGAR CAMPAMENTO</t>
        </r>
      </text>
    </comment>
  </commentList>
  <extLst>
    <ext xmlns:r="http://schemas.openxmlformats.org/officeDocument/2006/relationships" uri="GoogleSheetsCustomDataVersion2">
      <go:sheetsCustomData xmlns:go="http://customooxmlschemas.google.com/" r:id="rId1" roundtripDataSignature="AMtx7mjfNnoc6mSGEOTrRulMyTd6z8dey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32" authorId="0" shapeId="0" xr:uid="{00000000-0006-0000-2E00-000001000000}">
      <text>
        <r>
          <rPr>
            <sz val="11"/>
            <color theme="1"/>
            <rFont val="Calibri"/>
            <family val="2"/>
            <scheme val="minor"/>
          </rPr>
          <t>======
ID#AAABuIHCkwU
Super Usuario    (2025-11-06 21:38:52)
REVISAR EL INCREMENTO POR SEGURIDAD INDUSTRIAL</t>
        </r>
      </text>
    </comment>
  </commentList>
  <extLst>
    <ext xmlns:r="http://schemas.openxmlformats.org/officeDocument/2006/relationships" uri="GoogleSheetsCustomDataVersion2">
      <go:sheetsCustomData xmlns:go="http://customooxmlschemas.google.com/" r:id="rId1" roundtripDataSignature="AMtx7mjpn9JgJqtplV+8QZ9IjuDRe92pWA=="/>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I5" authorId="0" shapeId="0" xr:uid="{00000000-0006-0000-2F00-000001000000}">
      <text>
        <r>
          <rPr>
            <sz val="11"/>
            <color theme="1"/>
            <rFont val="Calibri"/>
            <family val="2"/>
            <scheme val="minor"/>
          </rPr>
          <t>======
ID#AAABuIHCkwg
    (2025-11-06 21:38:52)
PAVCO
	-CARLOS EDUARDO OROZCO GRAJALES</t>
        </r>
      </text>
    </comment>
  </commentList>
  <extLst>
    <ext xmlns:r="http://schemas.openxmlformats.org/officeDocument/2006/relationships" uri="GoogleSheetsCustomDataVersion2">
      <go:sheetsCustomData xmlns:go="http://customooxmlschemas.google.com/" r:id="rId1" roundtripDataSignature="AMtx7mjWWp2ijsllyupr47SGfFjUlU28fA=="/>
    </ext>
  </extLst>
</comments>
</file>

<file path=xl/sharedStrings.xml><?xml version="1.0" encoding="utf-8"?>
<sst xmlns="http://schemas.openxmlformats.org/spreadsheetml/2006/main" count="28072" uniqueCount="4555">
  <si>
    <t>ESTADIO ORLANDO LOSADA BUENDÍA - GARZON</t>
  </si>
  <si>
    <t>PRIMERA ETAPA: ADECUACION Y CONSTRUCCION DE LA TRIBUNA OCCIDENTAL, INCLUYE ADECUACION DE CANCHA, ILUMINACION, CAMERINOS, BATERIAS SANITARIAS; SALA DE PRENSA Y OTROS SERVICIOS</t>
  </si>
  <si>
    <t>Plazo:</t>
  </si>
  <si>
    <t>Doce (12) Meses</t>
  </si>
  <si>
    <t>Item</t>
  </si>
  <si>
    <t xml:space="preserve">Descripción </t>
  </si>
  <si>
    <t>Unidad</t>
  </si>
  <si>
    <t>Cantidad</t>
  </si>
  <si>
    <t>P. Unitario</t>
  </si>
  <si>
    <t>P.Total</t>
  </si>
  <si>
    <t>PRELIMINARES</t>
  </si>
  <si>
    <t>1.1</t>
  </si>
  <si>
    <t>Localización y Replanteo</t>
  </si>
  <si>
    <t xml:space="preserve">área </t>
  </si>
  <si>
    <t>1.2</t>
  </si>
  <si>
    <t>Demoliciones, incluye botada de escombros</t>
  </si>
  <si>
    <t>Global</t>
  </si>
  <si>
    <t>EXCAVACIONES Y LLENOS</t>
  </si>
  <si>
    <t>2.1</t>
  </si>
  <si>
    <t>Excavaciones  de 0-2 a maquina</t>
  </si>
  <si>
    <t>m3</t>
  </si>
  <si>
    <t>2.2</t>
  </si>
  <si>
    <t>Excavaciones  de 2-4 a maquina</t>
  </si>
  <si>
    <t>2.3</t>
  </si>
  <si>
    <t>Excavaciones  de 0-2 manual</t>
  </si>
  <si>
    <t>2.4</t>
  </si>
  <si>
    <t>Excavaciones  de 2-4 a manual</t>
  </si>
  <si>
    <t>2.5</t>
  </si>
  <si>
    <t>Excavación de roca, incluye dinamita o crash, incluye botada</t>
  </si>
  <si>
    <t>2.6</t>
  </si>
  <si>
    <t>Llenos estructurales con material de prestamo</t>
  </si>
  <si>
    <t>2.7</t>
  </si>
  <si>
    <t>Lleno con material de recebo</t>
  </si>
  <si>
    <t>2.8</t>
  </si>
  <si>
    <t>Lleno con material In Situ</t>
  </si>
  <si>
    <t>CONCRETOS</t>
  </si>
  <si>
    <t>3.1</t>
  </si>
  <si>
    <t>Concreto fundación</t>
  </si>
  <si>
    <t>3.2</t>
  </si>
  <si>
    <t>Concretos columnas</t>
  </si>
  <si>
    <t>3.3</t>
  </si>
  <si>
    <t>Concretos para vigas fundacion</t>
  </si>
  <si>
    <t>3.4</t>
  </si>
  <si>
    <t xml:space="preserve">Concreto para losas, espesor 0.60, incluye formaleteria </t>
  </si>
  <si>
    <t>m2</t>
  </si>
  <si>
    <t>3.5</t>
  </si>
  <si>
    <t>Concreto para tribuna, incluye formaleteria</t>
  </si>
  <si>
    <t>REFUERZO</t>
  </si>
  <si>
    <t>4.1</t>
  </si>
  <si>
    <t>Refuerzo Grado 60</t>
  </si>
  <si>
    <t>kg</t>
  </si>
  <si>
    <t>4.2</t>
  </si>
  <si>
    <t>Refuerzo malla</t>
  </si>
  <si>
    <t>CUBIERTA</t>
  </si>
  <si>
    <t>5.1</t>
  </si>
  <si>
    <t>Cubierta de tribunas, teja termoacustica, incluye estructura metálica, canoa y bajantes en fibra de vidrio</t>
  </si>
  <si>
    <t>ESTRUCTURAS  Y AREAS ESPECIALES CON ACABADOS</t>
  </si>
  <si>
    <t xml:space="preserve">Nivel Camerinos </t>
  </si>
  <si>
    <t>6.1</t>
  </si>
  <si>
    <t>Camerino A</t>
  </si>
  <si>
    <t>6.2</t>
  </si>
  <si>
    <t>Camerino B</t>
  </si>
  <si>
    <t>6.3</t>
  </si>
  <si>
    <t xml:space="preserve">Camerino Arbitros </t>
  </si>
  <si>
    <t>6.4</t>
  </si>
  <si>
    <t xml:space="preserve">Oficinas </t>
  </si>
  <si>
    <t>6.6</t>
  </si>
  <si>
    <t xml:space="preserve">Circulaciones </t>
  </si>
  <si>
    <t>Nivel 1</t>
  </si>
  <si>
    <t xml:space="preserve">Baños </t>
  </si>
  <si>
    <t xml:space="preserve">Locales y Oficinas </t>
  </si>
  <si>
    <t>Nivel VIP</t>
  </si>
  <si>
    <t>Cabinas - PMU - Palcos VIP</t>
  </si>
  <si>
    <t xml:space="preserve">Fachada </t>
  </si>
  <si>
    <t xml:space="preserve">Lamina Microperforada Incluye Estructura </t>
  </si>
  <si>
    <t xml:space="preserve">Manposteria en Muro Split </t>
  </si>
  <si>
    <t>Portones según Diseño</t>
  </si>
  <si>
    <t xml:space="preserve">Edificaciones laterales </t>
  </si>
  <si>
    <t>Edificaciones laterales para la recepción y oficinas</t>
  </si>
  <si>
    <t>OBRAS DE ADECUACION CANCHA</t>
  </si>
  <si>
    <t>7.1</t>
  </si>
  <si>
    <t>DESMONTE, DESCAPOTE Y LIMPIEZA a máquina, e=0.15m. Incluye cargue, transporte y botada de escombros material vegetal en botaderos oficiales o donde indique la interventoría. Su medida será en sitio.</t>
  </si>
  <si>
    <t>7.2</t>
  </si>
  <si>
    <t xml:space="preserve">Explanación - corte y extendidad hasta una profundidad de 20 cm, despues de ejecutada la actividad de descapote. Incluye cargue, transporte y botada de tierra en botaderos oficiales o donde la intervenotría lo indique. </t>
  </si>
  <si>
    <t>7.3</t>
  </si>
  <si>
    <t>Nivelacion y compactacion al 90% del proctor modificado del terreno natural. En esta etapa se deberá realizar el ensayo de permeabilidad del suelo para aprobar el diseño o rediseñar elsistema de filtración adecuado al tipo de terreno y al manejo de aguas subterráneas</t>
  </si>
  <si>
    <t>7.4</t>
  </si>
  <si>
    <t>Construcción de cajas de registro de 100 x 100 x altura hasta 120 cm. en concreto de 21Mpa. con impermeabiIizante integral tipo Sika o equivalente, con concrefibra el piso y tapa en concreto, la tapa con su respectivo herraje. Incluye suministro, transporte e instalación de los materiales y todos los demás elementos necesarios para su correcta instalación y funcionamiento.</t>
  </si>
  <si>
    <t>un</t>
  </si>
  <si>
    <t>7.5</t>
  </si>
  <si>
    <t>Suministro e instalación de material granular seleccionado para capa filtrante del campo de juego. En  Piedra de canto rodado de poros abiertos, de curva granulometrica continua, donde un tamaño inferior 0,063mm  no debe superar el 5% y un tamaño no superior a 1.1/2", de tal manera que cumpla con índice de permeabilidad KF a LK 100 debe ser superior a 3 mm/min. (180 mm/h) e inferior a 30 mm/min. (1800 mrn/h).</t>
  </si>
  <si>
    <t>7.6</t>
  </si>
  <si>
    <t>Instalación de GEOTEXTIL NT 1600. para filtro o equivalente. Incluye suministro y transporte de los materiales, traslapos y todos los elementos necesarios para su correcta instalación y funcionamiento. Según diseño del filtro.</t>
  </si>
  <si>
    <t>7.7</t>
  </si>
  <si>
    <t>Suministro, Transporte  e instalación de grama tipo bermuda Ref. 419 de alto trafico  o similar en TEPE, que se adpaten a suelos arcillosos a arenosos con  PH desde 5,5 a 8,5. Incluye una capa de tierra orgánica negra de 10 cm (capa de enraizamiento) abonada y se deberá hacer como mínimo tres riegos con  fertilizantes y regado con agua hasta su total prendimiento. Se deberá realizar un pisado manual de la capa de tierra y luego rastrillar unos 2 cm para remoción de la capa de enraizamiento para acomodar la grama, se deberá utilizar todo lo necesario para su correcta instalación.</t>
  </si>
  <si>
    <t>Sistema de Riego</t>
  </si>
  <si>
    <t>7.8</t>
  </si>
  <si>
    <t>Aspersores pop up turbo T - 3, incluye Swing joint  Articulado</t>
  </si>
  <si>
    <t>7.9</t>
  </si>
  <si>
    <t xml:space="preserve">Cajas para valvula </t>
  </si>
  <si>
    <t>Tuberias</t>
  </si>
  <si>
    <t>7.10</t>
  </si>
  <si>
    <t xml:space="preserve">Tuberia pvc de 2" rde 26 </t>
  </si>
  <si>
    <t>ml</t>
  </si>
  <si>
    <t>7.11</t>
  </si>
  <si>
    <t>Tuberia pvc de 1 1/2" rde 26</t>
  </si>
  <si>
    <t>7.12</t>
  </si>
  <si>
    <t>Tuberia pvc 1 1/4" rde 26</t>
  </si>
  <si>
    <t>7.13</t>
  </si>
  <si>
    <t>Tuberia pvc 1" rde 26</t>
  </si>
  <si>
    <t>7.14</t>
  </si>
  <si>
    <t>Equipo de bombeo completo, incluye motobomba de alta presión 2"x2" 12 HP 20H con arrancador, multiple de succión y descarga de 2", accesorios, acometida electrica e instalación electrico y puesta en marcha.</t>
  </si>
  <si>
    <t>7.15</t>
  </si>
  <si>
    <t>Tanque Prefabricado en fibra de vidrio de capacidad de almacenamiento de 30 m3, en fibra de vidrio, incluye todos los accesorios para su correcta instalación</t>
  </si>
  <si>
    <t>7.16</t>
  </si>
  <si>
    <t>SUMINISTRO, EXTENDIDO Y NIVELACION DE ARENA DE RIO LAVADA E=0,20 m</t>
  </si>
  <si>
    <t>M3</t>
  </si>
  <si>
    <t>SISTEMA DE DRENAJES y LECHO FILTRANTE</t>
  </si>
  <si>
    <t>7.17</t>
  </si>
  <si>
    <t>CONSTRUCCION DRENAJES DIAM. Tipo Planar 12"</t>
  </si>
  <si>
    <t>ML</t>
  </si>
  <si>
    <t>7.18</t>
  </si>
  <si>
    <t>SUMINISTRO E INSTALACION DE TUBERIA NOVAFORT 10" (INCLUYE: Tuberia, zanjado, arena y mano de obra)</t>
  </si>
  <si>
    <t>7.19</t>
  </si>
  <si>
    <t>SUMINISTRO E INSTALACION DE TUBERIA NOVAFORT 12" (INCLUYE: Tuberia, zanjado, arena y mano de obra)</t>
  </si>
  <si>
    <t>7.20</t>
  </si>
  <si>
    <t>CONSTRUCCION CAJAS DESARENADORA 3X2</t>
  </si>
  <si>
    <t>UND</t>
  </si>
  <si>
    <t>7.21</t>
  </si>
  <si>
    <t xml:space="preserve">Colocación de grama Sintetica area Circulacion Cancha </t>
  </si>
  <si>
    <t>OBRAS ELECTRICAS</t>
  </si>
  <si>
    <t>8.1</t>
  </si>
  <si>
    <t>Instalaciones Electricas ver presupuesto Anexo</t>
  </si>
  <si>
    <t>INSTALACIONES HIDROSANITARIAS</t>
  </si>
  <si>
    <t>9.1</t>
  </si>
  <si>
    <t xml:space="preserve">Instalaciones Hidraulicas, incluye acometida,contador y todos los accesorios </t>
  </si>
  <si>
    <t>9.2</t>
  </si>
  <si>
    <t>Instalaciones sanirtarias, incluye obras civiles</t>
  </si>
  <si>
    <t xml:space="preserve">Red contraincendios </t>
  </si>
  <si>
    <t>OBRAS VARIAS</t>
  </si>
  <si>
    <t>10.3</t>
  </si>
  <si>
    <t>Señalización</t>
  </si>
  <si>
    <t>TOTAL COSTO DIRECTO</t>
  </si>
  <si>
    <t>AIU</t>
  </si>
  <si>
    <t>TOTAL COSTO + AIU</t>
  </si>
  <si>
    <t>Interventoría Técnica</t>
  </si>
  <si>
    <t>TOTAL COSTO + AiU</t>
  </si>
  <si>
    <t xml:space="preserve">LISTADO DE MATERIALES                 </t>
  </si>
  <si>
    <t>FECHA: 19/08/2025</t>
  </si>
  <si>
    <t>Cantidad por Actividad</t>
  </si>
  <si>
    <t>Material</t>
  </si>
  <si>
    <t>Und</t>
  </si>
  <si>
    <t>Cant</t>
  </si>
  <si>
    <t>Val. Unt</t>
  </si>
  <si>
    <t>Val. Total</t>
  </si>
  <si>
    <t>3.6</t>
  </si>
  <si>
    <t>4.3</t>
  </si>
  <si>
    <t>4.4</t>
  </si>
  <si>
    <t>4.5</t>
  </si>
  <si>
    <t>4.6</t>
  </si>
  <si>
    <t>4.7</t>
  </si>
  <si>
    <t>4.8</t>
  </si>
  <si>
    <t>4.9</t>
  </si>
  <si>
    <t>4.10</t>
  </si>
  <si>
    <t>4.11</t>
  </si>
  <si>
    <t>PUNTILLA 1 1/2" a 3"</t>
  </si>
  <si>
    <t>LB</t>
  </si>
  <si>
    <t>POLIN DE MADERA (5x5)</t>
  </si>
  <si>
    <t>CERCO DE MADERA 5X10</t>
  </si>
  <si>
    <t>PIOLA GRUESA ROLLO 50 ML</t>
  </si>
  <si>
    <t>MINERAL ROJO</t>
  </si>
  <si>
    <t>KG</t>
  </si>
  <si>
    <t>RECEBO COMÚN</t>
  </si>
  <si>
    <t>SUB-BASE GRANULAR SBG-1</t>
  </si>
  <si>
    <t xml:space="preserve">ACERO Fy= 4200 Kg/cm2   </t>
  </si>
  <si>
    <t>ALAMBRE NEGRO No. 18</t>
  </si>
  <si>
    <t xml:space="preserve">CEMENTO </t>
  </si>
  <si>
    <t>Bult</t>
  </si>
  <si>
    <t xml:space="preserve">GRAVILLA </t>
  </si>
  <si>
    <t>ARENA</t>
  </si>
  <si>
    <t>Sika Plastocrete DM 4,5kg</t>
  </si>
  <si>
    <t xml:space="preserve">Gal </t>
  </si>
  <si>
    <t>AGUA</t>
  </si>
  <si>
    <t>LT</t>
  </si>
  <si>
    <t>MORTERO IMPERMEABILIZANTE ZIKA</t>
  </si>
  <si>
    <t>CINTA PVC SIKA V-22</t>
  </si>
  <si>
    <t>MORTERO 1:4 DE BAJA PERMEABILIDAD</t>
  </si>
  <si>
    <t>TUBO PVC P Ø2"  RDE 26</t>
  </si>
  <si>
    <t>LIMPIADOR/REMOVEDOR  PVC. ( 1/4  Gal )</t>
  </si>
  <si>
    <t>SOLDADURA LIQUIDA  PVC.  (1/4 Gal )</t>
  </si>
  <si>
    <t>TUBO PVC P Ø6"  RDE 26</t>
  </si>
  <si>
    <t>Codo PVC de 2"</t>
  </si>
  <si>
    <t>Codo PVC de 6"</t>
  </si>
  <si>
    <t>Tee PVC de 2"</t>
  </si>
  <si>
    <t>Tee PVC de 6"</t>
  </si>
  <si>
    <t>NIPLE PASAMUROS EN ACERO</t>
  </si>
  <si>
    <t>Válvula de 2" de compuerta elástica</t>
  </si>
  <si>
    <t>Válvula de 6" de compuerta elástica</t>
  </si>
  <si>
    <t>Tapa en lámina tipo alfajor en portacandados de 60x60cm</t>
  </si>
  <si>
    <t>válvula de pie con rejilla de 2"</t>
  </si>
  <si>
    <t>Escalones en Propileno de 3/4"</t>
  </si>
  <si>
    <t>Codo para ventilación de 3" en tubo galbanizado</t>
  </si>
  <si>
    <t>Sika Anchorfix-4</t>
  </si>
  <si>
    <t>POLIN DE MADERA (5x10)</t>
  </si>
  <si>
    <t>Transporte</t>
  </si>
  <si>
    <t>Tarifa</t>
  </si>
  <si>
    <t>VOLQUETA  (5-6)M3  (Material pétreo)</t>
  </si>
  <si>
    <t>Euipo</t>
  </si>
  <si>
    <t>Tarifa/Hora</t>
  </si>
  <si>
    <t>HERRAMIENTA MENOR.</t>
  </si>
  <si>
    <t>RETROCARGADOR S/LLANTA (70-90)HP.</t>
  </si>
  <si>
    <t>IMPLEMENTOS DE SEGURIDAD INDUSTRIAL</t>
  </si>
  <si>
    <t>FORMALETA PARA SOLADOS Y CONCRETO DE LIMPIEZA.</t>
  </si>
  <si>
    <t>FORMALETA PARA ESTRUCTURAS</t>
  </si>
  <si>
    <t>APISONADOR TIPO RANA</t>
  </si>
  <si>
    <t>MEZCLADORA DE CONCRETO</t>
  </si>
  <si>
    <t>VIBRADOR DE CONCRETO</t>
  </si>
  <si>
    <t>CAPITULO 1:</t>
  </si>
  <si>
    <t>UNIDAD:</t>
  </si>
  <si>
    <t>ITEM 1,1:</t>
  </si>
  <si>
    <t>PROCEDIMIENTO PARA CALCULO</t>
  </si>
  <si>
    <t>DESCRIPCION Y/O UBICACION</t>
  </si>
  <si>
    <t>L</t>
  </si>
  <si>
    <t xml:space="preserve">A </t>
  </si>
  <si>
    <t>E prom.</t>
  </si>
  <si>
    <t>CANT.</t>
  </si>
  <si>
    <t>SUBTOTAL</t>
  </si>
  <si>
    <t>TOTAL</t>
  </si>
  <si>
    <t>M2</t>
  </si>
  <si>
    <t>ITEM 1,2:</t>
  </si>
  <si>
    <t>prelim</t>
  </si>
  <si>
    <t>ITEM 1,3:</t>
  </si>
  <si>
    <t>CAPITULO 2:</t>
  </si>
  <si>
    <t>ITEM 2,1:</t>
  </si>
  <si>
    <t>ITEM 2,2:</t>
  </si>
  <si>
    <t>VOL. (M3)</t>
  </si>
  <si>
    <t>ITEM 2,3:</t>
  </si>
  <si>
    <t>ITEM 2,4:</t>
  </si>
  <si>
    <t>ITEM 2,5:</t>
  </si>
  <si>
    <t>ITEM 2,6:</t>
  </si>
  <si>
    <t>CAPITULO 3:</t>
  </si>
  <si>
    <t>ITEM 3,1:</t>
  </si>
  <si>
    <t>Kg</t>
  </si>
  <si>
    <t>ITEM 3,2:</t>
  </si>
  <si>
    <t>ITEM 3,3:</t>
  </si>
  <si>
    <t>ITEM 3,4:</t>
  </si>
  <si>
    <t>ITEM 3,5:</t>
  </si>
  <si>
    <t>ITEM 3,6:</t>
  </si>
  <si>
    <t>*E prom.</t>
  </si>
  <si>
    <t>CAPITULO 4:</t>
  </si>
  <si>
    <t>ITEM 4,1:</t>
  </si>
  <si>
    <t>ITEM 4,2:</t>
  </si>
  <si>
    <t>H</t>
  </si>
  <si>
    <t>ITEM 4,3:</t>
  </si>
  <si>
    <t>ITEM 4,7:</t>
  </si>
  <si>
    <t xml:space="preserve">INSTALACIONES HIDROSANITARIAS           </t>
  </si>
  <si>
    <t>ITEM 4,4:</t>
  </si>
  <si>
    <t>ITEM 4,5:</t>
  </si>
  <si>
    <t>ITEM 4,6:</t>
  </si>
  <si>
    <t>ITEM 4,8:</t>
  </si>
  <si>
    <t xml:space="preserve">INSTALACIONES ELECTRICAS                                          </t>
  </si>
  <si>
    <t>ITEM 4,9:</t>
  </si>
  <si>
    <t>ITEM 4,10:</t>
  </si>
  <si>
    <t>ITEM 4,11:</t>
  </si>
  <si>
    <t>CAPITULO 5:</t>
  </si>
  <si>
    <t>ITEM 5,1:</t>
  </si>
  <si>
    <t>ACERO DE REFUERZO</t>
  </si>
  <si>
    <t>ITEM 6,5:</t>
  </si>
  <si>
    <t>CAPITULO 6:</t>
  </si>
  <si>
    <t>ITEM 6,6:</t>
  </si>
  <si>
    <t>ITEM 6,7:</t>
  </si>
  <si>
    <t>Elaboró:</t>
  </si>
  <si>
    <t>Revisó y aprobó:</t>
  </si>
  <si>
    <t>CRISTIAN DANNILO GOMEZ SAPUY</t>
  </si>
  <si>
    <t>JORGE FERANDO RAMOS BONILLA</t>
  </si>
  <si>
    <t>Apoyo profesional - Secretaría de Planeación</t>
  </si>
  <si>
    <t>Secretario de Planeación y Desarrollo Social</t>
  </si>
  <si>
    <t>ESTADIO PLAZAS ALCID - NEIVA</t>
  </si>
  <si>
    <t>PRIMERA ETAPA: ADECUACION Y CONSTRUCCION DE LAS TRIBUNAS ORIENTAL Y OCCIDENTAL, INCLUYE ADECUACION DE CANCHA, ILUMINACION, CAMERINOS, BATERIAS SANITARIAS; SALA DE PRENSA Y OTROS SERVICIOS</t>
  </si>
  <si>
    <t>Nueve (9) Meses</t>
  </si>
  <si>
    <t>MES1</t>
  </si>
  <si>
    <t>MES2</t>
  </si>
  <si>
    <t>MES3</t>
  </si>
  <si>
    <t>MES4</t>
  </si>
  <si>
    <t>MES5</t>
  </si>
  <si>
    <t>MES6</t>
  </si>
  <si>
    <t>MES7</t>
  </si>
  <si>
    <t>MES8</t>
  </si>
  <si>
    <t>MES9</t>
  </si>
  <si>
    <t>MES10</t>
  </si>
  <si>
    <t>Dia</t>
  </si>
  <si>
    <t>Excavacion de pilas, incluye botada de tierra y anillada</t>
  </si>
  <si>
    <t>2.9</t>
  </si>
  <si>
    <t xml:space="preserve">Concreto para losas, espesor 1.10, incluye formaleteria </t>
  </si>
  <si>
    <t>5.2</t>
  </si>
  <si>
    <t>Otras areas de cubierta</t>
  </si>
  <si>
    <t>Construcción de Rampas de evacuación, incluye concretos, mamposteria, acabados, cubierta, fachadas y demas elemetos para su funcionamiento</t>
  </si>
  <si>
    <t>Túneles de aceso</t>
  </si>
  <si>
    <t>Hall de entrevista</t>
  </si>
  <si>
    <t>Cuarto de Técnicos</t>
  </si>
  <si>
    <t>6.5</t>
  </si>
  <si>
    <t>Camerinos secundarios</t>
  </si>
  <si>
    <t>Camerinos Principales</t>
  </si>
  <si>
    <t>6.7</t>
  </si>
  <si>
    <t>Zona de Flash</t>
  </si>
  <si>
    <t>6.8</t>
  </si>
  <si>
    <t>Banco de Arbitros</t>
  </si>
  <si>
    <t>6.9</t>
  </si>
  <si>
    <t>Sala de Primeros Auxilios Jugadores</t>
  </si>
  <si>
    <t>6.10</t>
  </si>
  <si>
    <t>Sala de primeros auxilios Público</t>
  </si>
  <si>
    <t>6.11</t>
  </si>
  <si>
    <t>Camerinos arbitros</t>
  </si>
  <si>
    <t>6.12</t>
  </si>
  <si>
    <t>Banco Suplentes</t>
  </si>
  <si>
    <t>6.13</t>
  </si>
  <si>
    <t>Gimnasio</t>
  </si>
  <si>
    <t>6.14</t>
  </si>
  <si>
    <t>Zona de Doping</t>
  </si>
  <si>
    <t>6.15</t>
  </si>
  <si>
    <t>Oficina de Hacienda</t>
  </si>
  <si>
    <t>6.16</t>
  </si>
  <si>
    <t>Sala de Prensa</t>
  </si>
  <si>
    <t>6.17</t>
  </si>
  <si>
    <t>Oficina delegados y logística</t>
  </si>
  <si>
    <t>6.18</t>
  </si>
  <si>
    <t xml:space="preserve">Centro de Medios </t>
  </si>
  <si>
    <t>6.19</t>
  </si>
  <si>
    <t>Sala VIP</t>
  </si>
  <si>
    <t>6.20</t>
  </si>
  <si>
    <t>Restaurate VIP</t>
  </si>
  <si>
    <t>6.21</t>
  </si>
  <si>
    <t>Oficina de Acreditación</t>
  </si>
  <si>
    <t>6.22</t>
  </si>
  <si>
    <t>Oficina voluntariado</t>
  </si>
  <si>
    <t>6.23</t>
  </si>
  <si>
    <t>Tribuna de Prensa</t>
  </si>
  <si>
    <t>6.24</t>
  </si>
  <si>
    <t>Tribuna VIP</t>
  </si>
  <si>
    <t>6.25</t>
  </si>
  <si>
    <t>Locales comerciales</t>
  </si>
  <si>
    <t>6.26</t>
  </si>
  <si>
    <t>Baterias Sanitarias</t>
  </si>
  <si>
    <t>OBRAS DE ADECUACION ZONA CENTRAL</t>
  </si>
  <si>
    <t>Colocación de grama natural , tipo FIFA, incluye drenajes y filtros</t>
  </si>
  <si>
    <t>Construccion de rampa peatonal alrededor de la grama según acabado de diseño</t>
  </si>
  <si>
    <t>Subestación</t>
  </si>
  <si>
    <t>8.2</t>
  </si>
  <si>
    <t>Redes de acometidas, incluye postes, cajas y todo lo necesario para su correcta instalación</t>
  </si>
  <si>
    <t>8.3</t>
  </si>
  <si>
    <t>Redes electricas internas</t>
  </si>
  <si>
    <t>8.4</t>
  </si>
  <si>
    <t>Redes de voz, sonido y datos</t>
  </si>
  <si>
    <t>8.5</t>
  </si>
  <si>
    <t>S.T.I de luminarias</t>
  </si>
  <si>
    <t>8.6</t>
  </si>
  <si>
    <t>Circuitos cerrado de TV -VIDEO</t>
  </si>
  <si>
    <t>8.7</t>
  </si>
  <si>
    <t xml:space="preserve">Pantalla </t>
  </si>
  <si>
    <t>10.1</t>
  </si>
  <si>
    <t xml:space="preserve">Suministro, transporte e instalacion de silleteria </t>
  </si>
  <si>
    <t>10.2</t>
  </si>
  <si>
    <t>Selleteria especial</t>
  </si>
  <si>
    <t>11.1</t>
  </si>
  <si>
    <t>AU</t>
  </si>
  <si>
    <t>TOTAL COSTO + AU</t>
  </si>
  <si>
    <t>SEGUNDA ETAPA: CONSTRUCCION DE LAS TRIBUNAS SUR Y NORTE</t>
  </si>
  <si>
    <t>Seis (6) Meses</t>
  </si>
  <si>
    <t>|</t>
  </si>
  <si>
    <t>OBRAS DE URBANISMO CERCANO AL ESTADIO EN TODO EL ENTORNO (20.460m2)</t>
  </si>
  <si>
    <t>Urbanismo incluye iluminación, pisos duros, zonas verdes, cordones, sumideros, redes de servicio público, ciclorruta, vallas, parqueaderos, entre otros</t>
  </si>
  <si>
    <t>COSTO TOTAL ADECUACION DEL ESTADIO SIN CONTEMPLAR URBANISMO, NO TENGO DISEÑO</t>
  </si>
  <si>
    <t>GOBERNACIÓN DEL HUILA</t>
  </si>
  <si>
    <t>INDERHUILA</t>
  </si>
  <si>
    <t>PRESUPUESTO DE OBRA - BLOQUE 1</t>
  </si>
  <si>
    <t>ITEM</t>
  </si>
  <si>
    <t>DESCRIPCION</t>
  </si>
  <si>
    <t>VR/UNIT</t>
  </si>
  <si>
    <t>VR/TOTAL</t>
  </si>
  <si>
    <t>ACTIVIDADES PRELIMINARES</t>
  </si>
  <si>
    <t>1.3</t>
  </si>
  <si>
    <t>1.4</t>
  </si>
  <si>
    <t>1.5</t>
  </si>
  <si>
    <t>1.6</t>
  </si>
  <si>
    <t>1.7</t>
  </si>
  <si>
    <t>1.8</t>
  </si>
  <si>
    <t>1.9</t>
  </si>
  <si>
    <t>SUB-TOTAL CAPITULO</t>
  </si>
  <si>
    <t xml:space="preserve">Solado en concreto de limpieza (e= 10 cm) de 1.700 P.S.I. </t>
  </si>
  <si>
    <t>Concreto para base de estructuras en concreto ciclópeo - 2500 PSI (175 kg/cm2) 60% concreto 2500 PSI + 40% piedra media zonga.</t>
  </si>
  <si>
    <t>2.10</t>
  </si>
  <si>
    <t>2.11</t>
  </si>
  <si>
    <t>ESTRUCTURA METÁLICA</t>
  </si>
  <si>
    <t>3.7</t>
  </si>
  <si>
    <t>3.8</t>
  </si>
  <si>
    <t>3.9</t>
  </si>
  <si>
    <t>3.10</t>
  </si>
  <si>
    <t>3.11</t>
  </si>
  <si>
    <t>Baranda Metálica - pasamanos en tubo de 3" cal 5,5mm, platina de anclaje y pintura anticorrosiva</t>
  </si>
  <si>
    <t xml:space="preserve">Cubierta en Teja termoacustica. </t>
  </si>
  <si>
    <t xml:space="preserve">Caballete para termoacustica. </t>
  </si>
  <si>
    <t>3.12</t>
  </si>
  <si>
    <t>Canales lamina LD: 70Cm</t>
  </si>
  <si>
    <t>3.13</t>
  </si>
  <si>
    <t>Bajante PVC 4"</t>
  </si>
  <si>
    <t>PISOS Y ENCHAPES</t>
  </si>
  <si>
    <t>PISO TABLETA GRANITO 30X30 TIPO PESADO</t>
  </si>
  <si>
    <t>PISO ANTIDESLIZANTE SINTETICO</t>
  </si>
  <si>
    <t>PISO EN CERAMICA ANTIDESLIZANTE 40X40</t>
  </si>
  <si>
    <t>PISO PORCELANATO 60X60</t>
  </si>
  <si>
    <t>PISO EN TATAMI ANTI IMPACTO</t>
  </si>
  <si>
    <t>TAPETE SINTETICO IMITACION CESPED</t>
  </si>
  <si>
    <t>TAPETE SINTETICO COLOR CAFÉ (DECK MADERA)</t>
  </si>
  <si>
    <t>PISO EN CERAMICA 40X40 EXTERIORES</t>
  </si>
  <si>
    <t>PISO EN VIDRIO</t>
  </si>
  <si>
    <t>PISO EN VINILO</t>
  </si>
  <si>
    <t>PISO EN CAUCHO MODULAR ANTI-IMPACTO</t>
  </si>
  <si>
    <t>GUARDA ESCOBAS</t>
  </si>
  <si>
    <t>ENCHAPE DE PARED</t>
  </si>
  <si>
    <t>MAMPOSTERIA</t>
  </si>
  <si>
    <t>Muro en Superboard - Incluye: estructura, herrajes, masilla, cinta de papel y  acabado en pintura tipo I</t>
  </si>
  <si>
    <t>5.3</t>
  </si>
  <si>
    <t>Pañete muros 1:4 incluye filos y dilataciones</t>
  </si>
  <si>
    <t>ACABADOS</t>
  </si>
  <si>
    <t>Estuco y pintura tipo I</t>
  </si>
  <si>
    <t>Esgrafiado en Graniplast para muros exteriores</t>
  </si>
  <si>
    <t>Suministro e instalación de Drywall</t>
  </si>
  <si>
    <t>Puertas de acceso en aluminio con vidrio, pisavidrio a presión y cerradura de seguridad; marco en U-68 de 3"x1" - luceta fija en la parte superior</t>
  </si>
  <si>
    <t>Puerta Metálica con marco y luceta fija</t>
  </si>
  <si>
    <t>Puerta corta-fuego</t>
  </si>
  <si>
    <t>Puertas en Vidrio Templado de 10mm; incluye: herrajes en acero, marco y chapa de seguridad</t>
  </si>
  <si>
    <t>Puerta plegable en PVC imitación madera</t>
  </si>
  <si>
    <t>Ventanas en aluminio con Marco, luceta fija, aluminio y persiana A210</t>
  </si>
  <si>
    <t>Divisiones para baño en Acero inoxidable - Incluye accesorios</t>
  </si>
  <si>
    <t>Suminstro e instalación de Lavamanos tipo institucional</t>
  </si>
  <si>
    <t>Suministro e Instalación de Sanitarios tipo fluxometro - linea institucional</t>
  </si>
  <si>
    <t>Suminstro e instalación de Duchas para baños</t>
  </si>
  <si>
    <t>Suministro e Instalación de Poceta de lavado</t>
  </si>
  <si>
    <t>Suminstro e instalación de Jacuzzi</t>
  </si>
  <si>
    <t>Suministro e Instalación de Estufa tipo industrial</t>
  </si>
  <si>
    <t>Suminstro e instalación de Grua para discapacitados</t>
  </si>
  <si>
    <t>Suministro e Instalación de Accesorios y barra para discapacitados</t>
  </si>
  <si>
    <t>Suministro e instalación de cancha múltiple futbolsal (3 * 2 m) en tubo 3" tipo pesado y tubo an 2" cal 16 baloncesto,  tablero en fibra de vidrio 20mm de 1,8 * 1,05 m, incluye aro baloncesto, parales cancha de voleibol, malla: baloncesto, microfutbol y voleibol, demarcado, logos, anticorrosivo y pintura</t>
  </si>
  <si>
    <t>HIDRAULICO</t>
  </si>
  <si>
    <t>Red suministro PVC presion, RDE=21. Ø= 2". Incluye accesorios de conexión.</t>
  </si>
  <si>
    <t>Red suministro PVC presion, RDE=21. Ø= 11/2". Incluye accesorios de conexión.</t>
  </si>
  <si>
    <t>Red suministro PVC presion, RDE=21. Ø= 3/4". Incluye accesorios de conexión.</t>
  </si>
  <si>
    <t>Red suministro PVC presion, RDE=21. Ø= 1". Incluye accesorios de conexión.</t>
  </si>
  <si>
    <t>Registro de bola de Ø=1½", incluye accesorios de conexión y aditamentos.</t>
  </si>
  <si>
    <t>Registro de bola de Ø=2", incluye accesorios de conexión y aditamentos.</t>
  </si>
  <si>
    <t>Punto pvc-p de Ø=3/4", incluye accesorios, aditamentos y prueba hidrostatica.</t>
  </si>
  <si>
    <t>Punto pvc-p de Ø=11/2", incluye accesorios, aditamentos y prueba hidrostatica.</t>
  </si>
  <si>
    <t>Suministro e instalacion de flotador mecanico en cobre de D=2"</t>
  </si>
  <si>
    <t>SANITARIO</t>
  </si>
  <si>
    <t>Salida sanitaria pvc-s de Ø=2"</t>
  </si>
  <si>
    <t>Salida sanitaria pvc-s de Ø=3"</t>
  </si>
  <si>
    <t>Salida sanitaria pvc-s de Ø=4"</t>
  </si>
  <si>
    <t>Sumisnistro e instalacion de tuberia pvc-s de Ø=4" con accesoriois de conexión; para desagues y bajantes de aguas negras.</t>
  </si>
  <si>
    <t>Suministro e instalacion de tuberia pvc-s de Ø=3" con accesorios de conexión; para desagues y bajantes de aguas negras.</t>
  </si>
  <si>
    <t xml:space="preserve">Suministro e instalacion de tuberia pvc-s de Ø=2",con accesorios de conexión. para desagues. </t>
  </si>
  <si>
    <t>Suministro e instalacion de tuberia pvc-s de Ø=6",con accesorios de conexión. para desagues.</t>
  </si>
  <si>
    <t>Suministro e instalacion de tuberia pvc-s de Ø=8",con accesorios de conexión. para desagues.</t>
  </si>
  <si>
    <t xml:space="preserve">Suministro e instalacion de tuberia pvc-all de Ø=4",con accesorios de conexión. </t>
  </si>
  <si>
    <t>suministro e instalacion de tapones de limpieza de Ø4"</t>
  </si>
  <si>
    <t>Suministro e instalacion de Rejillas cromadas con sosco  atornillable, Ø=3".</t>
  </si>
  <si>
    <t>Suministro e instalacion de soporte para tuberia sanitaria.</t>
  </si>
  <si>
    <t>OTROS</t>
  </si>
  <si>
    <t>7.22</t>
  </si>
  <si>
    <t>Excavacion manual , incluye retiro de sobrantes.</t>
  </si>
  <si>
    <t>7.23</t>
  </si>
  <si>
    <t>Suministro e instalacion de recebo para relleno, compactado mecanicamente en capas de 20 cms a una densidad del 95%.</t>
  </si>
  <si>
    <t>7.24</t>
  </si>
  <si>
    <t>Suministro e instalacion de pasamuros en tuberia sch 40 . De L=80 cms. D=2"</t>
  </si>
  <si>
    <t>7.25</t>
  </si>
  <si>
    <t>Suministro e instalacion de pasamuros en tuberia sch 40 . De L=80 cms. D=3"</t>
  </si>
  <si>
    <t>7.26</t>
  </si>
  <si>
    <t>Caja de inspeccion en concreto  de f´c=2500 psi, de seccion 0.80*0.80, H: 1M incluye cañuela, tapa en concreto reforzado de 8 cms , con espesores de paredes de 0.10 mts.segun  diseño</t>
  </si>
  <si>
    <t>7.27</t>
  </si>
  <si>
    <t>Caja de inspeccion en concreto  de f´c=2500 psi, de seccion 1*1 H: 1M, incluye cañuela, tapa en concreto reforzado de 8 cms , con espesores de paredes de 0.10 mts.segun  diseño</t>
  </si>
  <si>
    <t>7.28</t>
  </si>
  <si>
    <t>Pozo de  inspeccion en concreto  de f´c=2500 psi, de Ø1.2m H:2.4, incluye cañuela, tapa en concreto reforzado de 10 cms , con espesores de paredes de 0.20 mts.segun  diseño.</t>
  </si>
  <si>
    <t>TANQUE AGUA POTABLE</t>
  </si>
  <si>
    <t>7.29</t>
  </si>
  <si>
    <t>Concreto f´c=4000 psi, para placa de fondo, muros de tanque y placa de cubierta de agua potable. no incluye refuerzo; según diseño</t>
  </si>
  <si>
    <t>7.30</t>
  </si>
  <si>
    <t>Acero Ø5/8 " de fy=60000 psi</t>
  </si>
  <si>
    <t>7.31</t>
  </si>
  <si>
    <t>Desfoge para tanque en tuberia HG 3"</t>
  </si>
  <si>
    <t>7.32</t>
  </si>
  <si>
    <t>Manholl  metalico de 1x1 m de  acceso a tanque de agua potable y cuarto de maquinas.</t>
  </si>
  <si>
    <t>IMPERMEABILIZACIÓN</t>
  </si>
  <si>
    <t>7.33</t>
  </si>
  <si>
    <t>Pañete impermeabilizado  con mortero 1:3 con sika 1, E=3 cms, para placa de contrapiso y muros.</t>
  </si>
  <si>
    <t>7.34</t>
  </si>
  <si>
    <t xml:space="preserve">Impermeabilizacion con sika 101 3 manos </t>
  </si>
  <si>
    <t>EQUIPO DE PRESION CONSTANTE</t>
  </si>
  <si>
    <t>7.35</t>
  </si>
  <si>
    <t>Suministro e instalacion de equipo de presion constante según especificaciones de diseño y memorias de calculo. Incluye accesorios de conexión.</t>
  </si>
  <si>
    <t>INSTALACIONES ELECTRICAS</t>
  </si>
  <si>
    <t>8.20</t>
  </si>
  <si>
    <t>Revisar presupuesto anexo - elaborado por el profesional responsable</t>
  </si>
  <si>
    <t>Un</t>
  </si>
  <si>
    <t>OBRAS COMPLEMENTARIAS - URBANISMO</t>
  </si>
  <si>
    <t>Placa de piso para zonas exteriores en concreto endurecido con color de 3000 PSI; e: 10 cm. Incluye: malla electrosoldada</t>
  </si>
  <si>
    <t xml:space="preserve">Suministro e instalación de Adoquin en concreto, tipo  PEATONAL, de 0,20 x 0,10 mts., e= 0,06 mts.,  COLOR OCRE. Incluye: mortero fluido e=0,04 mts, colchón de arena e=0,03 mts y sello juntas. </t>
  </si>
  <si>
    <t>9.3</t>
  </si>
  <si>
    <t xml:space="preserve">Suministro e instalación de Loseta prefabricada en concreto,  e = 0,06 mts de 0,40 x 0,40 mts. COLOR GRIS A RAYAS. Incluye: mortero fluido e=0,04 mts, colchón de arena e=0,03 mts y sello juntas. </t>
  </si>
  <si>
    <t>9.4</t>
  </si>
  <si>
    <t xml:space="preserve">Construccion de bordillo fundido en sitio h= 0,15 x 0,10 mts. en concreto de 3000 PSI. Incluye formaleta y acabado liso dilatado c/ 1,20 mt. </t>
  </si>
  <si>
    <t>9.5</t>
  </si>
  <si>
    <t>Suministro e Instalación de sardinel prefabricado</t>
  </si>
  <si>
    <t>9.6</t>
  </si>
  <si>
    <t xml:space="preserve">RIEGO DE IMPRIMACIÓN CON EMULSIÓN ASFALTICA CRL-1 - ESP. 420-07 INV. </t>
  </si>
  <si>
    <t>9.7</t>
  </si>
  <si>
    <t>MEZCLA DENSA EN CALIENTE TIPO MDC-2. ESP. 450-07 INV.</t>
  </si>
  <si>
    <t>9.8</t>
  </si>
  <si>
    <t xml:space="preserve">Empradizacion en grama dulce incluye suministro e instalación de base en tierra negra y dos meses de mantenimiento. </t>
  </si>
  <si>
    <t>APARATOS Y ACCESORIOS - DOTACIÓN</t>
  </si>
  <si>
    <t>Aparatos sanitarios, equipos entre otros</t>
  </si>
  <si>
    <t>Dotación de equipos especializados - deportivos</t>
  </si>
  <si>
    <t>Construcción de cajas de registro de 100 x 100 x altura hasta 120 cm. en concreto de 21Mpa. con impermeabiIizante integral tipo Sika o equivalente, con concrefibra el piso y tapa en concreto, la tapa con su respectivo herraje.</t>
  </si>
  <si>
    <t>Suministro e instalación de material granular seleccionado para capa filtrante del campo de juego. En  Piedra de canto rodado de poros abiertos, de curva granulometrica continua, donde un tamaño inferior 0,063mm  no debe superar el 5% y un tamaño no superior a 1", de tal manera que cumpla con índice de permeabilidad KF a LK 100 debe ser superior a 3 mm/min. (180 mm/h) e inferior a 30 mm/min. (1800 mrn/h).</t>
  </si>
  <si>
    <t xml:space="preserve">Instalación de GEOTEXTIL NT 1600. para filtro o equivalente. Incluye suministro y transporte de los materiales, traslapos y todos los elementos necesarios para su correcta instalación y funcionamiento. </t>
  </si>
  <si>
    <t>9.9</t>
  </si>
  <si>
    <t>Suministro e instalacion de aspersor de Valvulas solenoides 2" - Incluye caja de inspección</t>
  </si>
  <si>
    <t>9.10</t>
  </si>
  <si>
    <t>Tuberia PVC de 2" RDE 21</t>
  </si>
  <si>
    <t>9.11</t>
  </si>
  <si>
    <t>Tuberia PVC de 4" RDE 21</t>
  </si>
  <si>
    <t>9.12</t>
  </si>
  <si>
    <t>9.13</t>
  </si>
  <si>
    <t>Tanque Prefabricado en fibra de vidrio de capacidad de almacenamiento de 60 m3, en fibra de vidrio, incluye todos los accesorios para su correcta instalación</t>
  </si>
  <si>
    <t>SISTEMA DE DRENAJES - VARIOS</t>
  </si>
  <si>
    <t>9.14</t>
  </si>
  <si>
    <t>Construcción de cuneta tipo cajón perimetral en concreto. Área: 0,0048 M2 - P: 0,60m - B: 0,40m</t>
  </si>
  <si>
    <t>9.15</t>
  </si>
  <si>
    <t>Tubería de Drenaje en PVC perforada de 6" (INCLUYE: Tuberia, zanjado, arena y mano de obra)</t>
  </si>
  <si>
    <t>9.16</t>
  </si>
  <si>
    <t>Tubería de Drenaje en PVC perforada de 4" (INCLUYE: Tuberia, zanjado, arena y mano de obra)</t>
  </si>
  <si>
    <t>9.17</t>
  </si>
  <si>
    <t>9.18</t>
  </si>
  <si>
    <t>Suministro e Instalación de sumideros con trampa de sedimentos prefabricados de 40x40 con reja de anden propeler</t>
  </si>
  <si>
    <t>9.19</t>
  </si>
  <si>
    <t>Placa de piso en concreto de 3.000 PSI e: 0,10mts, incluye malla electrosoldada para área de circulación</t>
  </si>
  <si>
    <t>9.20</t>
  </si>
  <si>
    <t xml:space="preserve">Colocación de grama Sintetica para área Circulacion Cancha </t>
  </si>
  <si>
    <t>9.21</t>
  </si>
  <si>
    <t>Suministro e Instalacion de arcos profesionales de futbol (Incluye: mallas y banderines)</t>
  </si>
  <si>
    <t>9.22</t>
  </si>
  <si>
    <t>Suministro e Instalacion de bancas de suplencia para los equipos de futbol (Incluye: sillas, fosos, cubierta y demás)</t>
  </si>
  <si>
    <t>RED CONTRAINCENDIOS</t>
  </si>
  <si>
    <t>Red contraincendios - Incl. Suministro e instalación; ver presupuesto anexo elaborado por los profesionales responsables</t>
  </si>
  <si>
    <t xml:space="preserve">SUBTOTAL PRESUPUESTO OBRA </t>
  </si>
  <si>
    <t>A.I.U</t>
  </si>
  <si>
    <t>TOTAL PRESUPUESTO OBRA</t>
  </si>
  <si>
    <t>INTERVENTORÍA TÉCNICA  (7%)</t>
  </si>
  <si>
    <t>DOTACIÓN DEPORTIVA - EQUIPOS - MUEBLES (ver anexo)</t>
  </si>
  <si>
    <t>TOTAL PRESUPUESTO PROYECTO</t>
  </si>
  <si>
    <t>ING. JOHAN JAVIER OÑATE NÚÑEZ</t>
  </si>
  <si>
    <t>INGECAG LTDA</t>
  </si>
  <si>
    <t>M.P. 70202 - 222387 TLM</t>
  </si>
  <si>
    <t xml:space="preserve">MEMORIA DE CALCULO DE CANTIDADES DE OBRA                   </t>
  </si>
  <si>
    <t>CONSULTOR. INGECAG LTDA.</t>
  </si>
  <si>
    <t>INTERVENTORIA: ING. FEDERICO GARCÍA ARBELAEZ</t>
  </si>
  <si>
    <t>CONTRATO DE CONSULTORIA No: 071 DE 2017</t>
  </si>
  <si>
    <t>Objeto: CONSTRUCCIÓN DEL CENTRO DE RENDIMIENTO DEPORTIVO SURCOLOMBIANO - DEPARTAMENTO DEL HUILA.</t>
  </si>
  <si>
    <t>Localización y replanteo</t>
  </si>
  <si>
    <t>AREA TOTAL DEL PROYECTO</t>
  </si>
  <si>
    <t>Demolición Mecánica de estructuras en concreto ( Vigas de cimentación, aéreas, columnas entre otros)</t>
  </si>
  <si>
    <t>Cerramiento</t>
  </si>
  <si>
    <t>Alfagía</t>
  </si>
  <si>
    <t>Viga de Cimentación</t>
  </si>
  <si>
    <t>Columnetas</t>
  </si>
  <si>
    <t>Bolque Escenarios</t>
  </si>
  <si>
    <t>Vigas cimentación - aéreas</t>
  </si>
  <si>
    <t>Columnas</t>
  </si>
  <si>
    <t>Zapatas</t>
  </si>
  <si>
    <t>Bloque Dormitorios</t>
  </si>
  <si>
    <t>Banca baños</t>
  </si>
  <si>
    <t>Mesón baños</t>
  </si>
  <si>
    <t xml:space="preserve">Demolición de mamposteria en ladrillo </t>
  </si>
  <si>
    <t>Antepecho</t>
  </si>
  <si>
    <t>Muros Fachadas</t>
  </si>
  <si>
    <t>Muros Divisorios</t>
  </si>
  <si>
    <t>Muros divisorios - fachadas</t>
  </si>
  <si>
    <t>ITEM 1,4:</t>
  </si>
  <si>
    <t xml:space="preserve">Demolición de placa de piso </t>
  </si>
  <si>
    <t>Área Total</t>
  </si>
  <si>
    <t>Área 1</t>
  </si>
  <si>
    <t>Área 2</t>
  </si>
  <si>
    <t>Área 3</t>
  </si>
  <si>
    <t>Área 4</t>
  </si>
  <si>
    <t>ITEM 1,5:</t>
  </si>
  <si>
    <t>Desmonte cubierta y estructura – Incl. Retiro de materiales</t>
  </si>
  <si>
    <t>ITEM 1,6:</t>
  </si>
  <si>
    <t>Desmonte de Puerta de lámina</t>
  </si>
  <si>
    <t>ITEM 1,7:</t>
  </si>
  <si>
    <t>Desmonte de Lavamanos y Sanitarios</t>
  </si>
  <si>
    <t>Lavamanos</t>
  </si>
  <si>
    <t>Sanitarios</t>
  </si>
  <si>
    <t>Duchas</t>
  </si>
  <si>
    <t>ITEM 1,8:</t>
  </si>
  <si>
    <t>Excavación manual sin clasificar – Incluye: todo factor y disposición final del material en escombrera autorizada.</t>
  </si>
  <si>
    <t>Bolque 1 - Biomedica</t>
  </si>
  <si>
    <t>Zapatas 1 - Biomedica</t>
  </si>
  <si>
    <t>Zapatas 2 - Biomedica</t>
  </si>
  <si>
    <t>Zapatas 3 - Biomedica</t>
  </si>
  <si>
    <t>Zapatas 4 - Biomedica</t>
  </si>
  <si>
    <t>Zapatas 5 - Biomedica</t>
  </si>
  <si>
    <t>Zapatas 6 - Biomedica</t>
  </si>
  <si>
    <t>Zapatas 7 - Biomedica</t>
  </si>
  <si>
    <t>Zapatas 8 - Biomedica</t>
  </si>
  <si>
    <t>ITEM 1,9:</t>
  </si>
  <si>
    <t>Relleno en recebo seleccionado y compactado mecanicamente</t>
  </si>
  <si>
    <t>Área Total - Bloques (Nivel +0,65)</t>
  </si>
  <si>
    <t>Área Total - Zona de Parqueaderos (+0,0)</t>
  </si>
  <si>
    <t>Zapatas - Cimentación - Tuberías</t>
  </si>
  <si>
    <r>
      <rPr>
        <sz val="11"/>
        <color rgb="FF000000"/>
        <rFont val="Calibri"/>
        <family val="2"/>
      </rPr>
      <t>Solado en concreto de limpieza (e</t>
    </r>
    <r>
      <rPr>
        <sz val="8"/>
        <color rgb="FF000000"/>
        <rFont val="Calibri"/>
        <family val="2"/>
      </rPr>
      <t>prom</t>
    </r>
    <r>
      <rPr>
        <sz val="11"/>
        <color rgb="FF000000"/>
        <rFont val="Calibri"/>
        <family val="2"/>
      </rPr>
      <t xml:space="preserve">= 5 -10 cm) de 1.700 P.S.I. </t>
    </r>
  </si>
  <si>
    <t>Cerramiento - Cimentación</t>
  </si>
  <si>
    <t>Construcción zapatas en concreto 280 KG/CM2</t>
  </si>
  <si>
    <t>Bloque 1 - Biomedica</t>
  </si>
  <si>
    <t>Construcción viga de cimentación en concreto de 280 KG/CM2</t>
  </si>
  <si>
    <t xml:space="preserve">Viga de Cimentación - Bloque 1 </t>
  </si>
  <si>
    <t>Concreto 280 KG/CM2 para Columnas compuestas</t>
  </si>
  <si>
    <t>Columnas compuestas - B1</t>
  </si>
  <si>
    <t>Construcción de Pedestales en concreto de 280 KG/CM2</t>
  </si>
  <si>
    <t>Pedestales compuestas - B1</t>
  </si>
  <si>
    <t>ITEM 2,7:</t>
  </si>
  <si>
    <t>Construcción Vigas aereas en concreto de 280 KG/CM2</t>
  </si>
  <si>
    <t>Piso 1 - Bloque 1 y 3</t>
  </si>
  <si>
    <t>Piso 3 - Bloque 1 y 3</t>
  </si>
  <si>
    <t>Piso 1 - Bloque Central</t>
  </si>
  <si>
    <t>Piso 3 - Bloque Central</t>
  </si>
  <si>
    <t>Vigas piso 2- Bloque Acreditación</t>
  </si>
  <si>
    <t>Vigas cubierta - Bloque Acreditación</t>
  </si>
  <si>
    <t xml:space="preserve">Construcción de pilotes en concreto de 280 KG/CM2 </t>
  </si>
  <si>
    <t>Bloque 2 - Pilotes</t>
  </si>
  <si>
    <t>ITEM 2,8:</t>
  </si>
  <si>
    <t>Concreto de 280 KG/CM2 para Placa aerea compuesta - e: 7cm</t>
  </si>
  <si>
    <t>Placa 2° piso - B1</t>
  </si>
  <si>
    <t>Placa 3° piso - B1</t>
  </si>
  <si>
    <t>Placa 4° piso - B1</t>
  </si>
  <si>
    <t>ITEM 2,10:</t>
  </si>
  <si>
    <t>Construcción escaleras en concreto de 280 KG/CM2</t>
  </si>
  <si>
    <t>Area (m2)</t>
  </si>
  <si>
    <t>Escaleras - Bloque 1 y 3</t>
  </si>
  <si>
    <t>Escaleras - Bloque central</t>
  </si>
  <si>
    <t>Escaleras - Bloque Acreditación</t>
  </si>
  <si>
    <t>Concretos</t>
  </si>
  <si>
    <t>Acero</t>
  </si>
  <si>
    <t>ITEM 2,11:</t>
  </si>
  <si>
    <t>Construcción de Placa aligerada en concreto de 280 KG/CM2 - Incluye: Vigas - viguetas - riostras y placa</t>
  </si>
  <si>
    <t>Área de placa</t>
  </si>
  <si>
    <t>Acero ASTM 992 estructural. Incluye: suministro, fabricación, montaje, soldadura E70XX y acabado con imprimante epoxico, laca epoxica y entumecente contraincendio, según diseño.</t>
  </si>
  <si>
    <t>DIMENSIONES ELEMENTO</t>
  </si>
  <si>
    <t>Elemento</t>
  </si>
  <si>
    <t>Long.</t>
  </si>
  <si>
    <t>Cant.</t>
  </si>
  <si>
    <t>Tot. Long. (ml)</t>
  </si>
  <si>
    <t>Ø  varilla</t>
  </si>
  <si>
    <t>Peso (Kg/ml)</t>
  </si>
  <si>
    <t>Peso (Kg)</t>
  </si>
  <si>
    <t>Acero A572 Gr 50 estructural. Incluye: suministro, fabricación, montaje, soldadura E70XX y acabado con imprimante epoxico, laca epoxica y entumecente contraincendio, según diseño.</t>
  </si>
  <si>
    <t>Acero ASTM A 500 Gr C estructural. Incluye: suministro, fabricación, montaje, soldadura E70XX y acabado con imprimante epoxico, laca epoxica y entumecente contraincendio, según diseño.</t>
  </si>
  <si>
    <t>Pernos, tuercas y arandelas en Acero ASTM A193 - Gr. B7 estructural. Incluye: suministro, montaje y acabado con imprimante epoxico, laca epoxica y entumecente contraincendio, según diseño.</t>
  </si>
  <si>
    <t>Acero de refuerzo Fy=60.000 P.S.I.</t>
  </si>
  <si>
    <t>Placa Metaldeck (Calibre 20 - 2 in)</t>
  </si>
  <si>
    <t>ITEM 3,7:</t>
  </si>
  <si>
    <t>Malla electrosoldada φ 4.5 mm c/15</t>
  </si>
  <si>
    <t>Suministro, fabricacion, montaje y pintura de estructura metalica para la cubierta, cercha principal, correas y porticos en perfiles estructurales. Incluye pernos, riostras, contravientos, laminas, soldadura E70:18 y acabado con anticorrosivo + Esmalte para estructura a la vista, SEGÚN DISEÑO.</t>
  </si>
  <si>
    <t>MATERIAL</t>
  </si>
  <si>
    <t>LONG.</t>
  </si>
  <si>
    <t>PESO/ML</t>
  </si>
  <si>
    <t>CANTIDAD</t>
  </si>
  <si>
    <t>CERCHA PRINICIPAL</t>
  </si>
  <si>
    <t>CORDON SUPERIOR</t>
  </si>
  <si>
    <t xml:space="preserve">2 1/2" e=4.0mm </t>
  </si>
  <si>
    <t>CELOSÍA</t>
  </si>
  <si>
    <t xml:space="preserve">1 1/4" e=2.5mm </t>
  </si>
  <si>
    <t xml:space="preserve">2" e=3.0mm </t>
  </si>
  <si>
    <t>CORDON INFERIOR</t>
  </si>
  <si>
    <t xml:space="preserve">3" e=4.0mm </t>
  </si>
  <si>
    <t xml:space="preserve">2 1/2" e=2.5mm </t>
  </si>
  <si>
    <t>PASADORES</t>
  </si>
  <si>
    <t xml:space="preserve">1 1/2" e=3.0mm </t>
  </si>
  <si>
    <t>COLUMNAS</t>
  </si>
  <si>
    <t>CORDON INTERIOR</t>
  </si>
  <si>
    <t>CORDON EXTERIOR</t>
  </si>
  <si>
    <t xml:space="preserve">VIGA CERCHA </t>
  </si>
  <si>
    <t xml:space="preserve">1 1/2" e=2.0mm </t>
  </si>
  <si>
    <t>CERCHA RIOSTRA 1</t>
  </si>
  <si>
    <t>CERCHA RIOSTRA 2</t>
  </si>
  <si>
    <t xml:space="preserve">CORREAS </t>
  </si>
  <si>
    <t>120 x 60 x 15 (1.2mm)</t>
  </si>
  <si>
    <t>TEMPLETES</t>
  </si>
  <si>
    <t>VARILLA DE 1/2"</t>
  </si>
  <si>
    <t>ITEM 3,8:</t>
  </si>
  <si>
    <t>Cubierta en Teja tipo Sandwich</t>
  </si>
  <si>
    <t>Bloque 2 - Escenarios</t>
  </si>
  <si>
    <t>Bloque 3 - Escenarios</t>
  </si>
  <si>
    <t>ITEM 3,9:</t>
  </si>
  <si>
    <t>Portones de entrada en estructura metálica. Incluye estructura en perfiles estructurales, pernos, laminas, soldadura E70:18 y acabado con anticorrosivo + Esmalte para estructura a la vista, SEGÚN DISEÑO.</t>
  </si>
  <si>
    <t>Portones de Entrada</t>
  </si>
  <si>
    <t>Portones - Bloque Acreditación</t>
  </si>
  <si>
    <t>Baranda Metálica - pasamanos en graderia en tubo de 3" cal 5,5mm, platina de anclaje y pintura anticorrosiva</t>
  </si>
  <si>
    <t>Baranda costado lateral - graderias</t>
  </si>
  <si>
    <t>Baranda costado posterior - graderias</t>
  </si>
  <si>
    <t>Cubierta (a dos aguas) - área total</t>
  </si>
  <si>
    <t>ITEM 3,10:</t>
  </si>
  <si>
    <t>Cerramiento perimetral en estructura metálica. Incluye estructura en perfiles estructurales, laminas, soldadura E70:18 y acabado con anticorrosivo + Esmalte para estructura a la vista, SEGÚN DISEÑO.</t>
  </si>
  <si>
    <t>Cerramiento perimetral en tubo y lamina, según diseño</t>
  </si>
  <si>
    <t>ITEM 3,11:</t>
  </si>
  <si>
    <t>ITEM 3,12:</t>
  </si>
  <si>
    <t>Canales - B1</t>
  </si>
  <si>
    <t>ITEM 3,13:</t>
  </si>
  <si>
    <t>Bajantes - B1</t>
  </si>
  <si>
    <t>Placa de piso en concreto de 3.000 PSI e: 0,10mts, incluye malla electrosoldada, con acabado superficial liso para aplicación de resina y/o enchape.</t>
  </si>
  <si>
    <t>Pisos Bloque 1</t>
  </si>
  <si>
    <t>Piso 1</t>
  </si>
  <si>
    <t>Piso 2</t>
  </si>
  <si>
    <t>Piso 3</t>
  </si>
  <si>
    <t>Piso - Cubierta</t>
  </si>
  <si>
    <t>Alistado en concreto para piso e: 7cm</t>
  </si>
  <si>
    <t>Alistado de piso - Tarima parte baja</t>
  </si>
  <si>
    <t>Alistado de Piso - camerinos</t>
  </si>
  <si>
    <t>Placa en concreto estampado para rampas</t>
  </si>
  <si>
    <t>Rampas piso 1</t>
  </si>
  <si>
    <t>Placa de piso para polideportivo en concreto de 3000 PSI con pigmentación con colorcreto, cemix o similar; e: 10 cm. Incluye: malla electrosoldada</t>
  </si>
  <si>
    <t>Placa polideportivo - Cancha de juego</t>
  </si>
  <si>
    <t>Placa de piso para zonas comunes en concreto de 3000 PSI; e: 10 cm. Incluye: malla electrosoldada</t>
  </si>
  <si>
    <t>Costados laterales - zonas comunes</t>
  </si>
  <si>
    <t>Zonas de restar:</t>
  </si>
  <si>
    <t>Area Camerinos</t>
  </si>
  <si>
    <t>Area Tarima</t>
  </si>
  <si>
    <t>Placa polideportivo - zona de juego</t>
  </si>
  <si>
    <t>Area rampa acceso tarima</t>
  </si>
  <si>
    <t>Acabado de piso en material Epoxico - Tipo endurecido</t>
  </si>
  <si>
    <t>Pisos Bloques</t>
  </si>
  <si>
    <t>Guardaescoba en ceramica tipo pesado</t>
  </si>
  <si>
    <t>Guarda escoba - Tarima parte baja</t>
  </si>
  <si>
    <t>Guarda escoba - Tarima parte alta</t>
  </si>
  <si>
    <t>Enchape de piso Euroceramica</t>
  </si>
  <si>
    <t>Enchape piso - Bloque 1</t>
  </si>
  <si>
    <t>Enchape piso - Bloque 2</t>
  </si>
  <si>
    <t>Enchape piso - Bateria Sanitaria Tipo 2</t>
  </si>
  <si>
    <t>Enchape Piso</t>
  </si>
  <si>
    <t>Enchape de pared 0.20 x 0.25 Euroceramica</t>
  </si>
  <si>
    <t>Enchape Pared - Bloques 2 y 3</t>
  </si>
  <si>
    <t>Enchape Pared - Bloque biomedica</t>
  </si>
  <si>
    <t>Muro ladrillo tolete común. e: 0.12mts</t>
  </si>
  <si>
    <t>Mamposteria - Fachada Principal</t>
  </si>
  <si>
    <t>Bateria Sanitaria Tipo 1</t>
  </si>
  <si>
    <t>Bateria Sanitaria Tipo 2</t>
  </si>
  <si>
    <t>Mamposteria VIP</t>
  </si>
  <si>
    <t>Bloque Acreditación</t>
  </si>
  <si>
    <t>ITEM 5,2:</t>
  </si>
  <si>
    <t>Muro en bloque de cemento estructural de 40x20x15. Incluye: grouting y refuerzo</t>
  </si>
  <si>
    <t>Camerinos A</t>
  </si>
  <si>
    <t>Nivel - Camerinos</t>
  </si>
  <si>
    <t>Mamposteria - Camerino A</t>
  </si>
  <si>
    <t>Mamposteria - Camerino B</t>
  </si>
  <si>
    <t xml:space="preserve">Voluntariado </t>
  </si>
  <si>
    <t>Oficina Logistica</t>
  </si>
  <si>
    <t>Oficina Delegados</t>
  </si>
  <si>
    <t>Oficina Antidoping</t>
  </si>
  <si>
    <t>Camerinos Arbitros</t>
  </si>
  <si>
    <t>Área de Circulación</t>
  </si>
  <si>
    <t xml:space="preserve">Nivel 0 - Entrada </t>
  </si>
  <si>
    <t>Taquilla</t>
  </si>
  <si>
    <t>Local - Tipo 1</t>
  </si>
  <si>
    <t>Local - Tipo 2</t>
  </si>
  <si>
    <t>Local - Tipo 3</t>
  </si>
  <si>
    <t>Comisaria</t>
  </si>
  <si>
    <t>Oficina Operador</t>
  </si>
  <si>
    <t>Acceso Camerinos</t>
  </si>
  <si>
    <t>Cuarto Técnico - Deposito - Basuras</t>
  </si>
  <si>
    <t>Vigilancia</t>
  </si>
  <si>
    <t>Puntos Ascensores</t>
  </si>
  <si>
    <t>Muros Fachada</t>
  </si>
  <si>
    <t>Mampostería - bloque de Acreditación</t>
  </si>
  <si>
    <t>ITEM 5,3:</t>
  </si>
  <si>
    <t>Pañete sobre muros 1:4 incluye filos y dilataciones</t>
  </si>
  <si>
    <t>Pañete muros - Fachada</t>
  </si>
  <si>
    <t>Pañete muros - Fachada VIP</t>
  </si>
  <si>
    <t>Pañete muros - Baterias Santarias</t>
  </si>
  <si>
    <t>Pañete muros - Bloque acreditación</t>
  </si>
  <si>
    <t>ITEM 6,1:</t>
  </si>
  <si>
    <t>Acabado estuco - Bateria</t>
  </si>
  <si>
    <t>Acabado estuco - VIP</t>
  </si>
  <si>
    <t>Acabado - Bloque acreditación</t>
  </si>
  <si>
    <t>ITEM 6,2:</t>
  </si>
  <si>
    <t>Acabado Graniplast -  Fachada Prinicipal</t>
  </si>
  <si>
    <t>ITEM 6,3:</t>
  </si>
  <si>
    <t>Drywall parte inferior - VIP</t>
  </si>
  <si>
    <t>Drywall parte inferior - Bloque Acreditación</t>
  </si>
  <si>
    <t>Puertas de acceso en aluminio REF 11.02 con pisavidrio a presión y cerradura de seguridad; marco en U-68 de 3"x1"</t>
  </si>
  <si>
    <t>Voluntariado</t>
  </si>
  <si>
    <t>Área polivalente</t>
  </si>
  <si>
    <t>Enfermería</t>
  </si>
  <si>
    <t>Taquilla 1</t>
  </si>
  <si>
    <t>Taquilla 2</t>
  </si>
  <si>
    <t>Ofcina de Hacienda</t>
  </si>
  <si>
    <t>Nivel - VIP</t>
  </si>
  <si>
    <t>Zona VIP - Circulaciones</t>
  </si>
  <si>
    <t>PMU</t>
  </si>
  <si>
    <t>Cabinas</t>
  </si>
  <si>
    <t>Bloque de Acreditación</t>
  </si>
  <si>
    <t>ITEM 6,4:</t>
  </si>
  <si>
    <t>Puertas y divisiones de baño en aluminio REF 11.01 con pisavidrio a presión y pasadores.</t>
  </si>
  <si>
    <t>Fachada en Vidrio Templado de 10mm con accesorios en acero, para fachada de VIP y cabinas</t>
  </si>
  <si>
    <t>Fachada VIP - Cabinas</t>
  </si>
  <si>
    <t>Mesón en granito pulido en marmol para vestiers, lavamanos y locales comerciales. Ancho promedio: 0,55 mts</t>
  </si>
  <si>
    <t>Baños Vountariado</t>
  </si>
  <si>
    <t>Camerino Arbitros</t>
  </si>
  <si>
    <t xml:space="preserve">Grama sintetica para zona de calentamiento </t>
  </si>
  <si>
    <t>ITEM 6,9:</t>
  </si>
  <si>
    <t>Cancha Polideportivo</t>
  </si>
  <si>
    <t>CAPITULO 7:</t>
  </si>
  <si>
    <t xml:space="preserve">INSTALACIONES HIDROSANITARIAS                  </t>
  </si>
  <si>
    <t>ITEM 7,1:</t>
  </si>
  <si>
    <t>Caja de inspección 0,60x0,60 m ladrillo</t>
  </si>
  <si>
    <t>Cajillas de Inspección de 60x60cm</t>
  </si>
  <si>
    <t>ITEM 7,2:</t>
  </si>
  <si>
    <t>Caja de inspección 1,2x1,2 m ladrillo</t>
  </si>
  <si>
    <t>Caja de Inspección 1,2x1,2 m</t>
  </si>
  <si>
    <t>ITEM 7,3:</t>
  </si>
  <si>
    <t>Salida punto sanitario 2"</t>
  </si>
  <si>
    <t>General</t>
  </si>
  <si>
    <t>ITEM 7,4:</t>
  </si>
  <si>
    <t>Salida punto sanitario 4"</t>
  </si>
  <si>
    <t>ITEM 7,5:</t>
  </si>
  <si>
    <t>Rejilla piso baño, incluye sifón y accesorios</t>
  </si>
  <si>
    <t>ITEM 7,6:</t>
  </si>
  <si>
    <t>Yee pvc 4" x 6"</t>
  </si>
  <si>
    <t>ITEM 7,7:</t>
  </si>
  <si>
    <t>Yee pvc 2" x 6"</t>
  </si>
  <si>
    <t>ITEM 7,8:</t>
  </si>
  <si>
    <t xml:space="preserve">Codo sanitario PVC 6" </t>
  </si>
  <si>
    <t>ITEM 7,9:</t>
  </si>
  <si>
    <t xml:space="preserve">Codo sanitario PVC 4" </t>
  </si>
  <si>
    <t>ITEM 7,10:</t>
  </si>
  <si>
    <t xml:space="preserve">Codo sanitario PVC 2" </t>
  </si>
  <si>
    <t>ITEM 7,11:</t>
  </si>
  <si>
    <t>Tuberia sanitaria - AGLL 6"</t>
  </si>
  <si>
    <t>ITEM 7,12:</t>
  </si>
  <si>
    <t>Tuberia sanitaria - AGLL 4"</t>
  </si>
  <si>
    <t>ITEM 7,13:</t>
  </si>
  <si>
    <t>Tuberia sanitaria 2"</t>
  </si>
  <si>
    <t>ITEM 7,14:</t>
  </si>
  <si>
    <t>Suministro e Instalacion de Aparato sanitario tipo institucional incluye accesorios</t>
  </si>
  <si>
    <t>ITEM 7,15:</t>
  </si>
  <si>
    <t>Suministro e Instalacion de Aparato sanitario tipo fluxómetro incluye accesorios</t>
  </si>
  <si>
    <t>ITEM 7,16:</t>
  </si>
  <si>
    <t>Suministro e instalación de Orinal Tipo Fluxómetro antibandalico, Incl.: accesorios</t>
  </si>
  <si>
    <t>ITEM 7,17:</t>
  </si>
  <si>
    <t>Suministro e instalacion de carcamo en concreto estructural de 0.30m (medida interna), incluye herraje superior en barras de 5/8" liso.</t>
  </si>
  <si>
    <t>Camerinos</t>
  </si>
  <si>
    <t>ITEM 7,18:</t>
  </si>
  <si>
    <t>Salida punto hidráulico de 1/2". Incluye llave terminal y accesorios necesarios para un buen funcionamiento.</t>
  </si>
  <si>
    <t>ITEM 7,19:</t>
  </si>
  <si>
    <t>Tuberia presión 1"</t>
  </si>
  <si>
    <t>ITEM 7,20:</t>
  </si>
  <si>
    <t>Tuberia presión 3/4"</t>
  </si>
  <si>
    <t>ITEM 7,21:</t>
  </si>
  <si>
    <t>Tuberia presión 1/2"</t>
  </si>
  <si>
    <t>ITEM 7,22:</t>
  </si>
  <si>
    <t>Valvula de paso de 1", Incluye caja en PVC empotrada para seguridad</t>
  </si>
  <si>
    <t>ITEM 7,23:</t>
  </si>
  <si>
    <t>Suministro e instalación de lavamanos de pedestal</t>
  </si>
  <si>
    <t>ITEM 7,24:</t>
  </si>
  <si>
    <t>Suministro e instalación de lavamanos de incrustar para mesones</t>
  </si>
  <si>
    <t>ITEM 7,25:</t>
  </si>
  <si>
    <t>ACOMETIDA HIDRÁULICA 1/2". incluye todos los  accesorios para un buen funcionamiento.</t>
  </si>
  <si>
    <t>ITEM 7,26:</t>
  </si>
  <si>
    <t>Suministro e instalación de medidor de agua 1/2" Incluye: accesorios, biscocho, tapa HF, llave de corte y todo lo necesario para su buen funcionamiento</t>
  </si>
  <si>
    <t>ITEM 7,27:</t>
  </si>
  <si>
    <t>Juego de incrustaciones en barras para batería de baño de discapacitados</t>
  </si>
  <si>
    <t>CAPITULO 8:</t>
  </si>
  <si>
    <t>ITEM 8,1:</t>
  </si>
  <si>
    <t>ITEM 8,2:</t>
  </si>
  <si>
    <t>ITEM 8,3:</t>
  </si>
  <si>
    <t>ITEM 8,4:</t>
  </si>
  <si>
    <t>ITEM 8,5:</t>
  </si>
  <si>
    <t>ITEM 8,6:</t>
  </si>
  <si>
    <t>ITEM 8,7:</t>
  </si>
  <si>
    <t xml:space="preserve">ACOMETIDAS DESDE  TABLERO DISTRIBUCION  T.D.  </t>
  </si>
  <si>
    <t>ITEM 8,8:</t>
  </si>
  <si>
    <t>ITEM 8,9:</t>
  </si>
  <si>
    <t>ITEM 8,10:</t>
  </si>
  <si>
    <t>INSTALACIONES ELECTRICAS                                  TABLERO</t>
  </si>
  <si>
    <t>ITEM 8,12:</t>
  </si>
  <si>
    <t>ITEM 8,13:</t>
  </si>
  <si>
    <t>ITEM 8,14:</t>
  </si>
  <si>
    <t>ITEM 8,15:</t>
  </si>
  <si>
    <t>ITEM 8,16:</t>
  </si>
  <si>
    <t>ITEM 8,17:</t>
  </si>
  <si>
    <t>ITEM 8,18:</t>
  </si>
  <si>
    <t>ITEM 8,19:</t>
  </si>
  <si>
    <t>ITEM 8,20:</t>
  </si>
  <si>
    <t>GL</t>
  </si>
  <si>
    <t>ITEM 8,21:</t>
  </si>
  <si>
    <t>ITEM 8,22:</t>
  </si>
  <si>
    <t>ITEM 8,23:</t>
  </si>
  <si>
    <t>TABLEROS</t>
  </si>
  <si>
    <t>ITEM 8,24:</t>
  </si>
  <si>
    <t>ITEM 8,25:</t>
  </si>
  <si>
    <t>SUMINISTRO E INSTALACION  ELEMENTOS</t>
  </si>
  <si>
    <t>ITEM 8,26:</t>
  </si>
  <si>
    <t>ITEM 8,27:</t>
  </si>
  <si>
    <t>ITEM 8,28:</t>
  </si>
  <si>
    <t>UN</t>
  </si>
  <si>
    <t>ITEM 8,29:</t>
  </si>
  <si>
    <t>ITEM 8,30:</t>
  </si>
  <si>
    <t>ITEM 8,31:</t>
  </si>
  <si>
    <t>CAPITULO 10:</t>
  </si>
  <si>
    <t>ITEM 10,1:</t>
  </si>
  <si>
    <t xml:space="preserve">Area completa </t>
  </si>
  <si>
    <t>ITEM 10,2:</t>
  </si>
  <si>
    <t>CAPITULO 9:</t>
  </si>
  <si>
    <t>ITEM 9,3:</t>
  </si>
  <si>
    <t>Area completa - Campo de Futbol</t>
  </si>
  <si>
    <t>ITEM 9,4:</t>
  </si>
  <si>
    <t>ITEM 9,5:</t>
  </si>
  <si>
    <t>Area - Campo de Juego</t>
  </si>
  <si>
    <t>ITEM 9,6:</t>
  </si>
  <si>
    <t>ITEM 9,7:</t>
  </si>
  <si>
    <t>ITEM 9,8:</t>
  </si>
  <si>
    <t>ITEM 9,9:</t>
  </si>
  <si>
    <t>ITEM 9,10:</t>
  </si>
  <si>
    <t>ITEM 9,11:</t>
  </si>
  <si>
    <t>ITEM 9,12:</t>
  </si>
  <si>
    <t>ITEM 9,13:</t>
  </si>
  <si>
    <t>ITEM 9,14:</t>
  </si>
  <si>
    <t>ITEM 9,15:</t>
  </si>
  <si>
    <t>ITEM 9,16:</t>
  </si>
  <si>
    <t>ITEM 9,17:</t>
  </si>
  <si>
    <t>ITEM 9,18:</t>
  </si>
  <si>
    <t>ITEM 9,19:</t>
  </si>
  <si>
    <t>Area Exteriores - campo de juego</t>
  </si>
  <si>
    <t>ITEM 9,20:</t>
  </si>
  <si>
    <t>ITEM 9,21:</t>
  </si>
  <si>
    <t>ITEM 9,22:</t>
  </si>
  <si>
    <t>PRESUPUESTO DE OBRA - BLOQUE 2</t>
  </si>
  <si>
    <t>PAVIMENTO DEPORTIVO TIPO MADERA</t>
  </si>
  <si>
    <t>Bolque 2 - Escenarios</t>
  </si>
  <si>
    <t>Pilotes B2</t>
  </si>
  <si>
    <t>Pilotes B3</t>
  </si>
  <si>
    <t>Pilotes B4</t>
  </si>
  <si>
    <r>
      <rPr>
        <sz val="11"/>
        <color rgb="FF000000"/>
        <rFont val="Calibri"/>
        <family val="2"/>
      </rPr>
      <t>Solado en concreto de limpieza (e</t>
    </r>
    <r>
      <rPr>
        <sz val="8"/>
        <color rgb="FF000000"/>
        <rFont val="Calibri"/>
        <family val="2"/>
      </rPr>
      <t>prom</t>
    </r>
    <r>
      <rPr>
        <sz val="11"/>
        <color rgb="FF000000"/>
        <rFont val="Calibri"/>
        <family val="2"/>
      </rPr>
      <t xml:space="preserve">= 5 -10 cm) de 1.700 P.S.I. </t>
    </r>
  </si>
  <si>
    <t>Pilotes - Bloque 2</t>
  </si>
  <si>
    <t>Bolque 3 - Escenarios</t>
  </si>
  <si>
    <t>Zapatas 1 - Bloque 3</t>
  </si>
  <si>
    <t>Zapatas 2 - Bloque 3</t>
  </si>
  <si>
    <t>Zapatas 3 - Bloque 3</t>
  </si>
  <si>
    <t>Zapatas 4 - Bloque 3</t>
  </si>
  <si>
    <t>Zapatas cerramiento</t>
  </si>
  <si>
    <t>Viga de Cimentación - Bloque central</t>
  </si>
  <si>
    <t>Columnas compuestas - B3</t>
  </si>
  <si>
    <t>Pedestales compuestas - B2</t>
  </si>
  <si>
    <t>Pedestales compuestas - B3</t>
  </si>
  <si>
    <t>Placa 2° piso - B3</t>
  </si>
  <si>
    <t>Placa 3° piso - B3</t>
  </si>
  <si>
    <t>Placa 4° piso - B3</t>
  </si>
  <si>
    <t>Canales - B2</t>
  </si>
  <si>
    <t>Canales - B3</t>
  </si>
  <si>
    <t>Bajantes - B2</t>
  </si>
  <si>
    <t>Bajantes - B3</t>
  </si>
  <si>
    <t>Rampas entrada Camerinos</t>
  </si>
  <si>
    <t>Rampa entrada Tarima</t>
  </si>
  <si>
    <t>Zapatas 5 - Bloque 3</t>
  </si>
  <si>
    <t>Zapatas 6 - Bloque 3</t>
  </si>
  <si>
    <t>Zapatas 7 - Bloque 3</t>
  </si>
  <si>
    <t>Zapatas 8 - Bloque 3</t>
  </si>
  <si>
    <t>Zapatas 9 - Bloque 3</t>
  </si>
  <si>
    <t>Zapatas 10 - Bloque 3</t>
  </si>
  <si>
    <r>
      <rPr>
        <sz val="11"/>
        <color rgb="FF000000"/>
        <rFont val="Calibri"/>
        <family val="2"/>
      </rPr>
      <t>Solado en concreto de limpieza (e</t>
    </r>
    <r>
      <rPr>
        <sz val="8"/>
        <color rgb="FF000000"/>
        <rFont val="Calibri"/>
        <family val="2"/>
      </rPr>
      <t>prom</t>
    </r>
    <r>
      <rPr>
        <sz val="11"/>
        <color rgb="FF000000"/>
        <rFont val="Calibri"/>
        <family val="2"/>
      </rPr>
      <t xml:space="preserve">= 5 -10 cm) de 1.700 P.S.I. </t>
    </r>
  </si>
  <si>
    <t>PRESUPUESTO DE OBRA - BLOQUE 3</t>
  </si>
  <si>
    <t>HORMIGÓN PULIDO TIPO ARQ</t>
  </si>
  <si>
    <t>Objeto: CONSTRUCCIÓN DEL CENTRO DE RENDIMIENTO DEPORTIVO LA FELICIDAD DEL DEPARTAMENTO DEL HUILA.</t>
  </si>
  <si>
    <t>Viga de Cimentación - Cerramiento</t>
  </si>
  <si>
    <t>Área Total - sobre excavación</t>
  </si>
  <si>
    <t>Excavaciones - tuberias hidrosanitarias</t>
  </si>
  <si>
    <t>Bolque - Escenarios</t>
  </si>
  <si>
    <r>
      <rPr>
        <sz val="11"/>
        <color rgb="FF000000"/>
        <rFont val="Calibri"/>
        <family val="2"/>
      </rPr>
      <t>Solado en concreto de limpieza (e</t>
    </r>
    <r>
      <rPr>
        <sz val="8"/>
        <color rgb="FF000000"/>
        <rFont val="Calibri"/>
        <family val="2"/>
      </rPr>
      <t>prom</t>
    </r>
    <r>
      <rPr>
        <sz val="11"/>
        <color rgb="FF000000"/>
        <rFont val="Calibri"/>
        <family val="2"/>
      </rPr>
      <t xml:space="preserve">= 5 -10 cm) de 1.700 P.S.I. </t>
    </r>
  </si>
  <si>
    <t>Viga VC1</t>
  </si>
  <si>
    <t>Viga VC2</t>
  </si>
  <si>
    <t>Viga VC3</t>
  </si>
  <si>
    <t>Viga VC4</t>
  </si>
  <si>
    <t>Viga VC5</t>
  </si>
  <si>
    <t>Viga VC6</t>
  </si>
  <si>
    <t>Viga VC7</t>
  </si>
  <si>
    <t>Viga VC8</t>
  </si>
  <si>
    <t>Viga VC9</t>
  </si>
  <si>
    <t>Viga VC10</t>
  </si>
  <si>
    <t>Viga VC11</t>
  </si>
  <si>
    <t>Viga VC12</t>
  </si>
  <si>
    <t>Viga VC13</t>
  </si>
  <si>
    <t>Viga VC14</t>
  </si>
  <si>
    <t>Viga VC15</t>
  </si>
  <si>
    <t>Viga VC16</t>
  </si>
  <si>
    <t>Viga VC17</t>
  </si>
  <si>
    <t>Bloque - Escenarios</t>
  </si>
  <si>
    <t>Columnas Compuesta 60 x 60 x 1.6</t>
  </si>
  <si>
    <t>Columnas Compuesta 65 x 65 x 1.9</t>
  </si>
  <si>
    <t>Columnas Compuesta 40 x 40 x 1.9</t>
  </si>
  <si>
    <t>Pisos (3)</t>
  </si>
  <si>
    <t>Rampas entrada 1</t>
  </si>
  <si>
    <t>Rampa entrada 2</t>
  </si>
  <si>
    <t xml:space="preserve">Pavimento deportivo tipo madera </t>
  </si>
  <si>
    <t>Escenario primer piso</t>
  </si>
  <si>
    <t>Escenarios segundo piso</t>
  </si>
  <si>
    <t>Escnario tecer piso</t>
  </si>
  <si>
    <t>Piso antideslizante sintetico.</t>
  </si>
  <si>
    <t>Pisos primer piso</t>
  </si>
  <si>
    <t>Piso en ceramica antideslizante 40x40</t>
  </si>
  <si>
    <t>Pisos segundo piso</t>
  </si>
  <si>
    <t>Pisos tercer piso</t>
  </si>
  <si>
    <t>Piso en ceramica 40x40 interiores</t>
  </si>
  <si>
    <t>Pisos interiores primer piso</t>
  </si>
  <si>
    <t>Pisos interiores segundo piso</t>
  </si>
  <si>
    <t>Pisos interiores tercer piso</t>
  </si>
  <si>
    <t>Tapete sintetico imitacion cesped</t>
  </si>
  <si>
    <t>Piso terraza tercer piso</t>
  </si>
  <si>
    <t>Piso en ceramica 40x40 exteriores</t>
  </si>
  <si>
    <t>Piso exteriores primer piso</t>
  </si>
  <si>
    <t>Piso exteriores segundo piso</t>
  </si>
  <si>
    <t>Piso exteriores tercer piso</t>
  </si>
  <si>
    <t>Hormigon pulido tipo arq.</t>
  </si>
  <si>
    <t>Piso primer piso</t>
  </si>
  <si>
    <t>Guarda escoba</t>
  </si>
  <si>
    <t>Guardaa escobas primer piso</t>
  </si>
  <si>
    <t>Guarda escobas segundo piso</t>
  </si>
  <si>
    <t>Guarda escobas tercer piso</t>
  </si>
  <si>
    <t>Enchape de pared</t>
  </si>
  <si>
    <t>Enchape de pared en baños primer piso</t>
  </si>
  <si>
    <t>Enchape de pared en baños segundo piso</t>
  </si>
  <si>
    <t>Enchape de pared en baños tercer piso</t>
  </si>
  <si>
    <t>Muro ladrillo tolete comun. e: 0,12 mts</t>
  </si>
  <si>
    <t>Mamposteria primer piso</t>
  </si>
  <si>
    <t>Mamposteria segundo piso</t>
  </si>
  <si>
    <t>Mamposteria tercer piso</t>
  </si>
  <si>
    <t>Muro en superboard - incluye: estructura, herrajes, masilla, cinta de papel y acabado en pintura tipo I</t>
  </si>
  <si>
    <t>Muros primer piso</t>
  </si>
  <si>
    <t>Muros segundo piso</t>
  </si>
  <si>
    <t>Muuros tercer piso</t>
  </si>
  <si>
    <t>Pañete muros 1:4 incluye filos y dilataciones.</t>
  </si>
  <si>
    <t>Pañete muros primer piso</t>
  </si>
  <si>
    <t>pañete muros segundo piso</t>
  </si>
  <si>
    <t>Pañete muros tercer piso</t>
  </si>
  <si>
    <t>Pintura primer piso</t>
  </si>
  <si>
    <t>Pintura segundo piso</t>
  </si>
  <si>
    <t>Pintura tercero piso</t>
  </si>
  <si>
    <t>Esgrafiado en graniplast para muros exteriores.</t>
  </si>
  <si>
    <t>Diseño en fachadas</t>
  </si>
  <si>
    <t>Drywall primer piso</t>
  </si>
  <si>
    <t>Drywall segundo piso</t>
  </si>
  <si>
    <t>Drywall tercer piso</t>
  </si>
  <si>
    <t>Puertas de acceso en aluminio con vidrio, pisavidrio a presion y cerradura de seguridad; marco en U-68 de 3"x1" - luceta fija en la parte superior.</t>
  </si>
  <si>
    <t>Puertas de acceso</t>
  </si>
  <si>
    <t>Puerta metalica con marco y luceta fija</t>
  </si>
  <si>
    <t>Puerta corta - fuego</t>
  </si>
  <si>
    <t>Puerta de seguridad</t>
  </si>
  <si>
    <t>Puerta en vidrio templado de 10mm; incluye herrajes en acero, marco y chapa de seguridad.</t>
  </si>
  <si>
    <t>ITEM 6,8:</t>
  </si>
  <si>
    <t>Ventana en aluminio con marco, luceta fija, aluminio y persiana A210</t>
  </si>
  <si>
    <t xml:space="preserve">Ventanas </t>
  </si>
  <si>
    <t>Division para baño en acero inoxidable - incluye accesorios.</t>
  </si>
  <si>
    <t>Divisiones de baños en general</t>
  </si>
  <si>
    <t>ITEM 6,10:</t>
  </si>
  <si>
    <t>Suministro e instalación de lavamanos tipo institucional.</t>
  </si>
  <si>
    <t>Lavamanos de baños y consultorios</t>
  </si>
  <si>
    <t>ITEM 6,11:</t>
  </si>
  <si>
    <t>Suministro e instalacion de sanitarios tipo fluxometro linea institucional.</t>
  </si>
  <si>
    <t>Sanitarios de baños y oficinas.</t>
  </si>
  <si>
    <t>ITEM 6,12:</t>
  </si>
  <si>
    <t>Suministro e instalacion de duchas para baños.</t>
  </si>
  <si>
    <t>Duchas para baños.</t>
  </si>
  <si>
    <t>ITEM 6,13:</t>
  </si>
  <si>
    <t>Suministro e instalacion de estufa tipo institucional.</t>
  </si>
  <si>
    <t>Estufa cafeteria.</t>
  </si>
  <si>
    <t>ITEM 6,14:</t>
  </si>
  <si>
    <t>Suministro e instalacion de accesorios y barra para discapacitados.</t>
  </si>
  <si>
    <t>Accesorios baños discapcitados.</t>
  </si>
  <si>
    <t>INTALACIONES HIDROSANITARIAS</t>
  </si>
  <si>
    <t>Red suministro PVC presion, RDE=21. 2". Incluye accesorios de conexión.</t>
  </si>
  <si>
    <t>Red suministro PVC presion, RDE=21. 1 1/2". Incluye accesorios de conexión.</t>
  </si>
  <si>
    <t>Red suministro PVC presion, RDE=21. 3/4". Incluye accesorios de conexión.</t>
  </si>
  <si>
    <t>Red suministro PVC presion, RDE=21. 1". Incluye accesorios de conexión.</t>
  </si>
  <si>
    <t>Registro de bola de 1 1/2", incluye accesorios de conexión y aditamentos.</t>
  </si>
  <si>
    <t>Registro de bola de 2", incluye accesorios de conexión y aditamentos.</t>
  </si>
  <si>
    <t>Punto PVC-P de 3/4", incluye accesorios, aditamentos y prueba hidrostatica.</t>
  </si>
  <si>
    <t>Punto PVC-P de 1 1/2", incluye accsorios, aditamentos y prueba hidrostatica.</t>
  </si>
  <si>
    <t>Salida sanitaria PVC-S de 2"</t>
  </si>
  <si>
    <t>Salida sanitaria PVC-S de 3"</t>
  </si>
  <si>
    <t>Salida sanitaria PVC-S de 4"</t>
  </si>
  <si>
    <t>Suministro e instalacion de tuberia PVC-S de 4" con accesorios de conexión; para desagues y bajantes de aguas negra.</t>
  </si>
  <si>
    <t>Suministro e instalacion de tuberia PVC-S de 3" con accesorios de conexión; para desagues y bajantes de aguas negra.</t>
  </si>
  <si>
    <t>Suministro e instalacion de tuberia PVC-S de 2", con accesorios de conexión; para desagues.</t>
  </si>
  <si>
    <t>Suministro e instalacion de tuberia PVC-S de 6", con accesorios de conexión; para desagues.</t>
  </si>
  <si>
    <t>Suministro e instalacion de tuberia PVC-S de 8", con accesorios de conexión; para desagues.</t>
  </si>
  <si>
    <t>Suministro e instalacion de tuberia PVC-ALL de 4", con accesorios de conexión.</t>
  </si>
  <si>
    <t>Suministro e instalacion de tapones de limpieza de 4"</t>
  </si>
  <si>
    <t>suministro e instalacion de rejillas cromadas con sosco atornillable, 3".</t>
  </si>
  <si>
    <t>Excavacion manual, incluye retiro de sobrantes.</t>
  </si>
  <si>
    <t>Suministro e instalación de recebo para relleno, compactado mecanicamente en capas de 20 cms a una densidad del 95 %</t>
  </si>
  <si>
    <t xml:space="preserve">Suministro e instalacion de pasamuros en tuberia SCH 40. de L=80 cms. D=2" </t>
  </si>
  <si>
    <t xml:space="preserve">Suministro e instalacion de pasamuros en tuberia SCH 40. de L=80 cms. D=3" </t>
  </si>
  <si>
    <t>Caja de inspeccion en concreto de f' c=2500 psi, de seccion 0.80 x 0.80, H: 1M incluye cañuela, tapa en concreto reforzado de 8 cms, con espesores de paredes de 0.10 mts. Según diseño.</t>
  </si>
  <si>
    <t>Caja de inspeccion.</t>
  </si>
  <si>
    <t>Caja de inspeccion en concreto de f' c=2500 psi, de seccion 1 x 1, H: 1M incluye cañuela, tapa en concreto reforzado de 8 cms, con espesores de paredes de 0.10 mts. Según diseño.</t>
  </si>
  <si>
    <t>ITEM 7,28:</t>
  </si>
  <si>
    <t>Pozo de inspeccion en concreto de f' c=2500 psi, de 1.2 m H:2,4, incluye cañuela, tapa en concreto reforzado de 10 cms, con espesores de paredes de 0.20 mts. Según diseño.</t>
  </si>
  <si>
    <t>Pozo de inspeccion.</t>
  </si>
  <si>
    <t>ITEM 7,29:</t>
  </si>
  <si>
    <t>Concreto f' c=4000 psi, para placa de fondo, muros de tanque y placa de cubierta de agua potable. No incluye refuerzo; según diseño</t>
  </si>
  <si>
    <t xml:space="preserve">Tanque </t>
  </si>
  <si>
    <t>ITEM 7,30:</t>
  </si>
  <si>
    <t xml:space="preserve">Acero 5/8" de fy=60000 psi </t>
  </si>
  <si>
    <t>Tanque</t>
  </si>
  <si>
    <t>ITEM 7,31:</t>
  </si>
  <si>
    <t>Desfogue para tanque en tuberia HG 3"</t>
  </si>
  <si>
    <t>ITEM 7,32:</t>
  </si>
  <si>
    <t>Monhall metalico de 1x1  de acceso a tanque de agua potable y cuarto de maquinas.</t>
  </si>
  <si>
    <t>ITEM 7,33:</t>
  </si>
  <si>
    <t>Pañete impermeabilizado con mortero 1:3 con sika 1, E=3 cms, para placa de contrapiso y muros.</t>
  </si>
  <si>
    <t>ITEM 7,34:</t>
  </si>
  <si>
    <t>Impermeabilizacion con sika 101 3 manos.</t>
  </si>
  <si>
    <t>ITEM 7,35:</t>
  </si>
  <si>
    <t>Suministro e instalacion de equipos de presion constante según especificaciones de diseño y memorias de calculo. Incluye accesorios de conexión.</t>
  </si>
  <si>
    <t>Linea de media tensión trifásica</t>
  </si>
  <si>
    <t>Montaje transformador trifásico de 112,5 KVA</t>
  </si>
  <si>
    <t>Estructura trifásica de retención 550</t>
  </si>
  <si>
    <t>Estructura trifásica de retención bandera 550B</t>
  </si>
  <si>
    <t>Estructura trifásica de suspensión bandera 523B</t>
  </si>
  <si>
    <t>Poste de concreto de 12 mts x 510 kg</t>
  </si>
  <si>
    <t>Poste de concreto de 12 mts x 750 kg</t>
  </si>
  <si>
    <t>Camara de inspección B.T tipo BT1 1.0 x 1.0 x 1.0 mt</t>
  </si>
  <si>
    <t>Acometida tablero general TG a tableros N° 6 AWG</t>
  </si>
  <si>
    <t>Acometida tablero general TG a tableros N° 2 AWG</t>
  </si>
  <si>
    <t>ITEM 8,11:</t>
  </si>
  <si>
    <t>Tablero trifásico de 36 circuitos con totalizador</t>
  </si>
  <si>
    <t>Tablero trifásico de 18 circuitos con totalizador</t>
  </si>
  <si>
    <t>Salida luminaria LED de 24 w</t>
  </si>
  <si>
    <t>Salida panel LED de 54 w 0.6 x 0.6 mts</t>
  </si>
  <si>
    <t>Salida lampara LED bala de 12 w</t>
  </si>
  <si>
    <t>Salida lampara LED 2 x 28 w</t>
  </si>
  <si>
    <t>Proyector LED 300 w</t>
  </si>
  <si>
    <t>Proyector LED 250 w</t>
  </si>
  <si>
    <t>Salida lampara LED aplique 20 w</t>
  </si>
  <si>
    <t xml:space="preserve">Tomacorriente doble con polo a tierra </t>
  </si>
  <si>
    <t>Salida tomacorriente antihumedad GFCI</t>
  </si>
  <si>
    <t>Tomacorriente especial de 220 v</t>
  </si>
  <si>
    <t>OBRAS COMPLEMENTARIAS - URBANAS</t>
  </si>
  <si>
    <t>ITEM 9,1:</t>
  </si>
  <si>
    <t>Placa de piso para zonas exteriores en concreto endurecido con color de 3000 psi; e=10 cm. Incluye: malla electrosoldada.</t>
  </si>
  <si>
    <t>Urbanismo</t>
  </si>
  <si>
    <t>ITEM 9,2:</t>
  </si>
  <si>
    <t>Suministro e instalacion de adoquin en concreto, tipo PEATONAL, de 0.20 x 0.10 mts. E=0.06 mts. COLOR OCRE. Incluye: mortero fluido e=0.04 mts, colchon de arena e=0.03 mts y sello juntas.</t>
  </si>
  <si>
    <t>Suministro e instalacion de loseta prefabricado en concreto, e=0.06 mts de 0.40 x 0.40 mts. COLOR GRIS A RAYAS. Incluye: mortero fluido e=0.04 mts, colchon de arena e=0.03 mts y sello juntas.</t>
  </si>
  <si>
    <t>Construccion de bordillo fundido en sitio h= 0.15 x 0.10 mts en concreto de 3000 psi. Incluye formaleta y acabado liso dilatado c/1.20 mts.</t>
  </si>
  <si>
    <t>Suministro e instalacion de sardinel prefabricado.</t>
  </si>
  <si>
    <t>Riego de imprimacion con emulsion asfaltica CRL-1-ESP.420-07 INV.</t>
  </si>
  <si>
    <t>Mezcla densa en caliente tipo MDC-2. ESP. 450-07 INV.</t>
  </si>
  <si>
    <t>Empradizacion en grama dulce incluye suministro e instalación de base en tierra negra y dos meses de mantenimiento.</t>
  </si>
  <si>
    <t>RED CONTRA INCENDIOS</t>
  </si>
  <si>
    <t>Red contraincendios - Incl. Suministro e instalación; ver presupuesto anexo elaborado por los profesionales responsables.</t>
  </si>
  <si>
    <t>Suministro e insalacion de elementos.</t>
  </si>
  <si>
    <t>CUADRO DE HIERROS CUBIERTA 24,80m x 39,40m</t>
  </si>
  <si>
    <t>CANCHA DE FUTBOL - VALLE DEL GUAMEZ  - PUTUMAYO</t>
  </si>
  <si>
    <t>LOCALIZACION</t>
  </si>
  <si>
    <t>ELEMENTO</t>
  </si>
  <si>
    <t>CANTIDAD DE ELEMENTOS</t>
  </si>
  <si>
    <t>DIAGRAMA</t>
  </si>
  <si>
    <t>CANTIDAD POR ELEMENTO</t>
  </si>
  <si>
    <t>DIAMETRO</t>
  </si>
  <si>
    <t>LONGITUD</t>
  </si>
  <si>
    <t>CANTIDAD TOTAL</t>
  </si>
  <si>
    <t>PESO 60.000PSI</t>
  </si>
  <si>
    <t>GANCHO IZQUIERDO</t>
  </si>
  <si>
    <t>TRAMO RECTO</t>
  </si>
  <si>
    <t>GANCHO DERECHO</t>
  </si>
  <si>
    <t>ZAPATAS</t>
  </si>
  <si>
    <t>Z-1</t>
  </si>
  <si>
    <t>C-1</t>
  </si>
  <si>
    <t>C-2</t>
  </si>
  <si>
    <t>VIGAS CIMENTACION</t>
  </si>
  <si>
    <t>VC-1</t>
  </si>
  <si>
    <t>VC-2</t>
  </si>
  <si>
    <t>VIGA CANAL</t>
  </si>
  <si>
    <t>VG-1</t>
  </si>
  <si>
    <t>ALETAS CANAL</t>
  </si>
  <si>
    <t>TOTAL=</t>
  </si>
  <si>
    <t xml:space="preserve">REPÚBLICA DE COLOMBIA </t>
  </si>
  <si>
    <t>DEPARTAMENTO DEL HUILA</t>
  </si>
  <si>
    <t>MUNICIPIO DE TIMANÁ</t>
  </si>
  <si>
    <t>SECRETARÍA DE PLANEACIÓN Y DESARROLLO SOCIAL</t>
  </si>
  <si>
    <t>OBJETO: OPTIMIZACIÓN DEL SISTEMA DE ACUEDUCTO CON LA CONSTRUCCIÓN DE UN TANQUE DE ALMACENAMIENTO DE AGUA POTABLE PARA EL CENTRO POBLADO DE NARANJAL DEL MUNICIPIO DE TIMANÁ DEPARTAMENTO DEL HUILA</t>
  </si>
  <si>
    <t>CONSTRUCCIÓN DE ESTRUCTURAS EN CONCRETO ARMADO</t>
  </si>
  <si>
    <t xml:space="preserve">IMPREVISTOS </t>
  </si>
  <si>
    <t>WILLER EMILIO GÓMEZ MOTTA</t>
  </si>
  <si>
    <t xml:space="preserve">CUADRO DE HIERROS </t>
  </si>
  <si>
    <t>LOSA CIMENTACIÓN TANQUE</t>
  </si>
  <si>
    <t>Sentido A-A'</t>
  </si>
  <si>
    <t>Sentido B-B'</t>
  </si>
  <si>
    <t xml:space="preserve">MUROS TANQUE </t>
  </si>
  <si>
    <t>Ambos sentidos</t>
  </si>
  <si>
    <t xml:space="preserve"> </t>
  </si>
  <si>
    <t>Acero auxiliar</t>
  </si>
  <si>
    <t>CAJILLAS</t>
  </si>
  <si>
    <t>Entrada</t>
  </si>
  <si>
    <t>Salida</t>
  </si>
  <si>
    <t>LOSA SUPERIOR TANQUE</t>
  </si>
  <si>
    <t>COLUMNA</t>
  </si>
  <si>
    <t>40x40</t>
  </si>
  <si>
    <t>Estr - 1</t>
  </si>
  <si>
    <t>Estr - 2</t>
  </si>
  <si>
    <t>VIGAS</t>
  </si>
  <si>
    <t>30x35</t>
  </si>
  <si>
    <t>DESCRIPCIÓN</t>
  </si>
  <si>
    <t>UNIDAD</t>
  </si>
  <si>
    <t>%</t>
  </si>
  <si>
    <t>1.1.3</t>
  </si>
  <si>
    <t>1.1.4</t>
  </si>
  <si>
    <t>1.1.5</t>
  </si>
  <si>
    <t>1.2.3</t>
  </si>
  <si>
    <t>JORGE FERNANDO RAMOS BONILLA</t>
  </si>
  <si>
    <t>1.1.2</t>
  </si>
  <si>
    <t>FECHA ELABORACIÓN:</t>
  </si>
  <si>
    <t>Diciembre de 2018</t>
  </si>
  <si>
    <t>SECTOR OBRA:</t>
  </si>
  <si>
    <t>Deporte y Recración</t>
  </si>
  <si>
    <t>OBJETO</t>
  </si>
  <si>
    <t>CONSTRUCCIÓN DEL CENTRO DE RENDIMIENTO DEPORTIVO LA FELICIDAD DEL DEPARTAMENTO DEL HUILA.</t>
  </si>
  <si>
    <t>PLAZO (meses):</t>
  </si>
  <si>
    <t>FRENTES DE OBRA:</t>
  </si>
  <si>
    <t>PERSONAL OPERATIVO Y ADMINSITRATIVO:</t>
  </si>
  <si>
    <t>CAMPAMENTO PROVISIONAL:</t>
  </si>
  <si>
    <t>Si</t>
  </si>
  <si>
    <t xml:space="preserve"> ÁREA DEL PROYECTO:</t>
  </si>
  <si>
    <t xml:space="preserve">6.903,92 M2 </t>
  </si>
  <si>
    <t>PRESUPUESTO IMPLEMENTACIÓN PGIO   -   EJE S&amp;SO</t>
  </si>
  <si>
    <t>ÍTEM</t>
  </si>
  <si>
    <t>DETALLE</t>
  </si>
  <si>
    <t>PLAZO</t>
  </si>
  <si>
    <t>CANT</t>
  </si>
  <si>
    <t>VR UNITARIO</t>
  </si>
  <si>
    <t>VR TOTAL</t>
  </si>
  <si>
    <t>KIT  
ELEMENTOS DE PROTECCIÓN</t>
  </si>
  <si>
    <t>EL KIT INLCUYE: ELEMENTOS DE PROTECCION PERSONAL BASICOS POR PERSONA - PERSONAL OPERATIVO DE LOS FRENTES DE OBRA (INCLUYE CASCO DE SEGURIDAD, GUANTE DE CARNAZA Ó GUANTES DE CAUCHO)</t>
  </si>
  <si>
    <t>UND/MES</t>
  </si>
  <si>
    <t>KIT DE EMERGENCIAS</t>
  </si>
  <si>
    <t xml:space="preserve">EL KIT INCLUYE: EXTINTOR DE 10 LBS (SEÑALIZACIÓN  EN ACRILICO  DE 22 CM X 15 CM DE  EXTINTOR), CAMILLA RÍGIDA, CONOS REFLECTIVOS Y BOTIQUIN CON ELEMENTOS NECESARIOS) </t>
  </si>
  <si>
    <t>KIT PARA TRABAJO EN ALTURAS</t>
  </si>
  <si>
    <t>EL KIT INCLUYE: ARNES, BARBUQUEJO PARA EL CASCO DE DOTACIÓN, ESLINGA, LINEA DE VIDA, PUNTO DE ANCLAJE FIJO</t>
  </si>
  <si>
    <t>KIT PARA TRABAJO CON SOLDADURA</t>
  </si>
  <si>
    <t>CARETA PARA SOLDAR FABRICADA EN MATERIAL TERMOPLASTICO PORTAVIDRIO LEVANTABLE - GUANTES -OVEROL ESPECIAL</t>
  </si>
  <si>
    <t>KIT SEÑALIZACIÓN S&amp;SO</t>
  </si>
  <si>
    <t>EL KIT INCLUYE: SEÑAL DE 15 X 15 CM - USO DE EPP, SUSTANCIAS PELIGROSAS, RUTA DE EVACUACION, PUNTO DE ENCUENTRO, BAÑOS.</t>
  </si>
  <si>
    <t>EXAMEN MEDICO OCUPACIONAL  DE INGRESO Y EGRESO</t>
  </si>
  <si>
    <t xml:space="preserve">EXAMENES DE INGRESO Y EGRESO QUE INCLUYE: AGUDEZA VISUAL, TALLA Y PESO, TENSION ARTERIAL, CEROLOGÌA PARA TODO EL PERSONAL EXCEPTO PERSONAL DE TRABAJO EN ALTURAS </t>
  </si>
  <si>
    <t>EXAMEN MEDICO OCUPACIONAL + EXAMEN PARA  INGRESO TRABAJOS EN ALTURAS</t>
  </si>
  <si>
    <t>EXAMENES DE INGRESO Y EGRESO QUE INCLUYE: AGUDEZA VISUAL, TALLA Y PESO, TENSION ARTERIAL, CEROLOGÌA.+ HEMOGRAMA,  COLESTEROL TOTAL Y TRIGLICERIDOS Y GLICEMIA EN AYUNAS.</t>
  </si>
  <si>
    <t>SUBTOTAL PGIO  S&amp;SO</t>
  </si>
  <si>
    <t>PRESUPUESTO IMPLEMENTACIÓN PGIO   -   EJE  AMBIENTAL</t>
  </si>
  <si>
    <t>ÍTM</t>
  </si>
  <si>
    <t xml:space="preserve">UND </t>
  </si>
  <si>
    <t>KIT SEÑALIZACIÓN AMBIENTAL</t>
  </si>
  <si>
    <t>EL KIT INLCLUYE: SEÑAL DE 15 X 15 CM - RECICLABLE, SEÑAL DE 15 X 15 CM - ORGANICO, SEÑAL DE 15 X 15 CM - SUSTANCIAS PELIGROSAS.</t>
  </si>
  <si>
    <t>KIT PARA DESPERDICIOS SOLIDOS</t>
  </si>
  <si>
    <t xml:space="preserve">KIT PARA DESPERDICIOS SOLIDOS. INCLUYE TRES (3) CANECAS PARA DE 65 LITROS,  COMPUESTA DE DOS PIEZAS  (TAPA Y CONTENEDOR)  RESISTENTE A LA INTEMPERIE, DE FACIL LIMPIEZA Y CARGUE, EN POLIETILENO DE ALTA DENSIDAD,   REDONDA - BOLSAS PARA BASURA COLOR NEGRA (24 MENSUALES), ROJO (4 MENSUALES) Y VERDE (4 MENSUALES) DE  MATERIAL PLASTICO DE ALTA DENSIDAD, CALIBRE DE 2", DE  65 x 85 CM - </t>
  </si>
  <si>
    <t xml:space="preserve">LAVADO
 DE 
HERRAMIENTAS </t>
  </si>
  <si>
    <t xml:space="preserve">CANECA  PARA LAVADO DE HERRAMIENTAS CON CAPACIDAD PARA 55 GALONES, REDONDA, CON TAPA, MATERIAL: POLIETILENO, IRROMPIBLE,  ALTA DENSIDAD RESISTENTE A CARGA ESTATICA  RESISTENTE A LA EXPOSICIÓN A LA INTEMPERIE COLOR:  DE ACUEDO CON LA DISPONIBILIDAD CON LA QUE SE CUENTE </t>
  </si>
  <si>
    <t>CUBRIMIENTO DE MATERIALES GRANULARES</t>
  </si>
  <si>
    <t>CUBRIMIENTO DE MATERIALES GRANULARES (BASES, SUBBASES, ARENA, CON PLÀSTICO CALIBRE 6 DE 3 M DE ANCHO x 10M DE LONGITUD PARA  30 M2 POR FRENTE DE OBRA</t>
  </si>
  <si>
    <t>CUBRIMIENTO DE ESCOMBROS</t>
  </si>
  <si>
    <t>CUBRIMIENTO DE ESCOMBROS TELA VERDE PARA CERRAMIENTO  DE 2,10 M DE ANCHO X 15 DE LONGITUD PARA 30 M2 POR FRENTE DE OBRA</t>
  </si>
  <si>
    <t>ALQUILER DE BAÑO PORTATIL</t>
  </si>
  <si>
    <t xml:space="preserve">SUMINISTRO DE BAÑO PORTATIL </t>
  </si>
  <si>
    <t xml:space="preserve">ALQUILER BAÑO DE LA ZONA </t>
  </si>
  <si>
    <t>ALQUILER BAÑO EXISTENTE EN LA ZONA</t>
  </si>
  <si>
    <t>KIT DE ASEO SOCIAL COMUNITARIO</t>
  </si>
  <si>
    <t xml:space="preserve">EL KIT DE ASEO CONSTA DE PICA, PALA CON MANGO, ESCOBA, BALDE PLASTICO 25 LT, CARRETILLA RUEDA INFLABLE </t>
  </si>
  <si>
    <t>KIT ASEO INFRAESTRUCTURA</t>
  </si>
  <si>
    <t>EL KIT CONSTA  DE , PALA CON MANGO, CARRETILLA  (TIPO BOGGY CON LLANTA NEUMATICA), CONO MINIMO DE H: 45 CM, BALDE PLÀSTICO DE 25 LT, CEPILLO DE CASQUILLO  DE 37  X 7</t>
  </si>
  <si>
    <t xml:space="preserve">BRIGADA DE ASEO </t>
  </si>
  <si>
    <t>SUMINISTRO DE BRIGADA DE ASEO NECESARIA PARA LA IMPLEMENTACIÓN Y MANTENIMIENTO DEL PGIO. Incluye el Factor Prestacional</t>
  </si>
  <si>
    <t>SUBTOTAL PGIO AMBIENTAL</t>
  </si>
  <si>
    <t xml:space="preserve">VALOR TOTAL IMPLEMENTACIÓN PGIO (S&amp;SO + AMBIENTAL) </t>
  </si>
  <si>
    <t>VALOR COSTO DIRECTO OBRA</t>
  </si>
  <si>
    <t>Vo.Bo. FEDERICO GARCÍA ARBELAZ - Interventor</t>
  </si>
  <si>
    <t>PRESUPUESTO INTERVENTORÍA</t>
  </si>
  <si>
    <t>CONCEPTO</t>
  </si>
  <si>
    <t>DEDICACION (%)</t>
  </si>
  <si>
    <t>VALOR UNITARIO</t>
  </si>
  <si>
    <t>MESES</t>
  </si>
  <si>
    <t>VALOR TOTAL</t>
  </si>
  <si>
    <t>I</t>
  </si>
  <si>
    <t>DIRECTOR DE INTERVENTORÍA</t>
  </si>
  <si>
    <t>DIRECTOR DE INTERVENTORÍA - ARQUITECTO O INGENIERO CON EXPERIENCIA GENERAL MINIMA DE (10) AÑOS Y (2) EN INTERVENTORIA EN ESCENARIOS DEPORTIVOS</t>
  </si>
  <si>
    <t>MES</t>
  </si>
  <si>
    <t>PROFESIONAL DE APOYO (RESIDENTE) - ARQUITECTO O INGENIERO CON EXPERIENCIA GENERAL MINIMA DE (5) AÑOS Y (1) AÑO EN INTERVENTORIA EN ESCENARIOS DEPORTIVOS</t>
  </si>
  <si>
    <t>ESPECIALISTA ESTRUCTURAL - ARQUITECTO O INGENIERO CON EXPERIENCIA GENERAL MINIMA DE (5) AÑOS Y (1) AÑO EN INTERVENTORIA EN ESCENARIOS DEPORTIVOS</t>
  </si>
  <si>
    <t>SUBTOTAL I</t>
  </si>
  <si>
    <t>II</t>
  </si>
  <si>
    <t>PERSONAL DE APOYO</t>
  </si>
  <si>
    <t>SECRETARIA</t>
  </si>
  <si>
    <t>TOPOGRAFO</t>
  </si>
  <si>
    <t>CADENEROS</t>
  </si>
  <si>
    <t>SUBTOTAL II</t>
  </si>
  <si>
    <t>FACTOR MULTIPLICADOR</t>
  </si>
  <si>
    <t>VALOR TOTAL PERSONAL</t>
  </si>
  <si>
    <t>III. OTROS INSUMOS</t>
  </si>
  <si>
    <t>ENSAYOS DE LABORATORIO</t>
  </si>
  <si>
    <t>EDICION DE INFORMES, ESTUDIOS FOTOGRAFICOS, DOCUMENTACION, FOTOCOPIAS,   PAPELERIA Y PLOTTEADA DE PLANOS.</t>
  </si>
  <si>
    <t>ALQUILER EQUIPOS DE COMPUTO Y  DE OFICINA</t>
  </si>
  <si>
    <t>ARRIENDO OFICINA</t>
  </si>
  <si>
    <t>EQUIPO TOPOGRAFICO</t>
  </si>
  <si>
    <t>SUBTOTAL III</t>
  </si>
  <si>
    <t>SUB-TOTAL COSTOS INTERVENTORIA</t>
  </si>
  <si>
    <t>IVA (19%)</t>
  </si>
  <si>
    <t>TOTAL COSTOS INTERVENTORIA</t>
  </si>
  <si>
    <t>___________________________________</t>
  </si>
  <si>
    <t>FACTOR MULTIPLICADOR CONTRATOS DE CONSULTORIA</t>
  </si>
  <si>
    <t>PORCENTAJE</t>
  </si>
  <si>
    <t>1.</t>
  </si>
  <si>
    <t>Salarios y Prestaciones Sociales de Personal Facturable</t>
  </si>
  <si>
    <t>1.1.</t>
  </si>
  <si>
    <t xml:space="preserve">Salarios </t>
  </si>
  <si>
    <t>1.2.</t>
  </si>
  <si>
    <t>Prima anual (legal)</t>
  </si>
  <si>
    <t xml:space="preserve"> ÷ 12 =</t>
  </si>
  <si>
    <t>1.3.</t>
  </si>
  <si>
    <t>Cesantía</t>
  </si>
  <si>
    <t>1.4.</t>
  </si>
  <si>
    <t>Intereses de cesantía</t>
  </si>
  <si>
    <t xml:space="preserve"> x 1.3. =</t>
  </si>
  <si>
    <t>1.5.</t>
  </si>
  <si>
    <t>Vacaciones</t>
  </si>
  <si>
    <t>1.6.</t>
  </si>
  <si>
    <t>Seguridad Social (salud + pensión)</t>
  </si>
  <si>
    <t>1.7.</t>
  </si>
  <si>
    <t>Caja de Compensación Familiar</t>
  </si>
  <si>
    <t>1.8.</t>
  </si>
  <si>
    <t>ARP</t>
  </si>
  <si>
    <t>1.9.</t>
  </si>
  <si>
    <t>Sena</t>
  </si>
  <si>
    <t>1.10.</t>
  </si>
  <si>
    <t>ICBF</t>
  </si>
  <si>
    <t>1.11.</t>
  </si>
  <si>
    <t>Otros (Auxilios varios, prestaciones extralegales, Incapacidades no cubertas)</t>
  </si>
  <si>
    <t>1.12.</t>
  </si>
  <si>
    <t>Dotación</t>
  </si>
  <si>
    <t>Sub-total</t>
  </si>
  <si>
    <t>2.</t>
  </si>
  <si>
    <t>Gastos Directos</t>
  </si>
  <si>
    <t>2.1.</t>
  </si>
  <si>
    <t>Arriendo oficina</t>
  </si>
  <si>
    <t>2.2.</t>
  </si>
  <si>
    <t>Administración edificio</t>
  </si>
  <si>
    <t>3.2.</t>
  </si>
  <si>
    <t>Servicios públicos</t>
  </si>
  <si>
    <t>3.</t>
  </si>
  <si>
    <t>Gastos Generales</t>
  </si>
  <si>
    <t>3.1.</t>
  </si>
  <si>
    <t>Preparación de Propuesta</t>
  </si>
  <si>
    <t xml:space="preserve">Asesoria Contable Tributaria  y Juridica </t>
  </si>
  <si>
    <t>3.3.</t>
  </si>
  <si>
    <t>Equipos y mantenimiento Oficina (Aseo)</t>
  </si>
  <si>
    <t>3.4.</t>
  </si>
  <si>
    <t>Gastos de vehículo</t>
  </si>
  <si>
    <t>3.9.</t>
  </si>
  <si>
    <t>Personal Profesional no facturado</t>
  </si>
  <si>
    <t>4.</t>
  </si>
  <si>
    <t>Costos Directos no Reembolsables</t>
  </si>
  <si>
    <t>Poliza de Calidad</t>
  </si>
  <si>
    <t>Póliza Cumplimiento</t>
  </si>
  <si>
    <t>Póliza Salarios y prestaciones Sociales</t>
  </si>
  <si>
    <t>5.</t>
  </si>
  <si>
    <t>Honorarios (Utilidad del consultor y costos no previstos)</t>
  </si>
  <si>
    <t>T  O  T  A  L</t>
  </si>
  <si>
    <t>DOTACION C.R.D.</t>
  </si>
  <si>
    <t>MOBILIARIO</t>
  </si>
  <si>
    <t>Mueble en L  3*1,7 e:0,60</t>
  </si>
  <si>
    <t>Silla Fija Novaiso Malla</t>
  </si>
  <si>
    <t>Escritorio Dimensiones (1,2*0,60cm)</t>
  </si>
  <si>
    <t>Repisa ancho:0,50</t>
  </si>
  <si>
    <t>Escritorio Dimensiones (1,5*0,60cm)</t>
  </si>
  <si>
    <t>CLOSET profundidad:0,50</t>
  </si>
  <si>
    <t>Espejo Ancho:1,5</t>
  </si>
  <si>
    <t>Gabinete de cocina de 2,80*0,60m</t>
  </si>
  <si>
    <t>Mueble de cocina de 2,80*0,60</t>
  </si>
  <si>
    <t>1.10</t>
  </si>
  <si>
    <t>Barra para comidas de 1,80*0,50m</t>
  </si>
  <si>
    <t>1.11</t>
  </si>
  <si>
    <t>Silla alta para barra</t>
  </si>
  <si>
    <t>1.12</t>
  </si>
  <si>
    <t>Mesa wengue con 4 sillas con brazos</t>
  </si>
  <si>
    <t>1.13</t>
  </si>
  <si>
    <t>Archivadores</t>
  </si>
  <si>
    <t>1.14</t>
  </si>
  <si>
    <t>Lockers metalicos</t>
  </si>
  <si>
    <t>1.15</t>
  </si>
  <si>
    <t>Banca de vestidores L=2,40m</t>
  </si>
  <si>
    <t>1.16</t>
  </si>
  <si>
    <t>Banca de vestidores L=1,30m</t>
  </si>
  <si>
    <t>ZONA DE ACONDICIONAMIENTO Y RECUPERACION</t>
  </si>
  <si>
    <t xml:space="preserve">Cama mecanica de 4 planos C y P en ABS con barandas en acero inoxidable </t>
  </si>
  <si>
    <t>Colchoneta antiescaras (1.9x90) Inflable</t>
  </si>
  <si>
    <t xml:space="preserve">Escalerilla de dos pasos </t>
  </si>
  <si>
    <t>Mesa auxiliar</t>
  </si>
  <si>
    <t>Tanque hidrocolector</t>
  </si>
  <si>
    <t>Tanque parafina</t>
  </si>
  <si>
    <t>Colchoneta Yoga, Pilates</t>
  </si>
  <si>
    <t>Power Plate</t>
  </si>
  <si>
    <t>Espalderas</t>
  </si>
  <si>
    <t>Thera Band</t>
  </si>
  <si>
    <t>Rack de balones</t>
  </si>
  <si>
    <t>ZONA GIMNASIO</t>
  </si>
  <si>
    <t>Bicicleta de Spinning</t>
  </si>
  <si>
    <t>Maquina de femorales</t>
  </si>
  <si>
    <t>Maquina Eliptica</t>
  </si>
  <si>
    <t>Cinta de correr</t>
  </si>
  <si>
    <t>Banco Press</t>
  </si>
  <si>
    <t>Maquina Peck Deck</t>
  </si>
  <si>
    <t>Maquina para dorsales</t>
  </si>
  <si>
    <t>Prensa de piernas</t>
  </si>
  <si>
    <t>Maquina de aductores</t>
  </si>
  <si>
    <t>Carga de discos</t>
  </si>
  <si>
    <t>Banca de musculacion</t>
  </si>
  <si>
    <t>Poleas cruzadas</t>
  </si>
  <si>
    <t>Bench press horizontal</t>
  </si>
  <si>
    <t>3.14</t>
  </si>
  <si>
    <t>Power racks</t>
  </si>
  <si>
    <t>3.15</t>
  </si>
  <si>
    <t>Maquina para cardio</t>
  </si>
  <si>
    <t>3.16</t>
  </si>
  <si>
    <t>Rack de discos olimpicos</t>
  </si>
  <si>
    <t>3.17</t>
  </si>
  <si>
    <t>Disco olimpico de 25 Kg</t>
  </si>
  <si>
    <t>3.18</t>
  </si>
  <si>
    <t>Disco olimpico de 15 Kg</t>
  </si>
  <si>
    <t>3.19</t>
  </si>
  <si>
    <t>Disco olimpico de 10 Kg</t>
  </si>
  <si>
    <t>3.20</t>
  </si>
  <si>
    <t>Disco olimpico de 5 Kg</t>
  </si>
  <si>
    <t>3.21</t>
  </si>
  <si>
    <t>Disco olimpico de 2,5 Kg</t>
  </si>
  <si>
    <t>3.22</t>
  </si>
  <si>
    <t>Rack de sentadillas movil</t>
  </si>
  <si>
    <t>3.23</t>
  </si>
  <si>
    <t>Rack para mancuernas</t>
  </si>
  <si>
    <t>3.24</t>
  </si>
  <si>
    <t>Set de mancuernas ajustables de 90 kg</t>
  </si>
  <si>
    <t>3.25</t>
  </si>
  <si>
    <t>Set de mancuernas ajustables de 52,5 kg</t>
  </si>
  <si>
    <t>3.26</t>
  </si>
  <si>
    <t>kit mancuernas de 50 Kg</t>
  </si>
  <si>
    <t>3.27</t>
  </si>
  <si>
    <t>kit mancuernas de 18 Kg</t>
  </si>
  <si>
    <t>3.28</t>
  </si>
  <si>
    <t>Barra recta olimpica de 20 kg</t>
  </si>
  <si>
    <t>3.29</t>
  </si>
  <si>
    <t>Soporte multiple para barra</t>
  </si>
  <si>
    <t>3.30</t>
  </si>
  <si>
    <t>Barra olimpica de 15 Kg para mujer</t>
  </si>
  <si>
    <t>3.31</t>
  </si>
  <si>
    <t>Banco de pecho plano</t>
  </si>
  <si>
    <t>3.32</t>
  </si>
  <si>
    <t>Banco de pecho inclinado</t>
  </si>
  <si>
    <t>3.33</t>
  </si>
  <si>
    <t>Banco de trabajo multiple plano</t>
  </si>
  <si>
    <t>3.34</t>
  </si>
  <si>
    <t>Remo profesional</t>
  </si>
  <si>
    <t>3.35</t>
  </si>
  <si>
    <t>Bolsa de poder 20 Kg</t>
  </si>
  <si>
    <t>3.36</t>
  </si>
  <si>
    <t>Bolsa de poder 10 kg</t>
  </si>
  <si>
    <t>3.37</t>
  </si>
  <si>
    <t>Balon medicinal con agarre de 7 Kg</t>
  </si>
  <si>
    <t>3.38</t>
  </si>
  <si>
    <t>Balon medicinal con agarre de 5 Kg</t>
  </si>
  <si>
    <t>3.39</t>
  </si>
  <si>
    <t>Balon medicinal con agarre de 3 Kg</t>
  </si>
  <si>
    <t>AREA GIMNASIA</t>
  </si>
  <si>
    <t>Barras asimetricas</t>
  </si>
  <si>
    <t>Barras fijas para gimnasia</t>
  </si>
  <si>
    <t>Caballo para gimnasia</t>
  </si>
  <si>
    <t>Anillos para gimnasia</t>
  </si>
  <si>
    <t>Barras paralelas para gimnasia</t>
  </si>
  <si>
    <t>Barras de equilibio para gimnasia</t>
  </si>
  <si>
    <t>DOTACION OTRAS DISCIPLINAS</t>
  </si>
  <si>
    <t>Tatami Taekwondo 11,20*11,20m</t>
  </si>
  <si>
    <t>Tatami lucha 12*11,30m</t>
  </si>
  <si>
    <t>Mesa de ajedrez (Incluye juego y 2 sillas)</t>
  </si>
  <si>
    <t>5.4</t>
  </si>
  <si>
    <t>Mesa para tenis (Incluye malla y raquetas)</t>
  </si>
  <si>
    <t>5.5</t>
  </si>
  <si>
    <t>Tatami de karate 12*12m</t>
  </si>
  <si>
    <t>5.6</t>
  </si>
  <si>
    <t>Tatami de judo 13*13m</t>
  </si>
  <si>
    <t>5.7</t>
  </si>
  <si>
    <t>Tatami de Esgrima de 4*1,5m</t>
  </si>
  <si>
    <t>5.8</t>
  </si>
  <si>
    <t>Bloqueador de sillas de Esgrima (Discapacitados)</t>
  </si>
  <si>
    <t>5.9</t>
  </si>
  <si>
    <t>Tatami 12,5*6m</t>
  </si>
  <si>
    <t>Computadores</t>
  </si>
  <si>
    <t>Control de acceso electronico</t>
  </si>
  <si>
    <t>Nevera 435 lts</t>
  </si>
  <si>
    <t>Balanza para residuos</t>
  </si>
  <si>
    <t>Canecas de Basura</t>
  </si>
  <si>
    <t>Estufa de dos hornillas</t>
  </si>
  <si>
    <t>ESTUDIO DE MERCADO - DOTACIÓN</t>
  </si>
  <si>
    <t>MUEBLES HERCAL</t>
  </si>
  <si>
    <t>MUEBLES Y DECORACIONES CLAUDIA</t>
  </si>
  <si>
    <t>MUEBLES UMAÑA</t>
  </si>
  <si>
    <t>PROMEDIO</t>
  </si>
  <si>
    <t>DOTACIONES INDUSTRIALES Y HOSPITALARIAS JC</t>
  </si>
  <si>
    <t>SERVI ELECTROMEDICA</t>
  </si>
  <si>
    <t>EQUIFARMAS S.A.S.</t>
  </si>
  <si>
    <t>PLANETA COLOMBIA</t>
  </si>
  <si>
    <t>ATHLETIC EVOLUTION</t>
  </si>
  <si>
    <t>FITNESS STORE</t>
  </si>
  <si>
    <t>ALMACEN EL DEPORTISTA</t>
  </si>
  <si>
    <t>TIENDA ALIBABA</t>
  </si>
  <si>
    <t>CASA ATLETICA</t>
  </si>
  <si>
    <t>ESTEREN ELECTRIC</t>
  </si>
  <si>
    <t>J.M.DIAZ STORE</t>
  </si>
  <si>
    <t>JHON FARID MENDEZ TIENDA</t>
  </si>
  <si>
    <t>PRESUPUESTO DE PLAN DE MANEJO DE TRÁFICO</t>
  </si>
  <si>
    <t xml:space="preserve">PLAN DE MANEJO DE TRAFICO
</t>
  </si>
  <si>
    <t>1,2,1</t>
  </si>
  <si>
    <t>Señalización vertical</t>
  </si>
  <si>
    <t>und</t>
  </si>
  <si>
    <t>1,2,2</t>
  </si>
  <si>
    <t>Cinta peligro x 70x100m</t>
  </si>
  <si>
    <t>1,2,3</t>
  </si>
  <si>
    <t>Señales pare y siga</t>
  </si>
  <si>
    <t>1,2,4</t>
  </si>
  <si>
    <t>Valla informativa de Obra</t>
  </si>
  <si>
    <t>1,2,,5</t>
  </si>
  <si>
    <t>Radios de comunicación largo alcance</t>
  </si>
  <si>
    <t xml:space="preserve">COSTO TOTAL </t>
  </si>
  <si>
    <t xml:space="preserve">Elaboró: JuanCarlos Ramirez Sapuy </t>
  </si>
  <si>
    <t>Insumo</t>
  </si>
  <si>
    <t>Cantidad de materiales por Actividad</t>
  </si>
  <si>
    <t xml:space="preserve">TOTAL </t>
  </si>
  <si>
    <t>VOLQUETA  (5-6)M3</t>
  </si>
  <si>
    <t xml:space="preserve">VALOR DE MANO DE OBRA                 </t>
  </si>
  <si>
    <t xml:space="preserve">Item </t>
  </si>
  <si>
    <t>Actividad</t>
  </si>
  <si>
    <t>Valor Unit - Mano de O.</t>
  </si>
  <si>
    <t>Codo para ventilación de 3" en tubo galvanizado</t>
  </si>
  <si>
    <t xml:space="preserve">UNIDAD: </t>
  </si>
  <si>
    <t xml:space="preserve">ITEM: </t>
  </si>
  <si>
    <t>I. EQUIPO</t>
  </si>
  <si>
    <t>Descripción</t>
  </si>
  <si>
    <t>Tarifa/DIA</t>
  </si>
  <si>
    <t>Rendimiento</t>
  </si>
  <si>
    <t>Valor-Unit.</t>
  </si>
  <si>
    <t>SUB-TOTAL</t>
  </si>
  <si>
    <t xml:space="preserve">II. MATERIALES </t>
  </si>
  <si>
    <t>Precio-Unit.</t>
  </si>
  <si>
    <t>III. TRANSPORTES</t>
  </si>
  <si>
    <t>IV. MANO DE OBRA</t>
  </si>
  <si>
    <t>Trabajador</t>
  </si>
  <si>
    <t>Jornal/H-H</t>
  </si>
  <si>
    <t>TOTAL UNITARIO</t>
  </si>
  <si>
    <t>HERRAMIENTA MENOR</t>
  </si>
  <si>
    <t>GLOB</t>
  </si>
  <si>
    <t xml:space="preserve">ACCESORIOS EN PVC 4". </t>
  </si>
  <si>
    <t>Rendimien.</t>
  </si>
  <si>
    <t>Transporte de materiales</t>
  </si>
  <si>
    <t>GLOBAL</t>
  </si>
  <si>
    <t>Oficial (Incl. Prestaciones)</t>
  </si>
  <si>
    <t>Hr</t>
  </si>
  <si>
    <t>Ayudante (Incl. Prestaciones)</t>
  </si>
  <si>
    <t>CONCRETO  DE 4000 PSI</t>
  </si>
  <si>
    <t>TRITURADO 3/4"</t>
  </si>
  <si>
    <t>TOTAL DE KG  A SUBIR</t>
  </si>
  <si>
    <t xml:space="preserve">DENSIDAD </t>
  </si>
  <si>
    <t>KG/M3</t>
  </si>
  <si>
    <t>TOTAL KG</t>
  </si>
  <si>
    <t>TRITURADO</t>
  </si>
  <si>
    <t>TRITURA  MEJORAMIENTO BASE</t>
  </si>
  <si>
    <t>VIAJE</t>
  </si>
  <si>
    <t>1 MULA EN EL DÍA HACE VIAJES</t>
  </si>
  <si>
    <t>VIAJE MULA</t>
  </si>
  <si>
    <t>RECUA DE MULAS</t>
  </si>
  <si>
    <t>MULAS</t>
  </si>
  <si>
    <t>PRECIO DIA RECUA DE 4 MULAS</t>
  </si>
  <si>
    <t>RECUA 4 MULAS/DIA</t>
  </si>
  <si>
    <t>DIA DE MANEJADOR RECUA MULAS INCLUYE CARGUE CAJONES</t>
  </si>
  <si>
    <t>DIA MULERO</t>
  </si>
  <si>
    <t>COSTO TOTAL DIA 4 MULAS  1 MULERO</t>
  </si>
  <si>
    <t>DIA RECUA COMPLETA</t>
  </si>
  <si>
    <t>KG TRASPORTADO MULA POR VIAJE</t>
  </si>
  <si>
    <t>KG TOTAL TRASPORTADO EN 1 DIA POR RECUA DE 4 MULAS Y MULERO</t>
  </si>
  <si>
    <t>PRECIO KG SUBIDO POR DIA POR 4 MULAS Y 1 MULERO</t>
  </si>
  <si>
    <t>$/KG</t>
  </si>
  <si>
    <t>VIAJE   DE MULA</t>
  </si>
  <si>
    <t>TOTAL A SUBIR</t>
  </si>
  <si>
    <t>Trasiego</t>
  </si>
  <si>
    <t xml:space="preserve">trasporte en mula </t>
  </si>
  <si>
    <t>ALCALDIA DE NEIVA</t>
  </si>
  <si>
    <t>ITEM: TRAZADO, LOCALIZACIÓN Y REPLANTEO. INCL. REVISIÓN Y AJUSTE DE DISEÑOS</t>
  </si>
  <si>
    <t>KM</t>
  </si>
  <si>
    <t>Tarifa/Día</t>
  </si>
  <si>
    <t>Comisión de Topografía</t>
  </si>
  <si>
    <t>ITEM: DESCAPOTE MANUAL E=.20M – INCL. RETIRO</t>
  </si>
  <si>
    <t>ITEM: DESMONTE Y LIMPIEZA EN BOSQUE. ESP. 200-07 INVIAS.</t>
  </si>
  <si>
    <t>Ha</t>
  </si>
  <si>
    <t>ITEM: DESMONTE Y LIMPIEZA EN ZONAS NO BOSCOSAS. ESP. 200-07 INVIAS.</t>
  </si>
  <si>
    <t>ITEM: DESVIO DE FUENTE - MANUAL</t>
  </si>
  <si>
    <t>GLB</t>
  </si>
  <si>
    <t xml:space="preserve">ITEM: LIMPIEZA GENERAL </t>
  </si>
  <si>
    <t>ESTOPA</t>
  </si>
  <si>
    <t>ITEM: TRATAMIENTO DE RAIZ EN ARBOLES INCLUYE PERMISOS ANTE AUTORIDAD COMPETENTE, CORTE, RETIRO Y DISPOSICIÓN FINAL.</t>
  </si>
  <si>
    <t>CICATRIZANTE</t>
  </si>
  <si>
    <t>ITEM: DEMOLICIÓN DE GRADERÍAS EN CONCRETO EXISTENTE</t>
  </si>
  <si>
    <t>ITEM: DEMOLICIÓN DE KIOSCO EXISTENTE EN GUADUA Y CUBIERTA EN TEJA DE ZINC</t>
  </si>
  <si>
    <t>ITEM: DEMOLICIÓN DE ENCHAPE Y REVOQUE, CON RETIRO</t>
  </si>
  <si>
    <t>ITEM: DEMOLICIÓN DE PLACA POLIDEPORTIVO EN CONCRETO</t>
  </si>
  <si>
    <t>ITEM: DEMOLICIÓN MECÁNICA DE ESTRUCTURAS EN CONCRETO (PLACA EN CONCRETO, CUNETAS, VIGAS DE CIMENTACIÓN, GRADERÍAS ENTRE OTROS), INCL. RETIRO DE MATERIAL SOBRANTE</t>
  </si>
  <si>
    <t>ITEM: DEMOLICIÓN MECÁNICA DE ESTRUCTURAS EN CONCRETO (VIGAS DE CIMENTACIÓN, AÉREAS, COLUMNAS ENTRE OTROS)</t>
  </si>
  <si>
    <t>ITEM: DEMOLICIÓN MECÁNICA CIMENTACIÓN CONCRETO ARMADO</t>
  </si>
  <si>
    <t>ITEM: DEMOLICION, REMOCION Y DISPOSICIÓN FINAL DE ESTRUCTURAS EN CONCRETO CONVENCIONAL NO REFORZADO.  ESP. 201 INV-2007.</t>
  </si>
  <si>
    <t>ITEM: DEMOLICION, REMOCION Y DISPOSICIÓN FINAL DE ESTRUCTURAS EN CONCRETO CONVENCIONAL  REFORZADO.  ESP. 201 INV-2007.</t>
  </si>
  <si>
    <t>ITEM: DESMONTE DE POSTES DE ILUMINACIÓN; INCL. RETIRO DE LUMINARIAS, CLABEADO Y DEMOLICIÓN DE MACHÓN EN CONCRETO</t>
  </si>
  <si>
    <t>Sub-Total</t>
  </si>
  <si>
    <t>Vol-peso ó Cant.</t>
  </si>
  <si>
    <t>ITEM: DESMONTE DE LAVAMANOS Y SANITARIOS</t>
  </si>
  <si>
    <t>ITEM: TALA DE ARBOLES,INCLUYE RAIZ, RETIRO DE RAMAS Y TRONCOS PROVENIENTE DE LA TALA</t>
  </si>
  <si>
    <t>MOTOSIERRA</t>
  </si>
  <si>
    <t>GRUA CON BRAZO ARTICULADO</t>
  </si>
  <si>
    <t>Material producto de la tala</t>
  </si>
  <si>
    <t>Aserrador</t>
  </si>
  <si>
    <t>ITEM: DESMONTE ADOQUIN EXISTENTE PARA REUTILIZAR</t>
  </si>
  <si>
    <t>VOLQUETA (4,2 - 5)M3</t>
  </si>
  <si>
    <t>VJ</t>
  </si>
  <si>
    <t>ITEM: CORTE DE CONCRETO CON DISCO DIAMANTADO</t>
  </si>
  <si>
    <t>ITEM: DEMOLICIÓN DE MAMPOSTERÍA EN LADRILLO.</t>
  </si>
  <si>
    <t>MOTONIVELADORA &gt;120 HP CAT 120H O 120G</t>
  </si>
  <si>
    <t>VIBROCOMPACTADOR (8 - 10 TN)</t>
  </si>
  <si>
    <t>CARROTANQUE IRRIGADOR DE AGUA. INCLUYE SUMINISTRO DE AGUA.</t>
  </si>
  <si>
    <t>VOLQUETA (5-6)M3</t>
  </si>
  <si>
    <t>PRECIOS UNITARIOS OFICIALES 2014</t>
  </si>
  <si>
    <t>ITEM: CONCRETO PARA SOLADO E=0,05, LIMPIEZA Y/O RELLENOS FLUIDOS - 1700 PSI (140KG/CM2) - ESP. 630-07 INV.</t>
  </si>
  <si>
    <t>Prop. 1:2:3</t>
  </si>
  <si>
    <t>ITEM: CONCRETO PARA BASE DE ESTRUCTURAS EN CONCRETO CICLÓPEO - 2500 PSI (175 KG/CM2) 60% CONCRETO 2500 PSI + 40% PIEDRA MEDIA ZONGA.</t>
  </si>
  <si>
    <t>ITEM: CONCRETO PARA ELEVACIÓN DE ESTRUCTURAS - 1700 PSI (140KG/CM2) - ESP. 630-07 INV.</t>
  </si>
  <si>
    <t>ITEM: CONCRETO PARA CUNETAS PERIMETRALES - 2500 PSI (175KG/CM2) SEGÚN DISEÑO Y DETALLE</t>
  </si>
  <si>
    <t>ITEM: CONCRETO PARA ELEVACIONES - 2500 PSI (175KG/CM2) SEGÚN DISEÑO Y DETALLE</t>
  </si>
  <si>
    <t>ITEM: CONCRETO PARA BASE DE ESTRUCTURAS - 3000 PSI (210KG/CM2) - ESP. 630-07 INV.</t>
  </si>
  <si>
    <t>ITEM: CONCRETO PARA ELEVACIÓN DE ESTRUCTURAS - 3000 PSI (210KG/CM2) - ESP. 630-07 INV.</t>
  </si>
  <si>
    <t>ITEM: CONSTRUCCIÓN ZAPATAS EN CONCRETO 210 KG/CM2</t>
  </si>
  <si>
    <t>ITEM: CONSTRUCCIÓN VIGA DE CIMENTACIÓN EN CONCRETO DE 210 KG/CM2</t>
  </si>
  <si>
    <t>ITEM: CONCRETO PARA VIGA DE AMARRE 0.25X0.25 – INCL. ACERO REFUERZO</t>
  </si>
  <si>
    <t>ITEM: CIMENTACIÓN TIPO VIGA DE AMARRE, CONCRETO 3000 PSI. 0.30X0.30 – INCL. ACERO (4No.5, E-3/8" C/0,20m)</t>
  </si>
  <si>
    <t>ITEM: CONCRETO PARA VIGA DE AMARRE 0.15X0.25 – INCL. ACERO REFUERZO</t>
  </si>
  <si>
    <t>ITEM: CONCRETO PARA VIGA DE AMARRE 0.20X0.20 – INCL. FORMALTA EN MADERA Y ACERO REFUERZO</t>
  </si>
  <si>
    <t>ITEM: PLACA DE PISO EN CONCRETO DE 2500 PSI (175KG/CM2) E=0,08</t>
  </si>
  <si>
    <t xml:space="preserve">ITEM: CIMENTACIÓN TIPO VIGA DE AMARRE, CONCRETO 3000 PSI. 0.30X0.30 </t>
  </si>
  <si>
    <t>ITEM: ZAPATAS EN CONCRETO DE 3000 PSI. DIMENSIONES 1,0X1,0X0,40</t>
  </si>
  <si>
    <t>ITEM: SOLADO DE LIMPIEZA - 1700 PSI (140KG/CM2)  - e: 0,05 MTS</t>
  </si>
  <si>
    <t>FORMALETA</t>
  </si>
  <si>
    <t>ITEM: MURO LADRILLO TOLETE COMÚN. E: 0.07 MTS</t>
  </si>
  <si>
    <t>ITEM: MURO LADRILLO TOLETE COMÚN. E: 0.12MTS</t>
  </si>
  <si>
    <t>ITEM: MURO LADRILLO TOLETE COMÚN. E: 0.25MTS</t>
  </si>
  <si>
    <t>ITEM: MURO EN BLOQUE DE CEMENTO.  E= 0.15 MTS</t>
  </si>
  <si>
    <t>ITEM: MURO LADRILLO PRENSADO - REJILLA SANTAFE VISTO POR DOS CARAS - E=0.12 MTS</t>
  </si>
  <si>
    <t>ITEM: MURO LADRILLO PRENSADO DE LADRILLERA VISTO POR DOS CARAS - E=0.12 MTS</t>
  </si>
  <si>
    <t>ITEM: MURO EN SUPERBOARD - INCLUYE: ESTRUCTURA, HERRAJES, MASILLA, CINTA DE PAPEL Y  ACABADO EN PINTURA TIPO I</t>
  </si>
  <si>
    <t>LAMINA SUPERBOARD DE 8MM</t>
  </si>
  <si>
    <t>PINTURA Y MASILLA</t>
  </si>
  <si>
    <t>CINTA Y HERRAJES</t>
  </si>
  <si>
    <t>ITEM: BLOQUE DE ARCILLA Nº 4 - E= 0.10 MTS</t>
  </si>
  <si>
    <t>ITEM: SUMINISTRO E INSTALACIÓN DE BLOQUE HUECO Nº 5 - E= 0.12 MTS</t>
  </si>
  <si>
    <t>ITEM: MURO EN CALADO DE GRES</t>
  </si>
  <si>
    <t>ITEM: CONSTRUCCIÓN ALFAGÍA (AREA SECCIÓN: 0,024 M2 - BASE: 30 CM) EN CONCRETO DE 3.000 PSI</t>
  </si>
  <si>
    <t>ITEM: ALFAJÍA EN LADRILLO A LA VISTA</t>
  </si>
  <si>
    <t>ITEM: MESÓN EN CONCRETO 3.000PSI ENCHAPADO - a=0.60MTS, e=0.10MTS – INCL.  ACERO (1No.4 c/0,15m EN AMBOS SENTIDOS)</t>
  </si>
  <si>
    <t>ITEM: GRADERÍAS EN CONCRETO DE 3000 PSI E=0,10 MTS, ARMADO SIN ESPALDAR (LONG. 4Ø5/8" E=Ø1/2" C/0,15 MT) - REPOSICIÓN DE EXISTENTES.</t>
  </si>
  <si>
    <t>ITEM: CONSTRUCCIÓN DE CUNETA TIPO CAJÓN PERIMETRAL EN CONCRETO. ÁREA: 0,0048 M2 - P: 0,60M - B: 0,40M</t>
  </si>
  <si>
    <t>ITEM : CAJA DE INSPECCIÓN EN CONCRETO DE F´C=2500 PSI, DE SECCIÓN 0.80*0.80, H: 1M INCLUYE CAÑUELA, TAPA EN CONCRETO REFORZADO DE 8 CMS , CON ESPESORES DE PAREDES DE 0.10 MTS. SEGUN DISEÑO</t>
  </si>
  <si>
    <t>SIKA IMPERMEABILIZANTE</t>
  </si>
  <si>
    <t>GLN</t>
  </si>
  <si>
    <t>ITEM: CAJA DE INSPECCION EN CONCRETO  DE F´C=2500 PSI, DE SECCION 1*1 H: 1M, INCLUYE CAÑUELA, TAPA EN CONCRETO REFORZADO DE 8 CMS , CON ESPESORES DE PAREDES DE 0.10 MTS. SEGUN  DISEÑO.</t>
  </si>
  <si>
    <t>ITEM: CUBIERTA EN TEJA ONDULADA A.C. No 4</t>
  </si>
  <si>
    <t>ESTACION TOTAL DE TOPOGRAFÍA</t>
  </si>
  <si>
    <t>ANDAMIO TUBULAR. 1.5 x 1.5</t>
  </si>
  <si>
    <t>TEJA A.C. No. 4</t>
  </si>
  <si>
    <t>IGAS GRIS</t>
  </si>
  <si>
    <t>AMARRES</t>
  </si>
  <si>
    <t>GANCHO PARA TEJA</t>
  </si>
  <si>
    <t>ITEM: CUBIERTA EN TEJA ONDULADA A.C. CON ESTRUCTURA ACESCO LUZ MAXIMA 4 MTS</t>
  </si>
  <si>
    <t>PERFIL ACESCO Cal. 16  0.15X0.05</t>
  </si>
  <si>
    <t>ITEM: CUBIERTA EN TEJA DE ZINC CAL. 28</t>
  </si>
  <si>
    <t>TEJA ZINC CAL 28</t>
  </si>
  <si>
    <t>ITEM: CABALLETE PARA TERMOACUSTICA.</t>
  </si>
  <si>
    <t>TORNILLO AUTO PERFORANTE AJOVER</t>
  </si>
  <si>
    <t>TORNILLO FIJO ALA</t>
  </si>
  <si>
    <t>ITEM: CUBIERTA EN TEJA TERMOACUSTICA</t>
  </si>
  <si>
    <t>ITEM: SUMINISTRO, FABRICACIÓN, MONTAJE Y PINTURA DE ESTRUCTURA METÁLICA PARA LA CUBIERTA, CERCHA PRINCIPAL, CORREAS Y PÓRTICOS EN PERFILES ESTRUCTURALES. INCLUYE PERNOS, RIOSTRAS, CONTRAVIENTOS, LAMINAS, SOLDADURA E70:18 Y ACABADO CON ANTICORROSIVO + ESMALTE PARA ESTRUCTURA A LA VISTA, SEGÚN DISEÑO</t>
  </si>
  <si>
    <t>ACERO PERFILERIA 60000 PSI</t>
  </si>
  <si>
    <t>SOLDADURA 1/8" METAL</t>
  </si>
  <si>
    <t>ANTICORROSIVO</t>
  </si>
  <si>
    <t>GAL</t>
  </si>
  <si>
    <t>ITEM: SUMINISTRO, FABRICACIÓN E INSTALACIÓN DE CUBIERTA AUTO SOPORTANTE A BASE DE LÁMINA DE ACERO CAL. 18, EN PANELES ENGARGOLADOS LATERALMENTE DE UNA SOLA PIEZA EN ACABADO PINTRO POLIESTER ESTÁNDAR, FABRICADO A UN 20% DE FLECHA CON RESPECTO A LA LUZ..</t>
  </si>
  <si>
    <t>TEJA A BASE DE LAMINA DE ACERO CAL. 22 CON ACABADO EN PINTOR POLIESTAR ESTÁNDAR</t>
  </si>
  <si>
    <t>ITEM: SUMINISTRO Y COLOCACIÓN DE CUBIERTA A BASE DE LÁMINA TRASLUCIDA DE ALTA RESISTENCIA EN POLIESTER REFORZADA CON FIBRA DE VIDRIO EN CLASE 7, COLOR OPAL EN ACABADO LISO</t>
  </si>
  <si>
    <t>LÁMINA TRASLUCIDA DE ALTA RESISTENCIA EN POLIESTER REFORZADA CON FIBRA DE VIDRIO EN CLASE 7, COLOR OPAL EN ACABADO LISO</t>
  </si>
  <si>
    <t>ITEM: CRUZ DE SAN ANDRÉS, SEGÚN DISEÑO CON 13.00 MTS-&lt;2"X3/16"</t>
  </si>
  <si>
    <t>EQUIPO ELÉCTRICO SOLDADURA</t>
  </si>
  <si>
    <t>PULIDORA</t>
  </si>
  <si>
    <t>ÁNGULO 2½"x 3/16"</t>
  </si>
  <si>
    <t>MANO DE OBRA - CARPINTERIA MET.</t>
  </si>
  <si>
    <t>ITEM: CERCHA - CORREAS METÁLICAS L=6.00 MTS. ESP – 1 &lt; 1"X1"X3/16" CORDÓN SUPERIOR Y 1 &lt;  1½"X3/16" CORDÓN INFERIOR;  CELOSÍA  1"X1/8", PLATINA CON HUECO PARA TENSORES Y PLATINA DE PUENTE PARA ANCLAJE. ALTURA DE CORREA 30 CM. INCLUYE TENSORES, ANTICORROSIVO Y ACABADO EN PINTURA SINTÉTICA, INCLUYE ANCLAJES</t>
  </si>
  <si>
    <t>ÁNGULO 1"x3/16"</t>
  </si>
  <si>
    <t>ANGULO 1½" X 3/16"</t>
  </si>
  <si>
    <t>ÁNGULO 1"x1/8"</t>
  </si>
  <si>
    <t xml:space="preserve">VARILLA 3/8" </t>
  </si>
  <si>
    <t>PLATINA 3/16"X1"</t>
  </si>
  <si>
    <t>ITEM: PLATINAS DE ANCLAJE DE COLUMNAS, SEGÚN DISEÑO DE 0.50 X 0.50 X 3/4"</t>
  </si>
  <si>
    <t>PLATINA 50X50CMX1/2"</t>
  </si>
  <si>
    <t>ITEM: PERNOS DE ANCLAJE DE COLUMNAS, SEGÚN DISEÑO DE 3/4" Y 1.00 MTS DE LONGITUD + TUERCA Y ARANDELA DE 3/4"</t>
  </si>
  <si>
    <t>ESPARRAGO ROSCADO DE 3/4". INCL.: TUERCA - ARANDELA</t>
  </si>
  <si>
    <t>ITEM: TENSORES EN VARILLA LISA 3/8", SEGÚN DISEÑO</t>
  </si>
  <si>
    <t xml:space="preserve">ACERO Fy= 2400 Kg/cm2  </t>
  </si>
  <si>
    <t>ITEM: CORREA EN PERFIL METALICO GALVANIZADO PAG C 160x60mm-2.5mm</t>
  </si>
  <si>
    <t>PERFIL ACESCO  Galv.PAG C 160x60mm-2.5mm</t>
  </si>
  <si>
    <t>ITEM: CANALES EN LÁMINA Ld=0,70</t>
  </si>
  <si>
    <t>LAMINA GALVANIZADA C.20 (1.0X2.0 Mts)</t>
  </si>
  <si>
    <t>ITEM: BAJANTES EN TUBERIA PVC-S DE 4" CON ACCESORIOS DE CONEXIÓN; PARA DESAGUES Y BAJANTES DE AGUAS LLUVIAS.</t>
  </si>
  <si>
    <t>ITEM: SUMINISTRO E INSTALACION GÁRGOLA</t>
  </si>
  <si>
    <t>GARGOLA PREFABRICADA</t>
  </si>
  <si>
    <t>ITEM: CONTRAVIENTOS EN VARILLA DE 1/2" LISA</t>
  </si>
  <si>
    <t>ITEM: CERCHAS PRINCIPALES METÁLICAS SEGÚN DISEÑOS.   4 Ø 2" SUPERIOR E INFERIOR, 120 CM DE ALTURA</t>
  </si>
  <si>
    <t>ANGULO 2½" X 1/4"</t>
  </si>
  <si>
    <t>ÁNGULO 2"x 1/8"</t>
  </si>
  <si>
    <t>RIOSTRAS Y TENSORES DE CUBIERTA</t>
  </si>
  <si>
    <t>ITEM: CORREA EN PERFIL METALICO GALVANIZADO PAG C PHR 120x60mm-2.5mm</t>
  </si>
  <si>
    <t>ITEM: PERFIL METALICO GALVANIZADO PAG C PHR 305x80mm-3.0mm</t>
  </si>
  <si>
    <t>ITEM: ANCLAJE DE PERFIL 305x80 en Viga de Amarre, incluye adhesivo.</t>
  </si>
  <si>
    <t>CHAZO EXPANSIVO METÁLICO 5/8"</t>
  </si>
  <si>
    <t xml:space="preserve">SIKADUR 31 ADHESIVO </t>
  </si>
  <si>
    <t>ITEM: LÁMINA 3/16" PARA ESTRUCTURA DE CUBIERTA H=0,30 MTS.</t>
  </si>
  <si>
    <t>Lámina 3/16" de 1,20X2,40 Mts.</t>
  </si>
  <si>
    <t>ITEM: CUBIERTA EN POLICARBONATO AZUL DE 11,80X2,10 m. X 6 mm. De espesor.</t>
  </si>
  <si>
    <t>Lámina</t>
  </si>
  <si>
    <t>Cubierta en policarbonato azul 11,80X2,10 m X 6 mm.</t>
  </si>
  <si>
    <t>Accesorios, tornillería de fijación</t>
  </si>
  <si>
    <t>Rendim.</t>
  </si>
  <si>
    <t>ITEM: SUMINISTRO E INSTALACIÓN ESTRUCTURA DE CUBIERTA SEGÚN DISEÑO. INCLUYE 3 CERCHAS PRINCIPALES , SUPERIOR E INFERIOR TUBO D=2" Y VARILLA LISA 1/2" PARA DIAGONALES, TENSORES EN CABLE 1/2", CARTELAS E=3/8".</t>
  </si>
  <si>
    <t>TUBO ESTRUCTURAL D=2"</t>
  </si>
  <si>
    <t>ACERO REFUERZO 1/2" LISO</t>
  </si>
  <si>
    <t>CABLE EMCOCABLE 1/2"</t>
  </si>
  <si>
    <t>TENSORES PARA CABLE 1/2"</t>
  </si>
  <si>
    <t>PRENSACABLE 1/2"</t>
  </si>
  <si>
    <t>SOLDADURA E 6011</t>
  </si>
  <si>
    <t>DISCOS DE CORTE</t>
  </si>
  <si>
    <t>PINTURA ANTICORROSIVA SHERWIN WILLIAMS</t>
  </si>
  <si>
    <t>GALON</t>
  </si>
  <si>
    <t>PLATINAS 40X40 INCLUYE CARTELAS E=3/8"</t>
  </si>
  <si>
    <t>ITEM: SUMINISTRO E INSTALACIÓN TUBO ESTRUCTURAL D=6". INCLUYE ANTICORROSIVO Y PINTURA EN ESMALTE.</t>
  </si>
  <si>
    <t>ITEM: SUMINISTRO E INSTALACIÓN TUBO ESTRUCTURAL D=2". INCLUYE ANTICORROSIVO Y PINTURA EN ESMALTE.</t>
  </si>
  <si>
    <t>ITEM: CORREA METALICA CAL. 18 DE 10X8 CMS.</t>
  </si>
  <si>
    <t>TRANSPORTE DE MATERIALES</t>
  </si>
  <si>
    <t>ITEM: CERCHA METÁLICA  - CAL. 14 DE 10X15 CMS.</t>
  </si>
  <si>
    <t>ITEM: VIGA METÁLICA - CAL. 14 DE 10X10 CMS.</t>
  </si>
  <si>
    <t>ITEM: SUMINISTRO E INSTALACIÓN DE JUEGO DE CANCHAS MULTIPLES CONTEMPLANDO LAS DOS ACTIVIDADES BASICAS, EN TUBO DE 2", TABLERO EN ACRILICO DE 10 MM (MARCADO CON LOGOS ADMINISTRACIÓN). INCLUYE TABLERO ACRILICO CON LOGOS, ARO REGLAMENTARIO PARA BLAONCESTO.</t>
  </si>
  <si>
    <t>MALLAS DE COMPETENCIA EN NYLON</t>
  </si>
  <si>
    <t>TABLERO ACRÍLICO PARA BALONCESTO</t>
  </si>
  <si>
    <t>ITEM: ACERO ASTM 992 ESTRUCTURAL. INCLUYE: SUMINISTRO, FABRICACIÓN, MONTAJE, SOLDADURA E70XX Y ACABADO CON IMPRIMANTE EPOXICO, LACA EPOXICA Y ENTUMECENTE CONTRAINCENDIO, SEGÚN DISEÑO.</t>
  </si>
  <si>
    <t>ACERO ASTM 992 ESTRUCTURAL</t>
  </si>
  <si>
    <t>SOLDADURA E70XX</t>
  </si>
  <si>
    <t>IMPRIMANTE EPOXICO</t>
  </si>
  <si>
    <t>LACA  EPOXICA</t>
  </si>
  <si>
    <t>ENTUMECENTE CONTRAINCENDIO</t>
  </si>
  <si>
    <t>ITEM: ACERO A572 GR 50 ESTRUCTURAL. INCLUYE: SUMINISTRO, FABRICACIÓN, MONTAJE, SOLDADURA E70XX Y ACABADO CON IMPRIMANTE EPOXICO, LACA EPOXICA Y ENTUMECENTE CONTRAINCENDIO, SEGÚN DISEÑO.</t>
  </si>
  <si>
    <t>A572 GR 50 ESTRUCTURAL</t>
  </si>
  <si>
    <t>ITEM: ACERO ASTM A 500 Gr C ESTRUCTURAL. INCLUYE: SUMINISTRO, FABRICACIÓN, MONTAJE, SOLDADURA E70XX Y ACABADO CON IMPRIMANTE EPOXICO, LACA EPOXICA Y ENTUMECENTE CONTRAINCENDIO, SEGÚN DISEÑO.</t>
  </si>
  <si>
    <t>ASTM A 500 Gr C ESTRUCTURAL</t>
  </si>
  <si>
    <t>ITEM: PERNOS, TUERCAS Y ARANDELAS EN ACERO ASTM A193 - GR. B7 ESTRUCTURAL. INCLUYE: SUMINISTRO, MONTAJE Y ACABADO CON IMPRIMANTE EPOXICO, LACA EPOXICA Y ENTUMECENTE CONTRAINCENDIO, SEGÚN DISEÑO.</t>
  </si>
  <si>
    <t>ACERO ASTM A193 - GR. B7 ESTRUCTURAL</t>
  </si>
  <si>
    <t>ITEM: PLACA METALDECK (CALIBRE 20 - 2 IN)</t>
  </si>
  <si>
    <t>ITEM: MALLA ELECTROSOLDADA Φ 4.5 MM C/15</t>
  </si>
  <si>
    <t>ITEM: CERRAMIENTO PERIMETRAL EN ESTRUCTURA METÁLICA. INCLUYE ESTRUCTURA EN PERFILES ESTRUCTURALES, LAMINAS, SOLDADURA E70:18 Y ACABADO CON ANTICORROSIVO + ESMALTE PARA ESTRUCTURA A LA VISTA, SEGÚN DISEÑO.</t>
  </si>
  <si>
    <t>ITEM  :  PUERTA METÁLICA CON MARCO Y LUCETA FIJA</t>
  </si>
  <si>
    <t>ITEM  :  PUERTA CORTA-FUEGO</t>
  </si>
  <si>
    <t>CERRADURA ANTIPANICO - CONTRAFUEGO</t>
  </si>
  <si>
    <t>ITEM  : DIVISIONES PARA BAÑO EN ACERO INOXIDABLE - INCLUYE ACCESORIOS</t>
  </si>
  <si>
    <t>EQUIPO ESPECIALIZADO DE CARPINTERIA EN ALUMINIO</t>
  </si>
  <si>
    <t xml:space="preserve">LAMINA ACERO INOXIDABLE CAL. 3MM </t>
  </si>
  <si>
    <t>HERRAJES Y ACCESORIOS EN ACERO</t>
  </si>
  <si>
    <t>ITEM  : SUMINISTRO E INSTALACIÓN DE ESTUFA TIPO INDUSTRIAL</t>
  </si>
  <si>
    <t>ESTUFA TIPO INDUSTRIAL</t>
  </si>
  <si>
    <t>MESON EN PIEDRA POLICUARZO</t>
  </si>
  <si>
    <t>ITEM :  VENTANAS EN ALUMINIO CON MARCO, LUCETA FIJA, ALUMINIO Y PERSIANA A210</t>
  </si>
  <si>
    <t>Aluminio REF. 11-02 y Pisavidrio a presión</t>
  </si>
  <si>
    <t>CERRADURA DE SUGURIDAD</t>
  </si>
  <si>
    <t>HERRAJES Y ACCESORIOS</t>
  </si>
  <si>
    <t>VIDRIO DE 5MM</t>
  </si>
  <si>
    <t>ITEM  :   PUERTAS DE ACCESO EN ALUMINIO CON VIDRIO, PISAVIDRIO A PRESIÓN Y CERRADURA DE SEGURIDAD; MARCO EN U-68 DE 3"X1" - LUCETA FIJA EN LA PARTE SUPERIOR</t>
  </si>
  <si>
    <t>Aluminio REF. 11-01 y Pisavidrio a presión</t>
  </si>
  <si>
    <t>ENCHAPE EN ALUMINIO</t>
  </si>
  <si>
    <t>ITEM  :   PUERTAS EN VIDRIO TEMPLADO DE 10MM; INCLUYE: HERRAJES EN ACERO, MARCO Y CHAPA DE SEGURIDAD</t>
  </si>
  <si>
    <t xml:space="preserve">VIDRIO TEMPLADO DE 10MM </t>
  </si>
  <si>
    <t>ITEM :   SUMINISTRO E INSTALACIÓN DE DRYWALL</t>
  </si>
  <si>
    <t>LAMINA DE YESO - DRYWALL</t>
  </si>
  <si>
    <t>MASILLA - CINTA DE PAPEL</t>
  </si>
  <si>
    <t>ESTRUCTURA METÁLICA PARA DRYWALL</t>
  </si>
  <si>
    <t>ITEM :  SUMINISTRO E INSTALACIÓN ASCENSOR ELÉCTRICO DE ADHERENCIA DE 1,6 M/S DE VELOCIDAD, 4 DETENIDAS, 900 KG DE CARGA NOMINAL, CON CAPACIDAD PARA 12 PERSONAS</t>
  </si>
  <si>
    <t>EQUIPO DE INSTALACION ASCENSOR</t>
  </si>
  <si>
    <t>Cabina con acabados de calidad media, de 1400 mm de anchura, 2200 mm de profundidad y 2200 mm de altura</t>
  </si>
  <si>
    <t>Amortiguadores de foso y contrapesos para ascensor eléctrico de pasajeros de 900 kg de carga nominal, con capacidad para 12 personas y 1,6 m/s de velocidad.</t>
  </si>
  <si>
    <t>Botonera de piso con acabados de calidad media, para ascensor de pasajeros con maniobra colectiva de subida y bajada.</t>
  </si>
  <si>
    <t>Botonera de cabina para ascensor de pasajeros con acabados de calidad media y maniobra colectiva de subida y bajada.</t>
  </si>
  <si>
    <t>Grupo tractor de frecuencia variable</t>
  </si>
  <si>
    <t>Limitador de velocidad y paracaídas</t>
  </si>
  <si>
    <t xml:space="preserve">Cuadro y cable de maniobra </t>
  </si>
  <si>
    <t>Puerta de ascensor de pasajeros de acceso a piso, con apertura automática</t>
  </si>
  <si>
    <t>Recorrido de guías y cables de tracción</t>
  </si>
  <si>
    <t>Selector de detenidas</t>
  </si>
  <si>
    <t>Lámpara de 40 W</t>
  </si>
  <si>
    <t>Gancho adosado al techo, capaz de soportar suspendido el mecanismo tractor.</t>
  </si>
  <si>
    <t>Instalación de línea telefónica en cabina de ascensor.</t>
  </si>
  <si>
    <t>Oficial 1ª instalador de aparatos elevadores.</t>
  </si>
  <si>
    <t>Ayudante instalador de aparatos elevadores.</t>
  </si>
  <si>
    <t>ITEM  : CONSTRUCCION DE FILTROS DE SECCION 0.50  X 1.20 MTS.,  INCLUYE GRAVILLA Y GEOTEXTIL. (NO INCLUYE EXCAVACION)</t>
  </si>
  <si>
    <t>GEOTEXTIL NO TEJIDO, REF.  NT 1.600</t>
  </si>
  <si>
    <t>TUBERÍA PVC CORRUGADA TERMINACIÓN FILTRO</t>
  </si>
  <si>
    <t>MATERIAL FILTRANTE DE 3/4"</t>
  </si>
  <si>
    <t>ITEM  : CONSTRUCCIÓN PLACA EN CONCRETO 3.000 PSI PARA TANQUE ELEVADO E=0,10</t>
  </si>
  <si>
    <t>PRESENTACION DE ANALISIS DE PRECIOS UNITARIOS</t>
  </si>
  <si>
    <t>ING DORIAN USECHE HERRERA</t>
  </si>
  <si>
    <t>CENTRO DE RENDIMIENTO DEPORTIVO</t>
  </si>
  <si>
    <t xml:space="preserve">DESCRIPCION: </t>
  </si>
  <si>
    <t>ITEM: 7.10</t>
  </si>
  <si>
    <t>I. HERRAMIENTAS Y EQUIPOS</t>
  </si>
  <si>
    <t>UNIDAD: UND</t>
  </si>
  <si>
    <t>V/ UNITARIO</t>
  </si>
  <si>
    <t>DESPERDICIO</t>
  </si>
  <si>
    <t>RENDIMIENTO</t>
  </si>
  <si>
    <t>V/PARCIAL</t>
  </si>
  <si>
    <t>V/UNITARIO</t>
  </si>
  <si>
    <t>CODO DE 2" PVC</t>
  </si>
  <si>
    <t>SIFON DE 2"</t>
  </si>
  <si>
    <t>YEE DE 4X2</t>
  </si>
  <si>
    <t>SOLDADURA PVC X 1/4GAL</t>
  </si>
  <si>
    <t>TUBO PVC SANITARIO DE 2''</t>
  </si>
  <si>
    <t>LIMPIADOR PVC X 1/4GAL</t>
  </si>
  <si>
    <t>BOLSA</t>
  </si>
  <si>
    <t>CUADRILLA</t>
  </si>
  <si>
    <t>TRABAJADOR</t>
  </si>
  <si>
    <t>JORNAL</t>
  </si>
  <si>
    <t>JORNAL TOTAL</t>
  </si>
  <si>
    <t xml:space="preserve">AYUDANTE </t>
  </si>
  <si>
    <t xml:space="preserve">OFICIAL </t>
  </si>
  <si>
    <t>ELABORO</t>
  </si>
  <si>
    <t xml:space="preserve">INGENIERO DORIAN USECHE </t>
  </si>
  <si>
    <t>ITEM: 7.11</t>
  </si>
  <si>
    <t>SIFON DE 3"</t>
  </si>
  <si>
    <t>YEE DE 4 X 3</t>
  </si>
  <si>
    <t>TUBO PVC SANITARIO DE 3''</t>
  </si>
  <si>
    <t>ITEM: 7.12</t>
  </si>
  <si>
    <t>SIFON DE 4"</t>
  </si>
  <si>
    <t xml:space="preserve">YEE 4X4 </t>
  </si>
  <si>
    <t>TUBO PVC SANITARIO DE 4''</t>
  </si>
  <si>
    <t>ING DORIAN USECHE</t>
  </si>
  <si>
    <t>ITEM: 7.13</t>
  </si>
  <si>
    <t>UNIDAD: ML</t>
  </si>
  <si>
    <t>TUBERIA PVC 4¨</t>
  </si>
  <si>
    <t>TUBO</t>
  </si>
  <si>
    <t>ACCESORIOS</t>
  </si>
  <si>
    <t>SOLDADURA PVC</t>
  </si>
  <si>
    <t>ITEM: 7.14</t>
  </si>
  <si>
    <t>TUBERIA PVC 3¨</t>
  </si>
  <si>
    <t>ITEM: 7.15</t>
  </si>
  <si>
    <t>TUBERIA PVC 2¨</t>
  </si>
  <si>
    <t>ITEM:7.16</t>
  </si>
  <si>
    <t>TUBERIA PVC 6¨</t>
  </si>
  <si>
    <t>ITEM:7.17</t>
  </si>
  <si>
    <t>TUBERIA PVC 8¨</t>
  </si>
  <si>
    <t>UNIDAD: 7.1</t>
  </si>
  <si>
    <t>PRUEBA HIDROSTATICA</t>
  </si>
  <si>
    <t>GBL</t>
  </si>
  <si>
    <t>TUBO PVC-P DE 2'' RDE 21</t>
  </si>
  <si>
    <t>ACCESORIOS DE 2¨ PVC</t>
  </si>
  <si>
    <t>ITEM: 7.2</t>
  </si>
  <si>
    <t>TUBO PVC-P DE 11/2"'' RDE 21</t>
  </si>
  <si>
    <t>ACCESORIOS DE 11/2"¨ PVC</t>
  </si>
  <si>
    <t>ITEM: 7.3</t>
  </si>
  <si>
    <t>TUBO PVC-P DE 3/4"'' RDE 21</t>
  </si>
  <si>
    <t>ACCESORIOS DE 3/4"¨ PVC</t>
  </si>
  <si>
    <t>ITEM: 7.4</t>
  </si>
  <si>
    <t>TUBO PVC-P DE 1'' RDE 21</t>
  </si>
  <si>
    <t>ACCESORIOS DE 1¨ PVC</t>
  </si>
  <si>
    <t xml:space="preserve">ESTOPA </t>
  </si>
  <si>
    <t xml:space="preserve">               CENTRO DE RENDIMIENTO DEPORTIVO</t>
  </si>
  <si>
    <t>ITEM: 7.5</t>
  </si>
  <si>
    <t>VAVULA DE BOLA DE 1 1/2''</t>
  </si>
  <si>
    <t>ACCESORIOS DE 1 1/2¨ PVC</t>
  </si>
  <si>
    <t>ITEM: 7.6</t>
  </si>
  <si>
    <t>VAVULA DE BOLA DE 2''</t>
  </si>
  <si>
    <t>ACCESORIOS DE 2" PVC</t>
  </si>
  <si>
    <t xml:space="preserve">                   CENTRO DE RENDIMIENTO DEPORTIVO</t>
  </si>
  <si>
    <t>ITEM: 7.7</t>
  </si>
  <si>
    <t>ADAPTADOR MACHO 3/4"</t>
  </si>
  <si>
    <t>CODO DE 3/4"</t>
  </si>
  <si>
    <t>TEE DE 1"X 3/4"</t>
  </si>
  <si>
    <t>TUBO PVC-P DE 3/4" RDE 21</t>
  </si>
  <si>
    <t>ITEM: 7.8</t>
  </si>
  <si>
    <t>CODO DE 11/2"</t>
  </si>
  <si>
    <t>TEE DE 11/2"</t>
  </si>
  <si>
    <t>ADAPTADOR MACHO</t>
  </si>
  <si>
    <t>TUBO PVC-P DE 11/2" RDE 21</t>
  </si>
  <si>
    <t>DORIAN USECHE HERRERA</t>
  </si>
  <si>
    <t>ITEM: 7.18</t>
  </si>
  <si>
    <t>TUBERIA PVC 4¨ ALL</t>
  </si>
  <si>
    <t xml:space="preserve">Suministro e instalacion de equipo de presion constante según especificaciones de diseño y memorias de calculo. Incluye accesorios de conexión.. </t>
  </si>
  <si>
    <t>ITEM: 7.35</t>
  </si>
  <si>
    <t>EQUIPO DE PRESÓN CONSTANTE</t>
  </si>
  <si>
    <t>ACCESORIOS 6"</t>
  </si>
  <si>
    <t>ITEM: 7.19</t>
  </si>
  <si>
    <t>TAPON DE LIMPIEZA DE 4"</t>
  </si>
  <si>
    <t>ITEM: 7.26</t>
  </si>
  <si>
    <t>CONCRETO 2500PSI</t>
  </si>
  <si>
    <t>ITEM: 7.27</t>
  </si>
  <si>
    <t>ITEM: 7.28</t>
  </si>
  <si>
    <t xml:space="preserve">KG </t>
  </si>
  <si>
    <t>ANGULO  2"X2"X3/16"</t>
  </si>
  <si>
    <t>PLATINA 3X1/4</t>
  </si>
  <si>
    <t>ITEM: 7.22</t>
  </si>
  <si>
    <t>UNIDAD: M3</t>
  </si>
  <si>
    <t>ITEM: 7.23</t>
  </si>
  <si>
    <t>SALTARIN</t>
  </si>
  <si>
    <t>RECEBO</t>
  </si>
  <si>
    <t>ITEM: 7.24</t>
  </si>
  <si>
    <t>PASAMUROS EN TUBERIA SCH 40 DE L:80CMS. D=11/2"</t>
  </si>
  <si>
    <t>ITEM: 7.25</t>
  </si>
  <si>
    <t>PASAMURO EN TUBERIA SCH 40 L=80cms. D=2"</t>
  </si>
  <si>
    <t>ITEM: 7.9</t>
  </si>
  <si>
    <t>FLOTADOR MECANICO EN COBRE D=2"</t>
  </si>
  <si>
    <t>CINTA TEFLON</t>
  </si>
  <si>
    <t>Concreto f´c=4000 psi, para placa de fondo, muros de tanque y placa de cubierta de agua potable. no incluye refuerzo; según diseño.</t>
  </si>
  <si>
    <t>ITEM: 7.29</t>
  </si>
  <si>
    <t>VIBRO DE CONCRETO</t>
  </si>
  <si>
    <t>CONCRETO 4000PSI</t>
  </si>
  <si>
    <t>FORMALETAS</t>
  </si>
  <si>
    <t>ITEM: 7.30</t>
  </si>
  <si>
    <t>UNIDAD: KG</t>
  </si>
  <si>
    <t>ACERO  FY=60000 PSI</t>
  </si>
  <si>
    <t>ALAMBRE NEGRO</t>
  </si>
  <si>
    <t>ITEM: 7.33</t>
  </si>
  <si>
    <t>UNIDAD: M2</t>
  </si>
  <si>
    <t>ANDAMIO TUBULAR CON TABLON</t>
  </si>
  <si>
    <t>DIA</t>
  </si>
  <si>
    <t>MORTERO 1:3</t>
  </si>
  <si>
    <t>SIKA 1</t>
  </si>
  <si>
    <t>ITEM: 7.34</t>
  </si>
  <si>
    <t>SIKA 101 3 MANOS</t>
  </si>
  <si>
    <t>ITEM: 7.20</t>
  </si>
  <si>
    <t>REJILLAS CROMADAS CON SOSCOC3¨ REDONDA</t>
  </si>
  <si>
    <t>ITEM: 7.21</t>
  </si>
  <si>
    <t>SOPORTE EN LAMINA DE  2"x3/16" CON PINTURA ESMALTE COLOR.</t>
  </si>
  <si>
    <t>ITEM: 7.31</t>
  </si>
  <si>
    <t>TUBO HG DE 3"</t>
  </si>
  <si>
    <t>CODO HG DE 3"</t>
  </si>
  <si>
    <t>NIPLE HG DE 3"</t>
  </si>
  <si>
    <t>ITEM: 7.32</t>
  </si>
  <si>
    <t>Manholl de 1x1  metalico</t>
  </si>
  <si>
    <t>ITEM: VENTANA EN ALUMINO BLANCO INCLUYE VIDRIO INSTALADA Y FUNCIONANDO (tipo persiana)</t>
  </si>
  <si>
    <t>Perfil Sillar</t>
  </si>
  <si>
    <t>Perfil Traslape.</t>
  </si>
  <si>
    <t>Zocalo Superior</t>
  </si>
  <si>
    <t>Zocalo Inferior</t>
  </si>
  <si>
    <t>Enganche</t>
  </si>
  <si>
    <t>Cabezal</t>
  </si>
  <si>
    <t>Jamba</t>
  </si>
  <si>
    <t>Adaptador</t>
  </si>
  <si>
    <t>Empaque caucho tornillos y accesorios</t>
  </si>
  <si>
    <t xml:space="preserve">LAVAPLATOS EN ACERO INOXIDABLE </t>
  </si>
  <si>
    <t>Tarifa/Dia</t>
  </si>
  <si>
    <t>HERREMIENTA MENOR HIDROSANITARIA</t>
  </si>
  <si>
    <t xml:space="preserve">SELLADOR ETERNA </t>
  </si>
  <si>
    <t>CINTA TEFLON (ROLL 12MT)</t>
  </si>
  <si>
    <t>SOLDADURA LIQUIDA PVC 1/4 GAL</t>
  </si>
  <si>
    <t>LAVAPLATOS EN ACERIO INOX</t>
  </si>
  <si>
    <t>Suministro e instalación de marco + puerta metálica  lámina llena + pintura, cal. 18. 1 m x 2 m.</t>
  </si>
  <si>
    <t xml:space="preserve">SOLDADOR ELECTRICO </t>
  </si>
  <si>
    <t>Lija de agua 320</t>
  </si>
  <si>
    <t>pliego</t>
  </si>
  <si>
    <t>bisagras 3*3"</t>
  </si>
  <si>
    <t xml:space="preserve">Thiner Disolvente </t>
  </si>
  <si>
    <t>Galón</t>
  </si>
  <si>
    <t>Esmalte Sintetico</t>
  </si>
  <si>
    <t>Lámina cold rolled c.18 de 122*244 cms</t>
  </si>
  <si>
    <t>Anticorrosivo</t>
  </si>
  <si>
    <t>soldadura 6013*1/8 varilla electrica west-arco</t>
  </si>
  <si>
    <t>Kls</t>
  </si>
  <si>
    <t>Falleva sobreponer 6"</t>
  </si>
  <si>
    <t>MORTERO 1:3 - 3980 psi - 280 Kg/ cm2</t>
  </si>
  <si>
    <t>CHAPA SIMILAR A YALE DE SEGURIDAD</t>
  </si>
  <si>
    <t>SUMINISTRO E INSTALACION DE LAMPARA FLUORECENTE 2X48</t>
  </si>
  <si>
    <t xml:space="preserve">HERREMIENTA MENOR </t>
  </si>
  <si>
    <t>Alambre Gavalnizado #18 mst/kls 1,24</t>
  </si>
  <si>
    <t>Lampara Fluorescente 2 X 48</t>
  </si>
  <si>
    <t>Oficial - Electrico (Incl. Prestaciones)</t>
  </si>
  <si>
    <t xml:space="preserve">ITEM :  TUBERIA SANITARIA 4'' </t>
  </si>
  <si>
    <t>HERREMIENTA MENOR</t>
  </si>
  <si>
    <t>Tubo PVC-S  4"</t>
  </si>
  <si>
    <t>ITEM :  Yee PVC 4 x 6"</t>
  </si>
  <si>
    <t>Gravilla para campo de filtracion</t>
  </si>
  <si>
    <t>Gravilla de 3/4</t>
  </si>
  <si>
    <t>Suministro e instalación VENTANA metálica  cal. 20 Incluye reja y vidrio.</t>
  </si>
  <si>
    <t>Masilla plástica panel int - exte 28 Kg</t>
  </si>
  <si>
    <t>Cuñete</t>
  </si>
  <si>
    <t>Lámina cold rolled c.20 de 122*244 cms</t>
  </si>
  <si>
    <t>Desmonte e instalación de Portón metálico Incluye resanes y los materiales necesarios.</t>
  </si>
  <si>
    <t>CONSTRUCCION DE POCETA ASEO EN LADRILLO TOLETE PAÑETADA</t>
  </si>
  <si>
    <t>ITEM :  Yee PVC 2 x 6"</t>
  </si>
  <si>
    <t xml:space="preserve">ITEM :  CODO SANITARIO PVC 6" </t>
  </si>
  <si>
    <t xml:space="preserve">ITEM :  CODO SANITARIO PVC 4" </t>
  </si>
  <si>
    <t xml:space="preserve">ITEM :  CODO SANITARIO PVC 2" </t>
  </si>
  <si>
    <t>ITEM :  SUMINISTRO E INSTALACIÓN DE LAVAMANOS TIPO INSTUCIONAL</t>
  </si>
  <si>
    <t>GRIFERIA Y ACCESORIOS TIPO ANTIBANDALICO</t>
  </si>
  <si>
    <t>ITEM :  SUMINISTRO E INSTALACIÓN DE SANITARIOS TIPO FLUXOMETRO - LINEA INSTITUCIONAL</t>
  </si>
  <si>
    <t xml:space="preserve">GRIFERIA Y ACCESORIOS </t>
  </si>
  <si>
    <t>ITEM :  SUMINISTRO E INSTALACIÓN DE DUCHAS PARA BAÑOS</t>
  </si>
  <si>
    <t>SUMINISTRO E INSTALACIÓN DE CANECAS METÁLICAS</t>
  </si>
  <si>
    <t>ITEM :  ACOMETIDA HIDRÁULICA 1/2". Incluye todos los  accesorios para un buen funcionamiento.</t>
  </si>
  <si>
    <t>ACCESORIOS PVC 4"</t>
  </si>
  <si>
    <t>ITEM :  REJILLA PISO BAÑO, INCLUYE SIFÓN Y ACCESORIOS</t>
  </si>
  <si>
    <t>CAJA DE INSPECCIÓN 60X60 CM LADRILLO</t>
  </si>
  <si>
    <t>ITEM :  CAJA DE INSPECCIÓN 1,20 X 1,20 M LADRILLO</t>
  </si>
  <si>
    <t>ITEM :  CAJA DE INSPECCIÓN 0,60X0,60 M LADRILLO</t>
  </si>
  <si>
    <t>REGISTRO DE PASO DIRECTO 1/2" (bola)</t>
  </si>
  <si>
    <t>SUMINISTRO E INSTALACIÓN DE TANQUE ALMACENAMIENTO DE AGUA PLÁSTICO  500 LTS. C/U. incluye flotador y todos los accesorios para un buen funcionamiento.</t>
  </si>
  <si>
    <t>Suministro e instalación de marco + puerta metálica  lámina llena + pintura, cal. 18. 0,50 a 0,80 m x 2 m.</t>
  </si>
  <si>
    <t>INFORMACIÓN TURÍSTICA MOGADOR</t>
  </si>
  <si>
    <t>Materiales requeridos para la construcción del Mogador Información turística</t>
  </si>
  <si>
    <t>SEÑALIZACION VERTICAL DE TRÁNSITO</t>
  </si>
  <si>
    <t>Lámina galvanizada C. 16 de 1,00 X 2,00 m.</t>
  </si>
  <si>
    <t>Angulo de 2"X1/2"X1/4"</t>
  </si>
  <si>
    <t>Pintura anticorrosiva</t>
  </si>
  <si>
    <t>Cinta reflectiva de alta densidad</t>
  </si>
  <si>
    <t>CAJA DE INSPECCIÓN (DE PASO) 40X40 CM H=0,60 M. EN CONCRETO SIMPLE DE 3.000 PSI. CON MARCO METÁLICO Y TAPA EN CONCRETO.</t>
  </si>
  <si>
    <t>VIDRIO PARA VENTANA 4 mm. PLANO</t>
  </si>
  <si>
    <t>Vidrio 4 mm</t>
  </si>
  <si>
    <t>ITEM:  RED CONTRA-INCENDIOS</t>
  </si>
  <si>
    <t>RED CONTRA-INCENDIOS</t>
  </si>
  <si>
    <t>ITEM: VALVULA DE PASO DE 1", INCLUYE CAJA EN PVC EMPOTRADA PARA SEGURIDAD.</t>
  </si>
  <si>
    <t>Valvula de Paso 1"</t>
  </si>
  <si>
    <t>Accesorios</t>
  </si>
  <si>
    <t>Caja plástica</t>
  </si>
  <si>
    <t>ITEM: SUMINISTRO E INSTALACIÓN DE MEDIDOR DE AGUA 1/2" INCLUYE: ACCESORIOS, BISCOCHO, TAPA HF, LLAVE DE CORTE Y TODO LO NECESARIO PARA SU BUEN FUNCIONAMIENTO</t>
  </si>
  <si>
    <t>Medidor de agua de 1/2"</t>
  </si>
  <si>
    <t>Bizcocho</t>
  </si>
  <si>
    <t>Tapa HF</t>
  </si>
  <si>
    <t>Llave de corte</t>
  </si>
  <si>
    <t>ITEM: SUMINISTRO E INSTALACIÓN DE ACCESORIOS Y BARRA PARA DISCAPACITADOS</t>
  </si>
  <si>
    <t>Incrustaciones y soporte en acero inoxidable para personas en estado de discapacidad</t>
  </si>
  <si>
    <t>Chazos, tornillos y accesorios</t>
  </si>
  <si>
    <t>PASO ESCALERA EN GRANITO LAVADO</t>
  </si>
  <si>
    <t>PASO ESCALERA EN GRANITO PULIDO</t>
  </si>
  <si>
    <t>ASEO OBRA. INCLUYE RETIRO Y BOTE DE MATERIALES EN SITIO AUTORIZADO.</t>
  </si>
  <si>
    <t>Transporte de Materiales</t>
  </si>
  <si>
    <t>ITEM: CIELO RASO EN DRYWALL</t>
  </si>
  <si>
    <t>ANDAMIOS</t>
  </si>
  <si>
    <t>GLO</t>
  </si>
  <si>
    <t>DRY WALL E=10 mm.</t>
  </si>
  <si>
    <t>ACCESORIOS, ESTRUCTURA DE SOPORTE, OMEGAS, VINILO, MASILLA, CINTAS, TORNILLERIA</t>
  </si>
  <si>
    <t>Suministro e instalación de luceta - marco metálico  cal. 18 0,30 X 0,30 m incluye malla</t>
  </si>
  <si>
    <t>Transportes varios</t>
  </si>
  <si>
    <t>ITEM: EQUIPO DE BOMBEO COMPLETO, INCLUYE MOTOBOMBA DE ALTA PRESIÓN 2"X2" 12 HP 20H CON ARRANCADOR, MÚLTIPLE DE SUCCIÓN Y DESCARGA DE 2", ACCESORIOS, ACOMETIDA ELÉCTRICA E INSTALACIÓN ELÉCTRICO Y PUESTA EN MARCHA.</t>
  </si>
  <si>
    <t>Suministro de motobomba alta presion 2x2 10 HP</t>
  </si>
  <si>
    <t xml:space="preserve">Suministro e instalación de arrancador directo estrella-triangulo </t>
  </si>
  <si>
    <t>Concentrica 2X3" RB</t>
  </si>
  <si>
    <t>Excentrica lamina 2x3" RB</t>
  </si>
  <si>
    <t>Brida HR 4"</t>
  </si>
  <si>
    <t>Niple galvanizado 4"x0,2 ml HG</t>
  </si>
  <si>
    <t>Niple galvanizado 4"x1,7 ml HG</t>
  </si>
  <si>
    <t>Codo galvanizado 4"</t>
  </si>
  <si>
    <t>Codo PVC 4"</t>
  </si>
  <si>
    <t>Adaptador macho 4"</t>
  </si>
  <si>
    <t>Embrague Neolite 3"</t>
  </si>
  <si>
    <t>Valvula de pie hidro HF 4"</t>
  </si>
  <si>
    <t>Kit manómetro glicerina 0-160 PSI</t>
  </si>
  <si>
    <t>Tornillo 5/8x2 1/2"</t>
  </si>
  <si>
    <t>válvula mariposa 4"</t>
  </si>
  <si>
    <t>Flotador mercurio</t>
  </si>
  <si>
    <t>Accesorios conduit equipo bombeo</t>
  </si>
  <si>
    <t>Flotador Mecanico</t>
  </si>
  <si>
    <t>Suministro e instalacion de breaker industrail ABB 3x60 amp.</t>
  </si>
  <si>
    <t>Caja para breaker</t>
  </si>
  <si>
    <t>Suministro e instalacion tuberia conduit 1.5"</t>
  </si>
  <si>
    <t xml:space="preserve">Suministro e instalacion cable No. 8 </t>
  </si>
  <si>
    <t>Accesorios conduit</t>
  </si>
  <si>
    <t xml:space="preserve">Suministro e instalacion de cable baja No. 10 </t>
  </si>
  <si>
    <t>Suministro e instalacion linea tierra No. 10</t>
  </si>
  <si>
    <t>ITEM: SUMINISTRO E INSTALACIÓN DE ASPERSOR DE VÁLVULAS SOLENOIDES 2" - INCLUYE CAJA DE INSPECCIÓN</t>
  </si>
  <si>
    <t>Valvula Solenoide 2"</t>
  </si>
  <si>
    <t>Caja plastica de inspeccion</t>
  </si>
  <si>
    <t>Accesorios de consexion en PVC</t>
  </si>
  <si>
    <t>Cable intemperie para conexión</t>
  </si>
  <si>
    <t>ITEM: ASPERSORES POP UP TURBO T - 3, INCLUYE SWING JOINT  ARTICULADO</t>
  </si>
  <si>
    <t>Aspersor de rotor r= 21 ml.</t>
  </si>
  <si>
    <t>swing-joint 1"</t>
  </si>
  <si>
    <t>ITEM: TANQUE PREFABRICADO EN FIBRA DE VIDRIO DE CAPACIDAD DE ALMACENAMIENTO DE 60 M3, EN FIBRA DE VIDRIO, INCLUYE TODOS LOS ACCESORIOS PARA SU CORRECTA INSTALACIÓN</t>
  </si>
  <si>
    <t>TANQUE EN PVP FIBRA DE VIDRIO</t>
  </si>
  <si>
    <t>CORREA DE SUJECION</t>
  </si>
  <si>
    <t>RETROEXCAVADORA</t>
  </si>
  <si>
    <t>HORA</t>
  </si>
  <si>
    <t>VOLQUETA</t>
  </si>
  <si>
    <t>SUB-BASE COMPACTADO</t>
  </si>
  <si>
    <t>GRAVA RELLENO</t>
  </si>
  <si>
    <t>TRANSPORTE DE TANQUE EN DOBLETROQUE</t>
  </si>
  <si>
    <t>ITEM: TUBERÍA PVC DE 2" RDE 21</t>
  </si>
  <si>
    <t>ITEM: TUBERÍA PVC DE 4" RDE 21</t>
  </si>
  <si>
    <t>ITEM: TUBERÍA DE DRENAJE EN PVC PERFORADA DE 6" (INCLUYE: TUBERÍA, ZANJADO, ARENA Y MANO DE OBRA)</t>
  </si>
  <si>
    <t>TUBO DREN PVC DE 6"</t>
  </si>
  <si>
    <t>ITEM: TUBERÍA DE DRENAJE EN PVC PERFORADA DE 4" (INCLUYE: TUBERÍA, ZANJADO, ARENA Y MANO DE OBRA)</t>
  </si>
  <si>
    <t>TUBO DREN PVC DE 4"</t>
  </si>
  <si>
    <t>ITEM: SUMINISTRO E INSTALACION DE TUBERIA NOVAFORT 12" (INCLUYE: Tuberia, zanjado, arena y mano de obra)</t>
  </si>
  <si>
    <t>TUBERÍA NOVAFORT 12"</t>
  </si>
  <si>
    <t>APU´s SISTEMA CONTRAINCENDIO</t>
  </si>
  <si>
    <t>VR. UNIT</t>
  </si>
  <si>
    <t>VR. TOTAL</t>
  </si>
  <si>
    <t>CUARTO DE BOMBAS- INCLUYE: SUMINISTRO E INSTALACIÓN DE EQUIPOS MATERIALES, MANO DE OBRA Y TODO LO NECESARIO</t>
  </si>
  <si>
    <t>TUBERIA DE ACERO CON COSTURA SCH 40 Ø3" - ASTM A 53</t>
  </si>
  <si>
    <t>m</t>
  </si>
  <si>
    <t>TUBERIA DE ACERO CON COSTURA SCH 40 Ø4" - ASTM A 53</t>
  </si>
  <si>
    <t>TUBERIA ESTRUCTURAL PARA EXHOSTO Ø3"</t>
  </si>
  <si>
    <t>TUBERIA DE ACERO CON COSTURA SCH 40 Ø2½" - ASTM A 53</t>
  </si>
  <si>
    <t>TUBERIA DE ACERO CON COSTURA SCH 40 Ø1½" - ASTM A 53</t>
  </si>
  <si>
    <t>TUBERIA DE ACERO CON COSTURA SCH 40 Ø1¼" - ASTM A 53</t>
  </si>
  <si>
    <t>TUBERIA DE ACERO CON COSTURA SCH 40 Ø1" - ASTM A 53</t>
  </si>
  <si>
    <t>TUBERIA DE ACERO CON COSTURA SCH 40 Ø¾" - ASTM A 53</t>
  </si>
  <si>
    <t>TUBERIA DE ACERO CON COSTURA SCH 40 Ø½" - ASTM A 53</t>
  </si>
  <si>
    <t>TUBERIA DE COBRE ASTM B-88 Tipo L Ø½"</t>
  </si>
  <si>
    <t>TUBERIA DE ACERO CON COSTURA SCH 40 Ø3/8" - ASTM A 53</t>
  </si>
  <si>
    <t>CODO 90° AC RANURADO CLASE 150  Ø4" UL / FM</t>
  </si>
  <si>
    <t>CODO 90° AC SOLDADO CLASE 150  Ø4" UL / FM</t>
  </si>
  <si>
    <t>CODO 90° AC ROSCADO CLASE 150  Ø1½" UL / FM</t>
  </si>
  <si>
    <t>CODO 90° AC ROSCADO CLASE 150  Ø1¼" UL / FM</t>
  </si>
  <si>
    <t>CODO 90° AC ROSCADO CLASE 150  Ø1" UL / FM</t>
  </si>
  <si>
    <t>CODO 90° AC ROSCADO CLASE 150  Ø¾" UL / FM</t>
  </si>
  <si>
    <t>CODO 90° AC ROSCADO CLASE 150  Ø½" UL / FM</t>
  </si>
  <si>
    <t>CODO 90° COBRE SOLDADO  Ø½" UL / FM</t>
  </si>
  <si>
    <t>CODO 90° AC ROSCADO CLASE 150  Ø3/8" UL / FM</t>
  </si>
  <si>
    <t>TEE AC RANURADO CLASE 150  Ø4" UL / FM</t>
  </si>
  <si>
    <t>TEE AC SOLDADO CLASE 150  Ø4" UL / FM</t>
  </si>
  <si>
    <t>TEE AC ROSCADA CLASE 150  Ø1¼" UL / FM</t>
  </si>
  <si>
    <t>TEE AC ROSCADA CLASE 150  Ø1" UL / FM</t>
  </si>
  <si>
    <t>TEE COBRE SOLDADO  Ø½" UL / FM</t>
  </si>
  <si>
    <t>CRUZ AC ROSCADA CLASE 150 Ø1¼</t>
  </si>
  <si>
    <t>TEE AC ROSCADA CLASE 150  Ø½" UL / FM</t>
  </si>
  <si>
    <t>REDUCCIÓN EXCENTRICA SOLDADA Ø4" x 3 (SUCCIÓN)</t>
  </si>
  <si>
    <t>REDUCCIÓN CONCETRICA SOLDADA Ø4" x 3 (DESCARGA)</t>
  </si>
  <si>
    <t>REDUCCIÓN CONCETRICA SOLDADA Ø4" x 3 (ALIVIO)</t>
  </si>
  <si>
    <t>REDUCCION COPA ROSCADA CLASE 150 Ø1¼" x ¾" UL / FM</t>
  </si>
  <si>
    <t>REDUCCION COPA COBRE ROSCADA CLASE 150 Ø½" x ¼" UL / FM</t>
  </si>
  <si>
    <t>REDUCCION BUSHING CLASE 150 Ø1" x ½" UL / FM</t>
  </si>
  <si>
    <t>REDUCCION BUSHING CLASE 150 Ø½" x ¼" UL / FM</t>
  </si>
  <si>
    <t>REDUCCION BUSHING CLASE 150 Ø1¼" x 1½" UL / FM</t>
  </si>
  <si>
    <t>REDUCCION BUSHING CLASE 150 Ø1¼" x 1" UL / FM</t>
  </si>
  <si>
    <t>REDUCCION BUSHING CLASE 150 Ø1¼" x ½" UL / FM</t>
  </si>
  <si>
    <t>REDUCCION BUSHING CLASE 150 Ø1¼" x ¾" UL / FM</t>
  </si>
  <si>
    <t>WELD OUTLET ROSCADA CLASE 150 Ø1½" x ¼" UL / FM</t>
  </si>
  <si>
    <t>WELD OUTLET ROSCADA CLASE 150 Ø4" x 2½" UL / FM</t>
  </si>
  <si>
    <t>MECHANICAL TEE ROSCADA CON PERNO EN U CLASE 150 Ø1¼" x ½" UL/FM</t>
  </si>
  <si>
    <t>MECHANICAL TEE ROSCADA CLASE 150 Ø4" x 1¼" UL/FM</t>
  </si>
  <si>
    <t>MECHANICAL TEE ROSCADA CLASE 150 Ø4" x 1" UL/FM</t>
  </si>
  <si>
    <t>MECHANICAL TEE ROSCADA CLASE 150 Ø4" x 1½" UL/FM</t>
  </si>
  <si>
    <t>BOMBA DIESEL HORIZONTAL CARCAZA BIPARTIDA 250 GPM @ 90 PSI</t>
  </si>
  <si>
    <t>BOMBA JOCKEY 5 GPM @ 100 PSI</t>
  </si>
  <si>
    <t>TANQUE DE ACPM (VERIFICAR CAPACIDAD CON FABRICANTE). DEBE INCLUIR TODOS LOS COMPONENTES PARA EL LLENADO Y LA MEDICION</t>
  </si>
  <si>
    <t>EXHOSTO (DEBE INCLUIR ACCESORIOS)</t>
  </si>
  <si>
    <t>AISLANTE TERMICO DE ALTA TEMPERATURA PARA EXHOSTO</t>
  </si>
  <si>
    <t>MANOMETRO LISTADO UL/FM CARATULA 4" MIN RANGO 0 A 400 PSI</t>
  </si>
  <si>
    <t>MANOVACUOMETRO LISTADO UL/FM CARATULA 4" RANGO -3 A 300 PSI</t>
  </si>
  <si>
    <t xml:space="preserve">FILTRO ACPM CON TAPA Ø 1/2" B-10AL          </t>
  </si>
  <si>
    <t>CONTROLADOR BOMBA DIESEL UL / FM</t>
  </si>
  <si>
    <t>CONTROLADOR BOMBA JOCKEY APROBADO</t>
  </si>
  <si>
    <t>CAUDALIMETRO RANURADO Ø4" UL/FM</t>
  </si>
  <si>
    <t>UNION RIGIDA RANURADA CLASE 150 Ø4" UL/FM</t>
  </si>
  <si>
    <t>UNION FLEXIBLE RANURADA CLASE 150 Ø4" UL/FM</t>
  </si>
  <si>
    <t>UNION UNIVERSAL ROSCADA CLASE 150 Ø1¼"</t>
  </si>
  <si>
    <t>UNION UNIVERSAL ROSCADA CLASE 150 Ø¾"</t>
  </si>
  <si>
    <t>UNION UNIVERSAL ROSCADA CLASE 150 Ø½"</t>
  </si>
  <si>
    <t>UNION UNIVERSAL ROSCADA CLASE 150 Ø3/8"</t>
  </si>
  <si>
    <t>ADAPTADOR MACHO PARA SOLDAR EN COBRE Ø1/2”</t>
  </si>
  <si>
    <t>ADAPTADOR HEMBRA PARA SOLDAR EN COBRE Ø1/2”</t>
  </si>
  <si>
    <t>ROCIADOR TIPO UP-RIGHT, FACTOR K:11,2, TEMP: 200°f, SR, COBERTURA ESTANDAR, NPT:¾", PRESION DE TRABAJO 175 PSI.</t>
  </si>
  <si>
    <t>STOCK ROCIADOR TIPO UP-RIGHT, FACTOR K:11,2, TEMP: 200°f, SR, COBERTURA ESTANDAR, NPT:¾", PRESION DE TRABAJO 175 PSI.</t>
  </si>
  <si>
    <t>TAPON HEMBRA AC ROSCADO CLASE 150 Ø2" UL/FM</t>
  </si>
  <si>
    <t>TAPON MACHO AC ROSCADO CLASE 150 Ø¼" UL/FM</t>
  </si>
  <si>
    <t>TAPON AC SOLDADO CLASE 150 Ø4" UL/FM</t>
  </si>
  <si>
    <t>VALVULA TIPO COMPUERTA BRONCE ROSCADA CLASE 150 Ø1" - APROBADO</t>
  </si>
  <si>
    <t>VALVULA DE ALIVIO DE PRESION ROSCADA Ø½" - RATEADA 250 PSI, AGF MODEL 7000 UL/FM</t>
  </si>
  <si>
    <t>VALVULA TIPO COMPUERTA BRONCE ROSCADA CLASE 150 Ø½" - APROBADO</t>
  </si>
  <si>
    <t>VALVULA DESAIREADORA ROSCADA Ø½"</t>
  </si>
  <si>
    <t>MANOMETRO LISTADO UL/FM CARATULA 4" MIN RANGO 0 A 300 PSI</t>
  </si>
  <si>
    <t>SENSOR DE FLUJO TIPO PALETA Ø1½"</t>
  </si>
  <si>
    <t>VALVULA MARIPOSA ROSCADA SUPERVISADA CLASE 150 Ø1½"</t>
  </si>
  <si>
    <t>VALVULA CHEQUE ROSCADA CLASE 150 - Ø1½”</t>
  </si>
  <si>
    <t>VALVULA CHEQUE ROSCADA CLASE 150 Ø½"</t>
  </si>
  <si>
    <t>VALVULA CHEQUE TIPO GLOBO ROSCADA CLASE 150 Ø1¼"</t>
  </si>
  <si>
    <t>VALVULA MARIPOSA RANURADA SUPERVISADA Ø4"</t>
  </si>
  <si>
    <t>VALVULA EN ANGULO H/M CLASE 150 Ø2½"</t>
  </si>
  <si>
    <t>VALVULA DE ALIVIO BRIDADA DE RECIRCULACION 250/150 Ø3"</t>
  </si>
  <si>
    <t>CONO BRIDADO DE DESCARGA CON VISOR 250/150 Ø4" x 3"</t>
  </si>
  <si>
    <t>VALVULA CHEQUE RANURADA CLASE 150 Ø4" (HORIZONTAL)</t>
  </si>
  <si>
    <t>VALVULA TIPO COMPUERTA BRONCE ROSCADA CLASE 150 Ø½"</t>
  </si>
  <si>
    <t>VALVULA TIPO COMPUERTA BRONCE ROSCADA CLASE 150 Ø1¼"</t>
  </si>
  <si>
    <t>VALVULA COMPUERTA OS&amp;Y BRIDADA CLASE 150 Ø4"</t>
  </si>
  <si>
    <t>MANGUERA FLEXIBLE HEMBRA/MACHO NPT 1/2” PARA ACPM</t>
  </si>
  <si>
    <t>MANGUERA FLEXIBLE HEMBRA/MACHO NPT 3/8” PARA ACPM</t>
  </si>
  <si>
    <t>SOPORTE PARA EL TANQUE DE ACPM</t>
  </si>
  <si>
    <t xml:space="preserve">CODO 90 ACERO SOLDADO GALVANIZADO EN CALIENTE CLASE 150 Ø 4¨                             </t>
  </si>
  <si>
    <t>PLACA ANTI-VORTICE ACERO GLAVANIZADO EN CALIENTE 8" x 8" x ¼"</t>
  </si>
  <si>
    <t>BRIDA SOLDADA 150 LBS ANSI B16.5 - SLIP ON Ø4" GLAVANIZADO EN CALIENTE</t>
  </si>
  <si>
    <t>TUBERIA DE ACERO CON COSTURA SCH 40 Ø4" - ASTM A 53 GALVANIZADA EN CALIENTE</t>
  </si>
  <si>
    <t>TUBERIA DE ACERO CON COSTURA SCH 40 Ø1" - ASTM A 53 GALVANIZADA EN CALIENTE (Bases de la placa antivortice)</t>
  </si>
  <si>
    <t>PLACA PASAMURO 8" x 8" x ¼" ESPESOR GALVANIZADA EN CALIENTE</t>
  </si>
  <si>
    <t xml:space="preserve">BATERIA P/BOMBA DIESEL TIPO D 12V 1500AMP DE ARRANQUE  </t>
  </si>
  <si>
    <t xml:space="preserve">CABLE T/SOLDADOR CU AWG # 2/0                          </t>
  </si>
  <si>
    <t>TERMINAL OJO ELECTROPLATEADA AWG NO3/0</t>
  </si>
  <si>
    <t>CALEADO, TUBERIA Y ACCESORIOS PARA LA CONEXIÓN ELECTRICA DE LA BOMBA CONTRA INCENDIO.</t>
  </si>
  <si>
    <t>BRIDA SOLDADA 300 LBS ANSI B16.5 - SLIP ON Ø3" (DESCARGA BOMBA)</t>
  </si>
  <si>
    <t>BRIDA SOLDADA 300 LBS ANSI B16.5 - SLIP ON Ø3" (SUCCIÓN BOMBA)</t>
  </si>
  <si>
    <t>SOPORTE TIPO PERA CON CHAZO Ø1¼"</t>
  </si>
  <si>
    <t>SOPORTE TIPO PERA CON CHAZO Ø1"</t>
  </si>
  <si>
    <t>SOPORTE TIPO PERA CON CHAZO Ø4"</t>
  </si>
  <si>
    <t>ABRAZADERA T. APRETADO Ø1¼" CON PERFIL MECANO DE 41 x 41 mm, INCLUYE ELEMENTOS DE FIJACION A LA ESTRUCTURA</t>
  </si>
  <si>
    <t>ABRAZADERA T. APRETADO Ø¾" CON PERFIL MECANO DE 41 x 41 mm, INCLUYE ELEMENTOS DE FIJACION A LA ESTRUCTURA (AJUSTAR EN CAMPO)</t>
  </si>
  <si>
    <t>ABRAZADERA T. APRETADO Ø3/8" CON PERFIL MECANO DE 41 x 41 mm, INCLUYE ELEMENTOS DE FIJACION A LA ESTRUCTURA (AJUSTAR EN CAMPO)</t>
  </si>
  <si>
    <t>ABRAZADERA T. APRETADO Ø1" CON PERFIL MECANO DE 41 x 41 mm, INCLUYE ELEMENTOS DE FIJACION A LA ESTRUCTURA</t>
  </si>
  <si>
    <t>ABRAZADERA T. APRETADO Ø1½" CON PERFIL MECANO DE 41 x 41 mm, INCLUYE ELEMENTOS DE FIJACION A LA ESTRUCTURA</t>
  </si>
  <si>
    <t>ABRAZADERA T. APRETADO Ø½" CON PERFIL MECANO DE 41 x 41 mm, INCLUYE ELEMENTOS DE FIJACION A LA ESTRUCTURA</t>
  </si>
  <si>
    <t>SOPORTE CANAL EN C VERTICAL Ø4" (GALVANIZADO EN CALIENTE)</t>
  </si>
  <si>
    <t>SOPORTE CANAL EN C HORIZONTAL DE PISO Ø4" (GALV. EN CALIENTE)</t>
  </si>
  <si>
    <t>SOPORTE SISMO-RESISTENTE 4 VIAS Ø4"</t>
  </si>
  <si>
    <t>SOPORTE SISMO-RESISTENTE TRANSVERSAL Ø4"</t>
  </si>
  <si>
    <t>SOPORTE SISMO-RESISTENTE LONGITUDINAL Ø4"</t>
  </si>
  <si>
    <t>VÁLVULA DE FLOTADOR MODULANTE MODELO 206-F-TIPO 4 - Ø3"</t>
  </si>
  <si>
    <t xml:space="preserve">VALVULA TIPO GLOBO ROSCADA BR CLASE 150 - Ø1/2 ”
</t>
  </si>
  <si>
    <t>VÁLVULA COMPUERTA BRIDADA CLASE 150 - OS&amp;Y Ø3"</t>
  </si>
  <si>
    <t>PILOTO FLOTADOR MODULANTE MODELO R-400</t>
  </si>
  <si>
    <t>VÁLVULA COMPUERTA ROSCADA CLASE 150 - OS&amp;Y Ø1½"</t>
  </si>
  <si>
    <t>PLACA PASAMURO EN ACERO GALVANIZADO EN CALIENTE - DIMENSIONES 5" x 5" x ¼"</t>
  </si>
  <si>
    <t>SENSOR DE FLUJO Ø4"</t>
  </si>
  <si>
    <t>SUMINISTRO E INSTALACIÓN DE EXTINTORES</t>
  </si>
  <si>
    <t>EXTINTOR MULTIPROPOSITO ABC 10 LBS con Gabinete</t>
  </si>
  <si>
    <t>Unds</t>
  </si>
  <si>
    <t>SISTEMA GENERAL DE EXTINCIÓN - SUMINISTRO E INSTALACIÓN DE EQUIPOS MATERIALES, MANO DE OBRA Y TODO LO NECESARIO</t>
  </si>
  <si>
    <t>TUBERIA DE ACERO CON COSTURA SCH 10 Ø4" - ASTM A795</t>
  </si>
  <si>
    <t>TUBERIA DE ACERO CON COSTURA SCH 10 Ø2" - ASTM A795</t>
  </si>
  <si>
    <t>TUBERIA DE ACERO CON COSTURA SCH 10 Ø2½" - ASTM A795</t>
  </si>
  <si>
    <t>TUBERIA DE ACERO CON COSTURA SCH 10 Ø1½" - ASTM A795</t>
  </si>
  <si>
    <t>TUBERIA DE ACERO CON COSTURA SCH 40 Ø2½" - ASTM A53</t>
  </si>
  <si>
    <t>TUBERIA DE ACERO CON COSTURA SCH 40 Ø2" - ASTM A53</t>
  </si>
  <si>
    <t>TUBERIA DE ACERO CON COSTURA SCH 40 Ø1¼" - ASTM A53</t>
  </si>
  <si>
    <t>TUBERIA DE ACERO CON COSTURA SCH 40 Ø1½" - ASTM A53</t>
  </si>
  <si>
    <t>TUBERIA DE ACERO CON COSTURA SCH 40 Ø1" - ASTM A53</t>
  </si>
  <si>
    <t>TUBERIA DE ACERO CON COSTURA SCH 40 Ø¾" - ASTM A53 (DRENAJE)</t>
  </si>
  <si>
    <t>TUBERIA PLASTICA PVC RDE 18 (235 PSI) Ø4" - AWWA C900</t>
  </si>
  <si>
    <t>CODO 90° AC RANURADO CLASE 150  Ø2" UL / FM</t>
  </si>
  <si>
    <t>CODO 90° AC RANURADO CLASE 150  Ø2½" UL / FM</t>
  </si>
  <si>
    <t>CODO 90° AC RANURADO CLASE 150  Ø1¼" UL / FM</t>
  </si>
  <si>
    <t>CODO 90° AC RANURADO CLASE 150  Ø1½" UL / FM</t>
  </si>
  <si>
    <t>CODO 90° AC ROSCADO CLASE 150  Ø2" UL / FM (DRENAJES)</t>
  </si>
  <si>
    <t>CODO 90° AC SOLDADO CLASE 150  Ø2½" UL / FM</t>
  </si>
  <si>
    <t>CODO 90° PLASTICO PVC RDE 18 (235 PSI) Ø4" - AWWA C900</t>
  </si>
  <si>
    <t>BRIDA RANURADA CLASE 150 Ø4" - UL, FM, ASME o ASTM</t>
  </si>
  <si>
    <t>KIT ADAPTADOR RESTRICTOR - BRIDADO SERIE 4200 PVC Ø4" ASME o ASTM</t>
  </si>
  <si>
    <t>RESTRICTOR DE MOVIMIENTO TUBO/ACCESORIO SERIE 1200 Ø4" - AWWA C907</t>
  </si>
  <si>
    <t>RESTRICTOR DE MOVIMIENTO TUBO/TUBO SERIE 1000 Ø4" - AWWA C907</t>
  </si>
  <si>
    <t>TEE AC RANURADA CLASE 150  Ø4" UL / FM</t>
  </si>
  <si>
    <t>TEE AC RANURADA CLASE 150  Ø2½" UL / FM</t>
  </si>
  <si>
    <t>TEE AC RANURADA CLASE 150  Ø2" UL / FM</t>
  </si>
  <si>
    <t>MECHANICAL TEE RANURADA CLASE 150 Ø4" x 2½" UL/FM</t>
  </si>
  <si>
    <t>MECHANICAL TEE RANURADA CLASE 150 Ø4" x 2" UL/FM</t>
  </si>
  <si>
    <t>MECHANICAL TEE RANURADA CLASE 150 Ø2½" x 1½" UL/FM</t>
  </si>
  <si>
    <t>MECHANICAL TEE ROSCADA CLASE 150 Ø2" x 1¼" UL/FM</t>
  </si>
  <si>
    <t>MECHANICAL TEE ROSCADA CLASE 150 Ø2" x 1½" UL/FM</t>
  </si>
  <si>
    <t>MECHANICAL TEE ROSCADA CLASE 150 Ø4" x 2½" UL/FM (TOMAS FIJAS)</t>
  </si>
  <si>
    <t xml:space="preserve">MECHANICAL TEE ROSCADA CLASE 150 Ø4" x 2" UL/FM </t>
  </si>
  <si>
    <t xml:space="preserve">MECHANICAL TEE ROSCADA CLASE 150 Ø4" x 1" UL/FM </t>
  </si>
  <si>
    <t xml:space="preserve">MECHANICAL TEE ROSCADA CLASE 150 Ø1½" x 1" UL/FM - PERNO EN U </t>
  </si>
  <si>
    <t>MECHANICAL TEE ROSCADA CLASE 150 Ø1¼" x 1" UL/FM - PERNO EN U</t>
  </si>
  <si>
    <t>MECHANICAL TEE ROSCADA CLASE 150 Ø2½" x 1" UL/FM - PERNO EN U</t>
  </si>
  <si>
    <t xml:space="preserve">MECHANICAL TEE ROSCADA CLASE 150 Ø2" x 1" UL/FM </t>
  </si>
  <si>
    <t>REDUCCIÓN RANURADA CLASE 150 4" x 2½" UL/FM</t>
  </si>
  <si>
    <t>REDUCCIÓN RANURADA CLASE 150 2" x 1½" UL/FM</t>
  </si>
  <si>
    <t>REDUCCIÓN BUSHING O TUERCA 1" x ½"</t>
  </si>
  <si>
    <t xml:space="preserve">REDUCCIÓN COPA ROSCADA CLASE 150 1½" x 1¼" </t>
  </si>
  <si>
    <t xml:space="preserve">REDUCCIÓN COPA ROSCADA CLASE 150 1¼" x 1" </t>
  </si>
  <si>
    <t xml:space="preserve">REDUCCIÓN COPA ROSCADA CLASE 150 1" x ½" </t>
  </si>
  <si>
    <t>WELD OUTLET AC ROSCADA CLASE 150 Ø4" x 1"</t>
  </si>
  <si>
    <t>WELD OUTLET AC ROSCADA CLASE 150 Ø1" x ¼"</t>
  </si>
  <si>
    <t>WELD OUTLET AC ROSCADA CLASE 150 Ø2½" x ¼"</t>
  </si>
  <si>
    <t>WELD OUTLET AC ROSCADA CLASE 150 Ø4" x ¼"</t>
  </si>
  <si>
    <t>UNION RIGIDA RANURADA CLASE 150 Ø2½" UL/FM</t>
  </si>
  <si>
    <t>UNION RIGIDA RANURADA CLASE 150 Ø1½" UL/FM</t>
  </si>
  <si>
    <t>UNION RIGIDA RANURADA CLASE 150 Ø1¼" UL/FM</t>
  </si>
  <si>
    <t>UNION RIGIDA RANURADA CLASE 150 Ø2" UL/FM</t>
  </si>
  <si>
    <t>UNIÓN UNIVERSAL ROSCADA CLASE 150 Ø½" APROBADA</t>
  </si>
  <si>
    <t>UNION FLEXIBLE RANURADA CLASE 150 Ø1½" UL/FM</t>
  </si>
  <si>
    <t>UNION FLEXIBLE RANURADA CLASE 150 Ø2½" UL/FM</t>
  </si>
  <si>
    <t>UNION FLEXIBLE RANURADA CLASE 150 Ø2" UL/FM</t>
  </si>
  <si>
    <t>TAPON AC RANURADO CLASE 150 Ø2" UL/FM</t>
  </si>
  <si>
    <t>TAPON AC RANURADO CLASE 150 Ø2½" UL/FM</t>
  </si>
  <si>
    <t>TAPON AC RANURADO CLASE 150 Ø4" UL/FM</t>
  </si>
  <si>
    <t>VÁLVULA EN ANGULO 2½" - BRONCE</t>
  </si>
  <si>
    <t>TAPA Y CADENA EN BRONCE Ø2½"</t>
  </si>
  <si>
    <t>ROCIADOR TIPO PENDENT K:5.6, NPT ½", COBERTURA ESTANDAR, TEMPERATURA: 155°F, QR. ACABADO BLANCO - UL/FM</t>
  </si>
  <si>
    <t>STOCK ROCIADOR TIPO PENDENT K:5.6, NPT ½", COBERTURA ESTANDAR, TEMPERATURA: 155°F, QR. ACABADO BLANCO - UL/FM</t>
  </si>
  <si>
    <t>ESCUDO PARA ROCIADOR K:5.6 - PENDENT</t>
  </si>
  <si>
    <t>PORTA ESCUDO PARA ROCIADOR K:5,6 PENDENT</t>
  </si>
  <si>
    <t>SENSOR DE FLUJO Ø2" - UL/FM</t>
  </si>
  <si>
    <t>VALVULA MARIPOSA RANURADA SUPERVISADA CLASE 150 - Ø2" - UL/FM</t>
  </si>
  <si>
    <t>VALVULA CHEQUE RANURADA Ø2" CON TRIM DE DRENAJE Ø¾" Y MANOMETROS - UL/FM</t>
  </si>
  <si>
    <t>MANOMETRO LISTADO UL/FM CARATULA 4" RANGO 0 A 300 PSI</t>
  </si>
  <si>
    <t xml:space="preserve">VALVULA DESAIREADORA ROSCADA Ø½" - </t>
  </si>
  <si>
    <t>VALVULA DE ALIVIO DE PRESIÓN ROSCADA Ø½"</t>
  </si>
  <si>
    <t>VALVULA MARIPOSA RANURADA SUPERVISADA CLASE 150 - Ø4"</t>
  </si>
  <si>
    <t>VALVULA PARA PRUEBA Y DRENAJE Ø1" - ORIFICIO K5.5 MODEL 10001000500</t>
  </si>
  <si>
    <t>VALVULA GLOBO TIPO COMPUERTA Ø2" EN BRONCE</t>
  </si>
  <si>
    <t>VALVULA EN ANGULO Ø2" EN BRONCE</t>
  </si>
  <si>
    <t>GABINETE DE MANGUERAS CLASE III</t>
  </si>
  <si>
    <t>GABINETE DE MANGUERAS CLASE II</t>
  </si>
  <si>
    <t>SOPORTE TIPO MENSULA Ø2½"</t>
  </si>
  <si>
    <t>SOPORTE TIPO MENSULA Ø2"</t>
  </si>
  <si>
    <t>SOPORTE TIPO MENSULA Ø4"</t>
  </si>
  <si>
    <t>ABRAZADERA T. APRETADO Ø1" MAS PERFIL MECANO</t>
  </si>
  <si>
    <t>ABRAZADERA T. APRETADO Ø¾" MAS PERFIL MECANO</t>
  </si>
  <si>
    <t>ABRAZADERA T. APRETADO Ø2" MAS PERFIL MECANO</t>
  </si>
  <si>
    <t>SOPORTE PARA FIJACIÓN DEL GABINETE A LA PARED</t>
  </si>
  <si>
    <t>SOPORTE TIPO PERA CON PLATINA DE DOS PERFORACIONES Ø1½"</t>
  </si>
  <si>
    <t>SOPORTE TIPO PERA CON PLATINA DE DOS PERFORACIONES Ø1¼"</t>
  </si>
  <si>
    <t>SOPORTE TIPO PERA CON PLATINA DE DOS PERFORACIONES Ø1"</t>
  </si>
  <si>
    <t>SOPORTE TIPO PERA CON PLATINA DE DOS PERFORACIONES Ø4"</t>
  </si>
  <si>
    <t>SOPORTE TIPO PERA CON PLATINA DE DOS PERFORACIONES Ø2½"</t>
  </si>
  <si>
    <t>SOPORTE TIPO PERA CON PLATINA DE DOS PERFORACIONES Ø2"</t>
  </si>
  <si>
    <t>SOPORTE SISMO-RESISTENTE TRANSVERSAL Ø2½"</t>
  </si>
  <si>
    <t>SOPORTE SISMO-RESISTENTE LONGITUDINAL Ø2½"</t>
  </si>
  <si>
    <t>SOPORTE SISMO-RESISTENTE TRANSVERSAL Ø2"</t>
  </si>
  <si>
    <t>SOPORTE SISMO-RESISTENTE LONGITUDINAL Ø2"</t>
  </si>
  <si>
    <t>SOPORTE SISMO-RESISTENTE 4 VIAS Ø2"</t>
  </si>
  <si>
    <t>SOPORTE SISMO-RESISTENTE 4 VIAS Ø1½"</t>
  </si>
  <si>
    <t>SOPORTE SISMO-RESISTENTE 4 VIAS Ø2½"</t>
  </si>
  <si>
    <t>SIAMESA DOBLE LLAVE EN BRONCE Ø 4" X 2 ½" x 2½"</t>
  </si>
  <si>
    <t>VALVULA CHEQUE RANURADA HORIZONTAL CLASE 150 - Ø 4”</t>
  </si>
  <si>
    <t>10.4</t>
  </si>
  <si>
    <t>SISTEMA GENERAL DE DETECCIÓN - SUMINISTRO E INSTALACIÓN DE EQUIPOS MATERIALES, MANO DE OBRA Y TODO LO NECESARIO</t>
  </si>
  <si>
    <t>TUBERIA CONDUIT EMT Ø¾"</t>
  </si>
  <si>
    <t>TUBERIA CONDUIT PVC ELECTRICA Ø¾"</t>
  </si>
  <si>
    <t>TUBERIA COPEX Ø¾"</t>
  </si>
  <si>
    <t>CABLE CONTROL APANTALLADO FPLR SOLIDO AWG 2 X 14 (NOTIFICACIÓN.)</t>
  </si>
  <si>
    <t>CABLE CONTROL NO APANTALLADO FPLR SOLIDO AWG 2 X 14 (INICIACIÓN)</t>
  </si>
  <si>
    <t>CABLE CONTROL APANTALLADO FPLR SOLIDO AWG 2 X 16 (NOTIFICACIÓN.)</t>
  </si>
  <si>
    <t>CABLE CONTROL NO APANTALLADO FPLR SOLIDO AWG 2 X 16 (INICIACIÓN)</t>
  </si>
  <si>
    <t>SENSOR DE HUMO FOTOELECTRICO DIRECCIONABLE</t>
  </si>
  <si>
    <t>SENSOR TERMICO DIRECCIONABLE SETEADO 135°f</t>
  </si>
  <si>
    <t>BASE PARA SENSOR DE HUMO DIRECCIONABLE</t>
  </si>
  <si>
    <t>BASE PARA SENSOR DE TERMICO DIRECCIONABLE</t>
  </si>
  <si>
    <t>ESTACIÓN MANUAL DIRECCIONABLE DOBLE ACCIÓN</t>
  </si>
  <si>
    <t>STOPPER PARA INTEMPERIE (VER FICHA TECNICA).</t>
  </si>
  <si>
    <t>PANEL CONTRA INCENDIOS 4007ES CON 3A, Class B, UN IDNAC SLC DE HASTA 127 DISPOSITIVOS DE NOTIFICACIÓN DIRECCIONABLE, INCLUYE IDNet+ COMUNICACIONES PARA 100 PUNTOS DIRECCIONABLES</t>
  </si>
  <si>
    <t>IDNET LOOP EXPANSION 4007-9803 (75 PUNTOS DIRECCIONABLES)</t>
  </si>
  <si>
    <t>BATERÍA 17AH 12 VOLTIOS PARA PANEL 4007 ES</t>
  </si>
  <si>
    <t xml:space="preserve">SOPORTE PARA FIJACION DEL PANEL </t>
  </si>
  <si>
    <t>4009 IDNAC Repeater Spur Wired - RED 4009-9602</t>
  </si>
  <si>
    <t>BATERÍA 7AH 12 VOLTIOS</t>
  </si>
  <si>
    <t>SOPORTE PARA FIJACION DEL NAC</t>
  </si>
  <si>
    <t>SIRENA / ESTROBOSCOPICA DIRECCIONABLE DE PARED MULTICANDELA</t>
  </si>
  <si>
    <t>LUZ ESTROBOSCOPICA PARED DIRECCIONABLE COLOR ROJA MULTICANDELA</t>
  </si>
  <si>
    <t>LUZ ESTROBOSCOPICA TECHO DIRECCIONABLE COLOR ROJA MULTICANDELA</t>
  </si>
  <si>
    <t>MODULO DE RELE HVAC 4090-9002</t>
  </si>
  <si>
    <t>MODULO DE MONITOREO IAM 4090-9121</t>
  </si>
  <si>
    <t>SOPORTE PERPENDICULAR AL PERFIL CON MECANO 41 x 41 mm</t>
  </si>
  <si>
    <t>CAJA GALVANIZADA 4" x 4" PARA DETECTOR EN CIELO FALSO</t>
  </si>
  <si>
    <t>TORNILLO DE ENSAMBLE O GOLOSO # 8 x 2" PARA CAJA GALV.</t>
  </si>
  <si>
    <t>CAJA RAWELT 4 x 4 - 4 SALIDAS + TORNILLOS FIJ PARED.</t>
  </si>
  <si>
    <t>CAJA RAWELT 2 x 4 - 2 SALIDAS PARA LUCES + TORNILLOS FIJ PARED.</t>
  </si>
  <si>
    <t xml:space="preserve">CAJA RAWELT 2 x 4 - 1 SALIDA PARA ESTACIONES + TORNILLOS FIJ PARED. </t>
  </si>
  <si>
    <t>CAJA PASO RAWELT 4 x 4 - 4 SALIDAS + TORNILLOS FIJ PARED.</t>
  </si>
  <si>
    <t>BORNERA O REGLETA PLASTICA CONEXIONADO 10 AMP PARA CAJA DE PASO</t>
  </si>
  <si>
    <t>CONDULETA EMT TEE Ø¾"</t>
  </si>
  <si>
    <t>ENTRADA CONDUIT EMT Ø¾"</t>
  </si>
  <si>
    <t>CURVA CONDUIT EMT 90° Ø¾"</t>
  </si>
  <si>
    <t>UNION CONDUIT EMT Ø¾"</t>
  </si>
  <si>
    <t>TUERCA CONDUIT EMT Ø¾"</t>
  </si>
  <si>
    <t>CONTRA TUERCA CONDUIT EMT Ø¾"</t>
  </si>
  <si>
    <t>CONDULETA EMT EN L Ø¾"</t>
  </si>
  <si>
    <t>CONECTOR CURVO COPEX Ø¾"</t>
  </si>
  <si>
    <t>CONECTOR RECTO COPEX Ø¾"</t>
  </si>
  <si>
    <t>TAPA RAWELT 4" x 4" PARA CAJA DE PASO</t>
  </si>
  <si>
    <t>ADAPTADOR MACHO PVC Ø¾"</t>
  </si>
  <si>
    <t>TUERCA CONDUIT PVC Ø¾"</t>
  </si>
  <si>
    <t>CURVA CONDUIT PVC ¾</t>
  </si>
  <si>
    <t>UNION CONDUIT PVC ¾</t>
  </si>
  <si>
    <t xml:space="preserve">CAJA DOBLE FONDO METALICA 40 x 50 x 20 cm NEMA 2                                                                                                                                                     </t>
  </si>
  <si>
    <t>ACCESORIOS PARA SUPERVISION DE LOS MODULOS</t>
  </si>
  <si>
    <t xml:space="preserve">CAJA DOBLE FONDO METALICA 40 x 30 x 20 cm NEMA 2                                                                                                                                                     </t>
  </si>
  <si>
    <t xml:space="preserve">CAJA DOBLE FONDO METALICA 70 x 50 x 25 cm NEMA4X                                                                                                                                                   </t>
  </si>
  <si>
    <t>MEDIDOR DE NIVEL POR ELECTRODO PARA MEDICION DE BAJO Y MUY BAJO - TANQUE DE AGUA (DEBE INCLUIR LOS ACCESORIOS DESDE LA CAJA DE MODULOS No.1, HASTA EL DISPOSITIVO).</t>
  </si>
  <si>
    <t>MEDIDOR DE NIVEL TANQUE DE ACPM (DEBE INCLUIR LOS ACCESORIOS DESDE LA CAJA DE MODULOS No.2, HASTA EL DISPOSITIVO).</t>
  </si>
  <si>
    <t>TAMPER SWITCH OS&amp;Y PARA VALVULA COMPUERTA DE LLENADO (DEBE INCLUIR LOS ACCESORIOS DESDE LA CAJA DE MODULOS No.1 HASTA EL DISPOSITIVO).</t>
  </si>
  <si>
    <t>TAMPER SWITCH OS&amp;Y PARA VALVULA DE SUCCIÓN (DEBE INCLUIR LOS ACCESORIOS DESDE LA CAJA DE MODULOS No.2 HASTA EL DISPOSITIVO).</t>
  </si>
  <si>
    <t>TUBERIA IMC, ACCESORIOS, CONECTORES, CAJAS Y SOPORTES PARA LA INSTALACION DEL SISTEMA DE SUPERVISION DE TODO EL CUARTO DE BOMBAS QUE INICIA DESDE LAS CAJAS DE MODULOS No. 1 Y No. 2</t>
  </si>
  <si>
    <t>VoBo. FEDERICO GARCIA A.</t>
  </si>
  <si>
    <t>Interventor</t>
  </si>
  <si>
    <t>ITEM: ALISTADO DE PISO EN MORTERO E = 7 CMS</t>
  </si>
  <si>
    <t>ITEM: MORTERO 1:4 AFINADO TERRAZA 5CM</t>
  </si>
  <si>
    <t>ITEM: PLACA DE PISO EN CONCRETO DE 2.500 PSI - e=0.08 MTS</t>
  </si>
  <si>
    <t>DEPARTAMENTO ADMINISTRATIVO DE PLANEACIÓN</t>
  </si>
  <si>
    <t>ITEM: PLACA DE PISO EN CONCRETO DE 3.000 PSI - e=0.10 MTS</t>
  </si>
  <si>
    <t>ITEM: PLACA DE PISO EN CONCRETO DE 2.500 PSI - e=0.08 MTS CON DILATACIÓN EN LADRILLO</t>
  </si>
  <si>
    <t>ITEM: PLACA DE PISO EN CONCRETO DE 2.500 PSI - e=0.08 MTS ESMALTADO CON COLOR MINERAL</t>
  </si>
  <si>
    <t>ITEM: PLACA DE PISO EN CONCRETO DE 2.500 PSI - e=0.10 MTS - IMPERMEABILIZADO CON POLISEC</t>
  </si>
  <si>
    <t>ITEM: PISO EXTERIOR EN LOSA DE CONCRETO 2500 PSI E=0.08 – PREFABRICADO</t>
  </si>
  <si>
    <t>ITEM: PISO ESCALERA EN GRANITO PULIDO</t>
  </si>
  <si>
    <t>ITEM: PISO EN BALDOSÍN GRANITO ALFA 33x33 G- Huila</t>
  </si>
  <si>
    <t>ITEM: PISO EN BALDOSÍN GRANITO ALFA 33X33 G- 1 PAYAN</t>
  </si>
  <si>
    <t>ITEM: PISO EN BALDOSÍN CEMENTO 25 X 25 CM</t>
  </si>
  <si>
    <t>ITEM: PISO EN TABLÓN 33X33 CÚCUTA</t>
  </si>
  <si>
    <t xml:space="preserve">ITEM: PISO GRESS ALFA 33X33 </t>
  </si>
  <si>
    <t>ITEM: PISO EN CERÁMICA TRÁFICO #5, TIPO PESADO</t>
  </si>
  <si>
    <t>ITEM: PISO EN GRAVILLA LAVADA</t>
  </si>
  <si>
    <t>ITEM: PISO EN GRANITO PULIDO Y BRILLADO</t>
  </si>
  <si>
    <t>ITEM: PASO ESCALERA EN GRANITO PULIDO</t>
  </si>
  <si>
    <t>ITEM: CENEFA BALDOSA GRANITO ALFA 33X33 REF. VP3B</t>
  </si>
  <si>
    <t>ITEM: CENEFA EN GRANITO LAVADO</t>
  </si>
  <si>
    <t>ITEM: BALDOSÍN DURAKER</t>
  </si>
  <si>
    <t>ITEM: TAPETE MULTICOLOR DALTON</t>
  </si>
  <si>
    <t>ITEM: GUARDAESCOBA GRANITO PULIDO</t>
  </si>
  <si>
    <t>ITEM: GUARDAESCOBA EN CERÁMICA TRÁFICO #5, TIPO PESADO</t>
  </si>
  <si>
    <t>ITEM: GUARDAESCOBA EN GRAVILLA LAVADA</t>
  </si>
  <si>
    <t>ITEM: GUARDAESCOBA EN TAPETE DALTON - 7 CM</t>
  </si>
  <si>
    <t>ITEM: GUARDAESCOBA BALDOSA ALIVIADA REF. VP3B</t>
  </si>
  <si>
    <t>ITEM: GUARDAESCOBA BALDOSÍN DE CEMENTO</t>
  </si>
  <si>
    <t xml:space="preserve">ITEM: GUARDAESCOBA EN TABLÓN DE GRESS </t>
  </si>
  <si>
    <t>ITEM: POYO EN CONCRETO</t>
  </si>
  <si>
    <t>ITEM: PISO EN CRISTABLOCK (ANCHO 0.50M.)</t>
  </si>
  <si>
    <t>ITEM: EMBOQUILLADA EN ALFACOLOR</t>
  </si>
  <si>
    <t xml:space="preserve">ITEM: ENCHAPE DE PARED </t>
  </si>
  <si>
    <t>ITEM: ENCHAPE DE PISO EUROCERAMICA</t>
  </si>
  <si>
    <t xml:space="preserve">ITEM:   Construccion de bordillo fundido en sitio h= 0,15 x 0,10 mts. en concreto de 3000 PSI. Incluye formaleta y acabado liso dilatado c/ 1,20 mt. </t>
  </si>
  <si>
    <t xml:space="preserve">ITEM:    Suministro e instalación de Sardinel prefabricado. </t>
  </si>
  <si>
    <t xml:space="preserve">ITEM:    Suministro e instalación de Loseta prefabricada en concreto,  e = 0,06 mts de 0,40 x 0,40 mts. COLOR GRIS A RAYAS. Incluye: mortero fluido e=0,04 mts, colchón de arena e=0,03 mts y sello juntas. </t>
  </si>
  <si>
    <t xml:space="preserve">ITEM:    Suministro e instalación de Loseta prefabricada en concreto,  e = 0,06 mts de 0,40 x 0,40 mts. Color ROJO A RAYAS. Incluye: mortero fluido e=0,04 mts, colchón de arena e=0,03 mts y sello juntas. </t>
  </si>
  <si>
    <t xml:space="preserve">ITEM:    Suministro e instalación de Loseta prefabricada en concreto,  e = 0,06 mts de 0,40 x 0,40 mts. COLOR NEGRO A RAYAS. Incluye: mortero fluido e=0,04 mts, colchón de arena e=0,03 mts y sello juntas. </t>
  </si>
  <si>
    <t xml:space="preserve">ITEM:    Suministro e instalación de Loseta prefabricada en concreto,  e = 0,06 mts de 0,40 x 0,40 mts. COLOR AZUL A RAYAS. Incluye: mortero fluido e=0,04 mts, colchón de arena e=0,03 mts y sello juntas. </t>
  </si>
  <si>
    <t xml:space="preserve">ITEM:    Suministro e instalación de Loseta prefabricada en concreto,  e = 0,06 mts de 0,40 x 0,40 mts. COLOR OCRE A RAYAS. Incluye: mortero fluido e=0,04 mts, colchón de arena e=0,03 mts y sello juntas. </t>
  </si>
  <si>
    <t xml:space="preserve">ITEM:    Suministro e instalación de Loseta prefabricada en concreto,  e = 0,06 mts de 0,40 x 0,40 mts. COLOR VERDE A RAYAS. Incluye: mortero fluido e=0,04 mts, colchón de arena e=0,03 mts y sello juntas. </t>
  </si>
  <si>
    <t xml:space="preserve">ITEM:    Suministro e instalación de Adoquin en concreto, tipo  PEATONAL, de 0,20 x 0,10 mts., e= 0,06 mts.,  COLOR OCRE. Incluye: mortero fluido e=0,04 mts, colchón de arena e=0,03 mts y sello juntas. </t>
  </si>
  <si>
    <t xml:space="preserve">ITEM:    RIEGO DE IMPRIMACIÓN CON EMULSIÓN ASFALTICA CRL-1 - ESP. 420-07 INV. . </t>
  </si>
  <si>
    <t xml:space="preserve">ITEM:    Empradizacion en grama dulce incluye suministro e instalación de base en tierra negra y dos meses de mantenimiento. </t>
  </si>
  <si>
    <t xml:space="preserve">ITEM:   MEZCLA DENSA EN CALIENTE TIPO MDC-2. ESP. 450-07 INV.o. </t>
  </si>
  <si>
    <t>ITEM: SUMINISTRO E INSTALACIÓN ADOQUIN CERAMICO PARA TRAFICO VEHICULAR</t>
  </si>
  <si>
    <t>ITEM: CUNETA EN CONCRETO PREFABRICADO</t>
  </si>
  <si>
    <t>CUNETA EN CONCRETO PREFABRICADO</t>
  </si>
  <si>
    <t>ITEM: BOLARDO METALICO EN HF</t>
  </si>
  <si>
    <t>BOLARDO METALICO EN HF</t>
  </si>
  <si>
    <t>ITEM: DILATACION DE LOCETA EN CONCRETO 40X 40 VEHICULAR</t>
  </si>
  <si>
    <t>MORTERO 1:6</t>
  </si>
  <si>
    <t>LOSETA PREFABRICADA EN CONCRETO e= 0,06m DE 0,40m X 0,40m COLOR GRIS A RAYAS</t>
  </si>
  <si>
    <t>ITEM: BOLARDO EN CONCRETO SIMILAR AL EXISTENTE, INCLUYE DEMOLICION EXISTENTE</t>
  </si>
  <si>
    <t xml:space="preserve">BOLARDO EN CONCRETO </t>
  </si>
  <si>
    <t xml:space="preserve">ITEM: Instalación de Adoquin existente incl. Colchon de arena y sello juntas. </t>
  </si>
  <si>
    <t>ITEM: PLACA EN CONCRETO ESTAMPADO PARA RAMPAS</t>
  </si>
  <si>
    <t>ITEM: CUNETA  TIPO CAJON EN CONCRETO 3.000 PSI E= 0,08M , ANCHO 0,4M,  0,2&lt;H&lt;0,7 SEGÚN DISEÑO,   TAPA CONCAVA CON PERFORACIONES DE Ø3/8", INCLUYE FORMALETA Y TODO LO NECESARIO PARA SU CORRECTO FUNCIONAMIENTO</t>
  </si>
  <si>
    <t>ITEM: ENCHAPE DE PARED 0.20 X 0.30 EUROCERAMICA</t>
  </si>
  <si>
    <t>ITEM: ENCHAPE DE PISO 0.20 X 0.20 EUROCERAMICA</t>
  </si>
  <si>
    <t>ITEM: CONCRETO DE 3000 PSI PARA ENCOLE Y DESCOLE DEL BOX COULVERT  e=0.10 MTS</t>
  </si>
  <si>
    <t>ITEM: SUMINISTRO E INSTALACIÓN DE GRAVILLA</t>
  </si>
  <si>
    <t>TRANSPORTE DE GRAVILLA</t>
  </si>
  <si>
    <t>ITEM: PLACA DE PISO EN CONCRETO DE 3.000 PSI E: 0,10MTS, INCLUYE MALLA ELECTRO SOLDADA, CON ACABADO SUPERFICIAL LISO.</t>
  </si>
  <si>
    <t>ITEM: PLACA DE PISO EN CONCRETO DE 3.000 PSI E: 0,10MTS, INCLUYE MALLA ELECTRO SOLDADA PARA ÁREA DE CIRCULACIÓN</t>
  </si>
  <si>
    <t>ITEM: PAVIMENTO DEPORTIVO TIPO MADERA</t>
  </si>
  <si>
    <t>ITEM: PISO ANTIDESLIZANTE SINTETICO</t>
  </si>
  <si>
    <t>ITEM: PISO EN CERAMICA ANTIDESLIZANTE 40X40</t>
  </si>
  <si>
    <t>ITEM: PISO EN CERAMICA 40X40 INTERIORES</t>
  </si>
  <si>
    <t>PISO EN CERAMICA 40X40 INTERIORES</t>
  </si>
  <si>
    <t>ITEM: TAPETE SINTETICO IMITACION CESPED</t>
  </si>
  <si>
    <t>ITEM: PISO EN CERAMICA 40X40 EXTERIORES</t>
  </si>
  <si>
    <t>ITEM: HORMIGÓN PULIDO TIPO ARQ</t>
  </si>
  <si>
    <t>ITEM: GUARDA ESCOBAS</t>
  </si>
  <si>
    <t xml:space="preserve">PISO EN CERAMICA </t>
  </si>
  <si>
    <t>ITEM: GRAMA SINTÉTICA EN POLIETILENO (100%) MONOFILAMENTO BICOLOR PARA CANCHA DE FUTBOL RÁPIDO CON UNA ALTURA DE  60 mm, ESPESOSR DE FIBRA DE 300 MICRONES, GALGA DE 1/2", 120 PUNTADAS POR ml, 9600 PUNTADAS POR M2, 12000 Dtex, BACKING DOBLE CON RECUBRIMIENTO EN PU. INCLUYE: RELLENO DE SÍLICE Y CAUCHO GRANULADO EN CANTIDADES Y GRANULOMETRIA SEGUN FICHA TECNICA  Y  TODOS LOS DEMÁS ELEMENTOS NECESARIOS PARA SU CORRECTA INSTALACIÓN Y FUNCIONAMIENTO.</t>
  </si>
  <si>
    <t>EQUIPO DE EXTENSIÓN DE MATERIAL</t>
  </si>
  <si>
    <t>GRAMA SINTETICA POLIETILENO 60MM</t>
  </si>
  <si>
    <t>CAUCHO MOLIDO</t>
  </si>
  <si>
    <t>ARENA SILICE</t>
  </si>
  <si>
    <t>DEMARCACIÓN ZONA JUEGO</t>
  </si>
  <si>
    <t xml:space="preserve">ITEM: SUMINISTRO E INSTALACION DE SHOCK PAD. PARA GRAMA SINTETICA EN CAPA ELASTICA DE PEX DE 23 MM DE ESPESOR O MAYOR CON CANALES DRENANTES, CAPACIDAD DE INFILTRACION MAYOR A 5000 mm/h , CAPACIDAD DE FLUJO NORMAL A PLANO MAYOR A 0.2 l/sm, REDUCCION DE LA FUERZA MAYOR A 55%, DE GARANTIA DE 25 AÑOS </t>
  </si>
  <si>
    <t>SHOCK PAD PEX DE 23MM</t>
  </si>
  <si>
    <t>ITEM: CONSTRUCCION DE GRADA EN CONCRETO HIDRAULICO DE 3000 PSI</t>
  </si>
  <si>
    <t>ITEM: PAÑETE SOBRE CONCRETO 1:4 INCLUYE FILOS Y DILATACIONES</t>
  </si>
  <si>
    <t>ITEM: PAÑETE SOBRE PLACA 1:4 INCLUYE FILOS Y DILATACIONES</t>
  </si>
  <si>
    <t>ITEM: IMPERMEABILIZADO CON POLIETILENO</t>
  </si>
  <si>
    <t>ITEM: IMPERMEABILIZACIÓN CON MANTO ASFALTICO 3MM</t>
  </si>
  <si>
    <t>ITEM: IMPERMEABILIZACIÓN MANTO ZETAL 600 TERRAZA</t>
  </si>
  <si>
    <t>ITEM: PINTURA BITUMINOSA PARA PROTECCIÓN TERRAZA.</t>
  </si>
  <si>
    <t>ITEM: ESTUCO Y PINTURA VINILO TIPO I - MUROS (TRES MANOS)</t>
  </si>
  <si>
    <t>ITEM: PINTURA VINILO TIPO 1, (TRES MANOS)</t>
  </si>
  <si>
    <t>ITEM: REPINTE DE MUROS EN VINILTEX</t>
  </si>
  <si>
    <t>ITEM: ESTUCO Y PINTURA BAJO PLACA</t>
  </si>
  <si>
    <t>ITEM: Esgrafiado en graniplast para estructuras en concreto.</t>
  </si>
  <si>
    <t>Esgrafiado en graniplast para estructuras en concreto.</t>
  </si>
  <si>
    <t>ITEM: PINTURA CORAZA PARA FACHADA</t>
  </si>
  <si>
    <t>ITEM: PINTURA EN CARBURO SOBRE PAÑETE</t>
  </si>
  <si>
    <t>ITEM: PINTURA MARMOLINA SOBRE PAÑETE</t>
  </si>
  <si>
    <t>ITEM: DEMARCACIÓN DE CANCHA EN PINTURA TRÁFICO PESADO, PARA DEMARCACIÓN DE LAS TRES ACTIVIDADES BÁSICAS: MICROFÚTBOL, VOLEIBOL Y BALONCESTO</t>
  </si>
  <si>
    <t>ITEM: PINTURA CANAL A. LL. ESMALTE SOBRE WASH - PRIMER</t>
  </si>
  <si>
    <t>ITEM: PINTURA GUARDAESCOBA EN ESMALTE</t>
  </si>
  <si>
    <t>ITEM: ESTUCO Y VINILO TIPO CORAZA PARA COLUMNAS KIOSCO SOBRE PAÑETE LISO</t>
  </si>
  <si>
    <t>ESTUCO</t>
  </si>
  <si>
    <t>ITEM: PAÑETE SOBRE MURO 1:3 INCLUYE FILOS Y DILATACIONES Y MALLA GALLINERO.</t>
  </si>
  <si>
    <t>ANALISIS DE PRECIOS UNITARIOS -   POLIDEPORTIVO CUBIERTO AUTOPORTANTE</t>
  </si>
  <si>
    <t>INSTALACION ELECTRICA</t>
  </si>
  <si>
    <t xml:space="preserve">Actividad                          Medidor trifilar y acometida  a red E.H.                                 Unidad     UND    </t>
  </si>
  <si>
    <t>MATERIALES</t>
  </si>
  <si>
    <t>UND.</t>
  </si>
  <si>
    <t>P. UNIT.</t>
  </si>
  <si>
    <t>V. TOTAL</t>
  </si>
  <si>
    <t>Caja metálica  para medidor trifilar.</t>
  </si>
  <si>
    <t>Totalizador, 2 x 30 amp.</t>
  </si>
  <si>
    <t>Tubo galvanizado de 1/2" x 3 mt</t>
  </si>
  <si>
    <t>Cable de cobre desnudo N°8 AWG</t>
  </si>
  <si>
    <t>Varilla cobre 2,44 mt x 5/8"</t>
  </si>
  <si>
    <t>Medidor trifilar electromagnético, clase 1,  2 x 208/120 v  20/80 amp.</t>
  </si>
  <si>
    <t>Cable concéntrico cobre 2 N° 8 + 8 AWG THHN</t>
  </si>
  <si>
    <t>Tubo galvanizado IMC de 1"</t>
  </si>
  <si>
    <t>Capacete metálico de 1"</t>
  </si>
  <si>
    <t>Curva galvanizada de 1"</t>
  </si>
  <si>
    <t>Cinta bandit de 5/8"</t>
  </si>
  <si>
    <t>Hebilla bandit de 5/8"</t>
  </si>
  <si>
    <t>Grapa tensora para concentrico.</t>
  </si>
  <si>
    <t>conector bimetalico</t>
  </si>
  <si>
    <t>Terminal de cobre para cable #8.</t>
  </si>
  <si>
    <t>conector aislado.</t>
  </si>
  <si>
    <t>Buchin 1".</t>
  </si>
  <si>
    <t>Subtotal MATERIALES</t>
  </si>
  <si>
    <t>EQUIPO Y HERRAMIENTA</t>
  </si>
  <si>
    <t>TARIFA</t>
  </si>
  <si>
    <t>RENDIMIEN.</t>
  </si>
  <si>
    <t>VALOR UNIT.</t>
  </si>
  <si>
    <t>Herramienta menor eléctrica</t>
  </si>
  <si>
    <t>Día</t>
  </si>
  <si>
    <t>Escalera Dielectrica.</t>
  </si>
  <si>
    <t>Subtotal EQUIPO Y HERR.</t>
  </si>
  <si>
    <t>MANO DE OBRA</t>
  </si>
  <si>
    <t>VR. HORA INCLUYE PREST</t>
  </si>
  <si>
    <t>RENDIM.</t>
  </si>
  <si>
    <t>Técnico oficial</t>
  </si>
  <si>
    <t>Ayudante</t>
  </si>
  <si>
    <t>Subtotal MANO DE OBRA</t>
  </si>
  <si>
    <t>PRECIO UNITARIO TOTAL</t>
  </si>
  <si>
    <t>ANALISIS DE PRECIOS UNITARIOS -   C.R.D.  NEIVA</t>
  </si>
  <si>
    <t xml:space="preserve">Actividad                Montaje transformador trifásico de 112,5 KVA                                          Unidad         UN      </t>
  </si>
  <si>
    <t>Transformador Trifásico de 112,5 KVA, 13200/214/123 v</t>
  </si>
  <si>
    <t xml:space="preserve">UN </t>
  </si>
  <si>
    <t>Cruceta metálica de 2 mt x 3/16" x 2 1/2" x 2 1/2"</t>
  </si>
  <si>
    <t>Diagonal recta de 0,68 cm</t>
  </si>
  <si>
    <t>Perno de máquina de 5/8" x 10"</t>
  </si>
  <si>
    <t>Perno de máquina de 1/2" x 1 1/2"</t>
  </si>
  <si>
    <t>Varilla cobre 2,4 x 5/8"</t>
  </si>
  <si>
    <t>Cajilla de inspección de 0,3 x 0,3 x 0,3 mt</t>
  </si>
  <si>
    <t>D.P.S. tipo línea, 12 kv, 10 ka</t>
  </si>
  <si>
    <t>Cortacircuito monopolar 15 kv, 100 A.</t>
  </si>
  <si>
    <t>Cinta bandit y hebillas de 5/8"</t>
  </si>
  <si>
    <t>Conector línea viva  AL - AL</t>
  </si>
  <si>
    <t>Cruceta soporte de transformador</t>
  </si>
  <si>
    <t>Cable de cobre desnudo N°2 AWG</t>
  </si>
  <si>
    <t>Herramienta menor eléctrica/cuadrilla</t>
  </si>
  <si>
    <t>Grúa</t>
  </si>
  <si>
    <t>hora</t>
  </si>
  <si>
    <t>PREST.</t>
  </si>
  <si>
    <t>JORN. TOT.</t>
  </si>
  <si>
    <t>día</t>
  </si>
  <si>
    <t xml:space="preserve">Actividad                                         Estructura trifásica de retención  550                                     Unidad     Un      </t>
  </si>
  <si>
    <t>Cruceta metálica de 2 mt</t>
  </si>
  <si>
    <t>Diagonal recta metálica 1,1 mt</t>
  </si>
  <si>
    <t>Aislador polimérico de retención de 15 kv</t>
  </si>
  <si>
    <t>Grapa de retención para ACSR  N° 1/0 AWG</t>
  </si>
  <si>
    <t>Espárrago de 12" x 5/8"</t>
  </si>
  <si>
    <t xml:space="preserve">Actividad                                     Estructura trifásica de retención bandera  550B                                Unidad     Un      </t>
  </si>
  <si>
    <t>Cruceta metálica de 3 mt</t>
  </si>
  <si>
    <t xml:space="preserve">Actividad                                   Estructura trifásica de suspensión Bandera 523B                   Unidad     Un      </t>
  </si>
  <si>
    <t>Pin para cruceta metálica</t>
  </si>
  <si>
    <t>Aislador tipo pin 13,2 kv</t>
  </si>
  <si>
    <t xml:space="preserve">Actividad                                     Poste de concreto de 12 mts x 510 kg                                     Unidad     Un      </t>
  </si>
  <si>
    <t>Hora</t>
  </si>
  <si>
    <t xml:space="preserve">Actividad                                     Poste de concreto de 12 mts x 750 kg                                       Unidad     Un      </t>
  </si>
  <si>
    <t xml:space="preserve">Actividad              Cámara de inspeccióm B.T. tipo BT1   1,0 x 1,0 x 1,0 mt                     Unidad        Un      </t>
  </si>
  <si>
    <t>Concreto 2500 PSI</t>
  </si>
  <si>
    <t>Mortero 1:3</t>
  </si>
  <si>
    <t>Hierro de 60000 PSI</t>
  </si>
  <si>
    <t>Recebo</t>
  </si>
  <si>
    <t>Hierro a-37000 1/2</t>
  </si>
  <si>
    <t>Angulo</t>
  </si>
  <si>
    <t>Soldadura W.A. 6013 x 3/32 SUP</t>
  </si>
  <si>
    <t>Platinas</t>
  </si>
  <si>
    <t xml:space="preserve">Soldador, Herramienta menor </t>
  </si>
  <si>
    <t>Formaleta</t>
  </si>
  <si>
    <t xml:space="preserve">Actividad                        Acometida Tablero General TG a Tableros N° 6 AWG                Unidad    ML      </t>
  </si>
  <si>
    <t>Cable de cobre  # 6 AWG THHN</t>
  </si>
  <si>
    <t>Terminal de ponchar 6 AWG</t>
  </si>
  <si>
    <t xml:space="preserve">Ducto Conduit PVC de1 1/4" </t>
  </si>
  <si>
    <t xml:space="preserve">Actividad                      Acometida Tablero General TG a Tableros N° 2 AWG                        Unidad    ML      </t>
  </si>
  <si>
    <t>8.10</t>
  </si>
  <si>
    <t>Cable de cobre  # 2 AWG THHN</t>
  </si>
  <si>
    <t>Terminal de ponchar 2 AWG</t>
  </si>
  <si>
    <t>Ducto conduit PVC de 2"</t>
  </si>
  <si>
    <t xml:space="preserve">Actividad                                            Tablero Trifásico de 36 circuitos                                                  Unidad         Un      </t>
  </si>
  <si>
    <t>Interruptor automático enchuflable 1x15 A</t>
  </si>
  <si>
    <t>Tablero trifásico  de 36 circuitos con totalizador</t>
  </si>
  <si>
    <t>UN.</t>
  </si>
  <si>
    <t>Interruptor automático totalizador 3x70 A</t>
  </si>
  <si>
    <t>interruptor automático enchufable 3 x 20 A</t>
  </si>
  <si>
    <t xml:space="preserve">Actividad                                    Proyector LED de 250 w                                          Unidad         UN      </t>
  </si>
  <si>
    <t>cable suave de cobre THW Nº12 AWG</t>
  </si>
  <si>
    <t>Caja galvanizada 2400</t>
  </si>
  <si>
    <t>Conector terminal tipo resorte</t>
  </si>
  <si>
    <t>Ducto metálico EMT de 1" x mt</t>
  </si>
  <si>
    <t>LUMINARIA LED HIGH BAY SOB/DES</t>
  </si>
  <si>
    <t xml:space="preserve">Actividad                                         Salida Lámpara LED  Aplique 20 w                                            Unidad       Un      </t>
  </si>
  <si>
    <t>8.19</t>
  </si>
  <si>
    <t>Lámpara LED de 20 w.</t>
  </si>
  <si>
    <t>Tubería conduit PVC 1/2"</t>
  </si>
  <si>
    <t>Adaptador terminal conduit PVC 1/2"</t>
  </si>
  <si>
    <t>Alambre de cobre  Nº14 AWG THW</t>
  </si>
  <si>
    <t>Alambre de cobre  Nº12 AWG THW</t>
  </si>
  <si>
    <t>Caja galvanizada 5800</t>
  </si>
  <si>
    <t>Caja galvanizada octogonal</t>
  </si>
  <si>
    <t>Suiche interruptor</t>
  </si>
  <si>
    <t>Soldadura estaño para empalme</t>
  </si>
  <si>
    <t xml:space="preserve">Actividad                                      Tomacorriente doble con polo a tierra                                      Unidad         Un      </t>
  </si>
  <si>
    <t>Tomacorriente doble</t>
  </si>
  <si>
    <t>Soldadura estaño para empalmes 50gr</t>
  </si>
  <si>
    <t xml:space="preserve">Actividad                          Salida tomacorriente antihumedad GFCI                                 Unidad         Un      </t>
  </si>
  <si>
    <t>8.21</t>
  </si>
  <si>
    <t>Toma con protección falla a tierra GFCI</t>
  </si>
  <si>
    <t xml:space="preserve">Actividad                                  Tomacorriente especial de 220 v                                    Unidad         Un      </t>
  </si>
  <si>
    <t>Tomacorriente 220 v</t>
  </si>
  <si>
    <t xml:space="preserve">Actividad                                  Trámites de Legalización y RETIE                                 Unidad         Un     </t>
  </si>
  <si>
    <t>8.23</t>
  </si>
  <si>
    <t>Trámites de legalización, incluye documentos, formatos electrohuila, registro fotográfico, informes, programación de trabajos de conexión,documento de responsabilidad como ingeniero responsable,</t>
  </si>
  <si>
    <t>Inspección RETIE, de acuerdo al último decreto RETIE. Incluye todos los cálculos de acuerdo al artículo 10.1 de la última actualización del RETIE.</t>
  </si>
  <si>
    <t>Pago a Electrohuila por conexión y revisión</t>
  </si>
  <si>
    <t>LISTADO DE PRECIOS UNITARIOS - OFICIAL</t>
  </si>
  <si>
    <t>MANO DE OBRA - CUADRILLAS</t>
  </si>
  <si>
    <t>2025</t>
  </si>
  <si>
    <t>SALARIO MINIMO LEGAL - AÑO 2025</t>
  </si>
  <si>
    <t>1. Ayudante (Incl. Prestaciones)</t>
  </si>
  <si>
    <t>V/r UNITARIO</t>
  </si>
  <si>
    <t>V/r PARCIAL</t>
  </si>
  <si>
    <t>AYUDANTE</t>
  </si>
  <si>
    <t>PRESTACIONES SOCIALES</t>
  </si>
  <si>
    <t>Subsidio de transporte</t>
  </si>
  <si>
    <t>Cesantias</t>
  </si>
  <si>
    <t>Intereses de cesantias</t>
  </si>
  <si>
    <t>Prima legal</t>
  </si>
  <si>
    <t>Seguridad Social</t>
  </si>
  <si>
    <t>APORTES PARAFISCALES:</t>
  </si>
  <si>
    <t>Caja de compensacion familiar</t>
  </si>
  <si>
    <t>FIC</t>
  </si>
  <si>
    <t>DOTACIÓN - SEGURIDAD INDUSTRIAL</t>
  </si>
  <si>
    <t>Incremento Salarial - TOTAL</t>
  </si>
  <si>
    <t>Valor Unitario</t>
  </si>
  <si>
    <t>(Día)</t>
  </si>
  <si>
    <t>(Hora)</t>
  </si>
  <si>
    <t>2. Oficial (Incl. Prestaciones)</t>
  </si>
  <si>
    <t>OFICIAL</t>
  </si>
  <si>
    <t>Caja de compesnacion familiar</t>
  </si>
  <si>
    <t>DOTACIÓN</t>
  </si>
  <si>
    <t>MANO DE OBRA A</t>
  </si>
  <si>
    <t>MANO DE OBRA - ELECTRICO</t>
  </si>
  <si>
    <t>MANO DE OBRA - PINTURA</t>
  </si>
  <si>
    <t>Oficial - Acabados (Incl. Prestaciones)</t>
  </si>
  <si>
    <t>MANO DE OBRA - INST. HIDRAULICAS</t>
  </si>
  <si>
    <t>MANO OBRA CARPINTERIA MET.</t>
  </si>
  <si>
    <t>Vr. Unit.</t>
  </si>
  <si>
    <t>MANO DE OBRA - VÌAS - ASFALTO</t>
  </si>
  <si>
    <t>COT. 1</t>
  </si>
  <si>
    <t>COT. 2</t>
  </si>
  <si>
    <t>COT. 3</t>
  </si>
  <si>
    <t>COT. 4</t>
  </si>
  <si>
    <t>PRECIO PROMEDIO</t>
  </si>
  <si>
    <t>HOMECENTER</t>
  </si>
  <si>
    <t>INTERELECTRICO</t>
  </si>
  <si>
    <t>CANAIMA</t>
  </si>
  <si>
    <t>VARIOS</t>
  </si>
  <si>
    <t>RED ELECTRICA</t>
  </si>
  <si>
    <t>TUBO CONDUIT 3/4" *(ml)</t>
  </si>
  <si>
    <t>TUBO CONDUIT 1/2" * (ml)</t>
  </si>
  <si>
    <t>CURVA CONDUIT 3/4"</t>
  </si>
  <si>
    <t>CURVA CONDUIT 1/2"</t>
  </si>
  <si>
    <t>TERMINAL CONDUIT 3/4"</t>
  </si>
  <si>
    <t>TERMINAL CONDUIT 1/2"</t>
  </si>
  <si>
    <t>CAJA DOBLE 10*10*6,8 PVC</t>
  </si>
  <si>
    <t>CAJA SENCILLA 10*6*4,5 PVC</t>
  </si>
  <si>
    <t>CABLE DE COBRE #12, LIBRE DE  HALOGENO</t>
  </si>
  <si>
    <t>CINTA AISLANTE *20M</t>
  </si>
  <si>
    <t>CONECTOR PARA CABLE</t>
  </si>
  <si>
    <t>PANEL LED INCRUSTAR 30W</t>
  </si>
  <si>
    <t xml:space="preserve">TOMA CORRIENTE DOBLE </t>
  </si>
  <si>
    <t>INTERRUPTOR DOBLE LINEA MEDIA</t>
  </si>
  <si>
    <t>INTERRUPTOR TRIPLE LINEA MEDIA</t>
  </si>
  <si>
    <t>TOMA CORRIENTE DOBLE GFCI LINA MEDIA</t>
  </si>
  <si>
    <t xml:space="preserve">TANLERO DE CIRCUITOS </t>
  </si>
  <si>
    <t>TACO MONOPOLAR 20 AMPERIOS ENCHUFABLE</t>
  </si>
  <si>
    <t>ADAPTADOR TERMINAL 1 1/2" CONDUIT</t>
  </si>
  <si>
    <t>ADAPTADOR TERMINAL 1" CONDUIT</t>
  </si>
  <si>
    <t>ALAMBRE AISLADO COBRE #10 THW (ML)</t>
  </si>
  <si>
    <t>ALAMBRE AISLADO COBRE #12 THW (ML)</t>
  </si>
  <si>
    <t>ALAMBRE AISLADO COBRE #14 THW (ML)</t>
  </si>
  <si>
    <t>ALAMBRE CENT. COBRE #14</t>
  </si>
  <si>
    <t>ALAMBRE CENT. COBRE #8</t>
  </si>
  <si>
    <t>INTERRUPTOR CONMUTABLE SIMPLE PREMIUM</t>
  </si>
  <si>
    <t>INTERRUPTOR DE 3 POSICIONES 25A 660V</t>
  </si>
  <si>
    <t>INTERRUPTOR DOBLE</t>
  </si>
  <si>
    <t>INTERRUPTOR SENCILLO</t>
  </si>
  <si>
    <t>INTERRUPTOR SENCILLO GALICIA</t>
  </si>
  <si>
    <t>INTERRUPTOR TRIPLE</t>
  </si>
  <si>
    <t>TUBO DURACONDUIT SCH40 1/2" X ML</t>
  </si>
  <si>
    <t>TUBO DURACONDUIT SCH40 3/4" X ML</t>
  </si>
  <si>
    <t>TUBO CONDUIT SCH40 1/2" X ML</t>
  </si>
  <si>
    <t>TUBO CONDUIT SCH40 3/4" X ML</t>
  </si>
  <si>
    <t>TUBO CONDUIT 1" ML</t>
  </si>
  <si>
    <t>TUBO CONDUIT 1/2" ML</t>
  </si>
  <si>
    <t>TUBO CONDUIT 3/4" ML</t>
  </si>
  <si>
    <t>TUBO CONDUIT PVC 1 1/2" ML</t>
  </si>
  <si>
    <t>TUBERÍA EMT 2" X ML</t>
  </si>
  <si>
    <t>TOMA DATOS RJ 45 8H</t>
  </si>
  <si>
    <t>TOMA TELÉFONO ABITARE RJ11 R1906</t>
  </si>
  <si>
    <t>CABLE COBRE ENCAUCHETADO 4*6 AWG</t>
  </si>
  <si>
    <t>CABLE COBRE ANTIFRAUDE 3*4 AWG + 1*6 AWG</t>
  </si>
  <si>
    <t>CABLE COBRE ANTIFRAUDE 3*6 AWG + 1*8 AWG</t>
  </si>
  <si>
    <t>CABLE COBRE CALIBRE #14 (LIBRE DE HALÓGENOS)</t>
  </si>
  <si>
    <t>CABLE COBRE DESNUDO #12</t>
  </si>
  <si>
    <t>CABLE COBRE ENCAUCHETADO 2*10 AWG</t>
  </si>
  <si>
    <t>CABLE COBRE ENCAUCHETADO 3*14 AWG</t>
  </si>
  <si>
    <t>CABLE TELEFÓNICO CHAQUETA SENCILLA 2X19</t>
  </si>
  <si>
    <t>PANEL LED 120X30 48 W</t>
  </si>
  <si>
    <t>PANEL LED 8" 18 W</t>
  </si>
  <si>
    <t>PATCH PANEL CAT 6 DE 24 PUERTOS</t>
  </si>
  <si>
    <t>LAMPARA DE EMERGENCIA LED TIPO MICKY MOUSE 2</t>
  </si>
  <si>
    <t>JACK DE CONEXIÓN CAT6</t>
  </si>
  <si>
    <t>Cable Acometida Concentrico 2x8+8 Bifasico Cobre</t>
  </si>
  <si>
    <t>Medidor de energia Bifasico medida directa Act/React de 2x120/208v 60Hz 5(100A)</t>
  </si>
  <si>
    <t>Tablero 12 ctos</t>
  </si>
  <si>
    <t>Varilla cooperweld  5/8 " de 2,4m</t>
  </si>
  <si>
    <t>Soldadura Exotermica GROUNDING 115 gramos</t>
  </si>
  <si>
    <t>Conector Transversal de Puesta a Tierra Tipo TGC 5-8</t>
  </si>
  <si>
    <t>Tubo conduit 1/2 pulgada x 3 metros</t>
  </si>
  <si>
    <t>LÁMPARA FLUORESCENTE 2 X 48 W.</t>
  </si>
  <si>
    <t xml:space="preserve">Caja PVC octogonal </t>
  </si>
  <si>
    <t>boquilla colgante sencilla de baquelita</t>
  </si>
  <si>
    <t>Union De Acero Para Tubo Emt 1/2-Pulg</t>
  </si>
  <si>
    <t>Bombillo led 10W</t>
  </si>
  <si>
    <t xml:space="preserve">Abrazadera UNISTRUT para tubo ø 3/4" zincada	</t>
  </si>
  <si>
    <t>CABLE EXZHELLENT BW 12 AWG Cu HFFR LS 600V 75°C CT</t>
  </si>
  <si>
    <t>Caja rawelt 2" x 4" 3 salidas 3/4"</t>
  </si>
  <si>
    <t>Canal estructural liso 1 5/8", calibre 14</t>
  </si>
  <si>
    <t>Conector 3M de resorte rojo</t>
  </si>
  <si>
    <t>Interruptor sencillo Blanco</t>
  </si>
  <si>
    <t>Curva conduit EMT 3/4"</t>
  </si>
  <si>
    <t>Terminal conduit EMT 3/4"</t>
  </si>
  <si>
    <t>Tubería conduit EMT 3/4"</t>
  </si>
  <si>
    <t>Unión conduit EMT 3/4"</t>
  </si>
  <si>
    <t>Toma corriente 110 v</t>
  </si>
  <si>
    <t>Toma corriente 220 v</t>
  </si>
  <si>
    <t>Caja metálica para medidor trifilar</t>
  </si>
  <si>
    <t>Taco 2 polos 30 amperios</t>
  </si>
  <si>
    <t>Tubo Metalico IMC Conduit Galvanizado de 1-2 Pulgadas x 3 mts</t>
  </si>
  <si>
    <t>Cable Aislado No 8 AWG Cobre THHN Color Negro Metro</t>
  </si>
  <si>
    <t>VARILLA COBRE COBRE 5/8″ X 2.40 MTS</t>
  </si>
  <si>
    <t>Medidor trifilar electromagnético, clase 1, 2 x 208/120 v 20/80 amp.</t>
  </si>
  <si>
    <t>Cable Acometida Concentrico 2x8+8 Bifasico Cobre Metro x8+ 8</t>
  </si>
  <si>
    <t>Tubo Metalico IMC Conduit Galvanizado de 1 Pulgadas x 3 mts</t>
  </si>
  <si>
    <t>Cinta Metalica en (BandIt) Acero Inoxidable de 5-8</t>
  </si>
  <si>
    <t>Cable de cobre # 6 AWG THHN</t>
  </si>
  <si>
    <t>Ducto Conduit PVC de1 1/4" de 3 mt</t>
  </si>
  <si>
    <t>Tubo Metalico EMT Conduit Galvanizado de 1 Pulgadas x 3 mts</t>
  </si>
  <si>
    <t>Alambre Cobre N° 12 AWG (ml)</t>
  </si>
  <si>
    <t>Alambre Cobre N° 14 AWG (ml)</t>
  </si>
  <si>
    <t>ISUMO (MATERIAL O EQUIPO) -2024</t>
  </si>
  <si>
    <t xml:space="preserve">VALOR UNITARIO </t>
  </si>
  <si>
    <t>ISUMO (MATERIAL O EQUIPO)-2024</t>
  </si>
  <si>
    <t>Estaca</t>
  </si>
  <si>
    <t>Pintura en Aceite</t>
  </si>
  <si>
    <t>Equipo de topografía; (Incluye:  estación total, 2 prismas y dos radios , con certificacion de calibración maximo de 6 meses)</t>
  </si>
  <si>
    <t xml:space="preserve">Puntilla 2" c/cabeza </t>
  </si>
  <si>
    <t>agua</t>
  </si>
  <si>
    <t>Cinta señalizacion</t>
  </si>
  <si>
    <t>Cerco 3.0*0.05*0.10</t>
  </si>
  <si>
    <t>Retroexcavadora de Llanta, balde estandar</t>
  </si>
  <si>
    <t>Subbase granular Zona Sur</t>
  </si>
  <si>
    <t>compresor con martillo neumatico de 80 HP , incluye combustiblle y operario</t>
  </si>
  <si>
    <t>Base granular IP Menor 3% Zona Sur</t>
  </si>
  <si>
    <t>Transporte en Volqueta  a botadero autorizado, ZONA SUR ,incluye factor de expansion .</t>
  </si>
  <si>
    <t>triturado  3/4" zona sur</t>
  </si>
  <si>
    <t>Derechos  de Bote; incluye factor de expansión.</t>
  </si>
  <si>
    <t>Concreto de 4000 PSI a todo costo (281 KG/CM2).sin formaleta  y sin impermeabilizante .ZONA SUR</t>
  </si>
  <si>
    <t>sistema de guias deslizantes corredera, se compone de 4 paneles  base de 3.5 m X 2.4m  , para una altura entibada de  4.8  metros , contine codales  para asegurar los paneles ; el kit equivale a 33.6 m2  de entibaje.</t>
  </si>
  <si>
    <t>Base de poliuretano autonivelante</t>
  </si>
  <si>
    <t>Retroexcavadora de Oruga, balde estandar.</t>
  </si>
  <si>
    <t>Sellante en elastomerico-300 ml</t>
  </si>
  <si>
    <t>Tubo</t>
  </si>
  <si>
    <t>Tabla comun de 3m X 0.25mX 0.02m</t>
  </si>
  <si>
    <t>Cemento Gris x 50KG</t>
  </si>
  <si>
    <t>Recebo zona sur</t>
  </si>
  <si>
    <t>Arena lavada zona sur</t>
  </si>
  <si>
    <t>Apisonador Tipo canguro, incluye  combustible</t>
  </si>
  <si>
    <t>concreto asfaltico  (MDC-19)-puesta en planta</t>
  </si>
  <si>
    <t xml:space="preserve">Transporte de materiales desde la cantera hasta municpios zona sur </t>
  </si>
  <si>
    <t>M3/KM</t>
  </si>
  <si>
    <t>Emulsion asfaltica CRL-1(imprimante o liga) -pura (puesta en planta)</t>
  </si>
  <si>
    <t>Galon</t>
  </si>
  <si>
    <t>Vibrador de Mezcla (diesel) incluye combustible</t>
  </si>
  <si>
    <t xml:space="preserve">dia </t>
  </si>
  <si>
    <t>Lubricante para PVC</t>
  </si>
  <si>
    <t xml:space="preserve">Formaleta metalica para placa de piso </t>
  </si>
  <si>
    <t xml:space="preserve">Tapa tipo basculante, en hierro ductil ASTMA -536 grado 65-45-12,  con sistema  de segridad y alta resistencia a la corrosion  ; angulo  de 180 grados , D=400 , para 40 Toneladas trafico pesado. </t>
  </si>
  <si>
    <t>Formaleta Metálica para pozo</t>
  </si>
  <si>
    <t xml:space="preserve">Vibrocompactador, tipo benitìn, de peso 700 kg a 1.5 toneladas, incluye combustible </t>
  </si>
  <si>
    <t xml:space="preserve">TEE ALCANTARILLADO  200 MM </t>
  </si>
  <si>
    <t>Tubería de pared estructural  para alcantarillado, Sistema de unión mecánico, campana espigo con hidrosello de caucho. Diametro = 8 in.</t>
  </si>
  <si>
    <t>Codo alcantarillado de 90 x 200mm</t>
  </si>
  <si>
    <t>Tubería de pared estructural  para alcantarillado, Sistema de unión mecánico, campana espigo con hidrosello de caucho. Diametro = 10 in.</t>
  </si>
  <si>
    <t>Niple tubo alcantarillado hermetico de 8"</t>
  </si>
  <si>
    <t>Ml</t>
  </si>
  <si>
    <t>Tubería de pared estructural  para alcantarillado, Sistema de unión mecánico, campana espigo con hidrosello de caucho. Diametro = 12 in.</t>
  </si>
  <si>
    <t>Limpiador para tubería PVC 1/4" Galon</t>
  </si>
  <si>
    <t>Tubería de pared estructural  para alcantarillado, Sistema de unión mecánico, campana espigo con hidrosello de caucho. Diametro = 14 in.</t>
  </si>
  <si>
    <t>Concreto Premezclado de 3000 PSI No Incluye Formaleta , ni impermeabilizante ,ni sobreacarreo. DESDE PITALITO-TIMANÁ</t>
  </si>
  <si>
    <t>Tubería de pared estructural  para alcantarillado, Sistema de unión mecánico, campana espigo con hidrosello de caucho. Diametro = 16 in.</t>
  </si>
  <si>
    <t>Sardinel prefabricado tipo A-10 , L=0.80m X 0.50m alto *0.20 m de ancho .</t>
  </si>
  <si>
    <t>Tubería de pared estructural  para alcantarillado, Sistema de unión mecánico, campana espigo con hidrosello de caucho. Diametro = 18 in.</t>
  </si>
  <si>
    <t>Kit Silla Tee 200 mm x 160 mm para de pared estructural  (alcantarillado). Incluye: silla Tee, un par de abrazaderas, un caucho silla Tee.</t>
  </si>
  <si>
    <t>Tubería de pared estructural  para alcantarillado, Sistema de unión mecánico, campana espigo con hidrosello de caucho. Diametro = 6 in.</t>
  </si>
  <si>
    <t>Kit Silla Tee 250 mm x 160 mm para de pared estructural  (alcantarillado). Incluye: silla tee, un par de abrazaderas, un caucho silla tee.</t>
  </si>
  <si>
    <t xml:space="preserve">Acero de 60000 psi </t>
  </si>
  <si>
    <t>Kit Silla Tee 315 mm x 160 mm para de pared estructural  (alcantarillado). Incluye: silla Tee, un par de abrazaderas, un caucho silla Tee.</t>
  </si>
  <si>
    <t>KM/M3</t>
  </si>
  <si>
    <t xml:space="preserve"> Silla Tee 355 mm x 160 mm</t>
  </si>
  <si>
    <t xml:space="preserve"> Silla Tee 400 mm x 160 mm </t>
  </si>
  <si>
    <t>Polin DE 2.90*0.05*0.05</t>
  </si>
  <si>
    <t>Silla Tee 450mmX 160 mm</t>
  </si>
  <si>
    <t>Cortadora de disco, incluye disco y combustible</t>
  </si>
  <si>
    <t xml:space="preserve">Kit Silla Tee 500 mm x 160 mm </t>
  </si>
  <si>
    <t>Mezcladora Diesel (1.5 - 2.0 BTOS) incluye combustible</t>
  </si>
  <si>
    <t>codo alcantarillado pared estructural  90x 16"</t>
  </si>
  <si>
    <t>Polin DE 3*0.04*0.04</t>
  </si>
  <si>
    <t>Concreto de 2500 psi</t>
  </si>
  <si>
    <t>Suministro e Instalación de Mortero Relación 1:3.ZONA SUR Impermeabilizado</t>
  </si>
  <si>
    <t>Angulo x 1 x 1/8 pulg</t>
  </si>
  <si>
    <t>Alambre Negro calibre No 18</t>
  </si>
  <si>
    <t>Unión 6" Sanitaria</t>
  </si>
  <si>
    <t>UNION SANITARIA 10"</t>
  </si>
  <si>
    <t>Suministro e Instalación de Mortero Relación 1:4.ZONA SUR</t>
  </si>
  <si>
    <t>Andamio Tubular de 1,5 x 1,5 m (Seccion Tijera)</t>
  </si>
  <si>
    <t>DÍA</t>
  </si>
  <si>
    <t>GRANIPLAST</t>
  </si>
  <si>
    <t>cñ</t>
  </si>
  <si>
    <t>DISOLVENTE THINER</t>
  </si>
  <si>
    <t xml:space="preserve">Pintura de alto tráfico </t>
  </si>
  <si>
    <t>Formaleta en madera</t>
  </si>
  <si>
    <t>Malla electrosoldada</t>
  </si>
  <si>
    <t>Equipo eléctrico de soldadura</t>
  </si>
  <si>
    <t>Grúa de 5ton</t>
  </si>
  <si>
    <t>CODO SANITARIO PVC 4"</t>
  </si>
  <si>
    <t>TUBO PVC DE 4" SANITARIO</t>
  </si>
  <si>
    <t xml:space="preserve">ML </t>
  </si>
  <si>
    <t>Yee PVC sanitaria ampliación de 4" X 6"</t>
  </si>
  <si>
    <t>Platina x 1-1/2 x 3/16 pulg</t>
  </si>
  <si>
    <t>Pulidora</t>
  </si>
  <si>
    <t>TUBO ESTRUCTURAL DE=2"</t>
  </si>
  <si>
    <t>GALÓN</t>
  </si>
  <si>
    <t>Segueta (sin marco)</t>
  </si>
  <si>
    <t>Camilla 0.70 x 1.40 (USO)</t>
  </si>
  <si>
    <t>TACO METÁLICO</t>
  </si>
  <si>
    <t>FORMALETA PARA SOLADOS Y CONCRETO DE LIMPIEZA</t>
  </si>
  <si>
    <t>CONCRETO NORMAL - 1700 PSI (140 KG/CM2)</t>
  </si>
  <si>
    <t>CONCRETO CICLÓPEO - 2500 PSI (175 KG/CM2) 60% CONCRETO 2500 PSI + 40% PIEDRA MEDIA</t>
  </si>
  <si>
    <t>Motoniveladora, potencia 140 HP, ancho de cuchilla 3,66 m, peso 11 ton</t>
  </si>
  <si>
    <t>Retrocargador, pala de 1,1 m3 de capacidad, profundidad de excavación de 4.400 mm y una altura de 5.680 mm</t>
  </si>
  <si>
    <t>Piola gruesa de rollo (50 m)</t>
  </si>
  <si>
    <t>Mineral rojo</t>
  </si>
  <si>
    <t>Actividades (1)</t>
  </si>
  <si>
    <t>Horizonte de operación del proyecto de inversión (2)</t>
  </si>
  <si>
    <t>Fuente de recursos (3)</t>
  </si>
  <si>
    <t>Responsable (4)</t>
  </si>
  <si>
    <t>Semestre</t>
  </si>
  <si>
    <t xml:space="preserve">Semestre </t>
  </si>
  <si>
    <t xml:space="preserve">Inspección visual periódica </t>
  </si>
  <si>
    <t>PROPIOS</t>
  </si>
  <si>
    <t>JUNTA ADMINISTRADORA ACUEDUCTO (JAC)</t>
  </si>
  <si>
    <t>Sellado de fisuras</t>
  </si>
  <si>
    <t>JAC</t>
  </si>
  <si>
    <t>Limpieza de muros y losas</t>
  </si>
  <si>
    <t>Revestimiento impermeabilizante</t>
  </si>
  <si>
    <t>Revisión y limpieza de válvulas</t>
  </si>
  <si>
    <t>Limpieza de tuberías y accesorios</t>
  </si>
  <si>
    <t>Limpieza interna del tanque</t>
  </si>
  <si>
    <t>Desinfección posterior a limpieza</t>
  </si>
  <si>
    <t>Monitoreo de calidad del agua</t>
  </si>
  <si>
    <t>Monitorear el nivel de agua</t>
  </si>
  <si>
    <t>Mantenimiento de escaleras y barandas</t>
  </si>
  <si>
    <t>Limpieza del área perimetral,</t>
  </si>
  <si>
    <t>Mantenimiento del cerramiento y acceso</t>
  </si>
  <si>
    <t xml:space="preserve">Ajustar el caudal de entrada y salida </t>
  </si>
  <si>
    <t xml:space="preserve">Registrar diariamente los niveles máximos y mínimos </t>
  </si>
  <si>
    <t>Medir cloro residual libre</t>
  </si>
  <si>
    <t>Controlar parámetros básicos: turbidez, pH y temperatura.</t>
  </si>
  <si>
    <t>Asegurar que el proceso de desinfección (cloración) funcione adecuadamente</t>
  </si>
  <si>
    <t>Abrir y cerrar válvulas de entrada, salida, drenaje y rebose según el plan operativo.</t>
  </si>
  <si>
    <t>Verificar que las válvulas funcionen sin fugas ni bloqueos.</t>
  </si>
  <si>
    <t>Revisar el sistema de drenaje para vaciado o limpieza programada.</t>
  </si>
  <si>
    <t>Registro y control operativo</t>
  </si>
  <si>
    <t xml:space="preserve">Señalización de accesos </t>
  </si>
  <si>
    <t xml:space="preserve">ITEM: CONCRETO NORMAL - 3000 PSI (210 KG/CM2) </t>
  </si>
  <si>
    <t xml:space="preserve">CONCRETO NORMAL - 3000 PSI (210 KG/CM2) </t>
  </si>
  <si>
    <t xml:space="preserve">ITEM: CONCRETO NORMAL - 4000 PSI (280 KG/CM2)  </t>
  </si>
  <si>
    <t xml:space="preserve">CONCRETO NORMAL - 4000 PSI (280 KG/CM2)  </t>
  </si>
  <si>
    <t xml:space="preserve">ITEM: CONCRETO NORMAL - 2500 PSI (175 KG/CM2)  </t>
  </si>
  <si>
    <t xml:space="preserve">CONCRETO NORMAL - 2500 PSI (175 KG/CM2)  </t>
  </si>
  <si>
    <t xml:space="preserve">ITEM: CONCRETO NORMAL - 1700 PSI (140 KG/CM2)  </t>
  </si>
  <si>
    <t xml:space="preserve">CONCRETO NORMAL - 1700 PSI (140 KG/CM2)  </t>
  </si>
  <si>
    <t xml:space="preserve">ITEM: MORTERO 1:3 </t>
  </si>
  <si>
    <t xml:space="preserve">MORTERO 1:3 </t>
  </si>
  <si>
    <t>ITEM: MORTERO 1:3 - IMPERMEABILIZADO</t>
  </si>
  <si>
    <t>MORTERO 1:3 - IMPERMEABILIZADO</t>
  </si>
  <si>
    <t>ITEM: MORTERO 1:4</t>
  </si>
  <si>
    <t>MORTERO 1:4</t>
  </si>
  <si>
    <t>ITEM: MORTERO 1:4 - IMPERMEABILIZADO</t>
  </si>
  <si>
    <t>MORTERO 1:4 - IMPERMEABILIZADO</t>
  </si>
  <si>
    <t>ITEM: CASETON DE ESTERILLA</t>
  </si>
  <si>
    <t>CASETON DE ESTERILLA</t>
  </si>
  <si>
    <t>ITEM: FORMALETA PARA PLACA (20 dias)</t>
  </si>
  <si>
    <t>FORMALETA PARA PLACA (20 dias)</t>
  </si>
  <si>
    <t>ITEM: FORMALETA EN MADERA</t>
  </si>
  <si>
    <t>FORMALETA EN MADERA</t>
  </si>
  <si>
    <t>ITEM: MORTERO 1:6</t>
  </si>
  <si>
    <t>ARBORIZACION ESPECIES NATIVAS</t>
  </si>
  <si>
    <t>ESPECIES NATIVAS</t>
  </si>
  <si>
    <t>ITEM: CONCRETO DE 3000 PSI INCLUYE ACELERANTE PARA SECARSE</t>
  </si>
  <si>
    <t>CONCRETO NORMAL - 3000 PSI (210 KG/CM2) INCL. ACELERANTE</t>
  </si>
  <si>
    <t>ITEM: CONCRETO CICLÓPEO - 2500 PSI (175 KG/CM2) 60% CONCRETO 2500 PSI + 40% PIEDRA MEDIA ZONGA</t>
  </si>
  <si>
    <t>CONCRETO CICLÓPEO - 2500 PSI (175 KG/CM2) 60% CONCRETO 2500 PSI + 40% PIEDRA MEDIA ZONGA</t>
  </si>
  <si>
    <t>MATERIALES BASICOS</t>
  </si>
  <si>
    <t>AÑO 2018</t>
  </si>
  <si>
    <t>COD.</t>
  </si>
  <si>
    <t>MA</t>
  </si>
  <si>
    <t>ACEROS - ALAMBRES - HIERROS - CUBIERTAS</t>
  </si>
  <si>
    <t>ALAMBRE DE PÚA CALIBRE 16</t>
  </si>
  <si>
    <t>ALAMBRE GALVANIZADO # 10</t>
  </si>
  <si>
    <t>ALAMBRE GALVANIZADO # 12</t>
  </si>
  <si>
    <t>ALAMBRE GALVANIZADO # 8</t>
  </si>
  <si>
    <t>ANGULO 1 1/2 X 3/16</t>
  </si>
  <si>
    <t>ANGULO 1 1/4 X 1/8</t>
  </si>
  <si>
    <t>ÁNGULO 1/8 "x 1½"</t>
  </si>
  <si>
    <t>ÁNGULO 1/8 "x3/4</t>
  </si>
  <si>
    <t>ÁNGULO 1/8"x1"</t>
  </si>
  <si>
    <t>ANGULO 2 X  1/8"</t>
  </si>
  <si>
    <t>ANGULO 2" X  3/16"</t>
  </si>
  <si>
    <t>ANGULO 2 1/2" X 3/16"</t>
  </si>
  <si>
    <t>1.17</t>
  </si>
  <si>
    <t>ANGULO DE ALUMINIO  DE 1" X 3/4"</t>
  </si>
  <si>
    <t>1.18</t>
  </si>
  <si>
    <t>ANGULO DE ALUMINIO  DE 1" X 3/4" BLANCO</t>
  </si>
  <si>
    <t>1.19</t>
  </si>
  <si>
    <t>BARROTES EN ALUMINIO</t>
  </si>
  <si>
    <t>1.20</t>
  </si>
  <si>
    <t>BISAGRA COBRIZADA 2"</t>
  </si>
  <si>
    <t>1.21</t>
  </si>
  <si>
    <t>BISAGRA COBRIZADA 3"</t>
  </si>
  <si>
    <t>1.22</t>
  </si>
  <si>
    <t>BISAGRA DE COBRE 3"</t>
  </si>
  <si>
    <t>1.23</t>
  </si>
  <si>
    <t>BLANCO DE ZINC</t>
  </si>
  <si>
    <t>1.24</t>
  </si>
  <si>
    <t xml:space="preserve">CABALLETE A.C. </t>
  </si>
  <si>
    <t>1.25</t>
  </si>
  <si>
    <t>CABALLETE SUP. CANALETA 90- ART-ETERNIT</t>
  </si>
  <si>
    <t>1.26</t>
  </si>
  <si>
    <t>CABALLETE TERMOACUSTIC (2.0 X 0.70)</t>
  </si>
  <si>
    <t>1.27</t>
  </si>
  <si>
    <t>CANALETA  90 ETERNIT 4,5 m</t>
  </si>
  <si>
    <t>1.28</t>
  </si>
  <si>
    <t>CANALETA  90 ETERNIT 9,0 m</t>
  </si>
  <si>
    <t>1.29</t>
  </si>
  <si>
    <t xml:space="preserve">CANALETA ACESCO 43 </t>
  </si>
  <si>
    <t>1.30</t>
  </si>
  <si>
    <t>CANALETA ACESCO 90</t>
  </si>
  <si>
    <t>1.31</t>
  </si>
  <si>
    <t>CONECTORES STEEL-DECK</t>
  </si>
  <si>
    <t>1.32</t>
  </si>
  <si>
    <t>DISCO PARA CORTE</t>
  </si>
  <si>
    <t>1.33</t>
  </si>
  <si>
    <t>GANCHO FIJA ALA</t>
  </si>
  <si>
    <t>1.34</t>
  </si>
  <si>
    <t>1.35</t>
  </si>
  <si>
    <t>LAMINA MICROPERFORADA PARA FACHADA</t>
  </si>
  <si>
    <t>1.36</t>
  </si>
  <si>
    <t>LAMINA C.R CAL. 18 (1.22X2.44 Mts)</t>
  </si>
  <si>
    <t>1.37</t>
  </si>
  <si>
    <t>LAMINA GALVANIZADA C.22</t>
  </si>
  <si>
    <t>1.38</t>
  </si>
  <si>
    <t>LIMATESA TERMOACUSTIC (2.0 X .45)</t>
  </si>
  <si>
    <t>1.39</t>
  </si>
  <si>
    <t>MALLA DE GALLINERO 1"</t>
  </si>
  <si>
    <t>1.40</t>
  </si>
  <si>
    <t>MALLA EN ACERO HUECO = 4,5 mm.</t>
  </si>
  <si>
    <t>1.41</t>
  </si>
  <si>
    <t>MALLA ELECTROSOLDADA D163</t>
  </si>
  <si>
    <t>1.42</t>
  </si>
  <si>
    <t>MALLA ESLABONADA GALV. Cal. 10</t>
  </si>
  <si>
    <t>1.43</t>
  </si>
  <si>
    <t>MALLA PARA GAVIONES CAL. 11</t>
  </si>
  <si>
    <t>1.44</t>
  </si>
  <si>
    <t>MALLA PARA GAVIONES CAL. 12</t>
  </si>
  <si>
    <t>1.45</t>
  </si>
  <si>
    <t>MASILLA PARA METAL</t>
  </si>
  <si>
    <t>Cuarto</t>
  </si>
  <si>
    <t>1.46</t>
  </si>
  <si>
    <t>PARAL EN TUBO 1"</t>
  </si>
  <si>
    <t>1.47</t>
  </si>
  <si>
    <t>PERFIL ACESCO  Galv.PAG C 160x60mm-1.5mm</t>
  </si>
  <si>
    <t>1.48</t>
  </si>
  <si>
    <t>PERFIL ACESCO  Galv. PHR C 120x60mm-2.0mm Cal. 12</t>
  </si>
  <si>
    <t>1.49</t>
  </si>
  <si>
    <t>PERFIL Galv. PHR Cal. 12 305X80 e= 3 mm</t>
  </si>
  <si>
    <t>1.50</t>
  </si>
  <si>
    <t>PERFIL ACESCO  PHR C 355x110-2,0mm</t>
  </si>
  <si>
    <t>1.51</t>
  </si>
  <si>
    <t>1.52</t>
  </si>
  <si>
    <t>PERFIL ACESCO CAL. 18 0.8 X 0.4</t>
  </si>
  <si>
    <t>1.53</t>
  </si>
  <si>
    <t>PERFIL ALUMINIO ANODIZADO</t>
  </si>
  <si>
    <t>1.54</t>
  </si>
  <si>
    <t>PERFIL C.R. CAL. 18  (10*5)</t>
  </si>
  <si>
    <t>1.55</t>
  </si>
  <si>
    <t>PERFIL C.R. CAL. 20  (10*5)</t>
  </si>
  <si>
    <t>1.56</t>
  </si>
  <si>
    <t>PERFIL CORPACERO C.16 .15X0.05</t>
  </si>
  <si>
    <t>1.57</t>
  </si>
  <si>
    <t>PERFIL METÁLICO CERRADO CAL. 18 -10X4</t>
  </si>
  <si>
    <t>1.58</t>
  </si>
  <si>
    <t>PERFIL METÁLICO EN C - CAL. 14 -15X5</t>
  </si>
  <si>
    <t>1.59</t>
  </si>
  <si>
    <t>PERFIL METÁLICO EN C - CAL. 18 -10X5</t>
  </si>
  <si>
    <t>1.60</t>
  </si>
  <si>
    <t>PERFIL METÁLICO EN C - CAL. 14 -10X5</t>
  </si>
  <si>
    <t>1.61</t>
  </si>
  <si>
    <t>PERFIL METÁLICO CORPACERO 30,4X6,35 Cal. 3,0 mm.</t>
  </si>
  <si>
    <t>1.62</t>
  </si>
  <si>
    <t>PERFIL METÁLICO CORPACERO 12,5X5,0 Cal. 2,0 mm.</t>
  </si>
  <si>
    <t>1.63</t>
  </si>
  <si>
    <t>PERFIL GALVANIZADO CAL. 18  (10*5)</t>
  </si>
  <si>
    <t>1.64</t>
  </si>
  <si>
    <t>PERFIL GALVANIZADO CAL. 20  (10*5)</t>
  </si>
  <si>
    <t>1.65</t>
  </si>
  <si>
    <t>PERFIL METALICO CAL. 18 3"x1  1/2"</t>
  </si>
  <si>
    <t>1.66</t>
  </si>
  <si>
    <t>PERFILERIA CHICAGO MATELLIC</t>
  </si>
  <si>
    <t>1.67</t>
  </si>
  <si>
    <t>PLATINA 1/4"X1"</t>
  </si>
  <si>
    <t>1.68</t>
  </si>
  <si>
    <t>1.69</t>
  </si>
  <si>
    <t>PLATINA 2" X 1/8"</t>
  </si>
  <si>
    <t>1.70</t>
  </si>
  <si>
    <t>PLATINA 3/16"X4"</t>
  </si>
  <si>
    <t>1.71</t>
  </si>
  <si>
    <t>PLATINA DE ACERO PARA FIJACIÓN</t>
  </si>
  <si>
    <t>1.72</t>
  </si>
  <si>
    <t>PUNTILLA PARA ZINC</t>
  </si>
  <si>
    <t>1.73</t>
  </si>
  <si>
    <t>1.74</t>
  </si>
  <si>
    <t>PUNTILLA 1 1/2" a 3" DE ACERO</t>
  </si>
  <si>
    <t>1.75</t>
  </si>
  <si>
    <t>SEGUETA (Sin marco)</t>
  </si>
  <si>
    <t>1.76</t>
  </si>
  <si>
    <t>1.77</t>
  </si>
  <si>
    <t>SOLDADURA WEST ARCO 6013X1/8</t>
  </si>
  <si>
    <t>1.78</t>
  </si>
  <si>
    <t>STEEL-DECK a=0.09</t>
  </si>
  <si>
    <t>1.79</t>
  </si>
  <si>
    <t>1.80</t>
  </si>
  <si>
    <t>TEJA A.C. No.5</t>
  </si>
  <si>
    <t>1.81</t>
  </si>
  <si>
    <t>TEJA A.C. No.6</t>
  </si>
  <si>
    <t>1.82</t>
  </si>
  <si>
    <t>TEJA ARQUITECT. ACESCO</t>
  </si>
  <si>
    <t>1.83</t>
  </si>
  <si>
    <t>TEJA CLARABOYA A.C. No. 4</t>
  </si>
  <si>
    <t>1.84</t>
  </si>
  <si>
    <t>TEJA DE BARRO COMÚN</t>
  </si>
  <si>
    <t>1.85</t>
  </si>
  <si>
    <t>TEJA SUPERTERMOACUSTIC+caballete</t>
  </si>
  <si>
    <t>1.86</t>
  </si>
  <si>
    <t>TEJA TERMOACUSTIC</t>
  </si>
  <si>
    <t>TEJA PVC ECOROOF</t>
  </si>
  <si>
    <t>1.87</t>
  </si>
  <si>
    <t>1.88</t>
  </si>
  <si>
    <t>TEJA ZINC CAL 33</t>
  </si>
  <si>
    <t>1.89</t>
  </si>
  <si>
    <t>TORNILLO AUTO PERFORANTE</t>
  </si>
  <si>
    <t>1.90</t>
  </si>
  <si>
    <t>TORNILLO C-90 CON ACCE, CABALLETE CANALETA 90</t>
  </si>
  <si>
    <t>1.91</t>
  </si>
  <si>
    <t>TORNILLO FIJADOR DE ALA C-90 CON ACCE, CANALETA 90</t>
  </si>
  <si>
    <t>1.92</t>
  </si>
  <si>
    <t>TORNILLO FIJADOR DE ALA</t>
  </si>
  <si>
    <t>1.93</t>
  </si>
  <si>
    <t>TORNILLO PARA MADERA 2"x12"</t>
  </si>
  <si>
    <t>1.94</t>
  </si>
  <si>
    <t>1.95</t>
  </si>
  <si>
    <t>TUBO ESTRUCTURAL D=6"</t>
  </si>
  <si>
    <t>1.96</t>
  </si>
  <si>
    <t>TORNILLO DE FIJACION 2"x3/4"</t>
  </si>
  <si>
    <t>1.97</t>
  </si>
  <si>
    <t>TUBO CUADRADO DE 1" CAL 18"</t>
  </si>
  <si>
    <t>1.98</t>
  </si>
  <si>
    <t>TUBO ME TALICO 3/4" CAL.14</t>
  </si>
  <si>
    <t>1.99</t>
  </si>
  <si>
    <t>TUBO METALIC: 2" CAL.14</t>
  </si>
  <si>
    <t>1.100</t>
  </si>
  <si>
    <t>TUBO RECTANGULAR CAL. 18 (10*4)</t>
  </si>
  <si>
    <t>1.101</t>
  </si>
  <si>
    <t>TUBO RECTANGULAR CAL. 18 (8*4)</t>
  </si>
  <si>
    <t>1.102</t>
  </si>
  <si>
    <t>TUBO RECTANGULAR CAL. 20 (10*4)</t>
  </si>
  <si>
    <t>1.103</t>
  </si>
  <si>
    <t>TUBO RECTANGULAR CAL. 20 (8*4)</t>
  </si>
  <si>
    <t>1.104</t>
  </si>
  <si>
    <t>VARILLA 1/2"</t>
  </si>
  <si>
    <t>1.105</t>
  </si>
  <si>
    <t>1.106</t>
  </si>
  <si>
    <t xml:space="preserve">VARILLA 5/8" </t>
  </si>
  <si>
    <t>1.107</t>
  </si>
  <si>
    <t>VARILLA CUADRADA 1" (L=6M)</t>
  </si>
  <si>
    <t>1.108</t>
  </si>
  <si>
    <t>VARILLA CUADRADA 1/2" (L=6M)</t>
  </si>
  <si>
    <t>1.109</t>
  </si>
  <si>
    <t>VARILLA CUADRADA 3/4" (L=6M)</t>
  </si>
  <si>
    <t>1.110</t>
  </si>
  <si>
    <t>VARILLON ESQUELETO 1" x 2" (2,5 x 5,0 cm)</t>
  </si>
  <si>
    <t>1.111</t>
  </si>
  <si>
    <t>Pasadores de acero A-37 diámetro 5/8", L=30 cms. Espaciados cada 30 cms, engrasados l/2 para juntas transversales de dilatación y/o construcción (incluye corte y armado).</t>
  </si>
  <si>
    <t>1.112</t>
  </si>
  <si>
    <t>Suministro de hierro de 3/8 y de 1/4" para asegurar pasadores juntas transversales</t>
  </si>
  <si>
    <t>1.113</t>
  </si>
  <si>
    <t>Pasadores de acero PDR 60 diámetro 1/2", L=45 cms. Espaciados cada 1 mt, para juntas longitudinales (incluye corte y armado).</t>
  </si>
  <si>
    <t>1.114</t>
  </si>
  <si>
    <t>PLATINA DE 0,30X0,30X1/2"X1/4"</t>
  </si>
  <si>
    <t>MP</t>
  </si>
  <si>
    <t>AGREGADOS - ARENAS - PETREOS - MINERALES</t>
  </si>
  <si>
    <t>ACPM</t>
  </si>
  <si>
    <t>ALFACOLOR</t>
  </si>
  <si>
    <t>ARENA PARA SELLO</t>
  </si>
  <si>
    <t>ARENA REBOQUE - FINA</t>
  </si>
  <si>
    <t>ASFALTO SOLIDO 70-90</t>
  </si>
  <si>
    <t>BASE GRANULAR BG-1</t>
  </si>
  <si>
    <t>BASE GRANULAR BG-2 I.P.&lt;3 (Apariencia de caras fracturadas). Norma INVIAS vigente.</t>
  </si>
  <si>
    <t>CAL</t>
  </si>
  <si>
    <t>CAOLIN</t>
  </si>
  <si>
    <t>BTO</t>
  </si>
  <si>
    <t>CARBURO</t>
  </si>
  <si>
    <t>2.12</t>
  </si>
  <si>
    <t>CEMENTO BLANCO</t>
  </si>
  <si>
    <t>2.13</t>
  </si>
  <si>
    <t>CEMENTO GRIS</t>
  </si>
  <si>
    <t>2.14</t>
  </si>
  <si>
    <t>CEMENTO MARINO  LIQUIDO</t>
  </si>
  <si>
    <t>2.15</t>
  </si>
  <si>
    <t>CEMENTO MARINO  PLASTICO</t>
  </si>
  <si>
    <t>2.16</t>
  </si>
  <si>
    <t>COLOR MINERAL NAL.</t>
  </si>
  <si>
    <t>2.17</t>
  </si>
  <si>
    <t>COMBUSTÓLEO FUEL-OIL</t>
  </si>
  <si>
    <t>2.18</t>
  </si>
  <si>
    <t>EMULSIÓN ASFÁLTICA CRL-1 Ó CRL-1H DILUIDA</t>
  </si>
  <si>
    <t>2.19</t>
  </si>
  <si>
    <t xml:space="preserve">EMULSIÓN ASFÁLTICA CRR-1 Ó CRR-2 </t>
  </si>
  <si>
    <t>2.20</t>
  </si>
  <si>
    <t>2.21</t>
  </si>
  <si>
    <t>FILLER FINO MINERAL PASA 200</t>
  </si>
  <si>
    <t>2.22</t>
  </si>
  <si>
    <t>GASOLINA CORRIENTE</t>
  </si>
  <si>
    <t>2.23</t>
  </si>
  <si>
    <t>GASOLINA EXTRA</t>
  </si>
  <si>
    <t>2.24</t>
  </si>
  <si>
    <t>GRANITO # 2 (BLANCO) 25 Kg</t>
  </si>
  <si>
    <t>2.25</t>
  </si>
  <si>
    <t>GRANITO # 2 (NEGRO) 25 Kg</t>
  </si>
  <si>
    <t>2.26</t>
  </si>
  <si>
    <t>GRANITO # 3</t>
  </si>
  <si>
    <t>2.27</t>
  </si>
  <si>
    <t>GRAVILLA # 2</t>
  </si>
  <si>
    <t>2.28</t>
  </si>
  <si>
    <t>GRAVILLA 1"</t>
  </si>
  <si>
    <t>2.29</t>
  </si>
  <si>
    <t>GRAVILLA 3/4"</t>
  </si>
  <si>
    <t>2.30</t>
  </si>
  <si>
    <t>GRAVILLA DE PLANTA</t>
  </si>
  <si>
    <t>2.31</t>
  </si>
  <si>
    <t>GRAVILLA DE RÍO</t>
  </si>
  <si>
    <t>2.32</t>
  </si>
  <si>
    <t>IMPRIMANTE</t>
  </si>
  <si>
    <t>2.33</t>
  </si>
  <si>
    <t>MARMOLINA</t>
  </si>
  <si>
    <t>2.34</t>
  </si>
  <si>
    <t>MATERIAL GRANULAR CLASIFICADO COMO ADECUADO ESP. 220-07 INVIAS</t>
  </si>
  <si>
    <t>2.35</t>
  </si>
  <si>
    <t>MATERIAL GRANULAR CLASIFICADO COMO SELECCIONADO ESP. 220-07 INVIAS</t>
  </si>
  <si>
    <t>2.36</t>
  </si>
  <si>
    <t>MATERIAL GRANULAR CLASIFICADO PARA AFIRMADO DE VÍAS ESP. 300-07 Y 311-07 INVIAS</t>
  </si>
  <si>
    <t>2.37</t>
  </si>
  <si>
    <t>MATERIAL GRANULAR CLASIFICADO PARA PEDRAPLEN ESP. 221-07 INVIAS</t>
  </si>
  <si>
    <t>2.38</t>
  </si>
  <si>
    <t>MATERIAL GRANULAR PROCESADO DOSIFICADO SEGÚN FORMULA DE TRABAJO Y/O DISEÑO DE MEZCLA. INCL. LLENANTE MINERAL FILLER PASA 200</t>
  </si>
  <si>
    <t>2.39</t>
  </si>
  <si>
    <t>2.40</t>
  </si>
  <si>
    <t>PEGACOR BLANCO (10Kg)</t>
  </si>
  <si>
    <t>2.41</t>
  </si>
  <si>
    <t>PEGAENCHAPE</t>
  </si>
  <si>
    <t>2.42</t>
  </si>
  <si>
    <t>PIEDRA DE RÍO</t>
  </si>
  <si>
    <t>2.43</t>
  </si>
  <si>
    <t>PIEDRA PARA FILTRO (1"-4")</t>
  </si>
  <si>
    <t>2.44</t>
  </si>
  <si>
    <t>PIEDRA ZONGA Y/O MEDIA ZONGA(6"-10")</t>
  </si>
  <si>
    <t>2.45</t>
  </si>
  <si>
    <t>PLASTIMENT BV-40 (Plastificante)</t>
  </si>
  <si>
    <t>2.46</t>
  </si>
  <si>
    <t>RECEBO SELECCIONADO</t>
  </si>
  <si>
    <t>2.47</t>
  </si>
  <si>
    <t>RECEBO COMÚN PROVENIENTE DE MATERIAL DE PRÉSTAMO I.P &lt; 15%; TM: 3"</t>
  </si>
  <si>
    <t>2.48</t>
  </si>
  <si>
    <t>RIPIO DE MARMOL</t>
  </si>
  <si>
    <t>2.49</t>
  </si>
  <si>
    <t>2.50</t>
  </si>
  <si>
    <t>SUB-BASE GRANULAR SBG-2 CON MATERIAL TRITURADO NORMA INVIAS VIGENTE</t>
  </si>
  <si>
    <t>2.51</t>
  </si>
  <si>
    <t>TIERRA NEGRA</t>
  </si>
  <si>
    <t>2.52</t>
  </si>
  <si>
    <t>YESO (25Kg)</t>
  </si>
  <si>
    <t>2.53</t>
  </si>
  <si>
    <t xml:space="preserve">CONCRETO ASFÁLTICO TIPO RODADURA MDC-2-NORMA INVIAS </t>
  </si>
  <si>
    <t>2.54</t>
  </si>
  <si>
    <t>LIGANTE ASFÁLTICO PARA RIEGO DE LIGA - NORMA INVIAS</t>
  </si>
  <si>
    <t>2.55</t>
  </si>
  <si>
    <t>CONCRETO PREMEZCLADO DE 3.500 PSI</t>
  </si>
  <si>
    <t xml:space="preserve">ELECTRICOS </t>
  </si>
  <si>
    <t>ADAPTADOR TERMINAL DE PVC DE 1"</t>
  </si>
  <si>
    <t>ADAPTADOR TERMINAL PVC ½" CONDUIT</t>
  </si>
  <si>
    <t>AISLADOR DE SUSPENSION 6"</t>
  </si>
  <si>
    <t>AISLADOR TENSOR 3½" 54-1</t>
  </si>
  <si>
    <t>AISLADOR TIPO CARRETO PARA BAJA TENSIÓN</t>
  </si>
  <si>
    <t>AISLADOR TIPO DISCO 6" PASADOR Y HORQUILLA.</t>
  </si>
  <si>
    <t>AISLADOR TIPO PÍN 13.2 KV.</t>
  </si>
  <si>
    <t>AISLADOR TIPO TENSOR DE 4 1/2"</t>
  </si>
  <si>
    <t>ALAMBRE DE COBRE # 10 AWG</t>
  </si>
  <si>
    <t>ALAMBRE DE COBRE # 12 AWG</t>
  </si>
  <si>
    <t>ALAMBRE DE COBRE # 14 AWG</t>
  </si>
  <si>
    <t>ALAMBRE DE COBRE # 8 AWG</t>
  </si>
  <si>
    <t>ARANDELA CUADRADA 4"X4" X5/8"</t>
  </si>
  <si>
    <t>ARANDELA CUADRADA PLANA DE 5/8" X 2" X 2"</t>
  </si>
  <si>
    <t>AUTOMATICO 1X15A ENCHUF LX</t>
  </si>
  <si>
    <t>BREAKER 15-40 Amp.</t>
  </si>
  <si>
    <t>CABLE Cu AISLADO THWN No 2</t>
  </si>
  <si>
    <t>CABLE Cu AISLADO THWN No 4</t>
  </si>
  <si>
    <t>CABLE DE ACERO GALVANIZADO DE 1/4" 1900 KGRF POR MT.</t>
  </si>
  <si>
    <t>CABLE DE ACERO GALVANIZADO DE 3/8" 1900 KGRF POR MT.</t>
  </si>
  <si>
    <t>CABLE DE ALUMINIO ACSR 2"</t>
  </si>
  <si>
    <t>CABLE DE COBRE DESNUDO NO. 2 AWG POR MT.</t>
  </si>
  <si>
    <t>CABLE DE COBRE DESNUDO NO. 4 AWG POR MT.</t>
  </si>
  <si>
    <t>CABLE DE NEUTRO CONCENTRICO 3 X 8</t>
  </si>
  <si>
    <t>CABLE NEUTRO CONCENTRICO 2x8</t>
  </si>
  <si>
    <t>CABLE No. 10</t>
  </si>
  <si>
    <t>CABLE No. 12</t>
  </si>
  <si>
    <t>CABLE No. 14</t>
  </si>
  <si>
    <t>CAJA CAL 18 PARA CONTADOR TRIFILAR SEGÚN NORMA E.H.</t>
  </si>
  <si>
    <t>CAJA DE PUESTA A TIERRA  CON TAPA PARA INSPECCIÓN</t>
  </si>
  <si>
    <t>CAJA ELECTRICA METALICA DE 2 CIRCUITOS</t>
  </si>
  <si>
    <t>CAJA PARA CONTADOR MONOFASICO</t>
  </si>
  <si>
    <t>CAJA PLASTICA 2x4 (5800)</t>
  </si>
  <si>
    <t>CAJA PLASTICA 2400 CUADRADA</t>
  </si>
  <si>
    <t>CAJA PLASTICA OCTAGONAL</t>
  </si>
  <si>
    <t>CINTA DE ACERO INOXIDABLE BANDIT DE 5/8" X 1 MTS.</t>
  </si>
  <si>
    <t>COLLARIN 2 SALIDAS 6" - 8"</t>
  </si>
  <si>
    <t>COLLARIN TRANSFORMADOR 6" - 8"</t>
  </si>
  <si>
    <t>3.40</t>
  </si>
  <si>
    <t>CONDUCTOR ACSR NO. 2 AWG POR MT.</t>
  </si>
  <si>
    <t>3.41</t>
  </si>
  <si>
    <t>CONDUCTOR ACSR NO. 4 AWG POR MT.</t>
  </si>
  <si>
    <t>3.42</t>
  </si>
  <si>
    <t>CONDULETA DE 1"</t>
  </si>
  <si>
    <t>3.43</t>
  </si>
  <si>
    <t>CONDULETA DE 3/4"</t>
  </si>
  <si>
    <t>3.44</t>
  </si>
  <si>
    <t>CONECTOR BIMETÁLICO AL NO. 1/0 - CU NO. 2.</t>
  </si>
  <si>
    <t>3.45</t>
  </si>
  <si>
    <t>CONECTOR BIMETÁLICO AL NO. 2 - CU NO.8.</t>
  </si>
  <si>
    <t>3.46</t>
  </si>
  <si>
    <t>CONECTOR COOPERWELL GRANDE 5/8</t>
  </si>
  <si>
    <t>3.47</t>
  </si>
  <si>
    <t>CONECTOR DBH 2 - 4</t>
  </si>
  <si>
    <t>3.48</t>
  </si>
  <si>
    <t>CONECTOR DBH 6 - 8</t>
  </si>
  <si>
    <t>3.49</t>
  </si>
  <si>
    <t>CONECTOR PARA OPERAR EN CALIENTE (LINEA VIVA)</t>
  </si>
  <si>
    <t>3.50</t>
  </si>
  <si>
    <t>CONTADOR MONOFASICO BIFILAR 15-60Amp.120V</t>
  </si>
  <si>
    <t>3.51</t>
  </si>
  <si>
    <t>CONTADOR TRIFILAR 15/60 A.  240/120 V.</t>
  </si>
  <si>
    <t>3.52</t>
  </si>
  <si>
    <t>CORTACIRCUITOS MONOPOLARES DE 15 KV. CORR. NOM. 100 A.</t>
  </si>
  <si>
    <t>3.53</t>
  </si>
  <si>
    <t>CRUCETA METALICA DE 2MTS 2 1/2"X3/16"</t>
  </si>
  <si>
    <t>3.54</t>
  </si>
  <si>
    <t>CURVA CONDUIT D= 1"</t>
  </si>
  <si>
    <t>3.55</t>
  </si>
  <si>
    <t>DIAGONAL ANGULO 0.68 CMS</t>
  </si>
  <si>
    <t>3.56</t>
  </si>
  <si>
    <t>DIAGONAL EN V PARA CRUCETA METÁLICA 110X40 CM.</t>
  </si>
  <si>
    <t>3.57</t>
  </si>
  <si>
    <t>ESPARRAGO 5/8" X 10"</t>
  </si>
  <si>
    <t>3.58</t>
  </si>
  <si>
    <t>ESPÁRRAGO ROSCADO DE 5/8" X 12"</t>
  </si>
  <si>
    <t>3.59</t>
  </si>
  <si>
    <t>ESPIGO PARA EXTREMO DE POSTE 13,2 KV</t>
  </si>
  <si>
    <t>3.60</t>
  </si>
  <si>
    <t>GRAPA DE RETENSION/PISTOLA 13200</t>
  </si>
  <si>
    <t>3.61</t>
  </si>
  <si>
    <t>GRAPA PRENSORA DE 3 PERNOS DE 3/8" A 5/8"</t>
  </si>
  <si>
    <t>3.62</t>
  </si>
  <si>
    <t>GRAPA RETENCIÓN PARA ACSR 2/0 - 6 AWG.</t>
  </si>
  <si>
    <t>3.63</t>
  </si>
  <si>
    <t>GRAPA TERMOPLASTICA  PAR  14  PARA SUJECIÓN DE CABLE CONCENTRICO</t>
  </si>
  <si>
    <t>3.64</t>
  </si>
  <si>
    <t>GUARDACABOS GALVANIZADO DE 3/8"</t>
  </si>
  <si>
    <t>3.65</t>
  </si>
  <si>
    <t>HEBILLA BANDIT DE ACERO INOXIDABLE DE 5/8"</t>
  </si>
  <si>
    <t>3.66</t>
  </si>
  <si>
    <t>HILO FUSIBLE M.T. 13.2 KV. DE 3 AMP. TIPO H</t>
  </si>
  <si>
    <t>3.67</t>
  </si>
  <si>
    <t>3.68</t>
  </si>
  <si>
    <t>INTERRUPTOR NO AUTOMATICO DE 10-100 AMP</t>
  </si>
  <si>
    <t>3.69</t>
  </si>
  <si>
    <t>3.70</t>
  </si>
  <si>
    <t>INTERRUPTOR TERMOMAGNETICO  BIFASICO  2 X 30 A.</t>
  </si>
  <si>
    <t>3.71</t>
  </si>
  <si>
    <t>INTERRUPTOR TERMOMAGNETICO DE 15 AMP</t>
  </si>
  <si>
    <t>3.72</t>
  </si>
  <si>
    <t>JUEGO BOQUILLAS 1/2"</t>
  </si>
  <si>
    <t>3.73</t>
  </si>
  <si>
    <t>JUEGO DE HERRAJES PARA ACOMETIDAS CON CABLE CONCENTRICO</t>
  </si>
  <si>
    <t>3.74</t>
  </si>
  <si>
    <t>LÁMPARA SLIM LINE 2X48</t>
  </si>
  <si>
    <t>3.75</t>
  </si>
  <si>
    <t>LÁMPARA SLIM LINE 2X96</t>
  </si>
  <si>
    <t>3.76</t>
  </si>
  <si>
    <t>LAMPARA FLUORECENTE DE 2X48</t>
  </si>
  <si>
    <t>3.77</t>
  </si>
  <si>
    <t>LÁMPARA FLUORESCENTE 2X96</t>
  </si>
  <si>
    <t>3.78</t>
  </si>
  <si>
    <t>PARARRAYOS TIPO LÍNEA DE 12 KV.  10 KA</t>
  </si>
  <si>
    <t>3.79</t>
  </si>
  <si>
    <t>PERCHA TIPO PESADO DE 3 PUESTOS</t>
  </si>
  <si>
    <t>3.80</t>
  </si>
  <si>
    <t>PERNO CARRIAJE DE 5/8" X 1½"</t>
  </si>
  <si>
    <t>3.81</t>
  </si>
  <si>
    <t>PERNO DE 5/8"</t>
  </si>
  <si>
    <t>3.82</t>
  </si>
  <si>
    <t>PERNO DE MÁQUINA 5/8" X 10"</t>
  </si>
  <si>
    <t>3.83</t>
  </si>
  <si>
    <t>PERNO DE MAQUINA 5/8" X 2"</t>
  </si>
  <si>
    <t>3.84</t>
  </si>
  <si>
    <t>PERNO DE MÁQUINA 5/8" X 8"</t>
  </si>
  <si>
    <t>3.85</t>
  </si>
  <si>
    <t>PERNO MAQUINA DE 1/2" X 1½"</t>
  </si>
  <si>
    <t>3.86</t>
  </si>
  <si>
    <t>PÍN PARA CRUCETA METÁLICA 13.2 KV.</t>
  </si>
  <si>
    <t>3.87</t>
  </si>
  <si>
    <t>PLAFON PARA BOMBILLO</t>
  </si>
  <si>
    <t>3.88</t>
  </si>
  <si>
    <t>POSTE DE CONCRETO DE 10 MTS  510 KG.</t>
  </si>
  <si>
    <t>3.89</t>
  </si>
  <si>
    <t>POSTE DE CONCRETO DE 12 MTS. 510 KG.</t>
  </si>
  <si>
    <t>3.90</t>
  </si>
  <si>
    <t>POSTE DE CONCRETO DE 8 MTS. 510 KG.</t>
  </si>
  <si>
    <t>3.91</t>
  </si>
  <si>
    <t>PROYECTOR DE MERCURIO HALÓGENO 400W</t>
  </si>
  <si>
    <t>3.92</t>
  </si>
  <si>
    <t>PROYECTOR REFLECTOR DE SODIO RRA 250W</t>
  </si>
  <si>
    <t>3.93</t>
  </si>
  <si>
    <t>TABLERO DE 12 CIRCUITOS</t>
  </si>
  <si>
    <t>3.94</t>
  </si>
  <si>
    <t>TABLERO DE 4 CIRCUITOS</t>
  </si>
  <si>
    <t>3.95</t>
  </si>
  <si>
    <t>TOMA BIFÁSICA</t>
  </si>
  <si>
    <t>3.96</t>
  </si>
  <si>
    <t>TOMA CORRIENTE DOBLE</t>
  </si>
  <si>
    <t>3.97</t>
  </si>
  <si>
    <t>TOMA CORRIENTE DOBLE NARANJA TIPO LEVINTON</t>
  </si>
  <si>
    <t>3.98</t>
  </si>
  <si>
    <t>TOMA CORRIENTE PROTECCION DE FUGA A TIERRA GFCI</t>
  </si>
  <si>
    <t>3.99</t>
  </si>
  <si>
    <t>TRANFORMADOR TRIFASICO 30 KVA</t>
  </si>
  <si>
    <t>3.100</t>
  </si>
  <si>
    <t>TRANSFORMADOR MONOFASICO DE 15 KVA 13200/240/120 V</t>
  </si>
  <si>
    <t>3.101</t>
  </si>
  <si>
    <t>TUBO CONDUIT PVC 1"</t>
  </si>
  <si>
    <t>3.102</t>
  </si>
  <si>
    <t>TUBO CONDUIT PVC 1/2" tipo pesado</t>
  </si>
  <si>
    <t>3.103</t>
  </si>
  <si>
    <t>TUBO GALVANIZADO ½"</t>
  </si>
  <si>
    <t>3.104</t>
  </si>
  <si>
    <t>TUBO GALVANIZADO DE 3/4"</t>
  </si>
  <si>
    <t>3.105</t>
  </si>
  <si>
    <t>TUERCA DE OJO ALARGADO DE 5/8"</t>
  </si>
  <si>
    <t>3.106</t>
  </si>
  <si>
    <t>VARILLA COOPER WELL 2.4 DE 1/2"</t>
  </si>
  <si>
    <t>3.107</t>
  </si>
  <si>
    <t>VARILLA CW COBRE 1.50 M</t>
  </si>
  <si>
    <t>3.108</t>
  </si>
  <si>
    <t>VARILLA CW COBRE 1/2" DE 1,0 M</t>
  </si>
  <si>
    <t>3.109</t>
  </si>
  <si>
    <t>VARILLA DE ANCLAJE DE 1.50 MTS 5/8</t>
  </si>
  <si>
    <t>3.110</t>
  </si>
  <si>
    <t>VIGUETA DE CONCRETO PARA ANCLAJE 60 X 15 X 15 CMS.</t>
  </si>
  <si>
    <t>3.111</t>
  </si>
  <si>
    <t>TUBO CONDUIT PVC 3"</t>
  </si>
  <si>
    <t>3.112</t>
  </si>
  <si>
    <t>CURVA PVC 3"</t>
  </si>
  <si>
    <t xml:space="preserve">PISOS - ENCHAPES - APARATOS  </t>
  </si>
  <si>
    <t>Adoquin en concreto, tipo  PEATONAL, de 0,20 x 0,10 mts., e= 0,06 mts.,  COLOR OCRE</t>
  </si>
  <si>
    <t>Adoquin en concreto, tipo  PEATONAL, en concreto, de 0,20 x 0,10 mts., e= 0,06 mts.,  COLOR GRIS</t>
  </si>
  <si>
    <t>ADOQUÍN EN CONCRETO TIPO VEHICULAR DE 0.20 X 0.10 MTS -  E= 0,06 MTS.</t>
  </si>
  <si>
    <t>Adoquin en concreto, tipo VEHICULAR ,  de 0,20 x 0,10 mts., e= 0,08 mts.,  COLOR NEGRO</t>
  </si>
  <si>
    <t>Adoquin en concreto, tipo VEHICULAR ,  de 0,20 x 0,10 mts., e= 0,08 mts.,  COLOR OCRE</t>
  </si>
  <si>
    <t>Adoquin en concreto, tipo VEHICULAR,  de 0,20 x 0,10 mts., e= 0,08 mts.,  COLOR GRIS</t>
  </si>
  <si>
    <t>ADOQUIN PEATONAL 2 ARCOL</t>
  </si>
  <si>
    <t>BALDOSIN DE CEMENTO</t>
  </si>
  <si>
    <t>BALDOSIN DURAKER 20 X 20</t>
  </si>
  <si>
    <t>BALDOSIN GRANITO ALFA 30 X 30 VILLA/LEYVA G5</t>
  </si>
  <si>
    <t>BALDOSIN GRANITO ALFA 33 X 33 BLANCO HUILA G5</t>
  </si>
  <si>
    <t>4.12</t>
  </si>
  <si>
    <t xml:space="preserve">BOLARDO EN CONCRETO H=0.50 X 0.40 X 0.40 MTS </t>
  </si>
  <si>
    <t>4.13</t>
  </si>
  <si>
    <t>BORDILLOS EN CONCRETO,  PREFABRICADO SEC - .10X.25X.80</t>
  </si>
  <si>
    <t>4.14</t>
  </si>
  <si>
    <t>CERA PISO</t>
  </si>
  <si>
    <t>4.15</t>
  </si>
  <si>
    <t>DILATACIÓN DE COBRE</t>
  </si>
  <si>
    <t>4.16</t>
  </si>
  <si>
    <t>DILATACIÓN DE PVC</t>
  </si>
  <si>
    <t>4.17</t>
  </si>
  <si>
    <t>DILATACIÓN DE VIDRIO</t>
  </si>
  <si>
    <t>4.18</t>
  </si>
  <si>
    <t>DISPENSADOR DE JABÓN ACERO INOX Y VIDRIO</t>
  </si>
  <si>
    <t>4.19</t>
  </si>
  <si>
    <t>DISPENSADOR DE PAPEL EN ACERO INOXIDABLE</t>
  </si>
  <si>
    <t>4.20</t>
  </si>
  <si>
    <t>DUCHA SENCILLA</t>
  </si>
  <si>
    <t>4.21</t>
  </si>
  <si>
    <t>FLUXOMETRO</t>
  </si>
  <si>
    <t>4.22</t>
  </si>
  <si>
    <t>GRIFERIA LAVAPLATOS</t>
  </si>
  <si>
    <t>4.23</t>
  </si>
  <si>
    <t>GRITERÍA LAVAMANOS (Prisma)</t>
  </si>
  <si>
    <t>4.24</t>
  </si>
  <si>
    <t>GUARDA ESCOBA BALDOSÍN DE CEMENTO</t>
  </si>
  <si>
    <t>4.25</t>
  </si>
  <si>
    <t>GUARDA ESCOBA BALDOSÍN GRANITO ALFA</t>
  </si>
  <si>
    <t>4.26</t>
  </si>
  <si>
    <t>JUEGO DE BOQUILLAS DE 1/2"</t>
  </si>
  <si>
    <t>4.27</t>
  </si>
  <si>
    <t>JUEGO DE INCRUSTACIONES (Blanco)</t>
  </si>
  <si>
    <t>4.28</t>
  </si>
  <si>
    <t>LAVAMANOS BLANCO CORONA</t>
  </si>
  <si>
    <t>4.29</t>
  </si>
  <si>
    <t>LAVAMANOS DE EMPOTRAR PORCELANA TIPO CORONA</t>
  </si>
  <si>
    <t>4.30</t>
  </si>
  <si>
    <t>LAVAPLATOS SOKODA</t>
  </si>
  <si>
    <t>4.31</t>
  </si>
  <si>
    <t>LLAVE DE 1/2" CROMADA</t>
  </si>
  <si>
    <t>4.32</t>
  </si>
  <si>
    <t>Loseta prefabricada en concreto,  e = 0,06 mts de 0,40 x 0,40 mts.COLOR GRIS A RAYAS</t>
  </si>
  <si>
    <t>4.33</t>
  </si>
  <si>
    <t>Loseta prefabricada en concreto,  e = 0,06 mts de 0,40 x 0,40 mts. Color ROJO A RAYAS</t>
  </si>
  <si>
    <t>4.34</t>
  </si>
  <si>
    <t>Loseta prefabricada en concreto,  e = 0,06 mts de 0,40 x 0,40 mts.COLOR GRIS - TOPEROL</t>
  </si>
  <si>
    <t>4.35</t>
  </si>
  <si>
    <t>Loseta prefabricada en concreto,  e = 0,06 mts de 0,40 x 0,40 mts.COLOR NEGRO A RAYAS</t>
  </si>
  <si>
    <t>4.36</t>
  </si>
  <si>
    <t>4.37</t>
  </si>
  <si>
    <t>Loseta prefabricada en concreto,  e = 0,06 mts de 0,40 x 0,40 mts.COLOR AZUL A RAYAS</t>
  </si>
  <si>
    <t>4.38</t>
  </si>
  <si>
    <t>Loseta prefabricada en concreto,  e = 0,06 mts de 0,40 x 0,40 mts.COLOR OCRE a Rayas.</t>
  </si>
  <si>
    <t>4.39</t>
  </si>
  <si>
    <t>Loseta prefabricada en concreto,  e = 0,06 mts de 0,40 x 0,40 mts.COLOR VERDE A RAYAS</t>
  </si>
  <si>
    <t>4.40</t>
  </si>
  <si>
    <t>MESÓN LAVAPLATOS EN MÁRMOL NAL</t>
  </si>
  <si>
    <t>4.41</t>
  </si>
  <si>
    <t>ORINAL ARRECIFE PARA FLUX ANTIBANDALICO</t>
  </si>
  <si>
    <t>4.42</t>
  </si>
  <si>
    <t>SANITARIO BLANCO (GANAMAX)</t>
  </si>
  <si>
    <t>4.43</t>
  </si>
  <si>
    <t>SANITARIO PARA FLUXOMETRO 08046</t>
  </si>
  <si>
    <t>4.44</t>
  </si>
  <si>
    <t>SANITARIO ROYAL</t>
  </si>
  <si>
    <t>4.45</t>
  </si>
  <si>
    <t>SARDINEL PREFABRICADO CONCRETO. 3500 16X45</t>
  </si>
  <si>
    <t>4.46</t>
  </si>
  <si>
    <t>TABLETA 20X25, EURO CERÁMICA</t>
  </si>
  <si>
    <t>4.47</t>
  </si>
  <si>
    <t>TABLETA ALFA 0.30 X 0.30</t>
  </si>
  <si>
    <t>4.48</t>
  </si>
  <si>
    <t>TABLETA CERÁMICA</t>
  </si>
  <si>
    <t>4.49</t>
  </si>
  <si>
    <t>TABLETA CERAMICA TIPO GRANILLA</t>
  </si>
  <si>
    <t>4.50</t>
  </si>
  <si>
    <t>TABLETA DE GRES</t>
  </si>
  <si>
    <t>4.51</t>
  </si>
  <si>
    <t>TABLETA DE MÁRMOL</t>
  </si>
  <si>
    <t>4.52</t>
  </si>
  <si>
    <t>TABLILLA CIELORASO VETIADO</t>
  </si>
  <si>
    <t>4.53</t>
  </si>
  <si>
    <t>TABLILLA PISO MACHIHEMBRE ABARCO</t>
  </si>
  <si>
    <t>4.54</t>
  </si>
  <si>
    <t>TABLÓN DE GRES ALFA O SIMILAR 33X33</t>
  </si>
  <si>
    <t>4.55</t>
  </si>
  <si>
    <t>TABLÓN LISO 25X25</t>
  </si>
  <si>
    <t>4.56</t>
  </si>
  <si>
    <t>TABLÓN LISO 33X33</t>
  </si>
  <si>
    <t>4.57</t>
  </si>
  <si>
    <t>TANQUE PLÁSTICO 1000 LTS, INCLUYE ACCESORIOS</t>
  </si>
  <si>
    <t>4.58</t>
  </si>
  <si>
    <t>TANQUE 500 LTS, INCLUYE ACCESORIOS</t>
  </si>
  <si>
    <t>4.59</t>
  </si>
  <si>
    <t>TAPETE DALTON</t>
  </si>
  <si>
    <t>4.60</t>
  </si>
  <si>
    <t>WING ALUMINIO</t>
  </si>
  <si>
    <t>MAMPOSTERIA - PINTURAS - CARPINTERIAS - ACABADOS</t>
  </si>
  <si>
    <t>BARNIZ</t>
  </si>
  <si>
    <t>BLOQUE CEMENTO ESTRUCTURAL 12X20X40</t>
  </si>
  <si>
    <t>BLOQUE HUECO No. 4 10X20X30</t>
  </si>
  <si>
    <t>BLOQUE HUECO No. 5 12X20X30</t>
  </si>
  <si>
    <t>BLOQUE SPLIT 0.20</t>
  </si>
  <si>
    <t>BLOQUE TIPO CALADO EN GRES</t>
  </si>
  <si>
    <t>CHAPA YALE SEGURIDAD</t>
  </si>
  <si>
    <t>CINTA DE PAPEL DRYWALL</t>
  </si>
  <si>
    <t>5.10</t>
  </si>
  <si>
    <t>CORAZA DE PINTUCO</t>
  </si>
  <si>
    <t>5.11</t>
  </si>
  <si>
    <t>CRISTALBLOCK</t>
  </si>
  <si>
    <t>5.12</t>
  </si>
  <si>
    <t>5.13</t>
  </si>
  <si>
    <t>ESMALTE</t>
  </si>
  <si>
    <t>5.14</t>
  </si>
  <si>
    <t>ESPEJO DE 3MM</t>
  </si>
  <si>
    <t>5.15</t>
  </si>
  <si>
    <t>ESTRUCTURA GALVANIZADA CAL. 16 - DRYWALL</t>
  </si>
  <si>
    <t>5.16</t>
  </si>
  <si>
    <t>CÑ</t>
  </si>
  <si>
    <t>5.17</t>
  </si>
  <si>
    <t>PINTURA DE ALTO TRÁFICO</t>
  </si>
  <si>
    <t>5.18</t>
  </si>
  <si>
    <t>LADRILLO PRENSADO LA VEGA</t>
  </si>
  <si>
    <t>5.19</t>
  </si>
  <si>
    <t>LADRILLO QUARTERÓN</t>
  </si>
  <si>
    <t>5.20</t>
  </si>
  <si>
    <t>LADRILLO TOLETE COMÚN</t>
  </si>
  <si>
    <t>5.21</t>
  </si>
  <si>
    <t>LADRILLO TOLETE REJILLA SANTAFE</t>
  </si>
  <si>
    <t>5.22</t>
  </si>
  <si>
    <t>5.23</t>
  </si>
  <si>
    <t>LAMINA DE DRYWALL</t>
  </si>
  <si>
    <t>5.24</t>
  </si>
  <si>
    <t>LAMINA DE FIBERGLASS</t>
  </si>
  <si>
    <t>5.25</t>
  </si>
  <si>
    <t>LAMINA DE FIBERPLACK</t>
  </si>
  <si>
    <t>5.26</t>
  </si>
  <si>
    <t>LAMINA SUPERBOARD</t>
  </si>
  <si>
    <t>5.27</t>
  </si>
  <si>
    <t>LIJA PLIEGO 9"X11"</t>
  </si>
  <si>
    <t>5.28</t>
  </si>
  <si>
    <t>MASILLA - DRYWALL</t>
  </si>
  <si>
    <t>5.29</t>
  </si>
  <si>
    <t>MERULEX INMUNIZANTE</t>
  </si>
  <si>
    <t>5.30</t>
  </si>
  <si>
    <t>5.31</t>
  </si>
  <si>
    <t>5.32</t>
  </si>
  <si>
    <t>PINTURA BITUMINOSA DE ALUMINIO</t>
  </si>
  <si>
    <t>5.33</t>
  </si>
  <si>
    <t>REJILLA CÚPULA 4"X2" ALUMINIO</t>
  </si>
  <si>
    <t>5.34</t>
  </si>
  <si>
    <t>VIDRIO 4mm</t>
  </si>
  <si>
    <t>5.35</t>
  </si>
  <si>
    <t>VIDRIO BRONCE 4mm</t>
  </si>
  <si>
    <t>5.36</t>
  </si>
  <si>
    <t>VIDRIO BRONCE 5mm</t>
  </si>
  <si>
    <t>5.37</t>
  </si>
  <si>
    <t>VIDRIO BRONCE 6mm</t>
  </si>
  <si>
    <t>5.38</t>
  </si>
  <si>
    <t>VINILTEX</t>
  </si>
  <si>
    <t>5.39</t>
  </si>
  <si>
    <t>WASH PRIMER (1/4 Gal.)</t>
  </si>
  <si>
    <t>5.40</t>
  </si>
  <si>
    <t>CUÑ</t>
  </si>
  <si>
    <t>MH</t>
  </si>
  <si>
    <t xml:space="preserve">HIDROSANITARIOS: TUBERIAS - ACCESORIOS </t>
  </si>
  <si>
    <t>MH1</t>
  </si>
  <si>
    <t>ACCESORIOS - ADITIVOS PEGANTES E IMPERMEAB - ESPECIALES</t>
  </si>
  <si>
    <t>6.1.1</t>
  </si>
  <si>
    <t xml:space="preserve">ACCESORIOS SANITARIO - PVC 4" </t>
  </si>
  <si>
    <t>ADAPTADOR HEMBRA DE 1 1/2"</t>
  </si>
  <si>
    <t>6.1.2</t>
  </si>
  <si>
    <t>ADAPTADOR HEMBRA DE 1"</t>
  </si>
  <si>
    <t>6.1.3</t>
  </si>
  <si>
    <t>ADAPTADOR HEMBRA DE 1/2"</t>
  </si>
  <si>
    <t>6.1.4</t>
  </si>
  <si>
    <t>ADAPTADOR HEMBRA DE 2"</t>
  </si>
  <si>
    <t>6.1.5</t>
  </si>
  <si>
    <t>ADAPTADOR MACHO DE 1 1/2"</t>
  </si>
  <si>
    <t>6.1.6</t>
  </si>
  <si>
    <t>ADAPTADOR MACHO DE 1"</t>
  </si>
  <si>
    <t>6.1.7</t>
  </si>
  <si>
    <t>ADAPTADOR MACHO DE 1/2"</t>
  </si>
  <si>
    <t>6.1.8</t>
  </si>
  <si>
    <t>6.1.9</t>
  </si>
  <si>
    <t>ADAPTADOR MACHO DE 3/4"</t>
  </si>
  <si>
    <t>6.1.10</t>
  </si>
  <si>
    <t>ADPATADOR MACHO DE 2 1/2"</t>
  </si>
  <si>
    <t>6.1.11</t>
  </si>
  <si>
    <t>ADPATADOR MACHO DE 2"</t>
  </si>
  <si>
    <t>6.1.12</t>
  </si>
  <si>
    <t>ADPATADOR MACHO DE 3"</t>
  </si>
  <si>
    <t>6.1.13</t>
  </si>
  <si>
    <t>ADPATADOR MACHO DE 4"</t>
  </si>
  <si>
    <t>6.1.14</t>
  </si>
  <si>
    <t>BOLSAS DE FIBRA</t>
  </si>
  <si>
    <t>6.1.15</t>
  </si>
  <si>
    <t>BUJE 2" * 1 1/2"</t>
  </si>
  <si>
    <t>6.1.16</t>
  </si>
  <si>
    <t>BUJE 3" * 2"</t>
  </si>
  <si>
    <t>6.1.17</t>
  </si>
  <si>
    <t>BUJE SOLDADO 2" X 1/2"</t>
  </si>
  <si>
    <t>6.1.18</t>
  </si>
  <si>
    <t>CABLE ACERADO 1/2" NEGRO ALMA FIQUE</t>
  </si>
  <si>
    <t>6.1.19</t>
  </si>
  <si>
    <t>CABLE ACERADO 1/4"</t>
  </si>
  <si>
    <t>6.1.20</t>
  </si>
  <si>
    <t>CAJILLA PARA MEDIDOR DE AGUA, INCLUYE TAPA HF</t>
  </si>
  <si>
    <t>6.1.21</t>
  </si>
  <si>
    <t>CHEQUE HORIZONAL DE 1 1/2"</t>
  </si>
  <si>
    <t>6.1.22</t>
  </si>
  <si>
    <t>CINTA TEFLÓN</t>
  </si>
  <si>
    <t>6.1.23</t>
  </si>
  <si>
    <t>CODO 8" X 90 HIERRO DUCTIL (ASTM-A-536)</t>
  </si>
  <si>
    <t>6.1.24</t>
  </si>
  <si>
    <t>CODO SANITARIO PVC DE 6"</t>
  </si>
  <si>
    <t>6.1.25</t>
  </si>
  <si>
    <t>CODO SANITARIO PVC DE 4"</t>
  </si>
  <si>
    <t>6.1.26</t>
  </si>
  <si>
    <t>CODO SANITARIO PVC DE 2"</t>
  </si>
  <si>
    <t>6.1.27</t>
  </si>
  <si>
    <t>CODO DE GRES DE 8"</t>
  </si>
  <si>
    <t>6.1.28</t>
  </si>
  <si>
    <t xml:space="preserve">CODO GRAN RADIO  22 1/2 PVC UZ 8" </t>
  </si>
  <si>
    <t>6.1.29</t>
  </si>
  <si>
    <t xml:space="preserve">CODO GRAN RADIO  45 PVC UZ 2" </t>
  </si>
  <si>
    <t>6.1.30</t>
  </si>
  <si>
    <t xml:space="preserve">CODO GRAN RADIO  45 PVC UZ 4" </t>
  </si>
  <si>
    <t>6.1.31</t>
  </si>
  <si>
    <t xml:space="preserve">CODO GRAN RADIO  45 PVC UZ 8" </t>
  </si>
  <si>
    <t>6.1.32</t>
  </si>
  <si>
    <t xml:space="preserve">CODO GRAN RADIO  90 PVC UZ 6" </t>
  </si>
  <si>
    <t>6.1.33</t>
  </si>
  <si>
    <t xml:space="preserve">CODO GRAN RADIO  90 PVC UZ 8" </t>
  </si>
  <si>
    <t>6.1.34</t>
  </si>
  <si>
    <t>CODO HG DE 1"</t>
  </si>
  <si>
    <t>6.1.35</t>
  </si>
  <si>
    <t>CODO HG DE 1/2"</t>
  </si>
  <si>
    <t>6.1.36</t>
  </si>
  <si>
    <t>CODO HG DE 1-1/2"</t>
  </si>
  <si>
    <t>6.1.37</t>
  </si>
  <si>
    <t>CODO HG DE 2"</t>
  </si>
  <si>
    <t>6.1.38</t>
  </si>
  <si>
    <t>CODO HG DE 3/4"</t>
  </si>
  <si>
    <t>6.1.39</t>
  </si>
  <si>
    <t>CODO PRESION 45º  Ø ½"</t>
  </si>
  <si>
    <t>6.1.40</t>
  </si>
  <si>
    <t>CODO PRESION 45º  Ø ¾"</t>
  </si>
  <si>
    <t>6.1.41</t>
  </si>
  <si>
    <t>CODO PRESION 45º  Ø 1"</t>
  </si>
  <si>
    <t>6.1.42</t>
  </si>
  <si>
    <t>CODO PRESION 90º  Ø ½"</t>
  </si>
  <si>
    <t>6.1.43</t>
  </si>
  <si>
    <t>CODO PRESION 90º  Ø ¾"</t>
  </si>
  <si>
    <t>6.1.44</t>
  </si>
  <si>
    <t>CODO PRESION 90º  Ø 1"</t>
  </si>
  <si>
    <t>6.1.45</t>
  </si>
  <si>
    <t>CODO PRESION 90º  Ø 1¼"</t>
  </si>
  <si>
    <t>6.1.46</t>
  </si>
  <si>
    <t>CODO PRESION 90º  Ø 1½"</t>
  </si>
  <si>
    <t>6.1.47</t>
  </si>
  <si>
    <t>CODO PRESION 90º  Ø 2"</t>
  </si>
  <si>
    <t>6.1.48</t>
  </si>
  <si>
    <t>CODO PRESION 90º  Ø 3"</t>
  </si>
  <si>
    <t>6.1.49</t>
  </si>
  <si>
    <t>CODO PRESION 90º  Ø 4"</t>
  </si>
  <si>
    <t>6.1.50</t>
  </si>
  <si>
    <t>CODO PVC Ø 2" X 90 SANITARIO CXE</t>
  </si>
  <si>
    <t>6.1.51</t>
  </si>
  <si>
    <t>CODO PVC Ø 3" X 90 SANITARIO CXE</t>
  </si>
  <si>
    <t>6.1.52</t>
  </si>
  <si>
    <t>CODO PVC Ø 4" X 90 SANITARIO CXE</t>
  </si>
  <si>
    <t>6.1.53</t>
  </si>
  <si>
    <t>COLLAR DE DERIVACIÓN DE 10" X 2"</t>
  </si>
  <si>
    <t>6.1.54</t>
  </si>
  <si>
    <t>COLLAR DERIVACION  2" X ½"</t>
  </si>
  <si>
    <t>6.1.55</t>
  </si>
  <si>
    <t>COLLAR DERIVACION  2" X ¾"</t>
  </si>
  <si>
    <t>6.1.56</t>
  </si>
  <si>
    <t>COLLAR DERIVACION  3" X ½"</t>
  </si>
  <si>
    <t>6.1.57</t>
  </si>
  <si>
    <t>COLLAR DERIVACION  3" X ¾"</t>
  </si>
  <si>
    <t>6.1.58</t>
  </si>
  <si>
    <t>COLLAR DERIVACION  4" X ½"</t>
  </si>
  <si>
    <t>6.1.59</t>
  </si>
  <si>
    <t>COLLAR DERIVACION  4" X ¾"</t>
  </si>
  <si>
    <t>6.1.60</t>
  </si>
  <si>
    <t>COLLAR DERIVACION  6" X ½"</t>
  </si>
  <si>
    <t>6.1.61</t>
  </si>
  <si>
    <t>COLLAR DERIVACION  6" X ¾"</t>
  </si>
  <si>
    <t>6.1.62</t>
  </si>
  <si>
    <t>COLLAR DERIVACION 3" X 1 1/2"</t>
  </si>
  <si>
    <t>6.1.63</t>
  </si>
  <si>
    <t>COLLAR DERIVACION 4" X 1 1/2"</t>
  </si>
  <si>
    <t>6.1.64</t>
  </si>
  <si>
    <t>DESAGÜE SIFÓN LAVAMANOS-ORINAL</t>
  </si>
  <si>
    <t>6.1.65</t>
  </si>
  <si>
    <t>IGAS NEGRO</t>
  </si>
  <si>
    <t>6.1.66</t>
  </si>
  <si>
    <t>KIT SILLA YEE 200 MM X 160 MM</t>
  </si>
  <si>
    <t>6.1.67</t>
  </si>
  <si>
    <t>KIT SILLA YEE 250 MM X 160 MM</t>
  </si>
  <si>
    <t>6.1.68</t>
  </si>
  <si>
    <t>6.1.69</t>
  </si>
  <si>
    <t>LIMPIADOR/REMOVEDOR  PVC. ( 1/64  Gal )</t>
  </si>
  <si>
    <t>6.1.70</t>
  </si>
  <si>
    <t>LIMPIADOR/REMOVEDOR  PVC. (1/128 GAL )</t>
  </si>
  <si>
    <t>6.1.71</t>
  </si>
  <si>
    <t>LIMPIADOR/REMOVEDOR  PVC. 12 ONZAS</t>
  </si>
  <si>
    <t>6.1.72</t>
  </si>
  <si>
    <t>LUBRICANTE PARA TUBERÍA PVC (500 GR)</t>
  </si>
  <si>
    <t>6.1.73</t>
  </si>
  <si>
    <t>NIPLE HG  DE 1/2" * 2</t>
  </si>
  <si>
    <t>6.1.74</t>
  </si>
  <si>
    <t>NIPLE HG DE 1/2" * 4</t>
  </si>
  <si>
    <t>6.1.75</t>
  </si>
  <si>
    <t>PASO PARA POZO EN ACERO 5/8", INCL. ANTICORROSIVO</t>
  </si>
  <si>
    <t>6.1.76</t>
  </si>
  <si>
    <t>PEGANTE No. 10   PVC.</t>
  </si>
  <si>
    <t>6.1.77</t>
  </si>
  <si>
    <t>PERROS DE 1/2" T.P.</t>
  </si>
  <si>
    <t>6.1.78</t>
  </si>
  <si>
    <t>PERROS DE 3/8" T.P.</t>
  </si>
  <si>
    <t>6.1.79</t>
  </si>
  <si>
    <t>PINTURA ALUMOL</t>
  </si>
  <si>
    <t>6.1.80</t>
  </si>
  <si>
    <t>PLASTOCRETE</t>
  </si>
  <si>
    <t>6.1.81</t>
  </si>
  <si>
    <t>PLATINA PARA ABRAZADERA 1 1/2"  * 3/16"</t>
  </si>
  <si>
    <t>6.1.82</t>
  </si>
  <si>
    <t>PLATINA PARA ABRAZADERA 2"  * 3/8"</t>
  </si>
  <si>
    <t>6.1.83</t>
  </si>
  <si>
    <t>POLIETILENO CALIBRE 6</t>
  </si>
  <si>
    <t>6.1.84</t>
  </si>
  <si>
    <t>REJILLA DE ALUMINIO DE 3"*4"</t>
  </si>
  <si>
    <t>6.1.85</t>
  </si>
  <si>
    <t>SELLADOR ETERNA</t>
  </si>
  <si>
    <t>6.1.86</t>
  </si>
  <si>
    <t>SEMICODOS PVC 1 1/2"</t>
  </si>
  <si>
    <t>6.1.87</t>
  </si>
  <si>
    <t>SIFÓN PVC DE 3"</t>
  </si>
  <si>
    <t>6.1.88</t>
  </si>
  <si>
    <t>SIFÓN PVC DE 4"</t>
  </si>
  <si>
    <t>6.1.89</t>
  </si>
  <si>
    <t>SIFÓN DE PVC DE 2" SANITARIA</t>
  </si>
  <si>
    <t>6.1.90</t>
  </si>
  <si>
    <t>SIKA- 1  ( 20 Kg )</t>
  </si>
  <si>
    <t>6.1.91</t>
  </si>
  <si>
    <t>SIKA- 2</t>
  </si>
  <si>
    <t>6.1.92</t>
  </si>
  <si>
    <t>SIKA- 3</t>
  </si>
  <si>
    <t>6.1.93</t>
  </si>
  <si>
    <t>SIKADUR 32</t>
  </si>
  <si>
    <t>6.1.94</t>
  </si>
  <si>
    <t>SIKATOP</t>
  </si>
  <si>
    <t>6.1.95</t>
  </si>
  <si>
    <t>SILLA DE 6" X 1 1/2"</t>
  </si>
  <si>
    <t>6.1.96</t>
  </si>
  <si>
    <t>SILLA TEE DERIVACION 3" X 1"</t>
  </si>
  <si>
    <t>6.1.97</t>
  </si>
  <si>
    <t>SOLDADURA 1/8"</t>
  </si>
  <si>
    <t>6.1.98</t>
  </si>
  <si>
    <t>SOLDADURA LIQUIDA  C PVC.  (1/16 Gal )</t>
  </si>
  <si>
    <t>6.1.99</t>
  </si>
  <si>
    <t>SOLDADURA LIQUIDA  C PVC.  (1/8 Gal )</t>
  </si>
  <si>
    <t>6.1.100</t>
  </si>
  <si>
    <t>SOLDADURA LIQUIDA  PVC.  (1/16 Gal )</t>
  </si>
  <si>
    <t>6.1.101</t>
  </si>
  <si>
    <t>SOLDADURA LIQUIDA  PVC.  (1/32 Gal )</t>
  </si>
  <si>
    <t>6.1.102</t>
  </si>
  <si>
    <t>6.1.103</t>
  </si>
  <si>
    <t>SOLDADURA LIQUIDA  PVC.  (1/8 Gal )</t>
  </si>
  <si>
    <t>6.1.104</t>
  </si>
  <si>
    <t>SOLDADURA LIQUIDA C  PVC.  (1/32 Gal )</t>
  </si>
  <si>
    <t>6.1.105</t>
  </si>
  <si>
    <t>SOLDADURA LIQUIDA C PVC.  (1/4 Gal )</t>
  </si>
  <si>
    <t>6.1.106</t>
  </si>
  <si>
    <t>SOLDADURA METÁLICA 6013 * 1/8</t>
  </si>
  <si>
    <t>6.1.107</t>
  </si>
  <si>
    <t>TAPA, ARO Y BASE HF TRÁFICO PESADO PARA POZO</t>
  </si>
  <si>
    <t>6.1.108</t>
  </si>
  <si>
    <t>TAPON DE 1"</t>
  </si>
  <si>
    <t>6.1.109</t>
  </si>
  <si>
    <t>TAPON DE 1/2"</t>
  </si>
  <si>
    <t>6.1.110</t>
  </si>
  <si>
    <t>TAPON SOLDADO PVC DE 4"</t>
  </si>
  <si>
    <t>6.1.111</t>
  </si>
  <si>
    <t>TAPON SOLDADO PVC DE 6"</t>
  </si>
  <si>
    <t>6.1.112</t>
  </si>
  <si>
    <t>TAPÓN SOLDADO PVC Ø  1/2" SANITARIO</t>
  </si>
  <si>
    <t>6.1.113</t>
  </si>
  <si>
    <t>TAPÓN SOLDADO PVC Ø 2 1/2" SANITARIO</t>
  </si>
  <si>
    <t>6.1.114</t>
  </si>
  <si>
    <t>TAPÓN SOLDADO PVC Ø 2" SANITARIO</t>
  </si>
  <si>
    <t>6.1.115</t>
  </si>
  <si>
    <t>TAPÓN SOLDADO PVC Ø 4" SANITARIO</t>
  </si>
  <si>
    <t>6.1.116</t>
  </si>
  <si>
    <t>TAPÓN SOLDADO PVC Ø 6" SANITARIO</t>
  </si>
  <si>
    <t>6.1.117</t>
  </si>
  <si>
    <t>TEE 3" * 3" PRESION</t>
  </si>
  <si>
    <t>6.1.118</t>
  </si>
  <si>
    <t>TEE 8" HIERRO DUCTIL (ASTM-A-536)</t>
  </si>
  <si>
    <t>6.1.119</t>
  </si>
  <si>
    <t>TEE HF 6"</t>
  </si>
  <si>
    <t>6.1.120</t>
  </si>
  <si>
    <t>TEE PRESION   Ø ½"</t>
  </si>
  <si>
    <t>6.1.121</t>
  </si>
  <si>
    <t>TEE PRESION   Ø ¾"</t>
  </si>
  <si>
    <t>6.1.122</t>
  </si>
  <si>
    <t>TEE PRESION   Ø 1"</t>
  </si>
  <si>
    <t>6.1.123</t>
  </si>
  <si>
    <t>TEE PRESION   Ø 1¼"</t>
  </si>
  <si>
    <t>6.1.124</t>
  </si>
  <si>
    <t>TEE PRESION   Ø 1½"</t>
  </si>
  <si>
    <t>6.1.125</t>
  </si>
  <si>
    <t>TEE PRESION   Ø 2"</t>
  </si>
  <si>
    <t>6.1.126</t>
  </si>
  <si>
    <t>TEE PRESION   Ø 3"</t>
  </si>
  <si>
    <t>6.1.127</t>
  </si>
  <si>
    <t>TEE PRESION   Ø 4"</t>
  </si>
  <si>
    <t>6.1.128</t>
  </si>
  <si>
    <t>TEE PVC Ø 2" SANITARIO</t>
  </si>
  <si>
    <t>6.1.129</t>
  </si>
  <si>
    <t>TEE PVC Ø 3" SANITARIO</t>
  </si>
  <si>
    <t>6.1.130</t>
  </si>
  <si>
    <t>TEE PVC Ø 4" SANITARIO</t>
  </si>
  <si>
    <t>6.1.131</t>
  </si>
  <si>
    <t>TEE PVC UZ 2 1/2" X 2 1/2" X 2 1/2"</t>
  </si>
  <si>
    <t>6.1.132</t>
  </si>
  <si>
    <t>TEE REDUCIDA ¾" X ½"</t>
  </si>
  <si>
    <t>6.1.133</t>
  </si>
  <si>
    <t>TEE REDUCIDA 1" X ½"</t>
  </si>
  <si>
    <t>6.1.134</t>
  </si>
  <si>
    <t>TEE REDUCIDA 1" X ¾"</t>
  </si>
  <si>
    <t>6.1.135</t>
  </si>
  <si>
    <t>TORNILLO ACERO 1/2" CON TUERCA Y ARANDELA</t>
  </si>
  <si>
    <t>6.1.136</t>
  </si>
  <si>
    <t>TUBO PVC NOVAFORT D=8"</t>
  </si>
  <si>
    <t>6.1.137</t>
  </si>
  <si>
    <t>UNION DE REPARACION PVC UZ D=  4"</t>
  </si>
  <si>
    <t>6.1.138</t>
  </si>
  <si>
    <t>UNION DE REPARACION PVC UZ D=  6"</t>
  </si>
  <si>
    <t>6.1.139</t>
  </si>
  <si>
    <t>UNION DE REPARACION PVC UZ D=  8"</t>
  </si>
  <si>
    <t>6.1.140</t>
  </si>
  <si>
    <t>UNION HG DE 1"</t>
  </si>
  <si>
    <t>6.1.141</t>
  </si>
  <si>
    <t>UNION HG DE 1/2"</t>
  </si>
  <si>
    <t>6.1.142</t>
  </si>
  <si>
    <t>UNION HG DE 1-1/2"</t>
  </si>
  <si>
    <t>6.1.143</t>
  </si>
  <si>
    <t>UNION HG DE 2"</t>
  </si>
  <si>
    <t>6.1.144</t>
  </si>
  <si>
    <t>UNION HG DE 3/4"</t>
  </si>
  <si>
    <t>6.1.145</t>
  </si>
  <si>
    <t>UNION PRESION   Ø ½"</t>
  </si>
  <si>
    <t>6.1.146</t>
  </si>
  <si>
    <t>UNION PRESION   Ø ¾"</t>
  </si>
  <si>
    <t>6.1.147</t>
  </si>
  <si>
    <t>UNION PRESION   Ø 1"</t>
  </si>
  <si>
    <t>6.1.148</t>
  </si>
  <si>
    <t>UNION PRESION   Ø 1¼"</t>
  </si>
  <si>
    <t>6.1.149</t>
  </si>
  <si>
    <t>UNION PRESION   Ø 1½"</t>
  </si>
  <si>
    <t>6.1.150</t>
  </si>
  <si>
    <t>UNION PRESION   Ø 2"</t>
  </si>
  <si>
    <t>6.1.151</t>
  </si>
  <si>
    <t>UNION PRESION   Ø 2½"</t>
  </si>
  <si>
    <t>6.1.152</t>
  </si>
  <si>
    <t>UNION PRESION   Ø 3"</t>
  </si>
  <si>
    <t>6.1.153</t>
  </si>
  <si>
    <t>UNION PRESION   Ø 4"</t>
  </si>
  <si>
    <t>6.1.154</t>
  </si>
  <si>
    <t>UNION PRESION D 6"</t>
  </si>
  <si>
    <t>6.1.155</t>
  </si>
  <si>
    <t>UNIÓN PVC 1 1/2"</t>
  </si>
  <si>
    <t>6.1.156</t>
  </si>
  <si>
    <t>UNIÓN PVC Ø 2" SANITARIO</t>
  </si>
  <si>
    <t>6.1.157</t>
  </si>
  <si>
    <t>UNIÓN PVC Ø 3" SANITARIO</t>
  </si>
  <si>
    <t>6.1.158</t>
  </si>
  <si>
    <t>UNIÓN PVC Ø 4" SANITARIO</t>
  </si>
  <si>
    <t>6.1.159</t>
  </si>
  <si>
    <r>
      <rPr>
        <sz val="10"/>
        <color theme="1"/>
        <rFont val="Calibri"/>
        <family val="2"/>
      </rPr>
      <t>UNION PVC Ø</t>
    </r>
    <r>
      <rPr>
        <sz val="9"/>
        <color theme="1"/>
        <rFont val="Calibri"/>
        <family val="2"/>
      </rPr>
      <t xml:space="preserve"> 6" SANITARIO</t>
    </r>
  </si>
  <si>
    <t>6.1.160</t>
  </si>
  <si>
    <r>
      <rPr>
        <sz val="10"/>
        <color theme="1"/>
        <rFont val="Calibri"/>
        <family val="2"/>
      </rPr>
      <t>UNION PVC Ø</t>
    </r>
    <r>
      <rPr>
        <sz val="9"/>
        <color theme="1"/>
        <rFont val="Calibri"/>
        <family val="2"/>
      </rPr>
      <t xml:space="preserve"> 10" SANITARIO</t>
    </r>
  </si>
  <si>
    <t>6.1.161</t>
  </si>
  <si>
    <t>UNIVERSAL HG DE 1/2"</t>
  </si>
  <si>
    <t>6.1.162</t>
  </si>
  <si>
    <t>UNIVERSAL HG DE 3/4"</t>
  </si>
  <si>
    <t>6.1.163</t>
  </si>
  <si>
    <t>UNIVERSAL PVC 1/2"</t>
  </si>
  <si>
    <t>6.1.164</t>
  </si>
  <si>
    <t xml:space="preserve">YEE  PVC DE 4 * 6" </t>
  </si>
  <si>
    <t>6.1.165</t>
  </si>
  <si>
    <t xml:space="preserve">YEE  PVC DE 2 * 6" </t>
  </si>
  <si>
    <t>6.1.166</t>
  </si>
  <si>
    <t>YEE DE GRES DE 14 * 6 LP</t>
  </si>
  <si>
    <t>6.1.167</t>
  </si>
  <si>
    <t>YEE DE GRES DE 8 * 6 LP</t>
  </si>
  <si>
    <t>6.1.168</t>
  </si>
  <si>
    <t>YUTE ALQUITRANADO</t>
  </si>
  <si>
    <t>6.1.169</t>
  </si>
  <si>
    <t>SIKADUR-32 PRIME -ADHERENTE EPÓXICO</t>
  </si>
  <si>
    <t>MH2</t>
  </si>
  <si>
    <t>TUBERIAS</t>
  </si>
  <si>
    <t>6.2.1</t>
  </si>
  <si>
    <t>MANGUERA DESCOLE 1 1/2"</t>
  </si>
  <si>
    <t>6.2.2</t>
  </si>
  <si>
    <t>MANGUERA DESCOLE 1"</t>
  </si>
  <si>
    <t>6.2.3</t>
  </si>
  <si>
    <t>MANGUERA DESCOLE 2"</t>
  </si>
  <si>
    <t>6.2.4</t>
  </si>
  <si>
    <t>TUBERÍA PVC PARED ESTRUCTURAL 160 MM (L=6 M)</t>
  </si>
  <si>
    <t>6.2.5</t>
  </si>
  <si>
    <t>TUBERÍA PVC PARED ESTRUCTURAL 200 MM (L=6 M)</t>
  </si>
  <si>
    <t>6.2.6</t>
  </si>
  <si>
    <t>TUBERÍA PVC PARED ESTRUCTURAL 250 MM (L=6 M)</t>
  </si>
  <si>
    <t>6.2.7</t>
  </si>
  <si>
    <t>TUBERÍA PVC PARED ESTRUCTURAL 27" (L=6.5 M)</t>
  </si>
  <si>
    <t>6.2.8</t>
  </si>
  <si>
    <t>TUBO  GALVANIZADO  TIPO CERRAMIENTO DE 1-1/2"</t>
  </si>
  <si>
    <t>6.2.9</t>
  </si>
  <si>
    <t>TUBO AGUAS NEGRAS 1-1/2" C/16</t>
  </si>
  <si>
    <t>6.2.10</t>
  </si>
  <si>
    <t>TUBO AGUAS NEGRAS 2" C/16</t>
  </si>
  <si>
    <t>6.2.11</t>
  </si>
  <si>
    <t>TUBO AGUAS NEGRAS 2-1/2"  C/16</t>
  </si>
  <si>
    <t>6.2.12</t>
  </si>
  <si>
    <t>TUBO AGUAS NEGRAS 3"  C/16</t>
  </si>
  <si>
    <t>6.2.13</t>
  </si>
  <si>
    <t>TUBO EN CONCRETO REFORZADO 24" CUATRO ANILLOS 1/4</t>
  </si>
  <si>
    <t>6.2.14</t>
  </si>
  <si>
    <t>TUBO EN CONCRETO REFORZADO 36" EN CONCRETO FC= 28 MPA ESPECIFICACIÓN AASHTO M-170M Y NTC 401</t>
  </si>
  <si>
    <t>6.2.15</t>
  </si>
  <si>
    <t>TUBO GALVANIZADO  2" CON ROSCA</t>
  </si>
  <si>
    <t>6.2.16</t>
  </si>
  <si>
    <t>TUBO GALVANIZADO 1"  CON ROSCA</t>
  </si>
  <si>
    <t>6.2.17</t>
  </si>
  <si>
    <t>TUBO GALVANIZADO 1/2" CON ROSCA</t>
  </si>
  <si>
    <t>6.2.18</t>
  </si>
  <si>
    <t>TUBO GALVANIZADO 1-1/2"  CON ROSCA</t>
  </si>
  <si>
    <t>6.2.19</t>
  </si>
  <si>
    <t>TUBO GALVANIZADO 3" CON ROSCA</t>
  </si>
  <si>
    <t>6.2.20</t>
  </si>
  <si>
    <t>TUBO GALVANIZADO 3/4" CON ROSCA</t>
  </si>
  <si>
    <t>6.2.21</t>
  </si>
  <si>
    <t>TUBO GALVANIZADO DE 3" TIPO PESADO (PETROLERO)</t>
  </si>
  <si>
    <t>6.2.22</t>
  </si>
  <si>
    <t>TUBO GALVANIZADO TIPO CERRAMIENTO DE 2"</t>
  </si>
  <si>
    <t>6.2.23</t>
  </si>
  <si>
    <t>TUBO GRES Ø 10"  LP</t>
  </si>
  <si>
    <t>6.2.24</t>
  </si>
  <si>
    <t>TUBO GRES Ø 12"  LP</t>
  </si>
  <si>
    <t>6.2.25</t>
  </si>
  <si>
    <t>TUBO GRES Ø 14"  LP</t>
  </si>
  <si>
    <t>6.2.26</t>
  </si>
  <si>
    <t>TUBO GRES Ø 3"  LP</t>
  </si>
  <si>
    <t>6.2.27</t>
  </si>
  <si>
    <t>TUBO GRES Ø 4"  LP</t>
  </si>
  <si>
    <t>6.2.28</t>
  </si>
  <si>
    <t>TUBO GRES Ø 6"  LP</t>
  </si>
  <si>
    <t>6.2.29</t>
  </si>
  <si>
    <t>TUBO GRES Ø 8 LP</t>
  </si>
  <si>
    <t>6.2.30</t>
  </si>
  <si>
    <t>TUBO GRES Ø 8 LP DRENAJE</t>
  </si>
  <si>
    <t>6.2.31</t>
  </si>
  <si>
    <t>TUBO GRES Ø 8" AA</t>
  </si>
  <si>
    <t>6.2.32</t>
  </si>
  <si>
    <t>TUBO HG 2"</t>
  </si>
  <si>
    <t>6.2.33</t>
  </si>
  <si>
    <t>TUBO HG 4"</t>
  </si>
  <si>
    <t>6.2.34</t>
  </si>
  <si>
    <t>TUBO NEGRO GALVANIZADO 2" CAL. 16</t>
  </si>
  <si>
    <t>6.2.35</t>
  </si>
  <si>
    <t>TUBO PVC Ø 2"  A.LL.</t>
  </si>
  <si>
    <t>6.2.36</t>
  </si>
  <si>
    <t>TUBO PVC Ø 2" SANITARIO</t>
  </si>
  <si>
    <t>6.2.37</t>
  </si>
  <si>
    <t>TUBO PVC Ø 3"  A.LL.</t>
  </si>
  <si>
    <t>6.2.38</t>
  </si>
  <si>
    <t>TUBO PVC Ø 3"  SANITARIO</t>
  </si>
  <si>
    <t>6.2.39</t>
  </si>
  <si>
    <t>TUBO PVC Ø 4"  A.LL.</t>
  </si>
  <si>
    <t>6.2.40</t>
  </si>
  <si>
    <t>TUBO PVC Ø 4"  SANITARIO</t>
  </si>
  <si>
    <t>6.2.41</t>
  </si>
  <si>
    <t>TUBO PVC Ø 10"  SANITARIO</t>
  </si>
  <si>
    <t>6.2.42</t>
  </si>
  <si>
    <t>TUBO PVC Ø 6"  SANITARIO TIPO PESADO</t>
  </si>
  <si>
    <t>6.2.43</t>
  </si>
  <si>
    <t xml:space="preserve">TUBO PVC P Ø ½"  RDE 13,5 </t>
  </si>
  <si>
    <t>6.2.44</t>
  </si>
  <si>
    <t xml:space="preserve">TUBO PVC P Ø ½"  RDE 9 </t>
  </si>
  <si>
    <t>6.2.45</t>
  </si>
  <si>
    <t xml:space="preserve">TUBO PVC P Ø ¾"  RDE 11 </t>
  </si>
  <si>
    <t>6.2.46</t>
  </si>
  <si>
    <t xml:space="preserve">TUBO PVC P Ø ¾"  RDE 21 </t>
  </si>
  <si>
    <t>6.2.47</t>
  </si>
  <si>
    <t xml:space="preserve">TUBO PVC P Ø 1 1/2"  RDE 21 </t>
  </si>
  <si>
    <t>6.2.48</t>
  </si>
  <si>
    <t xml:space="preserve">TUBO PVC P Ø 1"  RDE 13,5 </t>
  </si>
  <si>
    <t>6.2.49</t>
  </si>
  <si>
    <t xml:space="preserve">TUBO PVC P Ø 1"  RDE 21 </t>
  </si>
  <si>
    <t>6.2.50</t>
  </si>
  <si>
    <t xml:space="preserve">TUBO PVC P Ø 1¼"  RDE 21 </t>
  </si>
  <si>
    <t>6.2.51</t>
  </si>
  <si>
    <t xml:space="preserve">TUBO PVC P Ø 1½"  RDE 21 </t>
  </si>
  <si>
    <t>6.2.52</t>
  </si>
  <si>
    <t xml:space="preserve">TUBO PVC P Ø 2"  RDE 21 </t>
  </si>
  <si>
    <t>6.2.53</t>
  </si>
  <si>
    <t xml:space="preserve">TUBO PVC P Ø 2"  RDE 26 </t>
  </si>
  <si>
    <t>6.2.54</t>
  </si>
  <si>
    <t xml:space="preserve">TUBO PVC P Ø 2½"  RDE 21 </t>
  </si>
  <si>
    <t>6.2.55</t>
  </si>
  <si>
    <t xml:space="preserve">TUBO PVC P Ø 2½"  RDE 26 </t>
  </si>
  <si>
    <t>6.2.56</t>
  </si>
  <si>
    <t xml:space="preserve">TUBO PVC P Ø 3"  RDE 21 </t>
  </si>
  <si>
    <t>6.2.57</t>
  </si>
  <si>
    <t xml:space="preserve">TUBO PVC P Ø 3"  RDE 26 </t>
  </si>
  <si>
    <t>6.2.58</t>
  </si>
  <si>
    <t xml:space="preserve">TUBO PVC P Ø 3"  RDE 32,5 </t>
  </si>
  <si>
    <t>6.2.59</t>
  </si>
  <si>
    <t xml:space="preserve">TUBO PVC P Ø 4"  RDE 21 </t>
  </si>
  <si>
    <t>6.2.60</t>
  </si>
  <si>
    <t xml:space="preserve">TUBO PVC P Ø 4"  RDE 26 </t>
  </si>
  <si>
    <t>6.2.61</t>
  </si>
  <si>
    <t xml:space="preserve">TUBO PVC P Ø 4"  RDE 32,5 </t>
  </si>
  <si>
    <t>6.2.62</t>
  </si>
  <si>
    <t xml:space="preserve">TUBO PVC P Ø 4"  RDE 41 </t>
  </si>
  <si>
    <t>6.2.63</t>
  </si>
  <si>
    <t>TUBO PVC UZ 2" RDE 41</t>
  </si>
  <si>
    <t>6.2.64</t>
  </si>
  <si>
    <t>TUBO PVC UZ 3" RDE 41</t>
  </si>
  <si>
    <t>6.2.65</t>
  </si>
  <si>
    <t>TUBO PVC UZ 8" RDE 32.5</t>
  </si>
  <si>
    <t>6.2.66</t>
  </si>
  <si>
    <t>TUBO PVC UZ 8" RDE 41</t>
  </si>
  <si>
    <t>6.2.67</t>
  </si>
  <si>
    <t>TUBO PVC UZ Ø 2 1/ 2"  RDE 26</t>
  </si>
  <si>
    <t>6.2.68</t>
  </si>
  <si>
    <t xml:space="preserve">TUBO PVC UZ Ø 2"  RDE 13.5 </t>
  </si>
  <si>
    <t>6.2.69</t>
  </si>
  <si>
    <t xml:space="preserve">TUBO PVC UZ Ø 2"  RDE 32,5 </t>
  </si>
  <si>
    <t>6.2.70</t>
  </si>
  <si>
    <t xml:space="preserve">TUBO PVC UZ Ø 3"  RDE 13,5 </t>
  </si>
  <si>
    <t>MH3</t>
  </si>
  <si>
    <t>VALVULAS - HIDRAULICOS</t>
  </si>
  <si>
    <t>6.3.1</t>
  </si>
  <si>
    <t>CHEQUE ½" JUNKER CORTO</t>
  </si>
  <si>
    <t>6.3.2</t>
  </si>
  <si>
    <t>CHEQUE 3/4" JUNKER CORTO</t>
  </si>
  <si>
    <t>6.3.3</t>
  </si>
  <si>
    <t>CHEQUE 1" JUNKER CORTO</t>
  </si>
  <si>
    <t>6.3.4</t>
  </si>
  <si>
    <t>REGISTRO P-D ½" R.W ROSC.</t>
  </si>
  <si>
    <t>6.3.5</t>
  </si>
  <si>
    <t>REGISTRO P-D ¾" R.W ROSC.</t>
  </si>
  <si>
    <t>6.3.6</t>
  </si>
  <si>
    <t>REGISTRO P-D 1" R.W ROSC.</t>
  </si>
  <si>
    <t>6.3.7</t>
  </si>
  <si>
    <t>REGISTRO DE BOLA ½"</t>
  </si>
  <si>
    <t>6.3.8</t>
  </si>
  <si>
    <t>REGISTRO DE BOLA ¾"</t>
  </si>
  <si>
    <t>6.3.9</t>
  </si>
  <si>
    <t>REGISTRO DE BOLA  1"</t>
  </si>
  <si>
    <t>6.3.10</t>
  </si>
  <si>
    <t>VALVULA FLOTADOR ½" COBRIZADO</t>
  </si>
  <si>
    <t>6.3.11</t>
  </si>
  <si>
    <t>VALVULA FLOTADOR 3/4"</t>
  </si>
  <si>
    <t>6.3.12</t>
  </si>
  <si>
    <t>VALVULA FLOTADOR 1" tipo pesado</t>
  </si>
  <si>
    <t>6.3.13</t>
  </si>
  <si>
    <t>VALVULA FLOTADOR  1.½" tipo pesado</t>
  </si>
  <si>
    <t>6.3.14</t>
  </si>
  <si>
    <t>VALVULA DE PIE  3/4"</t>
  </si>
  <si>
    <t>6.3.15</t>
  </si>
  <si>
    <t>VALVULA DE PIE  1"</t>
  </si>
  <si>
    <t>6.3.16</t>
  </si>
  <si>
    <t>VALVULA DE PIE   1,1/4"</t>
  </si>
  <si>
    <t>6.3.17</t>
  </si>
  <si>
    <t>VALVULA DE PIE   1,1/2"</t>
  </si>
  <si>
    <t>6.3.18</t>
  </si>
  <si>
    <t>VALVULA DE PIE  2"</t>
  </si>
  <si>
    <t>6.3.19</t>
  </si>
  <si>
    <t>VALVULA DE PIE  3"</t>
  </si>
  <si>
    <t>6.3.20</t>
  </si>
  <si>
    <t>VALVULA DE PIE  4"</t>
  </si>
  <si>
    <t>6.3.21</t>
  </si>
  <si>
    <t>VALVULA DE PIE  6"</t>
  </si>
  <si>
    <t>6.3.22</t>
  </si>
  <si>
    <t>VALVULA DE BOLA  1" H.G</t>
  </si>
  <si>
    <t>6.3.23</t>
  </si>
  <si>
    <t>VALVULA DE BOLA  1½" H.G</t>
  </si>
  <si>
    <t>6.3.24</t>
  </si>
  <si>
    <t>VALVULA DE BOLA  2" H.G</t>
  </si>
  <si>
    <t>6.3.25</t>
  </si>
  <si>
    <t>VALVULA DE BOLA  2½" H.G</t>
  </si>
  <si>
    <t>6.3.26</t>
  </si>
  <si>
    <t>VALVULA DE BOLA 3" H.G</t>
  </si>
  <si>
    <t>6.3.27</t>
  </si>
  <si>
    <t>VALVULA DE BOLA 3½" H.G</t>
  </si>
  <si>
    <t>6.3.28</t>
  </si>
  <si>
    <t>VALVULA DE BOLA 4" H.G</t>
  </si>
  <si>
    <t>6.3.29</t>
  </si>
  <si>
    <t>VALVULA DE BOLA 6" H.F</t>
  </si>
  <si>
    <t>6.3.30</t>
  </si>
  <si>
    <t>VALVULA POZUELO 3"</t>
  </si>
  <si>
    <t>6.3.31</t>
  </si>
  <si>
    <t>VALVULA POZUELO 4"</t>
  </si>
  <si>
    <t>6.3.32</t>
  </si>
  <si>
    <t>REJILLA PLANA DE ALUMINIO 3*4</t>
  </si>
  <si>
    <t>6.3.33</t>
  </si>
  <si>
    <t>VALVULA COMPUERTA HF 2" SELLO ELÁSTICO</t>
  </si>
  <si>
    <t>6.3.34</t>
  </si>
  <si>
    <t>VALVULA DE BOLA DE 1 1/2"</t>
  </si>
  <si>
    <t>6.3.35</t>
  </si>
  <si>
    <t>VALVULA POZUELO DE 3"</t>
  </si>
  <si>
    <t>6.3.36</t>
  </si>
  <si>
    <t>VALVULA COMPUERTA HF 4" SELLO ELÁSTICO</t>
  </si>
  <si>
    <t>6.3.37</t>
  </si>
  <si>
    <t>VALVULA COMPUERTA HF 6" SELLO ELÁSTICO</t>
  </si>
  <si>
    <t>6.3.38</t>
  </si>
  <si>
    <t>VALVULA VENTOSA DOBLE ACCIÓN 1/2"</t>
  </si>
  <si>
    <t>6.3.39</t>
  </si>
  <si>
    <t>VALVULA VENTOSA DOBLE ACCIÓN 1"</t>
  </si>
  <si>
    <t>6.3.40</t>
  </si>
  <si>
    <t>VALVULA VENTOSA DOBLE ACCIÓN 3/4"</t>
  </si>
  <si>
    <t>6.3.41</t>
  </si>
  <si>
    <t>VALVULA VENTOSA PVC 2"</t>
  </si>
  <si>
    <t>6.3.42</t>
  </si>
  <si>
    <t>VALVULA CORTINA 2 1/2" SELLO BRONCE</t>
  </si>
  <si>
    <t>6.3.43</t>
  </si>
  <si>
    <t>VALVULA CORTINA 2" SELLO BRONCE</t>
  </si>
  <si>
    <t>6.3.44</t>
  </si>
  <si>
    <t>VALVULA CORTINA 1 1/2" SELLO BRONCE</t>
  </si>
  <si>
    <t>6.3.45</t>
  </si>
  <si>
    <t>VALVULA VENTOSA PVC 1 1/2"</t>
  </si>
  <si>
    <t>6.3.46</t>
  </si>
  <si>
    <t>VALVULA CORTINA 3/4" SELLO BRONCE</t>
  </si>
  <si>
    <t>6.3.47</t>
  </si>
  <si>
    <t>VALVULA CORTINA 1" SELLO BRONCE</t>
  </si>
  <si>
    <t>6.3.48</t>
  </si>
  <si>
    <t>VALVULA CORTINA 1  1/2" SELLO BRONCE</t>
  </si>
  <si>
    <t>6.3.49</t>
  </si>
  <si>
    <t>VALVULA CORTINA 3" SELLO BRONCE</t>
  </si>
  <si>
    <t>6.3.50</t>
  </si>
  <si>
    <t>CONTADOR VOLUMÉTRICO Ø 1/2"</t>
  </si>
  <si>
    <t>6.3.51</t>
  </si>
  <si>
    <t>6.3.52</t>
  </si>
  <si>
    <t>REGISTRO DE CORTINA 1/2"</t>
  </si>
  <si>
    <t>6.3.53</t>
  </si>
  <si>
    <t>MOTOBOMBA ELÉCTRICA 0.5 HO 1" * 1"</t>
  </si>
  <si>
    <t>6.3.54</t>
  </si>
  <si>
    <t>BOMBA ELECTROSUMERGIBLE 2 HP UNA FASE VOLTAJE 115 - 230 VOL , SUCCIÓN 1 1/4" X 1", AMPARAJE 25 / 12.5, INCLUYE INYECTOR TIPO C</t>
  </si>
  <si>
    <t>6.3.55</t>
  </si>
  <si>
    <t>ELECTROBOMBA DE ALTA PRESIÓN 2HP, SUCCIÓN Y DESCARGA 1 1/2" X 1 1/2"</t>
  </si>
  <si>
    <t>6.3.56</t>
  </si>
  <si>
    <t>VALVULA COMPUERTA ELÀSTICA 8" HIERRO DUCTIL (ASTM-A-536)</t>
  </si>
  <si>
    <t>6.3.57</t>
  </si>
  <si>
    <t>VALVULA COMPUERTA ELÀSTICA 6" HIERRO DUCTIL (ASTM-A-536)</t>
  </si>
  <si>
    <t>6.3.58</t>
  </si>
  <si>
    <t>VALVULA COMPUERTA ELÀSTICA 4" HIERRO DUCTIL (ASTM-A-536)</t>
  </si>
  <si>
    <t>6.3.59</t>
  </si>
  <si>
    <t>REGISTRO DE INCORPORACION DE COBRE</t>
  </si>
  <si>
    <t>ME</t>
  </si>
  <si>
    <t>ESPECIALES</t>
  </si>
  <si>
    <t>ABONO AGRICOLA</t>
  </si>
  <si>
    <t>ACELERANTE</t>
  </si>
  <si>
    <t>ACIDO MURIATICO</t>
  </si>
  <si>
    <t>ADHESIVO</t>
  </si>
  <si>
    <t xml:space="preserve">AIRE ACONDICIONADO AHORRADOR DE ENERGIA 24.000 BTU </t>
  </si>
  <si>
    <t xml:space="preserve">AIRE ACONDICIONADO AHORRADOR DE ENERGIA 18.000 BTU </t>
  </si>
  <si>
    <t xml:space="preserve">AIRE ACONDICIONADO AHORRADOR DE ENERGIA 12.000 BTU </t>
  </si>
  <si>
    <t xml:space="preserve">AIRE ACONDICIONADO AHORRADOR DE ENERGIA 9.000 BTU </t>
  </si>
  <si>
    <t>ANTISOL BLANCO</t>
  </si>
  <si>
    <t>CANECAS METÁLICAS (incluye pintura, accesorios y materiales para la instalación)</t>
  </si>
  <si>
    <t>CASETON ESTERILLA</t>
  </si>
  <si>
    <t>CEDRO CAQUETÁ</t>
  </si>
  <si>
    <t>CINTA AISLANTE SCOTCH 700 3M 3/4" X 20mts</t>
  </si>
  <si>
    <t>CINTA SIKA PVC a=15 cm.</t>
  </si>
  <si>
    <t>CORDÓN DETONANTE DE 12 GM</t>
  </si>
  <si>
    <t>CUARTON  DE 5X10</t>
  </si>
  <si>
    <t>DINAMITA INDUGIL PLUS</t>
  </si>
  <si>
    <t>ESTACAS MADERA</t>
  </si>
  <si>
    <t>ESTERILLA</t>
  </si>
  <si>
    <t>FULMINANTE</t>
  </si>
  <si>
    <t>GRAMA PARA JARDÍN</t>
  </si>
  <si>
    <t>GUADUA SOBREBASA</t>
  </si>
  <si>
    <t>IMPLEMENTOS DE ASEO</t>
  </si>
  <si>
    <t>MANTO ASFALTICO</t>
  </si>
  <si>
    <t>MANTO FIBERGLASS 600 XT</t>
  </si>
  <si>
    <t xml:space="preserve">MANTO FIVERGLASS </t>
  </si>
  <si>
    <t>PASADOR PARA PUERTA</t>
  </si>
  <si>
    <t>7.36</t>
  </si>
  <si>
    <t>PIRLAN DE ALUMINIO</t>
  </si>
  <si>
    <t>7.37</t>
  </si>
  <si>
    <t>PIRLAN DE COBRE</t>
  </si>
  <si>
    <t>7.38</t>
  </si>
  <si>
    <t>PLANTAS ORNAMENTALES 4 ESPECIES</t>
  </si>
  <si>
    <t>7.39</t>
  </si>
  <si>
    <t>7.40</t>
  </si>
  <si>
    <t>POLISEC</t>
  </si>
  <si>
    <t>7.41</t>
  </si>
  <si>
    <t>PORTANDADO NEGRO</t>
  </si>
  <si>
    <t>7.42</t>
  </si>
  <si>
    <t>7.43</t>
  </si>
  <si>
    <t>SILICONA</t>
  </si>
  <si>
    <t>7.44</t>
  </si>
  <si>
    <t>TABLA (0,025x0,25X3,0)</t>
  </si>
  <si>
    <t>7.45</t>
  </si>
  <si>
    <t>7.46</t>
  </si>
  <si>
    <t>7.47</t>
  </si>
  <si>
    <t>UREA (50Kg)</t>
  </si>
  <si>
    <t>7.48</t>
  </si>
  <si>
    <t>SEÑAL PREVENTIVA</t>
  </si>
  <si>
    <t>7.49</t>
  </si>
  <si>
    <t>7.50</t>
  </si>
  <si>
    <t>7.51</t>
  </si>
  <si>
    <t>7.52</t>
  </si>
  <si>
    <t>VALLA DE SEÑALIZACION TURISTICA</t>
  </si>
  <si>
    <t>7.53</t>
  </si>
  <si>
    <t>7.54</t>
  </si>
  <si>
    <t>CTE</t>
  </si>
  <si>
    <t>7.55</t>
  </si>
  <si>
    <t>BISAGRA 3*3"</t>
  </si>
  <si>
    <t>7.56</t>
  </si>
  <si>
    <t>DILATACIÓN Y/O FORMALETA A JUNTA FRIA CON TRABE ANTIBOMBEO (Incluye sello de junta)</t>
  </si>
  <si>
    <t>7.57</t>
  </si>
  <si>
    <t>SEÑALIZACION</t>
  </si>
  <si>
    <t>7.58</t>
  </si>
  <si>
    <t>GEOTEXTIL NO TEJIDO REF. NT 1.600</t>
  </si>
  <si>
    <t>7.59</t>
  </si>
  <si>
    <t>TUBERÍA PVC CORRUGADA PERFORADA PARA DRENAJE 6"</t>
  </si>
  <si>
    <t>7.60</t>
  </si>
  <si>
    <t>BORDILLO PREFABRICADO EN CONCRETO 0,28X0,15X1,0</t>
  </si>
  <si>
    <t>7.61</t>
  </si>
  <si>
    <t>ENERGIA ELÉCTRICA SECTOR INDUSTRIAL</t>
  </si>
  <si>
    <t>KW</t>
  </si>
  <si>
    <t>7.62</t>
  </si>
  <si>
    <t>PINTURA PARA TRÁFICO (DEMARCACIÓN VIAL)</t>
  </si>
  <si>
    <t>7.63</t>
  </si>
  <si>
    <t>TORNILLOS FIJACIÓN 4X1/2,  5" largo</t>
  </si>
  <si>
    <t>jueg</t>
  </si>
  <si>
    <t>7.64</t>
  </si>
  <si>
    <t xml:space="preserve">DILATACIÓN </t>
  </si>
  <si>
    <t>7.65</t>
  </si>
  <si>
    <t>REJILLA EN LÁMINA DE 2"X1/8"</t>
  </si>
  <si>
    <t>7.66</t>
  </si>
  <si>
    <t>BISAGRAS</t>
  </si>
  <si>
    <t>7.67</t>
  </si>
  <si>
    <t>JUNTAS DE EXPANSIÓN TRANSFLEX B-75 (incluye pernos, tuercas y arandelas autobloqueantes)</t>
  </si>
  <si>
    <t>7.68</t>
  </si>
  <si>
    <t>SIKA GROUT 200 O SIMILAR (Mortero de Nivelación)</t>
  </si>
  <si>
    <t>7.69</t>
  </si>
  <si>
    <t>SIKA ANCHORFIX 4 O SIMILAR (Resina para anclajes)</t>
  </si>
  <si>
    <t>7.70</t>
  </si>
  <si>
    <t>MORTERO DE TRANSICIÓN TRM-MR-300 O SIMILAR</t>
  </si>
  <si>
    <t>7.71</t>
  </si>
  <si>
    <t xml:space="preserve">SELLADOR </t>
  </si>
  <si>
    <t>CM3</t>
  </si>
  <si>
    <t>Johan Javier Oñate N.</t>
  </si>
  <si>
    <t>M.P. 70202-222387 TLM</t>
  </si>
  <si>
    <t>EQUIPOS BASICOS</t>
  </si>
  <si>
    <t>EQUI</t>
  </si>
  <si>
    <t>EQUIPOS</t>
  </si>
  <si>
    <t>ASPERSOR PARA CURADO.</t>
  </si>
  <si>
    <t>COMPRESOR (185-250) CFM-2 MARTILLOS</t>
  </si>
  <si>
    <t>HR</t>
  </si>
  <si>
    <t>COMPRESOR 210 CFM-1 MARTILLO. 90 libras (Tipo Kaeser)</t>
  </si>
  <si>
    <t>CORTADORA DE PAVIMENTOS RÍGIDOS Y FLEXIBLES.</t>
  </si>
  <si>
    <t>DISCO DIAMANTADO TARGET. 14"-779101</t>
  </si>
  <si>
    <t>DOBLADORA DE ACERO</t>
  </si>
  <si>
    <t>EQUIPO A GAS</t>
  </si>
  <si>
    <t>EQUIPO DE PINTURA Y COMPRESOR.</t>
  </si>
  <si>
    <t>GUADAÑADORA.</t>
  </si>
  <si>
    <t>MALACATE O DIFERENCIAL 2 TON.</t>
  </si>
  <si>
    <t>MALLA EN ACERO ABERTURA 75 mm PARA SELECCIÓN Y CLASIFICACIÓN DE MATERIAL DE CANTERA.</t>
  </si>
  <si>
    <t>MEZCLADORA DE CONCRETO 6 P3. - 1 SACO</t>
  </si>
  <si>
    <t>MEZCLADORA DE CONCRETO 9 P3. - 1 1/2 SACO</t>
  </si>
  <si>
    <t>MOTOBOMBA DIESEL 9.5 HP 3" *3".</t>
  </si>
  <si>
    <t xml:space="preserve">MOTOSIERRA. </t>
  </si>
  <si>
    <t>PULIDORA MANUAL</t>
  </si>
  <si>
    <t>PULIDORA PARA PISO + OPERARIO</t>
  </si>
  <si>
    <t>RANA VIBROCOMPACTADORA O COMPACTADOR MANUAL (80-100)Kg.</t>
  </si>
  <si>
    <t xml:space="preserve">REGLA VIBRATORIA PARA PAVIMENTOS RÍGIDOS. </t>
  </si>
  <si>
    <t>SEGUETA NICHOLSON</t>
  </si>
  <si>
    <t>SEÑAL PREVENTIVA PAVIMENTACION</t>
  </si>
  <si>
    <t>VIBRADOR DE CONCRETO ELECTRICO O A GASOLINA.</t>
  </si>
  <si>
    <t>HERRAMIENTA PARA CANALIZACIONES</t>
  </si>
  <si>
    <t>PLANTA ELÉCTRICA 850 WATT, 120 VAC/12 VDC</t>
  </si>
  <si>
    <t>TALADRO ROTOPERCUTOR</t>
  </si>
  <si>
    <t>COMPRESOR</t>
  </si>
  <si>
    <t>FORM</t>
  </si>
  <si>
    <t>ANDAMIO TUBULAR. 1.5 x 1.5 SECCIÓN</t>
  </si>
  <si>
    <t>CAMILLA MADERA. FORMALETA (20 dias)</t>
  </si>
  <si>
    <t>CERCHA METALICA FORMALETA (20 dias)</t>
  </si>
  <si>
    <t>CIMBRA PARA PLACA DE ENTREPISO EN EDIFICACIONES.</t>
  </si>
  <si>
    <t>CIMBRA PARA TABLERO DE PUENTES EN CONCRETO REFORZADO</t>
  </si>
  <si>
    <t>CRUCETA CORTA FORMALTEA (20 dias)</t>
  </si>
  <si>
    <t>CRUCETA LARGA FORMALETA (20 dias)</t>
  </si>
  <si>
    <t>FORMALETA EN MADERA INMUNIZADA POSTE DE CONCRETO 2,4M*0,1M*0,1M</t>
  </si>
  <si>
    <t>FORMALETA EN MADERA PARA MUROS DE CONTENCION EN SUELO REFORZADO.</t>
  </si>
  <si>
    <t>FORMALETA GAVION</t>
  </si>
  <si>
    <t>FORMALETA MAESTRA PAVIMENTO RÍGIDO.</t>
  </si>
  <si>
    <t>FORMALETA MET.JUNTA DE PLACA MACHIMBREADA (DIA)</t>
  </si>
  <si>
    <t>FORMALETA METÁLICA DESLIZANTE PARA CONCRETOS ESTRUCTURALES DE ELEVACIÓN A LA VISTA.</t>
  </si>
  <si>
    <t>FORMALETA METÁLICA PARA ESCAMAS 1,20M * 1,20M * 0,18M.</t>
  </si>
  <si>
    <t xml:space="preserve">FORMALETA METÁLICA PARA POZOS DE INSPECCIÓN DE ALCANTARILLADO </t>
  </si>
  <si>
    <t>FORMALETA PARA BASE DE MUROS DE CONTENCIÓN EN CONCRETO CICLÓPEO.</t>
  </si>
  <si>
    <t>FORMALETA PARA BASE DE ESTRUCTURAS.</t>
  </si>
  <si>
    <t>FORMALETA PARA BASE DE MUROS DE CONTENCIÓN EN CONCRETO REFORZADO.</t>
  </si>
  <si>
    <t>FORMALETA PARA ELEVACIONES DE ESTRUCTURAS.</t>
  </si>
  <si>
    <t>FORMALETA PARA ELEVACION DE MUROS DE CONTENCIÓN EN CONCRETO CICLÓPEO.</t>
  </si>
  <si>
    <t>FORMALETA PARA ELEVACION DE MUROS DE CONTENCIÓN EN CONCRETO REFORZADO Y BOX-CULVERT.</t>
  </si>
  <si>
    <t>FORMALETA PARA ESTRIBOS DE PUENTES EN CONCRETO REFORZADO.</t>
  </si>
  <si>
    <t xml:space="preserve">FORMALETA PARA OBRAS DE ARTE TIPO: SARDINEL, CUNETA, DISIPADORES, CABEZOTES Y ALBERCA DE ALCANTARILLAS, BATEAS, OTRAS. </t>
  </si>
  <si>
    <t>FORMALETA PARA PLACA DE ENTREPISO EN EDIFICACIONES.</t>
  </si>
  <si>
    <t>FORMALETA PARA TABLERO DE PUENTES CARRETEROS EN CONCRETO REFORZADO/M3.</t>
  </si>
  <si>
    <t>FORMALETA PARA VIGAS Y COLUMNAS EN CONCRETO REFORZADO.</t>
  </si>
  <si>
    <t>PARAL MET. FORMALETA (20 dias)</t>
  </si>
  <si>
    <t>SEPARADOR FORMALETA (20 dias)</t>
  </si>
  <si>
    <t>TABLERO DE MADERA :.0.70 x 1.40 (CAMILLA)</t>
  </si>
  <si>
    <t>UND-DIA</t>
  </si>
  <si>
    <t>FORMALETA MADERA</t>
  </si>
  <si>
    <t>MAQ</t>
  </si>
  <si>
    <t>MAQUINARIA</t>
  </si>
  <si>
    <t>BENITIN 1 TON.</t>
  </si>
  <si>
    <t>BULLDOZER (100 - 140) HP. CAT D6D.</t>
  </si>
  <si>
    <t>BULLDOZER 165 HP. CAT D6H.</t>
  </si>
  <si>
    <t>BULLDOZER KOMATSU D65 EX12. 190HP.</t>
  </si>
  <si>
    <t>CAMIONETA TIPO ESTACA ≥1600 CC MOD 1990 EN ADELANTE.</t>
  </si>
  <si>
    <t>CARGADOR S/LLANTA CAT 930 O 950</t>
  </si>
  <si>
    <t>CARGADOR S/LLANTA CAT 966F- 216 HP.</t>
  </si>
  <si>
    <t>CARRO IRRIGADOR DE ASFALTO</t>
  </si>
  <si>
    <t>EQUIPO PARA ACABADO SUPERFICIAL PAVIMENTOS RÍGIDOS.(LLANA FLOTADORA, CEPILLO DE TEXTURIZADO Y MICROTEXTURIZADO, EQUIPO PARA INDUCCION DE JUNTA DE DILATACION Y ASPERSOR DE COMPUESTO CURADOR).</t>
  </si>
  <si>
    <t>GRUA 5 TON.</t>
  </si>
  <si>
    <t>MAQUINA FRESADORA DE PAVIMENTOS FLEXIBLES</t>
  </si>
  <si>
    <t>MAQUINA TÉRMICA PEGATACHAS</t>
  </si>
  <si>
    <t>MINICARGADOR BOBCAT 216.</t>
  </si>
  <si>
    <t>PLANTA DE ASFALTO DE BACHADA O FLUJO CONTINUO.</t>
  </si>
  <si>
    <t>RETROEXCAVADORA S/ORUGA (1M3-1.20)M3; &gt; 100HP PARA EXCAVACIONES Y CORTES DE MATERIAL DE PRESTAMO.</t>
  </si>
  <si>
    <t>RETROEXCAVADORA S/ORUGA (1M3-1.20)M3; &gt; 100HP. PARA DRAGADO DE RIOS Y DESVIACIÓN DE CAUCES.</t>
  </si>
  <si>
    <t>RETROEXCAVADORA S/ORUGA &gt;1.2 M3- &gt; 140HP PARA EXCAVACIONES Y CORTES DE MATERIAL DE PRESTAMO.</t>
  </si>
  <si>
    <t>RETROEXCAVADORA S/ORUGA &gt;1.2 M3- &gt; 140HP. PARA DRAGADO DE RIOS Y DESVIACION DE CAUCES.</t>
  </si>
  <si>
    <t xml:space="preserve">RODILLO TAMBOR LISO RD 7H WACKER </t>
  </si>
  <si>
    <t xml:space="preserve">RODILLO VIBRANTE DYNAPAC LP 650 O 750 </t>
  </si>
  <si>
    <t>RODILLO VIBRATORIO 2 TON. RD11 O RD 25 WACKER 18HP O 25 HP RESPECTIVAMENTE.</t>
  </si>
  <si>
    <t>SERVICIO DE CAMABAJA (131-200)KM.</t>
  </si>
  <si>
    <t>CICLO/UND.</t>
  </si>
  <si>
    <t>SERVICIO DE CAMABAJA (15 - 50)KM.</t>
  </si>
  <si>
    <t>SERVICIO DE CAMABAJA (51-90)KM.</t>
  </si>
  <si>
    <t>SERVICIO DE CAMABAJA (91-130)KM.</t>
  </si>
  <si>
    <t>SERVICIO DE CAMABAJA &lt;15KM.</t>
  </si>
  <si>
    <t>TANQUE CAP. 500L IRRIGADOR DE AGUA ACCIONADO CON TIRO. INCLUYE SUMINISTRO DE AGUA.</t>
  </si>
  <si>
    <t>TERMINADORA DE PAVIMENTO ASFÁLTICO CAPACIDAD EN TOLVA (4-6)M3.</t>
  </si>
  <si>
    <t>MIXXER DE 8M3</t>
  </si>
  <si>
    <t>VOLQUETA  250HP-(10 -12)M3.</t>
  </si>
  <si>
    <t>VOLQUETA  (4.2 - 5)M3.</t>
  </si>
  <si>
    <t>VOLQUETA  A-25;(12-14)M3</t>
  </si>
  <si>
    <t>VOLQUETA   (4.2 - 5)M3.</t>
  </si>
  <si>
    <t>VOLQUETA VOLVO DUMPER A-25;(12-14)M3</t>
  </si>
  <si>
    <t>CAMIONETA DOBLE CABINA</t>
  </si>
  <si>
    <t>#ERROR!</t>
  </si>
  <si>
    <t>SUMINISTRO E INSTALACIONES HIDRÁULICAS</t>
  </si>
  <si>
    <t>Incluir planos de despiece</t>
  </si>
  <si>
    <t>De donde sacó estos valores?</t>
  </si>
  <si>
    <t>CAMILA FERNANDA BURBANO JIMÉNEZ</t>
  </si>
  <si>
    <t>FECHA: 22 DE ENERO DE 2026</t>
  </si>
  <si>
    <t>VOLQUETA  M3/KM</t>
  </si>
  <si>
    <t>LISTADO DE EQUIPOS</t>
  </si>
  <si>
    <t>VOLQUETA  VIAJE DESDE CANTERA A SITIO DE OBRA (NARANJAL) (50KM)</t>
  </si>
  <si>
    <t>DESCRIPCION ACTIVIDAD</t>
  </si>
  <si>
    <t>PRECIO UNITARIO CON AIU</t>
  </si>
  <si>
    <t>% SOBRE EL VR DEL CTO.</t>
  </si>
  <si>
    <t>TOTAL ($)</t>
  </si>
  <si>
    <t xml:space="preserve">PRELIMINARES </t>
  </si>
  <si>
    <t>VALOR BÁSICO TOTAL</t>
  </si>
  <si>
    <t>INVERSIÓN  FINANICERA ACUMULADA (MILES DE $)</t>
  </si>
  <si>
    <t>INVERSIÓN ACUMULADA (%)</t>
  </si>
  <si>
    <t>CRONOGRAMA DE OBRA</t>
  </si>
  <si>
    <t xml:space="preserve">CONSTRUCCIÓN CIMENTACIÓN </t>
  </si>
  <si>
    <t>PLAN DE GESTION INTEGRAL DE OBRA (PGIO)</t>
  </si>
  <si>
    <t>FECHA DE EJECUCIÓN</t>
  </si>
  <si>
    <t>INTERVENTORÍA TÉCNICA (10%)</t>
  </si>
  <si>
    <t>MES 2</t>
  </si>
  <si>
    <t>MES 3</t>
  </si>
  <si>
    <t>MES 4</t>
  </si>
  <si>
    <t>INVERSIÓN  FINANCIERA MENSUAL (MILES DE $)</t>
  </si>
  <si>
    <t>INVERSIÓN MENSUAL (%)</t>
  </si>
  <si>
    <t>MES 1</t>
  </si>
  <si>
    <t>MES 5</t>
  </si>
  <si>
    <t>MES 6</t>
  </si>
  <si>
    <t>LIQUIDACIÓN</t>
  </si>
  <si>
    <t>DATOS GENERALES</t>
  </si>
  <si>
    <t>Población</t>
  </si>
  <si>
    <t>ESTE</t>
  </si>
  <si>
    <t>NORTE</t>
  </si>
  <si>
    <t>ETAPA PRECONTRACTUAL</t>
  </si>
  <si>
    <t>PLAZO TOTAL DE DESARROLLO DEL PROYECTO:</t>
  </si>
  <si>
    <t>6 MESES CALENDARIO</t>
  </si>
  <si>
    <t xml:space="preserve">Capacidad del tanque </t>
  </si>
  <si>
    <t>Coordenadas MGA</t>
  </si>
  <si>
    <t>APOYO AL SEGUIMIENTO Y SUPERVISIÓN (2%)</t>
  </si>
  <si>
    <t>ETAPA PRECONTRACTUAL                                                                                             ETAPA PRECONTRACTUAL</t>
  </si>
  <si>
    <t>LIQUIDACIÓN                                                                                                              LIQUIDACIÓN</t>
  </si>
  <si>
    <t>16 DE FEBRERO DE 2026</t>
  </si>
  <si>
    <t>Subtotal</t>
  </si>
  <si>
    <t>1.1.1</t>
  </si>
  <si>
    <t>1.2.1</t>
  </si>
  <si>
    <t>1.2.2</t>
  </si>
  <si>
    <t>ESTRUCTURA DE PAVIMENTO</t>
  </si>
  <si>
    <t>Acero de refuerzo para transferencia de esfuerzo del concreto rígido figurado FY= 420 Mpa-60000 PSI, corrugado. Incluye transporte con descarga, transporte interno, certificados y todos los elementos necesarios para su correcta instalación, según diseño y recomendaciones para la via</t>
  </si>
  <si>
    <t>CUNETA</t>
  </si>
  <si>
    <t>Suministro figurado y armado de Acero en barras corrugadas, Grado 60 (fy=4200 kg/cm²), de varios diámetros, según NTC 2289 y ASTM A 706.</t>
  </si>
  <si>
    <t>Restitución de pavimento rígido MR 4.0 MPA incluye equipo para acabado superficial,llana, flotadora, cepillo de texturizado, microtexturizado y aplicación de menbrana curadora, corte, dilatacion y sello de junta</t>
  </si>
  <si>
    <t>1. CARRERA 6A ENTRE CALLE 11 Y CALLE 12</t>
  </si>
  <si>
    <t>3. CALLE 14 ENTRE CARRERA 4 Y CARRERA 6</t>
  </si>
  <si>
    <t>EXCAVACIÓN SIN CLASIFICAR DE LA EXPLANACIÓN Y CANALES
(Análisis aplicado para la excavación mecánica de material sin clasificar)</t>
  </si>
  <si>
    <t>instalacion de Sardinel prefrabricado A-10 incluye todo lo necesario para su instalacion</t>
  </si>
  <si>
    <t>RELLENOS PARA ESTRUCTURAS CON RECEBO
 seleccionado compactado hasta alcanzar una densidad seca no inferior al 95% de la maxima obtenida en el ensayo proctor modificado. Incluye el transporte y el suministro in situ del material de relleno, así como su extensión, humedecimiento y compactación a través de medios manuales.</t>
  </si>
  <si>
    <t>concretos clase d, f´c =3000 psi (bases) Análisis aplicado para la construcción de cuneta de concreto premezclado vaciado in situ, con resistencia de 21 MPa. Incluye transporte de concreto, formaleta en madera, emulsión para el curado y ejecución de juntas de dilatación con sello de poliuretano</t>
  </si>
  <si>
    <t>Formulario 1 - Propuesta económica  - Documento tipo de selección abreviada de menor cuantía - versión 2</t>
  </si>
  <si>
    <t>Código</t>
  </si>
  <si>
    <t>CCE-EICP-FM-25</t>
  </si>
  <si>
    <t>Versión</t>
  </si>
  <si>
    <t>FORMULARIO 1</t>
  </si>
  <si>
    <t>PRESUPUESTO OFICIAL</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</si>
  <si>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</si>
  <si>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</si>
  <si>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</si>
  <si>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</si>
  <si>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</si>
  <si>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 xml:space="preserve">VALOR TOTAL                                </t>
  </si>
  <si>
    <t>GENERAL</t>
  </si>
  <si>
    <t>PARTICULAR</t>
  </si>
  <si>
    <t xml:space="preserve">SUBTOTAL OBRAS </t>
  </si>
  <si>
    <t>SUBTOTAL OBRAS (INCLUYE IVA)</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</si>
  <si>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</si>
  <si>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</si>
  <si>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</si>
  <si>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</si>
  <si>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</si>
  <si>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</si>
  <si>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</si>
  <si>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</si>
  <si>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</si>
  <si>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</si>
  <si>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</si>
  <si>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PAVIMENTACIÓN EN CONCRETO HIDRAULICO DE LA INFRAESTRUCTURA VIAL PARA TRÁFICO VEHICULAR DE VÍAS URBANAS DEL MUNICIPIO DE TIMANÁ, HUILA.</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</si>
  <si>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</si>
  <si>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</si>
  <si>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</si>
  <si>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</si>
  <si>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</si>
  <si>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Formulario 1 - Propuesta económica  - Documento tipo de selección abreviada de menor cuantía - versión 3</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</si>
  <si>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</si>
  <si>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</si>
  <si>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</si>
  <si>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</si>
  <si>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</si>
  <si>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</si>
  <si>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</si>
  <si>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</si>
  <si>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</si>
  <si>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</si>
  <si>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</si>
  <si>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</si>
  <si>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</si>
  <si>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</si>
  <si>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MARCA</t>
  </si>
  <si>
    <t>TIPO</t>
  </si>
  <si>
    <t>TARIFA/HORA</t>
  </si>
  <si>
    <t>Vr. UNITARIO</t>
  </si>
  <si>
    <t>SUBTOTAL $</t>
  </si>
  <si>
    <t>II. MATERIALES</t>
  </si>
  <si>
    <t>PRECIO UNIT.</t>
  </si>
  <si>
    <t>VOL. o PESO</t>
  </si>
  <si>
    <t>DISTANCIA</t>
  </si>
  <si>
    <r>
      <t>M</t>
    </r>
    <r>
      <rPr>
        <b/>
        <vertAlign val="superscript"/>
        <sz val="8"/>
        <rFont val="Arial Narrow"/>
        <family val="2"/>
      </rPr>
      <t>3</t>
    </r>
    <r>
      <rPr>
        <b/>
        <sz val="8"/>
        <rFont val="Arial Narrow"/>
        <family val="2"/>
      </rPr>
      <t xml:space="preserve"> o Ton/Km</t>
    </r>
  </si>
  <si>
    <t>PRESTACIONES</t>
  </si>
  <si>
    <t>TOTAL COSTO DIRECTO $</t>
  </si>
  <si>
    <t>V. COSTOS INDIRECTOS</t>
  </si>
  <si>
    <t>Porcentaje</t>
  </si>
  <si>
    <t>Valor Total</t>
  </si>
  <si>
    <t>UTILIDAD</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</si>
  <si>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</si>
  <si>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</si>
  <si>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</si>
  <si>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</si>
  <si>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</si>
  <si>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</si>
  <si>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</si>
  <si>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</si>
  <si>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</si>
  <si>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</si>
  <si>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sub base seleccionado compactado hasta alcanzar una densidad seca no inferior al 95% de la máxima obtenida en el ensayo Proctor Modificado para mejoramiento de la via.</t>
  </si>
  <si>
    <t>2. CARRERA 2 ENTRE CALLE 2 Y 3</t>
  </si>
  <si>
    <t>sub base seleccionado compactado hasta alcanzar una densidad seca no inferior al 95% de la máxima obtenida en el ensayo Proctor Modificado para mejoramiento de la via</t>
  </si>
  <si>
    <t>1.1.6</t>
  </si>
  <si>
    <t>DEMOLICIÓN DE PAVIMENTOS RIGIDOS 
(Análisis aplicado para una demolición total de la capa de rodadura con espesor de 15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</si>
</sst>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6">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 #,##0_);_(* \(#,##0\);_(* &quot;-&quot;_);_(@_)"/>
    <numFmt numFmtId="165" formatCode="_(* #,##0.00_);_(* \(#,##0.00\);_(* &quot;-&quot;??_);_(@_)"/>
    <numFmt numFmtId="166" formatCode="&quot;$&quot;\ #,##0"/>
    <numFmt numFmtId="167" formatCode="_(&quot;$&quot;\ * #,##0.00_);_(&quot;$&quot;\ * \(#,##0.00\);_(&quot;$&quot;\ * &quot;-&quot;??_);_(@_)"/>
    <numFmt numFmtId="168" formatCode="0.000"/>
    <numFmt numFmtId="169" formatCode="_(* #,##0.00_);_(* \(#,##0.00\);_(* &quot;-&quot;_);_(@_)"/>
    <numFmt numFmtId="170" formatCode="_(&quot;$&quot;\ * #,##0_);_(&quot;$&quot;\ * \(#,##0\);_(&quot;$&quot;\ * &quot;-&quot;??_);_(@_)"/>
    <numFmt numFmtId="171" formatCode="#,##0.0"/>
    <numFmt numFmtId="172" formatCode="_-* #,##0.00_-;\-* #,##0.00_-;_-* &quot;-&quot;??_-;_-@"/>
    <numFmt numFmtId="173" formatCode="#,##0.000"/>
    <numFmt numFmtId="174" formatCode="_(* #,##0.000_);_(* \(#,##0.000\);_(* &quot;-&quot;_);_(@_)"/>
    <numFmt numFmtId="175" formatCode="_-&quot;$&quot;\ * #,##0.00_-;\-&quot;$&quot;\ * #,##0.00_-;_-&quot;$&quot;\ * &quot;-&quot;??_-;_-@"/>
    <numFmt numFmtId="176" formatCode="_(* #,##0_);_(* \(#,##0\);_(* &quot;-&quot;??_);_(@_)"/>
    <numFmt numFmtId="177" formatCode="0.0"/>
    <numFmt numFmtId="178" formatCode="[$$-240A]\ #,##0"/>
    <numFmt numFmtId="179" formatCode="_-* #,##0.00\ _€_-;\-* #,##0.00\ _€_-;_-* &quot;-&quot;??\ _€_-;_-@"/>
    <numFmt numFmtId="180" formatCode="[$$-240A]\ #,##0.00"/>
    <numFmt numFmtId="181" formatCode="_-[$$-240A]\ * #,##0.00_ ;_-[$$-240A]\ * \-#,##0.00\ ;_-[$$-240A]\ * &quot;-&quot;??_ ;_-@_ "/>
    <numFmt numFmtId="182" formatCode="&quot;$&quot;\ #,##0.00"/>
    <numFmt numFmtId="183" formatCode="0.000000"/>
    <numFmt numFmtId="184" formatCode="_ * #,##0.00_ ;_ * \-#,##0.00_ ;_ * &quot;-&quot;??_ ;_ @_ "/>
    <numFmt numFmtId="185" formatCode="&quot;$&quot;\ #,##0.0"/>
    <numFmt numFmtId="186" formatCode="[$$-240A]\ #,##0.0"/>
    <numFmt numFmtId="187" formatCode="_ * #,##0.0_ ;_ * \-#,##0.0_ ;_ * &quot;-&quot;??_ ;_ @_ "/>
    <numFmt numFmtId="188" formatCode="_ * #,##0_ ;_ * \-#,##0_ ;_ * &quot;-&quot;??_ ;_ @_ "/>
    <numFmt numFmtId="189" formatCode="_-* #,##0.000\ _€_-;\-* #,##0.000\ _€_-;_-* &quot;-&quot;??\ _€_-;_-@"/>
    <numFmt numFmtId="190" formatCode="_ * #,##0.000_ ;_ * \-#,##0.000_ ;_ * &quot;-&quot;??_ ;_ @_ "/>
    <numFmt numFmtId="191" formatCode="_-* #,##0\ _€_-;\-* #,##0\ _€_-;_-* &quot;-&quot;??\ _€_-;_-@"/>
    <numFmt numFmtId="192" formatCode="0.0000"/>
    <numFmt numFmtId="193" formatCode="&quot;$&quot;\ #,##0.0000"/>
    <numFmt numFmtId="194" formatCode="_(* #,##0.0_);_(* \(#,##0.0\);_(* &quot;-&quot;??_);_(@_)"/>
    <numFmt numFmtId="195" formatCode="_(* #,##0.0000_);_(* \(#,##0.0000\);_(* &quot;-&quot;??_);_(@_)"/>
    <numFmt numFmtId="196" formatCode="_-&quot;$&quot;* #,##0_-;\-&quot;$&quot;* #,##0_-;_-&quot;$&quot;* &quot;-&quot;??_-;_-@"/>
    <numFmt numFmtId="197" formatCode="[$ $]#,##0"/>
    <numFmt numFmtId="198" formatCode="_-&quot;$&quot;* #,##0_-;\-&quot;$&quot;* #,##0_-;_-&quot;$&quot;* &quot;-&quot;_-;_-@"/>
    <numFmt numFmtId="199" formatCode="_ * #,##0_ ;_ * \-#,##0_ ;_ * &quot;-&quot;_ ;_ @_ "/>
    <numFmt numFmtId="200" formatCode="_ &quot;$&quot;\ * #,##0_ ;_ &quot;$&quot;\ * \-#,##0_ ;_ &quot;$&quot;\ * &quot;-&quot;_ ;_ @_ "/>
    <numFmt numFmtId="201" formatCode="[$-C0A]mmm\-yy;@"/>
    <numFmt numFmtId="202" formatCode="yyyy\-mm\-dd;@"/>
    <numFmt numFmtId="203" formatCode="_-&quot;$&quot;\ * #,##0.000_-;\-&quot;$&quot;\ * #,##0.000_-;_-&quot;$&quot;\ * &quot;-&quot;_-;_-@_-"/>
    <numFmt numFmtId="204" formatCode="_ &quot;$&quot;\ * #,##0.00_ ;_ &quot;$&quot;\ * \-#,##0.00_ ;_ &quot;$&quot;\ * &quot;-&quot;_ ;_ @_ "/>
    <numFmt numFmtId="205" formatCode="0.0%"/>
    <numFmt numFmtId="206" formatCode="&quot;$&quot;\ #,##0.00;[Red]&quot;$&quot;\ \-#,##0.00"/>
    <numFmt numFmtId="207" formatCode="&quot;$&quot;\ #,##0.00_);\(&quot;$&quot;\ #,##0.00\)"/>
    <numFmt numFmtId="208" formatCode="_-[$$-240A]* #,##0.00_-;\-[$$-240A]* #,##0.00_-;_-[$$-240A]* &quot;-&quot;??_-;_-@_-"/>
    <numFmt numFmtId="209" formatCode="_-* #,##0.00\ &quot;Pts&quot;_-;\-* #,##0.00\ &quot;Pts&quot;_-;_-* &quot;-&quot;??\ &quot;Pts&quot;_-;_-@_-"/>
    <numFmt numFmtId="210" formatCode="_([$$-240A]\ * #,##0.00_);_([$$-240A]\ * \(#,##0.00\);_([$$-240A]\ * &quot;-&quot;??_);_(@_)"/>
    <numFmt numFmtId="211" formatCode="_([$$-240A]\ * #,##0_);_([$$-240A]\ * \(#,##0\);_([$$-240A]\ * &quot;-&quot;??_);_(@_)"/>
    <numFmt numFmtId="212" formatCode="0#.00\ \L\t"/>
    <numFmt numFmtId="213" formatCode="_ [$$-240A]\ * #,##0.00_ ;_ [$$-240A]\ * \-#,##0.00_ ;_ [$$-240A]\ * &quot;-&quot;??_ ;_ @_ "/>
    <numFmt numFmtId="214" formatCode="&quot;$&quot;\ #,##0_);\(&quot;$&quot;\ #,##0\)"/>
    <numFmt numFmtId="215" formatCode="_-* #,##0.00\ _€_-;\-* #,##0.00\ _€_-;_-* &quot;-&quot;??\ _€_-;_-@_-"/>
  </numFmts>
  <fonts count="120">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sz val="11"/>
      <name val="Calibri"/>
      <family val="2"/>
    </font>
    <font>
      <sz val="11"/>
      <color rgb="FF000000"/>
      <name val="Calibri"/>
      <family val="2"/>
    </font>
    <font>
      <b/>
      <sz val="11"/>
      <color rgb="FF000000"/>
      <name val="Calibri"/>
      <family val="2"/>
    </font>
    <font>
      <b/>
      <sz val="11"/>
      <color theme="1"/>
      <name val="Calibri"/>
      <family val="2"/>
    </font>
    <font>
      <sz val="10"/>
      <color rgb="FF000000"/>
      <name val="Calibri"/>
      <family val="2"/>
    </font>
    <font>
      <b/>
      <sz val="16"/>
      <color rgb="FF000000"/>
      <name val="Calibri"/>
      <family val="2"/>
    </font>
    <font>
      <b/>
      <sz val="12"/>
      <color rgb="FF000000"/>
      <name val="Calibri"/>
      <family val="2"/>
    </font>
    <font>
      <b/>
      <sz val="10"/>
      <color rgb="FF000000"/>
      <name val="Calibri"/>
      <family val="2"/>
    </font>
    <font>
      <sz val="11"/>
      <color theme="1"/>
      <name val="Calibri"/>
      <family val="2"/>
      <scheme val="minor"/>
    </font>
    <font>
      <b/>
      <sz val="13"/>
      <color rgb="FF000000"/>
      <name val="Calibri"/>
      <family val="2"/>
    </font>
    <font>
      <b/>
      <sz val="10"/>
      <color theme="1"/>
      <name val="Aptos Narrow"/>
      <family val="2"/>
    </font>
    <font>
      <b/>
      <sz val="11"/>
      <color rgb="FF000000"/>
      <name val="Aptos Narrow"/>
      <family val="2"/>
    </font>
    <font>
      <b/>
      <sz val="10"/>
      <color rgb="FFFFFFFF"/>
      <name val="Aptos Narrow"/>
      <family val="2"/>
    </font>
    <font>
      <b/>
      <sz val="9"/>
      <color theme="1"/>
      <name val="Aptos Narrow"/>
      <family val="2"/>
    </font>
    <font>
      <sz val="10"/>
      <color theme="1"/>
      <name val="Aptos Narrow"/>
      <family val="2"/>
    </font>
    <font>
      <sz val="10"/>
      <color theme="1"/>
      <name val="Calibri"/>
      <family val="2"/>
    </font>
    <font>
      <b/>
      <sz val="18"/>
      <color theme="1"/>
      <name val="Calibri"/>
      <family val="2"/>
    </font>
    <font>
      <sz val="10"/>
      <color theme="1"/>
      <name val="Arial"/>
      <family val="2"/>
    </font>
    <font>
      <b/>
      <sz val="14"/>
      <color theme="1"/>
      <name val="Calibri"/>
      <family val="2"/>
    </font>
    <font>
      <b/>
      <sz val="10"/>
      <color rgb="FFFFFFFF"/>
      <name val="Calibri"/>
      <family val="2"/>
    </font>
    <font>
      <b/>
      <sz val="12"/>
      <color theme="1"/>
      <name val="Calibri"/>
      <family val="2"/>
    </font>
    <font>
      <b/>
      <sz val="10"/>
      <color theme="1"/>
      <name val="Calibri"/>
      <family val="2"/>
    </font>
    <font>
      <b/>
      <sz val="8"/>
      <color theme="1"/>
      <name val="Calibri"/>
      <family val="2"/>
    </font>
    <font>
      <sz val="8"/>
      <color theme="1"/>
      <name val="Calibri"/>
      <family val="2"/>
    </font>
    <font>
      <sz val="8"/>
      <color rgb="FF000000"/>
      <name val="Calibri"/>
      <family val="2"/>
    </font>
    <font>
      <b/>
      <sz val="14"/>
      <color rgb="FF000000"/>
      <name val="Calibri"/>
      <family val="2"/>
    </font>
    <font>
      <sz val="9"/>
      <color rgb="FF000000"/>
      <name val="Calibri"/>
      <family val="2"/>
    </font>
    <font>
      <sz val="10"/>
      <color rgb="FFFF0000"/>
      <name val="Calibri"/>
      <family val="2"/>
    </font>
    <font>
      <b/>
      <sz val="18"/>
      <color theme="1"/>
      <name val="Arial"/>
      <family val="2"/>
    </font>
    <font>
      <b/>
      <sz val="14"/>
      <color theme="1"/>
      <name val="Arial"/>
      <family val="2"/>
    </font>
    <font>
      <sz val="8"/>
      <color theme="1"/>
      <name val="Arial"/>
      <family val="2"/>
    </font>
    <font>
      <b/>
      <sz val="10"/>
      <color theme="1"/>
      <name val="Arial"/>
      <family val="2"/>
    </font>
    <font>
      <b/>
      <sz val="12"/>
      <color theme="1"/>
      <name val="Aptos Narrow"/>
      <family val="2"/>
    </font>
    <font>
      <b/>
      <sz val="18"/>
      <color theme="1"/>
      <name val="Aptos Narrow"/>
      <family val="2"/>
    </font>
    <font>
      <b/>
      <sz val="14"/>
      <color theme="1"/>
      <name val="Aptos Narrow"/>
      <family val="2"/>
    </font>
    <font>
      <b/>
      <u/>
      <sz val="12"/>
      <color theme="1"/>
      <name val="Aptos Narrow"/>
      <family val="2"/>
    </font>
    <font>
      <sz val="12"/>
      <color theme="1"/>
      <name val="Aptos Narrow"/>
      <family val="2"/>
    </font>
    <font>
      <sz val="9"/>
      <color theme="1"/>
      <name val="Calibri"/>
      <family val="2"/>
    </font>
    <font>
      <b/>
      <sz val="8"/>
      <color theme="1"/>
      <name val="Arial"/>
      <family val="2"/>
    </font>
    <font>
      <sz val="9"/>
      <color theme="1"/>
      <name val="Arial"/>
      <family val="2"/>
    </font>
    <font>
      <b/>
      <sz val="16"/>
      <color theme="1"/>
      <name val="Calibri"/>
      <family val="2"/>
    </font>
    <font>
      <b/>
      <sz val="22"/>
      <color rgb="FF000000"/>
      <name val="Calibri"/>
      <family val="2"/>
    </font>
    <font>
      <sz val="18"/>
      <color rgb="FF000000"/>
      <name val="Calibri"/>
      <family val="2"/>
    </font>
    <font>
      <sz val="12"/>
      <color rgb="FF000000"/>
      <name val="Calibri"/>
      <family val="2"/>
    </font>
    <font>
      <b/>
      <sz val="18"/>
      <color rgb="FF000000"/>
      <name val="Calibri"/>
      <family val="2"/>
    </font>
    <font>
      <b/>
      <sz val="20"/>
      <color rgb="FF000000"/>
      <name val="Calibri"/>
      <family val="2"/>
    </font>
    <font>
      <b/>
      <sz val="14"/>
      <color rgb="FF000000"/>
      <name val="Arial"/>
      <family val="2"/>
    </font>
    <font>
      <b/>
      <u/>
      <sz val="14"/>
      <color rgb="FF000000"/>
      <name val="Arial"/>
      <family val="2"/>
    </font>
    <font>
      <sz val="10"/>
      <color rgb="FF000000"/>
      <name val="Arial"/>
      <family val="2"/>
    </font>
    <font>
      <sz val="12"/>
      <color rgb="FF000000"/>
      <name val="Arial"/>
      <family val="2"/>
    </font>
    <font>
      <b/>
      <u/>
      <sz val="12"/>
      <color rgb="FF000000"/>
      <name val="Arial"/>
      <family val="2"/>
    </font>
    <font>
      <b/>
      <sz val="12"/>
      <color rgb="FF000000"/>
      <name val="Arial"/>
      <family val="2"/>
    </font>
    <font>
      <b/>
      <u/>
      <sz val="12"/>
      <color rgb="FF000000"/>
      <name val="Arial"/>
      <family val="2"/>
    </font>
    <font>
      <b/>
      <u/>
      <sz val="12"/>
      <color rgb="FF000000"/>
      <name val="Arial"/>
      <family val="2"/>
    </font>
    <font>
      <b/>
      <u/>
      <sz val="12"/>
      <color rgb="FF000000"/>
      <name val="Arial"/>
      <family val="2"/>
    </font>
    <font>
      <b/>
      <u/>
      <sz val="12"/>
      <color rgb="FF000000"/>
      <name val="Arial"/>
      <family val="2"/>
    </font>
    <font>
      <b/>
      <sz val="9"/>
      <color rgb="FF000000"/>
      <name val="Calibri"/>
      <family val="2"/>
    </font>
    <font>
      <b/>
      <sz val="9"/>
      <color theme="1"/>
      <name val="Calibri"/>
      <family val="2"/>
    </font>
    <font>
      <b/>
      <i/>
      <u/>
      <sz val="10"/>
      <color theme="1"/>
      <name val="Calibri"/>
      <family val="2"/>
    </font>
    <font>
      <b/>
      <sz val="9"/>
      <color theme="1"/>
      <name val="Arial"/>
      <family val="2"/>
    </font>
    <font>
      <b/>
      <i/>
      <u/>
      <sz val="9"/>
      <color theme="1"/>
      <name val="Calibri"/>
      <family val="2"/>
    </font>
    <font>
      <b/>
      <sz val="10"/>
      <color rgb="FFFF0000"/>
      <name val="Calibri"/>
      <family val="2"/>
    </font>
    <font>
      <b/>
      <sz val="36"/>
      <color theme="1"/>
      <name val="Calibri"/>
      <family val="2"/>
    </font>
    <font>
      <b/>
      <sz val="11"/>
      <color rgb="FFFFFFFF"/>
      <name val="Calibri"/>
      <family val="2"/>
    </font>
    <font>
      <sz val="16"/>
      <color theme="1"/>
      <name val="Calibri"/>
      <family val="2"/>
    </font>
    <font>
      <b/>
      <sz val="13"/>
      <color theme="1"/>
      <name val="Calibri"/>
      <family val="2"/>
    </font>
    <font>
      <sz val="12"/>
      <color theme="1"/>
      <name val="Arial"/>
      <family val="2"/>
    </font>
    <font>
      <sz val="10"/>
      <color theme="1"/>
      <name val="Tahoma"/>
      <family val="2"/>
    </font>
    <font>
      <sz val="10"/>
      <color rgb="FF000000"/>
      <name val="Times New Roman"/>
      <family val="1"/>
    </font>
    <font>
      <i/>
      <sz val="9"/>
      <color theme="1"/>
      <name val="Arial"/>
      <family val="2"/>
    </font>
    <font>
      <i/>
      <sz val="11"/>
      <color theme="1"/>
      <name val="Arial"/>
      <family val="2"/>
    </font>
    <font>
      <sz val="10"/>
      <color rgb="FF969696"/>
      <name val="Calibri"/>
      <family val="2"/>
    </font>
    <font>
      <sz val="11"/>
      <color theme="1"/>
      <name val="Calibri"/>
      <family val="2"/>
      <scheme val="minor"/>
    </font>
    <font>
      <sz val="11"/>
      <color theme="1"/>
      <name val="Calibri"/>
      <family val="2"/>
      <scheme val="minor"/>
    </font>
    <font>
      <b/>
      <sz val="10"/>
      <color rgb="FF000000"/>
      <name val="Arial"/>
      <family val="2"/>
    </font>
    <font>
      <sz val="10"/>
      <name val="Arial"/>
      <family val="2"/>
    </font>
    <font>
      <b/>
      <sz val="10"/>
      <name val="Arial"/>
      <family val="2"/>
    </font>
    <font>
      <sz val="10"/>
      <color rgb="FFFF0000"/>
      <name val="Arial"/>
      <family val="2"/>
    </font>
    <font>
      <sz val="8"/>
      <name val="Calibri"/>
      <family val="2"/>
      <scheme val="minor"/>
    </font>
    <font>
      <sz val="11"/>
      <color indexed="8"/>
      <name val="Calibri"/>
      <family val="2"/>
    </font>
    <font>
      <b/>
      <sz val="10"/>
      <color theme="0"/>
      <name val="Arial"/>
      <family val="2"/>
    </font>
    <font>
      <sz val="11"/>
      <color theme="1"/>
      <name val="Calibri"/>
      <family val="2"/>
      <scheme val="minor"/>
    </font>
    <font>
      <sz val="10"/>
      <color rgb="FFFFC000"/>
      <name val="Arial"/>
      <family val="2"/>
    </font>
    <font>
      <b/>
      <sz val="10"/>
      <color rgb="FFFF0000"/>
      <name val="Arial"/>
      <family val="2"/>
    </font>
    <font>
      <b/>
      <sz val="20"/>
      <name val="Arial"/>
      <family val="2"/>
    </font>
    <font>
      <sz val="10"/>
      <color rgb="FF000000"/>
      <name val="Calibri"/>
      <family val="2"/>
      <scheme val="minor"/>
    </font>
    <font>
      <sz val="12"/>
      <name val="Arial Narrow"/>
      <family val="2"/>
    </font>
    <font>
      <sz val="10"/>
      <name val="Arial"/>
    </font>
    <font>
      <b/>
      <sz val="8"/>
      <color rgb="FF595959"/>
      <name val="Arial"/>
      <family val="2"/>
      <charset val="1"/>
    </font>
    <font>
      <sz val="8"/>
      <color rgb="FF595959"/>
      <name val="Arial"/>
      <family val="2"/>
      <charset val="1"/>
    </font>
    <font>
      <sz val="11"/>
      <name val="Arial Narrow"/>
      <family val="2"/>
    </font>
    <font>
      <sz val="8"/>
      <name val="Arial"/>
      <family val="2"/>
      <charset val="1"/>
    </font>
    <font>
      <b/>
      <sz val="12"/>
      <name val="Arial Narrow"/>
      <family val="2"/>
    </font>
    <font>
      <b/>
      <u/>
      <sz val="12"/>
      <name val="Arial Narrow"/>
      <family val="2"/>
    </font>
    <font>
      <sz val="8"/>
      <name val="Arial Narrow"/>
      <family val="2"/>
    </font>
    <font>
      <b/>
      <sz val="12"/>
      <color rgb="FFFF0000"/>
      <name val="Arial Narrow"/>
      <family val="2"/>
    </font>
    <font>
      <sz val="10"/>
      <name val="Arial Narrow"/>
      <family val="2"/>
    </font>
    <font>
      <b/>
      <u/>
      <sz val="11"/>
      <name val="Arial Narrow"/>
      <family val="2"/>
    </font>
    <font>
      <b/>
      <sz val="16"/>
      <name val="Arial Narrow"/>
      <family val="2"/>
    </font>
    <font>
      <b/>
      <sz val="8"/>
      <name val="Arial"/>
      <family val="2"/>
      <charset val="1"/>
    </font>
    <font>
      <u/>
      <sz val="10"/>
      <color indexed="12"/>
      <name val="Arial"/>
      <family val="2"/>
    </font>
    <font>
      <u/>
      <sz val="10"/>
      <name val="Arial Narrow"/>
      <family val="2"/>
    </font>
    <font>
      <b/>
      <sz val="7"/>
      <name val="Arial Narrow"/>
      <family val="2"/>
    </font>
    <font>
      <sz val="10"/>
      <name val="Geneva"/>
    </font>
    <font>
      <sz val="9"/>
      <name val="Arial Narrow"/>
      <family val="2"/>
    </font>
    <font>
      <b/>
      <sz val="10"/>
      <name val="Arial Narrow"/>
      <family val="2"/>
    </font>
    <font>
      <b/>
      <sz val="8"/>
      <name val="Arial Narrow"/>
      <family val="2"/>
    </font>
    <font>
      <b/>
      <sz val="8"/>
      <color theme="1"/>
      <name val="Arial Narrow"/>
      <family val="2"/>
    </font>
    <font>
      <b/>
      <vertAlign val="superscript"/>
      <sz val="8"/>
      <name val="Arial Narrow"/>
      <family val="2"/>
    </font>
    <font>
      <sz val="5"/>
      <name val="Arial Narrow"/>
      <family val="2"/>
    </font>
    <font>
      <sz val="11"/>
      <color theme="1"/>
      <name val="Calibri"/>
      <scheme val="minor"/>
    </font>
  </fonts>
  <fills count="27">
    <fill>
      <patternFill patternType="none"/>
    </fill>
    <fill>
      <patternFill patternType="gray125"/>
    </fill>
    <fill>
      <patternFill patternType="solid">
        <fgColor rgb="FF99CCFF"/>
        <bgColor rgb="FF99CCFF"/>
      </patternFill>
    </fill>
    <fill>
      <patternFill patternType="solid">
        <fgColor rgb="FF99CC00"/>
        <bgColor rgb="FF99CC00"/>
      </patternFill>
    </fill>
    <fill>
      <patternFill patternType="solid">
        <fgColor rgb="FFBFBFBF"/>
        <bgColor rgb="FFBFBFBF"/>
      </patternFill>
    </fill>
    <fill>
      <patternFill patternType="solid">
        <fgColor rgb="FFFFFF99"/>
        <bgColor rgb="FFFFFF99"/>
      </patternFill>
    </fill>
    <fill>
      <patternFill patternType="solid">
        <fgColor rgb="FFFF99CC"/>
        <bgColor rgb="FFFF99CC"/>
      </patternFill>
    </fill>
    <fill>
      <patternFill patternType="solid">
        <fgColor rgb="FFFFFFFF"/>
        <bgColor rgb="FFFFFFFF"/>
      </patternFill>
    </fill>
    <fill>
      <patternFill patternType="solid">
        <fgColor rgb="FF0066CC"/>
        <bgColor rgb="FF0066CC"/>
      </patternFill>
    </fill>
    <fill>
      <patternFill patternType="solid">
        <fgColor rgb="FFFFFF00"/>
        <bgColor rgb="FFFFFF00"/>
      </patternFill>
    </fill>
    <fill>
      <patternFill patternType="solid">
        <fgColor rgb="FFFFCC00"/>
        <bgColor rgb="FFFFCC00"/>
      </patternFill>
    </fill>
    <fill>
      <patternFill patternType="solid">
        <fgColor rgb="FF008000"/>
        <bgColor rgb="FF008000"/>
      </patternFill>
    </fill>
    <fill>
      <patternFill patternType="solid">
        <fgColor rgb="FF333333"/>
        <bgColor rgb="FF333333"/>
      </patternFill>
    </fill>
    <fill>
      <patternFill patternType="solid">
        <fgColor rgb="FFC0C0C0"/>
        <bgColor rgb="FFC0C0C0"/>
      </patternFill>
    </fill>
    <fill>
      <patternFill patternType="solid">
        <fgColor theme="0"/>
        <bgColor theme="0"/>
      </patternFill>
    </fill>
    <fill>
      <patternFill patternType="solid">
        <fgColor rgb="FF969696"/>
        <bgColor rgb="FF969696"/>
      </patternFill>
    </fill>
    <fill>
      <patternFill patternType="solid">
        <fgColor rgb="FFFFFFCC"/>
        <bgColor rgb="FFFFFFCC"/>
      </patternFill>
    </fill>
    <fill>
      <patternFill patternType="solid">
        <fgColor rgb="FFB2A1C7"/>
        <bgColor rgb="FFB2A1C7"/>
      </patternFill>
    </fill>
    <fill>
      <patternFill patternType="solid">
        <fgColor rgb="FF00CCFF"/>
        <bgColor rgb="FF00CCFF"/>
      </patternFill>
    </fill>
    <fill>
      <patternFill patternType="solid">
        <fgColor rgb="FFCCFFFF"/>
        <bgColor rgb="FFCCFFFF"/>
      </patternFill>
    </fill>
    <fill>
      <patternFill patternType="solid">
        <fgColor rgb="FFFABF8F"/>
        <bgColor rgb="FFFABF8F"/>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theme="2" tint="-0.14999847407452621"/>
        <bgColor indexed="64"/>
      </patternFill>
    </fill>
    <fill>
      <patternFill patternType="solid">
        <fgColor theme="0" tint="-0.249977111117893"/>
        <bgColor indexed="64"/>
      </patternFill>
    </fill>
    <fill>
      <patternFill patternType="solid">
        <fgColor theme="0" tint="-0.499984740745262"/>
        <bgColor indexed="64"/>
      </patternFill>
    </fill>
  </fills>
  <borders count="301">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808080"/>
      </right>
      <top style="medium">
        <color rgb="FF000000"/>
      </top>
      <bottom/>
      <diagonal/>
    </border>
    <border>
      <left style="thin">
        <color rgb="FF808080"/>
      </left>
      <right/>
      <top style="medium">
        <color rgb="FF000000"/>
      </top>
      <bottom/>
      <diagonal/>
    </border>
    <border>
      <left/>
      <right/>
      <top style="medium">
        <color rgb="FF000000"/>
      </top>
      <bottom/>
      <diagonal/>
    </border>
    <border>
      <left/>
      <right style="thin">
        <color rgb="FF808080"/>
      </right>
      <top style="medium">
        <color rgb="FF000000"/>
      </top>
      <bottom/>
      <diagonal/>
    </border>
    <border>
      <left/>
      <right style="medium">
        <color rgb="FF000000"/>
      </right>
      <top style="medium">
        <color rgb="FF000000"/>
      </top>
      <bottom/>
      <diagonal/>
    </border>
    <border>
      <left style="medium">
        <color rgb="FF000000"/>
      </left>
      <right style="thin">
        <color rgb="FF808080"/>
      </right>
      <top/>
      <bottom/>
      <diagonal/>
    </border>
    <border>
      <left style="thin">
        <color rgb="FF808080"/>
      </left>
      <right/>
      <top/>
      <bottom/>
      <diagonal/>
    </border>
    <border>
      <left/>
      <right style="thin">
        <color rgb="FF808080"/>
      </right>
      <top/>
      <bottom/>
      <diagonal/>
    </border>
    <border>
      <left/>
      <right style="medium">
        <color rgb="FF000000"/>
      </right>
      <top/>
      <bottom/>
      <diagonal/>
    </border>
    <border>
      <left style="thin">
        <color rgb="FF808080"/>
      </left>
      <right/>
      <top/>
      <bottom style="thin">
        <color rgb="FF808080"/>
      </bottom>
      <diagonal/>
    </border>
    <border>
      <left/>
      <right/>
      <top/>
      <bottom style="thin">
        <color rgb="FF808080"/>
      </bottom>
      <diagonal/>
    </border>
    <border>
      <left/>
      <right style="thin">
        <color rgb="FF808080"/>
      </right>
      <top/>
      <bottom style="thin">
        <color rgb="FF808080"/>
      </bottom>
      <diagonal/>
    </border>
    <border>
      <left/>
      <right style="medium">
        <color rgb="FF000000"/>
      </right>
      <top/>
      <bottom style="thin">
        <color rgb="FF808080"/>
      </bottom>
      <diagonal/>
    </border>
    <border>
      <left style="medium">
        <color rgb="FF000000"/>
      </left>
      <right style="thin">
        <color rgb="FF808080"/>
      </right>
      <top/>
      <bottom style="medium">
        <color rgb="FF000000"/>
      </bottom>
      <diagonal/>
    </border>
    <border>
      <left style="thin">
        <color rgb="FF808080"/>
      </left>
      <right/>
      <top style="thin">
        <color rgb="FF808080"/>
      </top>
      <bottom style="medium">
        <color rgb="FF000000"/>
      </bottom>
      <diagonal/>
    </border>
    <border>
      <left/>
      <right/>
      <top style="thin">
        <color rgb="FF808080"/>
      </top>
      <bottom style="medium">
        <color rgb="FF000000"/>
      </bottom>
      <diagonal/>
    </border>
    <border>
      <left/>
      <right style="thin">
        <color rgb="FF808080"/>
      </right>
      <top style="thin">
        <color rgb="FF808080"/>
      </top>
      <bottom style="medium">
        <color rgb="FF000000"/>
      </bottom>
      <diagonal/>
    </border>
    <border>
      <left/>
      <right style="medium">
        <color rgb="FF000000"/>
      </right>
      <top style="thin">
        <color rgb="FF808080"/>
      </top>
      <bottom style="medium">
        <color rgb="FF000000"/>
      </bottom>
      <diagonal/>
    </border>
    <border>
      <left style="medium">
        <color rgb="FF000000"/>
      </left>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
      <left style="thin">
        <color rgb="FF808080"/>
      </left>
      <right style="thin">
        <color rgb="FF808080"/>
      </right>
      <top style="thin">
        <color rgb="FF808080"/>
      </top>
      <bottom style="thin">
        <color rgb="FF808080"/>
      </bottom>
      <diagonal/>
    </border>
    <border>
      <left style="thin">
        <color rgb="FF808080"/>
      </left>
      <right/>
      <top style="thin">
        <color rgb="FF808080"/>
      </top>
      <bottom/>
      <diagonal/>
    </border>
    <border>
      <left/>
      <right/>
      <top style="thin">
        <color rgb="FF808080"/>
      </top>
      <bottom/>
      <diagonal/>
    </border>
    <border>
      <left/>
      <right style="thin">
        <color rgb="FF808080"/>
      </right>
      <top style="thin">
        <color rgb="FF808080"/>
      </top>
      <bottom/>
      <diagonal/>
    </border>
    <border>
      <left/>
      <right/>
      <top style="thin">
        <color rgb="FF808080"/>
      </top>
      <bottom style="thin">
        <color rgb="FF80808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bottom/>
      <diagonal/>
    </border>
    <border>
      <left/>
      <right/>
      <top/>
      <bottom/>
      <diagonal/>
    </border>
    <border>
      <left/>
      <right/>
      <top/>
      <bottom/>
      <diagonal/>
    </border>
    <border>
      <left/>
      <right/>
      <top/>
      <bottom style="medium">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thin">
        <color rgb="FF808080"/>
      </left>
      <right style="thin">
        <color rgb="FF808080"/>
      </right>
      <top style="thin">
        <color rgb="FF808080"/>
      </top>
      <bottom/>
      <diagonal/>
    </border>
    <border>
      <left style="thin">
        <color rgb="FF808080"/>
      </left>
      <right/>
      <top style="thin">
        <color rgb="FF808080"/>
      </top>
      <bottom/>
      <diagonal/>
    </border>
    <border>
      <left/>
      <right/>
      <top style="thin">
        <color rgb="FF808080"/>
      </top>
      <bottom/>
      <diagonal/>
    </border>
    <border>
      <left/>
      <right style="thin">
        <color rgb="FF808080"/>
      </right>
      <top style="thin">
        <color rgb="FF808080"/>
      </top>
      <bottom/>
      <diagonal/>
    </border>
    <border>
      <left style="thin">
        <color rgb="FF808080"/>
      </left>
      <right style="thin">
        <color rgb="FF808080"/>
      </right>
      <top/>
      <bottom/>
      <diagonal/>
    </border>
    <border>
      <left style="thin">
        <color rgb="FF808080"/>
      </left>
      <right style="thin">
        <color rgb="FF808080"/>
      </right>
      <top/>
      <bottom style="thin">
        <color rgb="FF808080"/>
      </bottom>
      <diagonal/>
    </border>
    <border>
      <left/>
      <right style="thin">
        <color rgb="FF000000"/>
      </right>
      <top style="thin">
        <color rgb="FF808080"/>
      </top>
      <bottom style="thin">
        <color rgb="FF808080"/>
      </bottom>
      <diagonal/>
    </border>
    <border>
      <left style="double">
        <color rgb="FF000000"/>
      </left>
      <right style="thin">
        <color rgb="FF000000"/>
      </right>
      <top style="double">
        <color rgb="FF000000"/>
      </top>
      <bottom/>
      <diagonal/>
    </border>
    <border>
      <left style="thin">
        <color rgb="FF000000"/>
      </left>
      <right style="thin">
        <color rgb="FF000000"/>
      </right>
      <top style="double">
        <color rgb="FF000000"/>
      </top>
      <bottom/>
      <diagonal/>
    </border>
    <border>
      <left style="thin">
        <color rgb="FF000000"/>
      </left>
      <right/>
      <top style="double">
        <color rgb="FF000000"/>
      </top>
      <bottom style="thin">
        <color rgb="FF000000"/>
      </bottom>
      <diagonal/>
    </border>
    <border>
      <left/>
      <right/>
      <top style="double">
        <color rgb="FF000000"/>
      </top>
      <bottom style="thin">
        <color rgb="FF000000"/>
      </bottom>
      <diagonal/>
    </border>
    <border>
      <left/>
      <right style="thin">
        <color rgb="FF000000"/>
      </right>
      <top style="double">
        <color rgb="FF000000"/>
      </top>
      <bottom style="thin">
        <color rgb="FF000000"/>
      </bottom>
      <diagonal/>
    </border>
    <border>
      <left style="thin">
        <color rgb="FF000000"/>
      </left>
      <right style="double">
        <color rgb="FF000000"/>
      </right>
      <top style="double">
        <color rgb="FF000000"/>
      </top>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double">
        <color rgb="FF000000"/>
      </right>
      <top/>
      <bottom style="double">
        <color rgb="FF000000"/>
      </bottom>
      <diagonal/>
    </border>
    <border>
      <left style="double">
        <color rgb="FF000000"/>
      </left>
      <right style="thin">
        <color rgb="FF000000"/>
      </right>
      <top style="double">
        <color rgb="FF000000"/>
      </top>
      <bottom style="double">
        <color rgb="FF000000"/>
      </bottom>
      <diagonal/>
    </border>
    <border>
      <left style="thin">
        <color rgb="FF000000"/>
      </left>
      <right style="thin">
        <color rgb="FF000000"/>
      </right>
      <top style="double">
        <color rgb="FF000000"/>
      </top>
      <bottom style="double">
        <color rgb="FF000000"/>
      </bottom>
      <diagonal/>
    </border>
    <border>
      <left style="thin">
        <color rgb="FF000000"/>
      </left>
      <right style="double">
        <color rgb="FF000000"/>
      </right>
      <top style="double">
        <color rgb="FF000000"/>
      </top>
      <bottom style="double">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rgb="FF000000"/>
      </right>
      <top style="double">
        <color rgb="FF000000"/>
      </top>
      <bottom style="thin">
        <color rgb="FF000000"/>
      </bottom>
      <diagonal/>
    </border>
    <border>
      <left style="double">
        <color rgb="FF000000"/>
      </left>
      <right style="thin">
        <color rgb="FF000000"/>
      </right>
      <top/>
      <bottom/>
      <diagonal/>
    </border>
    <border>
      <left style="thin">
        <color rgb="FF000000"/>
      </left>
      <right style="double">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double">
        <color rgb="FF000000"/>
      </right>
      <top style="thin">
        <color rgb="FF000000"/>
      </top>
      <bottom style="double">
        <color rgb="FF000000"/>
      </bottom>
      <diagonal/>
    </border>
    <border>
      <left style="thin">
        <color rgb="FF000000"/>
      </left>
      <right style="double">
        <color rgb="FF000000"/>
      </right>
      <top style="thin">
        <color rgb="FF000000"/>
      </top>
      <bottom/>
      <diagonal/>
    </border>
    <border>
      <left style="medium">
        <color rgb="FF000000"/>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thin">
        <color rgb="FF000000"/>
      </right>
      <top/>
      <bottom/>
      <diagonal/>
    </border>
    <border>
      <left style="thin">
        <color rgb="FF000000"/>
      </left>
      <right/>
      <top/>
      <bottom/>
      <diagonal/>
    </border>
    <border>
      <left/>
      <right style="thin">
        <color rgb="FF000000"/>
      </right>
      <top/>
      <bottom style="thin">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bottom style="thin">
        <color rgb="FF000000"/>
      </bottom>
      <diagonal/>
    </border>
    <border>
      <left style="medium">
        <color rgb="FF000000"/>
      </left>
      <right style="medium">
        <color rgb="FF000000"/>
      </right>
      <top/>
      <bottom/>
      <diagonal/>
    </border>
    <border>
      <left style="medium">
        <color rgb="FF000000"/>
      </left>
      <right style="medium">
        <color rgb="FF000000"/>
      </right>
      <top style="medium">
        <color rgb="FF000000"/>
      </top>
      <bottom style="medium">
        <color rgb="FF000000"/>
      </bottom>
      <diagonal/>
    </border>
    <border>
      <left/>
      <right/>
      <top/>
      <bottom style="double">
        <color rgb="FF000000"/>
      </bottom>
      <diagonal/>
    </border>
    <border>
      <left/>
      <right/>
      <top style="double">
        <color rgb="FF000000"/>
      </top>
      <bottom style="double">
        <color rgb="FF000000"/>
      </bottom>
      <diagonal/>
    </border>
    <border>
      <left/>
      <right style="thin">
        <color rgb="FF000000"/>
      </right>
      <top style="double">
        <color rgb="FF000000"/>
      </top>
      <bottom/>
      <diagonal/>
    </border>
    <border>
      <left style="thin">
        <color rgb="FF000000"/>
      </left>
      <right style="double">
        <color rgb="FF000000"/>
      </right>
      <top/>
      <bottom style="thin">
        <color rgb="FF000000"/>
      </bottom>
      <diagonal/>
    </border>
    <border>
      <left/>
      <right style="thin">
        <color rgb="FF000000"/>
      </right>
      <top style="thin">
        <color rgb="FF000000"/>
      </top>
      <bottom/>
      <diagonal/>
    </border>
    <border>
      <left/>
      <right style="thin">
        <color rgb="FF000000"/>
      </right>
      <top/>
      <bottom style="double">
        <color rgb="FF000000"/>
      </bottom>
      <diagonal/>
    </border>
    <border>
      <left style="medium">
        <color rgb="FF000000"/>
      </left>
      <right/>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top style="thin">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style="medium">
        <color rgb="FF000000"/>
      </right>
      <top/>
      <bottom/>
      <diagonal/>
    </border>
    <border>
      <left style="thin">
        <color rgb="FF000000"/>
      </left>
      <right style="medium">
        <color rgb="FF000000"/>
      </right>
      <top style="thin">
        <color rgb="FF000000"/>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medium">
        <color rgb="FF000000"/>
      </right>
      <top style="medium">
        <color rgb="FF000000"/>
      </top>
      <bottom/>
      <diagonal/>
    </border>
    <border>
      <left style="medium">
        <color rgb="FF000000"/>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medium">
        <color rgb="FF000000"/>
      </left>
      <right/>
      <top style="thin">
        <color rgb="FF000000"/>
      </top>
      <bottom/>
      <diagonal/>
    </border>
    <border>
      <left/>
      <right/>
      <top style="thin">
        <color rgb="FF000000"/>
      </top>
      <bottom/>
      <diagonal/>
    </border>
    <border>
      <left/>
      <right/>
      <top style="thin">
        <color rgb="FF000000"/>
      </top>
      <bottom/>
      <diagonal/>
    </border>
    <border>
      <left/>
      <right style="medium">
        <color rgb="FF000000"/>
      </right>
      <top style="thin">
        <color rgb="FF000000"/>
      </top>
      <bottom/>
      <diagonal/>
    </border>
    <border>
      <left/>
      <right/>
      <top/>
      <bottom/>
      <diagonal/>
    </border>
    <border>
      <left/>
      <right/>
      <top/>
      <bottom/>
      <diagonal/>
    </border>
    <border>
      <left/>
      <right/>
      <top/>
      <bottom style="thin">
        <color rgb="FF000000"/>
      </bottom>
      <diagonal/>
    </border>
    <border>
      <left/>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style="medium">
        <color rgb="FF000000"/>
      </right>
      <top/>
      <bottom/>
      <diagonal/>
    </border>
    <border>
      <left style="thin">
        <color rgb="FF000000"/>
      </left>
      <right style="medium">
        <color rgb="FF000000"/>
      </right>
      <top/>
      <bottom/>
      <diagonal/>
    </border>
    <border>
      <left/>
      <right/>
      <top style="medium">
        <color rgb="FF000000"/>
      </top>
      <bottom/>
      <diagonal/>
    </border>
    <border>
      <left style="medium">
        <color rgb="FF000000"/>
      </left>
      <right/>
      <top/>
      <bottom style="medium">
        <color rgb="FF000000"/>
      </bottom>
      <diagonal/>
    </border>
    <border>
      <left/>
      <right/>
      <top style="thin">
        <color rgb="FF000000"/>
      </top>
      <bottom/>
      <diagonal/>
    </border>
    <border>
      <left style="medium">
        <color rgb="FF000000"/>
      </left>
      <right style="medium">
        <color rgb="FF000000"/>
      </right>
      <top style="medium">
        <color rgb="FF000000"/>
      </top>
      <bottom/>
      <diagonal/>
    </border>
    <border>
      <left style="thin">
        <color rgb="FF000000"/>
      </left>
      <right/>
      <top style="thin">
        <color rgb="FF000000"/>
      </top>
      <bottom/>
      <diagonal/>
    </border>
    <border>
      <left style="medium">
        <color rgb="FF000000"/>
      </left>
      <right/>
      <top style="medium">
        <color rgb="FF000000"/>
      </top>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hair">
        <color rgb="FF000000"/>
      </bottom>
      <diagonal/>
    </border>
    <border>
      <left style="medium">
        <color rgb="FF000000"/>
      </left>
      <right style="medium">
        <color rgb="FF000000"/>
      </right>
      <top style="hair">
        <color rgb="FF000000"/>
      </top>
      <bottom style="hair">
        <color rgb="FF000000"/>
      </bottom>
      <diagonal/>
    </border>
    <border>
      <left style="medium">
        <color rgb="FF000000"/>
      </left>
      <right style="medium">
        <color rgb="FF000000"/>
      </right>
      <top style="hair">
        <color rgb="FF000000"/>
      </top>
      <bottom style="medium">
        <color rgb="FF000000"/>
      </bottom>
      <diagonal/>
    </border>
    <border>
      <left style="medium">
        <color rgb="FF000000"/>
      </left>
      <right style="medium">
        <color rgb="FF000000"/>
      </right>
      <top/>
      <bottom style="medium">
        <color rgb="FF000000"/>
      </bottom>
      <diagonal/>
    </border>
    <border>
      <left style="thin">
        <color rgb="FFFFFFFF"/>
      </left>
      <right style="thin">
        <color rgb="FFFFFFFF"/>
      </right>
      <top style="thin">
        <color rgb="FFFFFFFF"/>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bottom style="thin">
        <color rgb="FFFFFFFF"/>
      </bottom>
      <diagonal/>
    </border>
    <border>
      <left style="thin">
        <color rgb="FFFFFFFF"/>
      </left>
      <right/>
      <top/>
      <bottom style="thin">
        <color rgb="FFFFFFFF"/>
      </bottom>
      <diagonal/>
    </border>
    <border>
      <left style="thin">
        <color rgb="FFFFFFFF"/>
      </left>
      <right/>
      <top style="thin">
        <color rgb="FFFFFFFF"/>
      </top>
      <bottom style="thin">
        <color rgb="FFFFFFFF"/>
      </bottom>
      <diagonal/>
    </border>
    <border>
      <left style="thin">
        <color rgb="FFFFFFFF"/>
      </left>
      <right/>
      <top style="thin">
        <color rgb="FFFFFFFF"/>
      </top>
      <bottom/>
      <diagonal/>
    </border>
    <border>
      <left style="medium">
        <color rgb="FF000000"/>
      </left>
      <right style="medium">
        <color rgb="FF000000"/>
      </right>
      <top/>
      <bottom style="medium">
        <color rgb="FF000000"/>
      </bottom>
      <diagonal/>
    </border>
    <border>
      <left/>
      <right/>
      <top/>
      <bottom style="thin">
        <color rgb="FF000000"/>
      </bottom>
      <diagonal/>
    </border>
    <border>
      <left style="thin">
        <color rgb="FF000000"/>
      </left>
      <right/>
      <top/>
      <bottom style="thin">
        <color rgb="FF000000"/>
      </bottom>
      <diagonal/>
    </border>
    <border>
      <left style="medium">
        <color rgb="FF000000"/>
      </left>
      <right style="hair">
        <color rgb="FF000000"/>
      </right>
      <top style="medium">
        <color rgb="FF000000"/>
      </top>
      <bottom/>
      <diagonal/>
    </border>
    <border>
      <left style="hair">
        <color rgb="FF000000"/>
      </left>
      <right style="hair">
        <color rgb="FF000000"/>
      </right>
      <top style="medium">
        <color rgb="FF000000"/>
      </top>
      <bottom/>
      <diagonal/>
    </border>
    <border>
      <left/>
      <right style="hair">
        <color rgb="FF000000"/>
      </right>
      <top style="medium">
        <color rgb="FF000000"/>
      </top>
      <bottom/>
      <diagonal/>
    </border>
    <border>
      <left style="hair">
        <color rgb="FF000000"/>
      </left>
      <right style="medium">
        <color rgb="FF000000"/>
      </right>
      <top style="medium">
        <color rgb="FF000000"/>
      </top>
      <bottom/>
      <diagonal/>
    </border>
    <border>
      <left style="medium">
        <color rgb="FF000000"/>
      </left>
      <right style="medium">
        <color rgb="FF000000"/>
      </right>
      <top style="medium">
        <color rgb="FF000000"/>
      </top>
      <bottom style="hair">
        <color rgb="FF000000"/>
      </bottom>
      <diagonal/>
    </border>
    <border>
      <left style="medium">
        <color rgb="FF000000"/>
      </left>
      <right style="medium">
        <color rgb="FF000000"/>
      </right>
      <top style="hair">
        <color rgb="FF000000"/>
      </top>
      <bottom/>
      <diagonal/>
    </border>
    <border>
      <left style="medium">
        <color rgb="FF000000"/>
      </left>
      <right style="medium">
        <color rgb="FF000000"/>
      </right>
      <top/>
      <bottom style="hair">
        <color rgb="FF000000"/>
      </bottom>
      <diagonal/>
    </border>
    <border>
      <left style="medium">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right/>
      <top style="hair">
        <color rgb="FF000000"/>
      </top>
      <bottom style="hair">
        <color rgb="FF000000"/>
      </bottom>
      <diagonal/>
    </border>
    <border>
      <left/>
      <right style="medium">
        <color rgb="FF000000"/>
      </right>
      <top/>
      <bottom style="hair">
        <color rgb="FF000000"/>
      </bottom>
      <diagonal/>
    </border>
    <border>
      <left/>
      <right style="medium">
        <color rgb="FF000000"/>
      </right>
      <top style="hair">
        <color rgb="FF000000"/>
      </top>
      <bottom style="hair">
        <color rgb="FF000000"/>
      </bottom>
      <diagonal/>
    </border>
    <border>
      <left/>
      <right style="medium">
        <color rgb="FF000000"/>
      </right>
      <top style="hair">
        <color rgb="FF000000"/>
      </top>
      <bottom style="medium">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double">
        <color rgb="FF000000"/>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double">
        <color indexed="64"/>
      </right>
      <top style="double">
        <color indexed="64"/>
      </top>
      <bottom/>
      <diagonal/>
    </border>
    <border>
      <left/>
      <right style="double">
        <color indexed="64"/>
      </right>
      <top/>
      <bottom style="double">
        <color indexed="64"/>
      </bottom>
      <diagonal/>
    </border>
    <border>
      <left style="medium">
        <color indexed="64"/>
      </left>
      <right/>
      <top style="medium">
        <color indexed="64"/>
      </top>
      <bottom style="thin">
        <color indexed="64"/>
      </bottom>
      <diagonal/>
    </border>
    <border>
      <left/>
      <right style="thin">
        <color indexed="64"/>
      </right>
      <top style="medium">
        <color indexed="64"/>
      </top>
      <bottom/>
      <diagonal/>
    </border>
    <border>
      <left style="double">
        <color indexed="64"/>
      </left>
      <right/>
      <top style="double">
        <color indexed="64"/>
      </top>
      <bottom/>
      <diagonal/>
    </border>
    <border>
      <left/>
      <right/>
      <top style="double">
        <color auto="1"/>
      </top>
      <bottom/>
      <diagonal/>
    </border>
    <border>
      <left style="double">
        <color indexed="64"/>
      </left>
      <right/>
      <top/>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thick">
        <color auto="1"/>
      </left>
      <right/>
      <top style="thick">
        <color auto="1"/>
      </top>
      <bottom/>
      <diagonal/>
    </border>
    <border>
      <left/>
      <right/>
      <top style="thick">
        <color auto="1"/>
      </top>
      <bottom/>
      <diagonal/>
    </border>
    <border>
      <left/>
      <right style="medium">
        <color indexed="64"/>
      </right>
      <top style="thick">
        <color indexed="64"/>
      </top>
      <bottom/>
      <diagonal/>
    </border>
    <border>
      <left style="double">
        <color indexed="64"/>
      </left>
      <right style="medium">
        <color indexed="64"/>
      </right>
      <top/>
      <bottom/>
      <diagonal/>
    </border>
    <border>
      <left/>
      <right style="medium">
        <color indexed="64"/>
      </right>
      <top/>
      <bottom style="thin">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medium">
        <color indexed="64"/>
      </top>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43">
    <xf numFmtId="0" fontId="0" fillId="0" borderId="0"/>
    <xf numFmtId="44" fontId="81" fillId="0" borderId="0" applyFont="0" applyFill="0" applyBorder="0" applyAlignment="0" applyProtection="0"/>
    <xf numFmtId="43" fontId="82" fillId="0" borderId="0" applyFont="0" applyFill="0" applyBorder="0" applyAlignment="0" applyProtection="0"/>
    <xf numFmtId="0" fontId="6" fillId="0" borderId="158"/>
    <xf numFmtId="167" fontId="88" fillId="0" borderId="158" applyFont="0" applyFill="0" applyBorder="0" applyAlignment="0" applyProtection="0"/>
    <xf numFmtId="165" fontId="88" fillId="0" borderId="158" applyFont="0" applyFill="0" applyBorder="0" applyAlignment="0" applyProtection="0"/>
    <xf numFmtId="184" fontId="84" fillId="0" borderId="158" applyFont="0" applyFill="0" applyBorder="0" applyAlignment="0" applyProtection="0"/>
    <xf numFmtId="9" fontId="88" fillId="0" borderId="158" applyFont="0" applyFill="0" applyBorder="0" applyAlignment="0" applyProtection="0"/>
    <xf numFmtId="184" fontId="84" fillId="0" borderId="158" applyFont="0" applyFill="0" applyBorder="0" applyAlignment="0" applyProtection="0"/>
    <xf numFmtId="9" fontId="6" fillId="0" borderId="158" applyFont="0" applyFill="0" applyBorder="0" applyAlignment="0" applyProtection="0"/>
    <xf numFmtId="0" fontId="84" fillId="0" borderId="158"/>
    <xf numFmtId="9" fontId="90" fillId="0" borderId="0" applyFont="0" applyFill="0" applyBorder="0" applyAlignment="0" applyProtection="0"/>
    <xf numFmtId="0" fontId="84" fillId="0" borderId="158"/>
    <xf numFmtId="0" fontId="84" fillId="0" borderId="158"/>
    <xf numFmtId="0" fontId="5" fillId="0" borderId="158"/>
    <xf numFmtId="165" fontId="84" fillId="0" borderId="158" applyFont="0" applyFill="0" applyBorder="0" applyAlignment="0" applyProtection="0"/>
    <xf numFmtId="177" fontId="84" fillId="0" borderId="158" applyFont="0" applyFill="0" applyBorder="0" applyAlignment="0" applyProtection="0"/>
    <xf numFmtId="44" fontId="5" fillId="0" borderId="158" applyFont="0" applyFill="0" applyBorder="0" applyAlignment="0" applyProtection="0"/>
    <xf numFmtId="9" fontId="5" fillId="0" borderId="158" applyFont="0" applyFill="0" applyBorder="0" applyAlignment="0" applyProtection="0"/>
    <xf numFmtId="43" fontId="5" fillId="0" borderId="158" applyFont="0" applyFill="0" applyBorder="0" applyAlignment="0" applyProtection="0"/>
    <xf numFmtId="42" fontId="5" fillId="0" borderId="158" applyFont="0" applyFill="0" applyBorder="0" applyAlignment="0" applyProtection="0"/>
    <xf numFmtId="0" fontId="4" fillId="0" borderId="158"/>
    <xf numFmtId="0" fontId="94" fillId="0" borderId="158"/>
    <xf numFmtId="0" fontId="84" fillId="0" borderId="158"/>
    <xf numFmtId="0" fontId="3" fillId="0" borderId="158"/>
    <xf numFmtId="0" fontId="2" fillId="0" borderId="158"/>
    <xf numFmtId="0" fontId="96" fillId="0" borderId="158"/>
    <xf numFmtId="0" fontId="2" fillId="0" borderId="158"/>
    <xf numFmtId="0" fontId="84" fillId="0" borderId="158"/>
    <xf numFmtId="200" fontId="84" fillId="0" borderId="158" applyFont="0" applyFill="0" applyBorder="0" applyAlignment="0" applyProtection="0"/>
    <xf numFmtId="206" fontId="84" fillId="0" borderId="158" applyFont="0" applyFill="0" applyBorder="0" applyAlignment="0" applyProtection="0"/>
    <xf numFmtId="0" fontId="84" fillId="0" borderId="158"/>
    <xf numFmtId="0" fontId="84" fillId="0" borderId="158"/>
    <xf numFmtId="0" fontId="84" fillId="0" borderId="158"/>
    <xf numFmtId="209" fontId="84" fillId="0" borderId="158" applyFont="0" applyFill="0" applyBorder="0" applyAlignment="0" applyProtection="0"/>
    <xf numFmtId="212" fontId="84" fillId="0" borderId="158" applyFont="0" applyFill="0" applyBorder="0" applyAlignment="0" applyProtection="0"/>
    <xf numFmtId="9" fontId="84" fillId="0" borderId="158" applyFont="0" applyFill="0" applyBorder="0" applyAlignment="0" applyProtection="0"/>
    <xf numFmtId="0" fontId="109" fillId="0" borderId="158" applyNumberFormat="0" applyFill="0" applyBorder="0" applyAlignment="0" applyProtection="0">
      <alignment vertical="top"/>
      <protection locked="0"/>
    </xf>
    <xf numFmtId="0" fontId="112" fillId="0" borderId="158"/>
    <xf numFmtId="0" fontId="1" fillId="0" borderId="158"/>
    <xf numFmtId="0" fontId="84" fillId="0" borderId="158"/>
    <xf numFmtId="0" fontId="1" fillId="0" borderId="158"/>
    <xf numFmtId="0" fontId="119" fillId="0" borderId="158"/>
  </cellStyleXfs>
  <cellXfs count="2340">
    <xf numFmtId="0" fontId="0" fillId="0" borderId="0" xfId="0"/>
    <xf numFmtId="0" fontId="8" fillId="0" borderId="0" xfId="0" applyFont="1" applyAlignment="1">
      <alignment vertical="center"/>
    </xf>
    <xf numFmtId="164" fontId="10" fillId="0" borderId="0" xfId="0" applyNumberFormat="1" applyFont="1" applyAlignment="1">
      <alignment vertical="center"/>
    </xf>
    <xf numFmtId="0" fontId="8" fillId="0" borderId="0" xfId="0" applyFont="1" applyAlignment="1">
      <alignment horizontal="center" vertical="center"/>
    </xf>
    <xf numFmtId="165" fontId="10" fillId="0" borderId="0" xfId="0" applyNumberFormat="1" applyFont="1" applyAlignment="1">
      <alignment vertical="center"/>
    </xf>
    <xf numFmtId="0" fontId="8" fillId="3" borderId="4" xfId="0" applyFont="1" applyFill="1" applyBorder="1" applyAlignment="1">
      <alignment horizontal="center" vertical="center"/>
    </xf>
    <xf numFmtId="0" fontId="8" fillId="3" borderId="4" xfId="0" applyFont="1" applyFill="1" applyBorder="1" applyAlignment="1">
      <alignment horizontal="left" vertical="center"/>
    </xf>
    <xf numFmtId="165" fontId="10" fillId="3" borderId="4" xfId="0" applyNumberFormat="1" applyFont="1" applyFill="1" applyBorder="1" applyAlignment="1">
      <alignment horizontal="left"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165" fontId="10" fillId="0" borderId="6" xfId="0" applyNumberFormat="1" applyFont="1" applyBorder="1" applyAlignment="1">
      <alignment horizontal="center" vertical="center"/>
    </xf>
    <xf numFmtId="0" fontId="8" fillId="0" borderId="7"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vertical="center"/>
    </xf>
    <xf numFmtId="0" fontId="8" fillId="0" borderId="9" xfId="0" applyFont="1" applyBorder="1" applyAlignment="1">
      <alignment vertical="center"/>
    </xf>
    <xf numFmtId="165" fontId="10" fillId="0" borderId="9" xfId="0" applyNumberFormat="1" applyFont="1" applyBorder="1" applyAlignment="1">
      <alignment vertical="center"/>
    </xf>
    <xf numFmtId="165" fontId="11" fillId="0" borderId="10" xfId="0" applyNumberFormat="1" applyFont="1" applyBorder="1" applyAlignment="1">
      <alignment vertical="center"/>
    </xf>
    <xf numFmtId="0" fontId="8" fillId="0" borderId="8" xfId="0" applyFont="1" applyBorder="1" applyAlignment="1">
      <alignment horizontal="center" vertical="center"/>
    </xf>
    <xf numFmtId="0" fontId="8" fillId="0" borderId="9" xfId="0" applyFont="1" applyBorder="1" applyAlignment="1">
      <alignment horizontal="left" vertical="center"/>
    </xf>
    <xf numFmtId="0" fontId="8" fillId="0" borderId="9" xfId="0" applyFont="1" applyBorder="1" applyAlignment="1">
      <alignment horizontal="center" vertical="center"/>
    </xf>
    <xf numFmtId="165" fontId="10" fillId="0" borderId="10" xfId="0" applyNumberFormat="1" applyFont="1" applyBorder="1" applyAlignment="1">
      <alignment vertical="center"/>
    </xf>
    <xf numFmtId="164" fontId="10" fillId="0" borderId="0" xfId="0" applyNumberFormat="1" applyFont="1" applyAlignment="1">
      <alignment horizontal="right" vertical="center"/>
    </xf>
    <xf numFmtId="0" fontId="11" fillId="0" borderId="9" xfId="0" applyFont="1" applyBorder="1" applyAlignment="1">
      <alignment horizontal="left" vertical="center"/>
    </xf>
    <xf numFmtId="165" fontId="8" fillId="0" borderId="9" xfId="0" applyNumberFormat="1" applyFont="1" applyBorder="1" applyAlignment="1">
      <alignment horizontal="center" vertical="center"/>
    </xf>
    <xf numFmtId="2" fontId="8" fillId="0" borderId="8" xfId="0" applyNumberFormat="1" applyFont="1" applyBorder="1" applyAlignment="1">
      <alignment horizontal="center" vertical="center"/>
    </xf>
    <xf numFmtId="0" fontId="12" fillId="0" borderId="9" xfId="0" applyFont="1" applyBorder="1" applyAlignment="1">
      <alignment horizontal="left" vertical="center"/>
    </xf>
    <xf numFmtId="0" fontId="8" fillId="2" borderId="8" xfId="0" applyFont="1" applyFill="1" applyBorder="1" applyAlignment="1">
      <alignment horizontal="center" vertical="center"/>
    </xf>
    <xf numFmtId="0" fontId="8" fillId="2" borderId="9" xfId="0" applyFont="1" applyFill="1" applyBorder="1" applyAlignment="1">
      <alignment horizontal="left" vertical="center"/>
    </xf>
    <xf numFmtId="0" fontId="8" fillId="2" borderId="9" xfId="0" applyFont="1" applyFill="1" applyBorder="1" applyAlignment="1">
      <alignment horizontal="center" vertical="center"/>
    </xf>
    <xf numFmtId="165" fontId="10" fillId="2" borderId="9" xfId="0" applyNumberFormat="1" applyFont="1" applyFill="1" applyBorder="1" applyAlignment="1">
      <alignment vertical="center"/>
    </xf>
    <xf numFmtId="165" fontId="10" fillId="2" borderId="10" xfId="0" applyNumberFormat="1" applyFont="1" applyFill="1" applyBorder="1" applyAlignment="1">
      <alignment vertical="center"/>
    </xf>
    <xf numFmtId="9" fontId="8" fillId="2" borderId="9" xfId="0" applyNumberFormat="1" applyFont="1" applyFill="1" applyBorder="1" applyAlignment="1">
      <alignment horizontal="center" vertical="center"/>
    </xf>
    <xf numFmtId="0" fontId="11" fillId="2" borderId="11" xfId="0" applyFont="1" applyFill="1" applyBorder="1" applyAlignment="1">
      <alignment horizontal="center" vertical="center"/>
    </xf>
    <xf numFmtId="0" fontId="11" fillId="2" borderId="12" xfId="0" applyFont="1" applyFill="1" applyBorder="1" applyAlignment="1">
      <alignment horizontal="left" vertical="center"/>
    </xf>
    <xf numFmtId="0" fontId="11" fillId="2" borderId="12" xfId="0" applyFont="1" applyFill="1" applyBorder="1" applyAlignment="1">
      <alignment horizontal="center" vertical="center"/>
    </xf>
    <xf numFmtId="165" fontId="11" fillId="2" borderId="12" xfId="0" applyNumberFormat="1" applyFont="1" applyFill="1" applyBorder="1" applyAlignment="1">
      <alignment vertical="center"/>
    </xf>
    <xf numFmtId="165" fontId="11" fillId="2" borderId="13" xfId="0" applyNumberFormat="1" applyFont="1" applyFill="1" applyBorder="1" applyAlignment="1">
      <alignment vertical="center"/>
    </xf>
    <xf numFmtId="0" fontId="11" fillId="0" borderId="0" xfId="0" applyFont="1" applyAlignment="1">
      <alignment vertical="center"/>
    </xf>
    <xf numFmtId="164" fontId="11" fillId="0" borderId="0" xfId="0" applyNumberFormat="1" applyFont="1" applyAlignment="1">
      <alignment vertical="center"/>
    </xf>
    <xf numFmtId="0" fontId="8" fillId="0" borderId="0" xfId="0" applyFont="1" applyAlignment="1">
      <alignment horizontal="left" vertical="center"/>
    </xf>
    <xf numFmtId="2" fontId="8" fillId="0" borderId="0" xfId="0" applyNumberFormat="1" applyFont="1"/>
    <xf numFmtId="0" fontId="12" fillId="0" borderId="9" xfId="0" applyFont="1" applyBorder="1" applyAlignment="1">
      <alignment horizontal="center"/>
    </xf>
    <xf numFmtId="0" fontId="12" fillId="0" borderId="35" xfId="0" applyFont="1" applyBorder="1" applyAlignment="1">
      <alignment horizontal="center"/>
    </xf>
    <xf numFmtId="0" fontId="8" fillId="0" borderId="9" xfId="0" applyFont="1" applyBorder="1" applyAlignment="1">
      <alignment horizontal="center"/>
    </xf>
    <xf numFmtId="0" fontId="8" fillId="0" borderId="9" xfId="0" applyFont="1" applyBorder="1"/>
    <xf numFmtId="2" fontId="8" fillId="0" borderId="9" xfId="0" applyNumberFormat="1" applyFont="1" applyBorder="1" applyAlignment="1">
      <alignment horizontal="center"/>
    </xf>
    <xf numFmtId="166" fontId="8" fillId="0" borderId="9" xfId="0" applyNumberFormat="1" applyFont="1" applyBorder="1"/>
    <xf numFmtId="0" fontId="8" fillId="0" borderId="35" xfId="0" applyFont="1" applyBorder="1"/>
    <xf numFmtId="167" fontId="8" fillId="0" borderId="9" xfId="0" applyNumberFormat="1" applyFont="1" applyBorder="1"/>
    <xf numFmtId="2" fontId="8" fillId="0" borderId="9" xfId="0" applyNumberFormat="1" applyFont="1" applyBorder="1"/>
    <xf numFmtId="0" fontId="17" fillId="0" borderId="0" xfId="0" applyFont="1"/>
    <xf numFmtId="166" fontId="12" fillId="0" borderId="9" xfId="0" applyNumberFormat="1" applyFont="1" applyBorder="1"/>
    <xf numFmtId="0" fontId="8" fillId="0" borderId="0" xfId="0" applyFont="1" applyAlignment="1">
      <alignment horizontal="center"/>
    </xf>
    <xf numFmtId="0" fontId="8" fillId="0" borderId="9" xfId="0" applyFont="1" applyBorder="1" applyAlignment="1">
      <alignment horizontal="left"/>
    </xf>
    <xf numFmtId="168" fontId="8" fillId="0" borderId="9" xfId="0" applyNumberFormat="1" applyFont="1" applyBorder="1" applyAlignment="1">
      <alignment horizontal="center"/>
    </xf>
    <xf numFmtId="166" fontId="8" fillId="0" borderId="9" xfId="0" applyNumberFormat="1" applyFont="1" applyBorder="1" applyAlignment="1">
      <alignment horizontal="center"/>
    </xf>
    <xf numFmtId="0" fontId="12" fillId="0" borderId="9" xfId="0" applyFont="1" applyBorder="1" applyAlignment="1">
      <alignment horizontal="left"/>
    </xf>
    <xf numFmtId="1" fontId="12" fillId="0" borderId="9" xfId="0" applyNumberFormat="1" applyFont="1" applyBorder="1" applyAlignment="1">
      <alignment horizontal="center"/>
    </xf>
    <xf numFmtId="1" fontId="8" fillId="0" borderId="9" xfId="0" applyNumberFormat="1" applyFont="1" applyBorder="1" applyAlignment="1">
      <alignment horizontal="center"/>
    </xf>
    <xf numFmtId="0" fontId="8" fillId="0" borderId="0" xfId="0" applyFont="1" applyAlignment="1">
      <alignment wrapText="1"/>
    </xf>
    <xf numFmtId="164" fontId="10" fillId="0" borderId="0" xfId="0" applyNumberFormat="1" applyFont="1" applyAlignment="1">
      <alignment wrapText="1"/>
    </xf>
    <xf numFmtId="169" fontId="10" fillId="0" borderId="0" xfId="0" applyNumberFormat="1" applyFont="1" applyAlignment="1">
      <alignment wrapText="1"/>
    </xf>
    <xf numFmtId="0" fontId="10" fillId="0" borderId="41" xfId="0" applyFont="1" applyBorder="1" applyAlignment="1">
      <alignment horizontal="center" vertical="center" wrapText="1"/>
    </xf>
    <xf numFmtId="0" fontId="11" fillId="0" borderId="41" xfId="0" applyFont="1" applyBorder="1" applyAlignment="1">
      <alignment horizontal="center" vertical="center" wrapText="1"/>
    </xf>
    <xf numFmtId="4" fontId="13" fillId="0" borderId="41" xfId="0" applyNumberFormat="1" applyFont="1" applyBorder="1" applyAlignment="1">
      <alignment vertical="center" wrapText="1"/>
    </xf>
    <xf numFmtId="4" fontId="11" fillId="0" borderId="41" xfId="0" applyNumberFormat="1" applyFont="1" applyBorder="1" applyAlignment="1">
      <alignment horizontal="center" vertical="center" wrapText="1"/>
    </xf>
    <xf numFmtId="0" fontId="18" fillId="6" borderId="41" xfId="0" applyFont="1" applyFill="1" applyBorder="1" applyAlignment="1">
      <alignment vertical="center" wrapText="1"/>
    </xf>
    <xf numFmtId="0" fontId="13" fillId="0" borderId="38" xfId="0" applyFont="1" applyBorder="1" applyAlignment="1">
      <alignment vertical="center" wrapText="1"/>
    </xf>
    <xf numFmtId="0" fontId="13" fillId="0" borderId="41" xfId="0" applyFont="1" applyBorder="1" applyAlignment="1">
      <alignment vertical="center" wrapText="1"/>
    </xf>
    <xf numFmtId="2" fontId="8" fillId="0" borderId="0" xfId="0" applyNumberFormat="1" applyFont="1" applyAlignment="1">
      <alignment wrapText="1"/>
    </xf>
    <xf numFmtId="22" fontId="8" fillId="0" borderId="41" xfId="0" applyNumberFormat="1" applyFont="1" applyBorder="1" applyAlignment="1">
      <alignment horizontal="center" vertical="center" wrapText="1"/>
    </xf>
    <xf numFmtId="4" fontId="13" fillId="0" borderId="40" xfId="0" applyNumberFormat="1" applyFont="1" applyBorder="1" applyAlignment="1">
      <alignment vertical="center" wrapText="1"/>
    </xf>
    <xf numFmtId="0" fontId="19" fillId="0" borderId="0" xfId="0" applyFont="1" applyAlignment="1">
      <alignment horizontal="left" vertical="center" wrapText="1"/>
    </xf>
    <xf numFmtId="0" fontId="21" fillId="0" borderId="0" xfId="0" applyFont="1" applyAlignment="1">
      <alignment horizontal="right" vertical="center" wrapText="1"/>
    </xf>
    <xf numFmtId="0" fontId="23" fillId="0" borderId="0" xfId="0" applyFont="1"/>
    <xf numFmtId="4" fontId="23" fillId="0" borderId="0" xfId="0" applyNumberFormat="1" applyFont="1"/>
    <xf numFmtId="0" fontId="24" fillId="0" borderId="0" xfId="0" applyFont="1" applyAlignment="1">
      <alignment horizontal="left" vertical="center"/>
    </xf>
    <xf numFmtId="165" fontId="10" fillId="0" borderId="0" xfId="0" applyNumberFormat="1" applyFont="1"/>
    <xf numFmtId="0" fontId="8" fillId="3" borderId="4" xfId="0" applyFont="1" applyFill="1" applyBorder="1" applyAlignment="1">
      <alignment horizontal="left" vertical="top"/>
    </xf>
    <xf numFmtId="165" fontId="10" fillId="3" borderId="4" xfId="0" applyNumberFormat="1" applyFont="1" applyFill="1" applyBorder="1" applyAlignment="1">
      <alignment horizontal="left" vertical="top"/>
    </xf>
    <xf numFmtId="0" fontId="8" fillId="0" borderId="5" xfId="0" applyFont="1" applyBorder="1" applyAlignment="1">
      <alignment horizontal="center"/>
    </xf>
    <xf numFmtId="0" fontId="8" fillId="0" borderId="6" xfId="0" applyFont="1" applyBorder="1" applyAlignment="1">
      <alignment horizontal="center"/>
    </xf>
    <xf numFmtId="165" fontId="10" fillId="0" borderId="6" xfId="0" applyNumberFormat="1" applyFont="1" applyBorder="1" applyAlignment="1">
      <alignment horizontal="center"/>
    </xf>
    <xf numFmtId="0" fontId="8" fillId="0" borderId="7" xfId="0" applyFont="1" applyBorder="1" applyAlignment="1">
      <alignment horizontal="center"/>
    </xf>
    <xf numFmtId="0" fontId="8" fillId="7" borderId="9" xfId="0" applyFont="1" applyFill="1" applyBorder="1"/>
    <xf numFmtId="0" fontId="11" fillId="0" borderId="8" xfId="0" applyFont="1" applyBorder="1"/>
    <xf numFmtId="0" fontId="11" fillId="0" borderId="9" xfId="0" applyFont="1" applyBorder="1"/>
    <xf numFmtId="165" fontId="10" fillId="0" borderId="9" xfId="0" applyNumberFormat="1" applyFont="1" applyBorder="1"/>
    <xf numFmtId="0" fontId="8" fillId="0" borderId="10" xfId="0" applyFont="1" applyBorder="1"/>
    <xf numFmtId="0" fontId="8" fillId="8" borderId="9" xfId="0" applyFont="1" applyFill="1" applyBorder="1"/>
    <xf numFmtId="0" fontId="8" fillId="0" borderId="8" xfId="0" applyFont="1" applyBorder="1" applyAlignment="1">
      <alignment horizontal="right"/>
    </xf>
    <xf numFmtId="0" fontId="8" fillId="0" borderId="9" xfId="0" applyFont="1" applyBorder="1" applyAlignment="1">
      <alignment horizontal="left" vertical="top"/>
    </xf>
    <xf numFmtId="165" fontId="10" fillId="0" borderId="10" xfId="0" applyNumberFormat="1" applyFont="1" applyBorder="1"/>
    <xf numFmtId="0" fontId="11" fillId="0" borderId="9" xfId="0" applyFont="1" applyBorder="1" applyAlignment="1">
      <alignment horizontal="left" vertical="top"/>
    </xf>
    <xf numFmtId="0" fontId="11" fillId="0" borderId="8" xfId="0" applyFont="1" applyBorder="1" applyAlignment="1">
      <alignment horizontal="right"/>
    </xf>
    <xf numFmtId="170" fontId="8" fillId="0" borderId="9" xfId="0" applyNumberFormat="1" applyFont="1" applyBorder="1" applyAlignment="1">
      <alignment horizontal="center" vertical="center"/>
    </xf>
    <xf numFmtId="165" fontId="10" fillId="9" borderId="9" xfId="0" applyNumberFormat="1" applyFont="1" applyFill="1" applyBorder="1"/>
    <xf numFmtId="0" fontId="8" fillId="2" borderId="8" xfId="0" applyFont="1" applyFill="1" applyBorder="1"/>
    <xf numFmtId="0" fontId="8" fillId="2" borderId="9" xfId="0" applyFont="1" applyFill="1" applyBorder="1" applyAlignment="1">
      <alignment horizontal="left" vertical="top"/>
    </xf>
    <xf numFmtId="0" fontId="8" fillId="2" borderId="9" xfId="0" applyFont="1" applyFill="1" applyBorder="1" applyAlignment="1">
      <alignment horizontal="center"/>
    </xf>
    <xf numFmtId="165" fontId="10" fillId="2" borderId="9" xfId="0" applyNumberFormat="1" applyFont="1" applyFill="1" applyBorder="1"/>
    <xf numFmtId="165" fontId="10" fillId="2" borderId="10" xfId="0" applyNumberFormat="1" applyFont="1" applyFill="1" applyBorder="1"/>
    <xf numFmtId="9" fontId="8" fillId="2" borderId="9" xfId="0" applyNumberFormat="1" applyFont="1" applyFill="1" applyBorder="1" applyAlignment="1">
      <alignment horizontal="center"/>
    </xf>
    <xf numFmtId="0" fontId="8" fillId="2" borderId="11" xfId="0" applyFont="1" applyFill="1" applyBorder="1"/>
    <xf numFmtId="0" fontId="8" fillId="2" borderId="12" xfId="0" applyFont="1" applyFill="1" applyBorder="1" applyAlignment="1">
      <alignment horizontal="left" vertical="top"/>
    </xf>
    <xf numFmtId="0" fontId="8" fillId="2" borderId="12" xfId="0" applyFont="1" applyFill="1" applyBorder="1" applyAlignment="1">
      <alignment horizontal="center"/>
    </xf>
    <xf numFmtId="165" fontId="10" fillId="2" borderId="12" xfId="0" applyNumberFormat="1" applyFont="1" applyFill="1" applyBorder="1"/>
    <xf numFmtId="165" fontId="10" fillId="2" borderId="13" xfId="0" applyNumberFormat="1" applyFont="1" applyFill="1" applyBorder="1"/>
    <xf numFmtId="0" fontId="8" fillId="0" borderId="0" xfId="0" applyFont="1" applyAlignment="1">
      <alignment horizontal="left" vertical="top"/>
    </xf>
    <xf numFmtId="0" fontId="8" fillId="11" borderId="9" xfId="0" applyFont="1" applyFill="1" applyBorder="1"/>
    <xf numFmtId="0" fontId="8" fillId="0" borderId="8" xfId="0" applyFont="1" applyBorder="1"/>
    <xf numFmtId="0" fontId="8" fillId="10" borderId="8" xfId="0" applyFont="1" applyFill="1" applyBorder="1"/>
    <xf numFmtId="0" fontId="8" fillId="10" borderId="9" xfId="0" applyFont="1" applyFill="1" applyBorder="1" applyAlignment="1">
      <alignment horizontal="left" vertical="top"/>
    </xf>
    <xf numFmtId="0" fontId="8" fillId="10" borderId="9" xfId="0" applyFont="1" applyFill="1" applyBorder="1" applyAlignment="1">
      <alignment horizontal="center"/>
    </xf>
    <xf numFmtId="165" fontId="10" fillId="10" borderId="9" xfId="0" applyNumberFormat="1" applyFont="1" applyFill="1" applyBorder="1"/>
    <xf numFmtId="165" fontId="10" fillId="10" borderId="10" xfId="0" applyNumberFormat="1" applyFont="1" applyFill="1" applyBorder="1"/>
    <xf numFmtId="9" fontId="8" fillId="10" borderId="9" xfId="0" applyNumberFormat="1" applyFont="1" applyFill="1" applyBorder="1" applyAlignment="1">
      <alignment horizontal="center"/>
    </xf>
    <xf numFmtId="0" fontId="8" fillId="10" borderId="11" xfId="0" applyFont="1" applyFill="1" applyBorder="1"/>
    <xf numFmtId="0" fontId="8" fillId="10" borderId="12" xfId="0" applyFont="1" applyFill="1" applyBorder="1" applyAlignment="1">
      <alignment horizontal="left" vertical="top"/>
    </xf>
    <xf numFmtId="0" fontId="8" fillId="10" borderId="12" xfId="0" applyFont="1" applyFill="1" applyBorder="1" applyAlignment="1">
      <alignment horizontal="center"/>
    </xf>
    <xf numFmtId="165" fontId="10" fillId="10" borderId="12" xfId="0" applyNumberFormat="1" applyFont="1" applyFill="1" applyBorder="1"/>
    <xf numFmtId="165" fontId="10" fillId="10" borderId="13" xfId="0" applyNumberFormat="1" applyFont="1" applyFill="1" applyBorder="1"/>
    <xf numFmtId="165" fontId="11" fillId="0" borderId="49" xfId="0" applyNumberFormat="1" applyFont="1" applyBorder="1"/>
    <xf numFmtId="0" fontId="26" fillId="0" borderId="0" xfId="0" applyFont="1"/>
    <xf numFmtId="164" fontId="26" fillId="0" borderId="0" xfId="0" applyNumberFormat="1" applyFont="1" applyAlignment="1">
      <alignment vertical="center"/>
    </xf>
    <xf numFmtId="164" fontId="26" fillId="0" borderId="0" xfId="0" applyNumberFormat="1" applyFont="1"/>
    <xf numFmtId="0" fontId="28" fillId="12" borderId="54" xfId="0" applyFont="1" applyFill="1" applyBorder="1" applyAlignment="1">
      <alignment horizontal="center" vertical="center"/>
    </xf>
    <xf numFmtId="0" fontId="28" fillId="12" borderId="9" xfId="0" applyFont="1" applyFill="1" applyBorder="1" applyAlignment="1">
      <alignment horizontal="center" vertical="center"/>
    </xf>
    <xf numFmtId="4" fontId="28" fillId="12" borderId="9" xfId="0" applyNumberFormat="1" applyFont="1" applyFill="1" applyBorder="1" applyAlignment="1">
      <alignment horizontal="center" vertical="center"/>
    </xf>
    <xf numFmtId="0" fontId="30" fillId="0" borderId="6" xfId="0" applyFont="1" applyBorder="1" applyAlignment="1">
      <alignment horizontal="center" vertical="center"/>
    </xf>
    <xf numFmtId="0" fontId="30" fillId="0" borderId="6" xfId="0" applyFont="1" applyBorder="1" applyAlignment="1">
      <alignment horizontal="left" vertical="center" wrapText="1"/>
    </xf>
    <xf numFmtId="0" fontId="24" fillId="0" borderId="6" xfId="0" applyFont="1" applyBorder="1" applyAlignment="1">
      <alignment horizontal="center" vertical="center" wrapText="1"/>
    </xf>
    <xf numFmtId="4" fontId="24" fillId="0" borderId="6" xfId="0" applyNumberFormat="1" applyFont="1" applyBorder="1" applyAlignment="1">
      <alignment horizontal="right" vertical="center"/>
    </xf>
    <xf numFmtId="170" fontId="24" fillId="0" borderId="6" xfId="0" applyNumberFormat="1" applyFont="1" applyBorder="1" applyAlignment="1">
      <alignment horizontal="right" vertical="center"/>
    </xf>
    <xf numFmtId="0" fontId="24" fillId="0" borderId="9" xfId="0" applyFont="1" applyBorder="1" applyAlignment="1">
      <alignment horizontal="center" vertical="center"/>
    </xf>
    <xf numFmtId="0" fontId="24" fillId="0" borderId="9" xfId="0" applyFont="1" applyBorder="1" applyAlignment="1">
      <alignment horizontal="left" vertical="center" wrapText="1"/>
    </xf>
    <xf numFmtId="0" fontId="24" fillId="0" borderId="9" xfId="0" applyFont="1" applyBorder="1" applyAlignment="1">
      <alignment horizontal="center" vertical="center" wrapText="1"/>
    </xf>
    <xf numFmtId="4" fontId="24" fillId="0" borderId="9" xfId="0" applyNumberFormat="1" applyFont="1" applyBorder="1" applyAlignment="1">
      <alignment horizontal="right" vertical="center"/>
    </xf>
    <xf numFmtId="170" fontId="24" fillId="0" borderId="9" xfId="0" applyNumberFormat="1" applyFont="1" applyBorder="1" applyAlignment="1">
      <alignment horizontal="right" vertical="center"/>
    </xf>
    <xf numFmtId="166" fontId="28" fillId="12" borderId="9" xfId="0" applyNumberFormat="1" applyFont="1" applyFill="1" applyBorder="1" applyAlignment="1">
      <alignment vertical="center"/>
    </xf>
    <xf numFmtId="171" fontId="24" fillId="0" borderId="9" xfId="0" applyNumberFormat="1" applyFont="1" applyBorder="1" applyAlignment="1">
      <alignment horizontal="center" vertical="center"/>
    </xf>
    <xf numFmtId="4" fontId="24" fillId="0" borderId="9" xfId="0" applyNumberFormat="1" applyFont="1" applyBorder="1" applyAlignment="1">
      <alignment vertical="center"/>
    </xf>
    <xf numFmtId="4" fontId="24" fillId="0" borderId="12" xfId="0" applyNumberFormat="1" applyFont="1" applyBorder="1" applyAlignment="1">
      <alignment vertical="center"/>
    </xf>
    <xf numFmtId="166" fontId="28" fillId="12" borderId="59" xfId="0" applyNumberFormat="1" applyFont="1" applyFill="1" applyBorder="1" applyAlignment="1">
      <alignment vertical="center"/>
    </xf>
    <xf numFmtId="0" fontId="30" fillId="0" borderId="6" xfId="0" applyFont="1" applyBorder="1" applyAlignment="1">
      <alignment horizontal="left" vertical="center"/>
    </xf>
    <xf numFmtId="0" fontId="24" fillId="0" borderId="6" xfId="0" applyFont="1" applyBorder="1" applyAlignment="1">
      <alignment horizontal="center" vertical="center"/>
    </xf>
    <xf numFmtId="4" fontId="24" fillId="0" borderId="6" xfId="0" applyNumberFormat="1" applyFont="1" applyBorder="1" applyAlignment="1">
      <alignment horizontal="center" vertical="center"/>
    </xf>
    <xf numFmtId="4" fontId="24" fillId="0" borderId="60" xfId="0" applyNumberFormat="1" applyFont="1" applyBorder="1" applyAlignment="1">
      <alignment horizontal="right" vertical="center"/>
    </xf>
    <xf numFmtId="170" fontId="24" fillId="0" borderId="60" xfId="0" applyNumberFormat="1" applyFont="1" applyBorder="1" applyAlignment="1">
      <alignment horizontal="right" vertical="center"/>
    </xf>
    <xf numFmtId="0" fontId="30" fillId="0" borderId="9" xfId="0" applyFont="1" applyBorder="1" applyAlignment="1">
      <alignment horizontal="left" vertical="center" wrapText="1"/>
    </xf>
    <xf numFmtId="2" fontId="24" fillId="0" borderId="9" xfId="0" applyNumberFormat="1" applyFont="1" applyBorder="1" applyAlignment="1">
      <alignment horizontal="center" vertical="center"/>
    </xf>
    <xf numFmtId="0" fontId="30" fillId="0" borderId="61" xfId="0" applyFont="1" applyBorder="1" applyAlignment="1">
      <alignment horizontal="center" vertical="center"/>
    </xf>
    <xf numFmtId="0" fontId="30" fillId="0" borderId="61" xfId="0" applyFont="1" applyBorder="1" applyAlignment="1">
      <alignment horizontal="left" vertical="center"/>
    </xf>
    <xf numFmtId="0" fontId="24" fillId="0" borderId="61" xfId="0" applyFont="1" applyBorder="1" applyAlignment="1">
      <alignment horizontal="center" vertical="center"/>
    </xf>
    <xf numFmtId="4" fontId="24" fillId="0" borderId="61" xfId="0" applyNumberFormat="1" applyFont="1" applyBorder="1" applyAlignment="1">
      <alignment horizontal="center" vertical="center"/>
    </xf>
    <xf numFmtId="170" fontId="24" fillId="0" borderId="61" xfId="0" applyNumberFormat="1" applyFont="1" applyBorder="1" applyAlignment="1">
      <alignment horizontal="right" vertical="center"/>
    </xf>
    <xf numFmtId="3" fontId="26" fillId="0" borderId="0" xfId="0" applyNumberFormat="1" applyFont="1"/>
    <xf numFmtId="0" fontId="30" fillId="0" borderId="16" xfId="0" applyFont="1" applyBorder="1" applyAlignment="1">
      <alignment horizontal="center" vertical="center"/>
    </xf>
    <xf numFmtId="0" fontId="30" fillId="0" borderId="16" xfId="0" applyFont="1" applyBorder="1" applyAlignment="1">
      <alignment horizontal="right" vertical="center" wrapText="1"/>
    </xf>
    <xf numFmtId="0" fontId="30" fillId="0" borderId="2" xfId="0" applyFont="1" applyBorder="1" applyAlignment="1">
      <alignment horizontal="right" vertical="center" wrapText="1"/>
    </xf>
    <xf numFmtId="4" fontId="30" fillId="0" borderId="2" xfId="0" applyNumberFormat="1" applyFont="1" applyBorder="1" applyAlignment="1">
      <alignment horizontal="right" vertical="center" wrapText="1"/>
    </xf>
    <xf numFmtId="170" fontId="30" fillId="0" borderId="2" xfId="0" applyNumberFormat="1" applyFont="1" applyBorder="1" applyAlignment="1">
      <alignment horizontal="right" vertical="center"/>
    </xf>
    <xf numFmtId="0" fontId="24" fillId="0" borderId="0" xfId="0" applyFont="1" applyAlignment="1">
      <alignment vertical="center"/>
    </xf>
    <xf numFmtId="0" fontId="30" fillId="0" borderId="0" xfId="0" applyFont="1" applyAlignment="1">
      <alignment vertical="center"/>
    </xf>
    <xf numFmtId="166" fontId="28" fillId="12" borderId="65" xfId="0" applyNumberFormat="1" applyFont="1" applyFill="1" applyBorder="1" applyAlignment="1">
      <alignment vertical="center"/>
    </xf>
    <xf numFmtId="9" fontId="30" fillId="0" borderId="68" xfId="0" applyNumberFormat="1" applyFont="1" applyBorder="1" applyAlignment="1">
      <alignment horizontal="center" vertical="center"/>
    </xf>
    <xf numFmtId="166" fontId="30" fillId="0" borderId="68" xfId="0" applyNumberFormat="1" applyFont="1" applyBorder="1" applyAlignment="1">
      <alignment vertical="center"/>
    </xf>
    <xf numFmtId="166" fontId="28" fillId="12" borderId="71" xfId="0" applyNumberFormat="1" applyFont="1" applyFill="1" applyBorder="1" applyAlignment="1">
      <alignment vertical="center"/>
    </xf>
    <xf numFmtId="0" fontId="30" fillId="0" borderId="0" xfId="0" applyFont="1" applyAlignment="1">
      <alignment horizontal="left" vertical="center"/>
    </xf>
    <xf numFmtId="0" fontId="24" fillId="0" borderId="0" xfId="0" applyFont="1" applyAlignment="1">
      <alignment horizontal="center" vertical="center"/>
    </xf>
    <xf numFmtId="4" fontId="24" fillId="0" borderId="0" xfId="0" applyNumberFormat="1" applyFont="1" applyAlignment="1">
      <alignment horizontal="center" vertical="center"/>
    </xf>
    <xf numFmtId="170" fontId="24" fillId="0" borderId="0" xfId="0" applyNumberFormat="1" applyFont="1" applyAlignment="1">
      <alignment vertical="center" wrapText="1"/>
    </xf>
    <xf numFmtId="164" fontId="10" fillId="0" borderId="0" xfId="0" applyNumberFormat="1" applyFont="1"/>
    <xf numFmtId="167" fontId="10" fillId="0" borderId="0" xfId="0" applyNumberFormat="1" applyFont="1"/>
    <xf numFmtId="164" fontId="26" fillId="9" borderId="4" xfId="0" applyNumberFormat="1" applyFont="1" applyFill="1" applyBorder="1"/>
    <xf numFmtId="4" fontId="26" fillId="0" borderId="0" xfId="0" applyNumberFormat="1" applyFont="1"/>
    <xf numFmtId="0" fontId="31" fillId="0" borderId="0" xfId="0" applyFont="1" applyAlignment="1">
      <alignment horizontal="left" vertical="center"/>
    </xf>
    <xf numFmtId="0" fontId="32" fillId="0" borderId="0" xfId="0" applyFont="1" applyAlignment="1">
      <alignment horizontal="left" vertical="center"/>
    </xf>
    <xf numFmtId="0" fontId="33" fillId="0" borderId="0" xfId="0" applyFont="1" applyAlignment="1">
      <alignment vertical="center"/>
    </xf>
    <xf numFmtId="0" fontId="11" fillId="0" borderId="73" xfId="0" applyFont="1" applyBorder="1" applyAlignment="1">
      <alignment horizontal="center" vertical="center" wrapText="1"/>
    </xf>
    <xf numFmtId="0" fontId="13" fillId="0" borderId="41" xfId="0" applyFont="1" applyBorder="1" applyAlignment="1">
      <alignment vertical="top" wrapText="1"/>
    </xf>
    <xf numFmtId="169" fontId="8" fillId="0" borderId="0" xfId="0" applyNumberFormat="1" applyFont="1" applyAlignment="1">
      <alignment wrapText="1"/>
    </xf>
    <xf numFmtId="172" fontId="8" fillId="0" borderId="0" xfId="0" applyNumberFormat="1" applyFont="1" applyAlignment="1">
      <alignment wrapText="1"/>
    </xf>
    <xf numFmtId="164" fontId="11" fillId="0" borderId="0" xfId="0" applyNumberFormat="1" applyFont="1" applyAlignment="1">
      <alignment wrapText="1"/>
    </xf>
    <xf numFmtId="173" fontId="13" fillId="0" borderId="41" xfId="0" applyNumberFormat="1" applyFont="1" applyBorder="1" applyAlignment="1">
      <alignment vertical="center" wrapText="1"/>
    </xf>
    <xf numFmtId="0" fontId="13" fillId="6" borderId="41" xfId="0" applyFont="1" applyFill="1" applyBorder="1" applyAlignment="1">
      <alignment horizontal="center" vertical="center" wrapText="1"/>
    </xf>
    <xf numFmtId="0" fontId="13" fillId="6" borderId="41" xfId="0" applyFont="1" applyFill="1" applyBorder="1" applyAlignment="1">
      <alignment vertical="top" wrapText="1"/>
    </xf>
    <xf numFmtId="0" fontId="11" fillId="0" borderId="41" xfId="0" applyFont="1" applyBorder="1" applyAlignment="1">
      <alignment vertical="center" wrapText="1"/>
    </xf>
    <xf numFmtId="0" fontId="13" fillId="0" borderId="72" xfId="0" applyFont="1" applyBorder="1" applyAlignment="1">
      <alignment horizontal="left" vertical="center" wrapText="1"/>
    </xf>
    <xf numFmtId="4" fontId="13" fillId="0" borderId="41" xfId="0" applyNumberFormat="1" applyFont="1" applyBorder="1" applyAlignment="1">
      <alignment horizontal="center" vertical="center" wrapText="1"/>
    </xf>
    <xf numFmtId="4" fontId="35" fillId="0" borderId="41" xfId="0" applyNumberFormat="1" applyFont="1" applyBorder="1" applyAlignment="1">
      <alignment horizontal="center" vertical="center" wrapText="1"/>
    </xf>
    <xf numFmtId="2" fontId="11" fillId="0" borderId="41" xfId="0" applyNumberFormat="1" applyFont="1" applyBorder="1" applyAlignment="1">
      <alignment horizontal="center" vertical="center" wrapText="1"/>
    </xf>
    <xf numFmtId="4" fontId="24" fillId="0" borderId="41" xfId="0" applyNumberFormat="1" applyFont="1" applyBorder="1" applyAlignment="1">
      <alignment vertical="center" wrapText="1"/>
    </xf>
    <xf numFmtId="4" fontId="36" fillId="0" borderId="41" xfId="0" applyNumberFormat="1" applyFont="1" applyBorder="1" applyAlignment="1">
      <alignment vertical="center" wrapText="1"/>
    </xf>
    <xf numFmtId="0" fontId="13" fillId="0" borderId="74" xfId="0" applyFont="1" applyBorder="1" applyAlignment="1">
      <alignment vertical="top" wrapText="1"/>
    </xf>
    <xf numFmtId="174" fontId="10" fillId="0" borderId="0" xfId="0" applyNumberFormat="1" applyFont="1" applyAlignment="1">
      <alignment wrapText="1"/>
    </xf>
    <xf numFmtId="0" fontId="13" fillId="0" borderId="40" xfId="0" applyFont="1" applyBorder="1" applyAlignment="1">
      <alignment vertical="center" wrapText="1"/>
    </xf>
    <xf numFmtId="22" fontId="10" fillId="0" borderId="41" xfId="0" applyNumberFormat="1" applyFont="1" applyBorder="1" applyAlignment="1">
      <alignment horizontal="center" vertical="center" wrapText="1"/>
    </xf>
    <xf numFmtId="0" fontId="13" fillId="0" borderId="0" xfId="0" applyFont="1" applyAlignment="1">
      <alignment vertical="top" wrapText="1"/>
    </xf>
    <xf numFmtId="4" fontId="13" fillId="0" borderId="72" xfId="0" applyNumberFormat="1" applyFont="1" applyBorder="1" applyAlignment="1">
      <alignment vertical="center" wrapText="1"/>
    </xf>
    <xf numFmtId="0" fontId="39" fillId="0" borderId="87" xfId="0" applyFont="1" applyBorder="1" applyAlignment="1">
      <alignment horizontal="center" vertical="center" wrapText="1"/>
    </xf>
    <xf numFmtId="0" fontId="39" fillId="0" borderId="0" xfId="0" applyFont="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6" fillId="0" borderId="90" xfId="0" applyFont="1" applyBorder="1" applyAlignment="1">
      <alignment horizontal="center" vertical="center"/>
    </xf>
    <xf numFmtId="2" fontId="26" fillId="0" borderId="90" xfId="0" applyNumberFormat="1" applyFont="1" applyBorder="1" applyAlignment="1">
      <alignment horizontal="center" vertical="center"/>
    </xf>
    <xf numFmtId="2" fontId="26" fillId="0" borderId="91" xfId="0" applyNumberFormat="1" applyFont="1" applyBorder="1" applyAlignment="1">
      <alignment horizontal="center" vertical="center"/>
    </xf>
    <xf numFmtId="0" fontId="26" fillId="0" borderId="0" xfId="0" applyFont="1" applyAlignment="1">
      <alignment vertical="center" wrapText="1"/>
    </xf>
    <xf numFmtId="0" fontId="26" fillId="0" borderId="80"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2" xfId="0" applyFont="1" applyBorder="1" applyAlignment="1">
      <alignment horizontal="center" vertical="center"/>
    </xf>
    <xf numFmtId="2" fontId="26" fillId="0" borderId="92" xfId="0" applyNumberFormat="1" applyFont="1" applyBorder="1" applyAlignment="1">
      <alignment horizontal="center" vertical="center"/>
    </xf>
    <xf numFmtId="2" fontId="26" fillId="0" borderId="93" xfId="0" applyNumberFormat="1" applyFont="1" applyBorder="1" applyAlignment="1">
      <alignment horizontal="center" vertical="center"/>
    </xf>
    <xf numFmtId="0" fontId="26" fillId="0" borderId="9" xfId="0" applyFont="1" applyBorder="1" applyAlignment="1">
      <alignment horizontal="center" vertical="center" wrapText="1"/>
    </xf>
    <xf numFmtId="0" fontId="26" fillId="0" borderId="9" xfId="0" applyFont="1" applyBorder="1" applyAlignment="1">
      <alignment horizontal="center" vertical="center"/>
    </xf>
    <xf numFmtId="2" fontId="26" fillId="0" borderId="9" xfId="0" applyNumberFormat="1" applyFont="1" applyBorder="1" applyAlignment="1">
      <alignment horizontal="center" vertical="center"/>
    </xf>
    <xf numFmtId="2" fontId="26" fillId="0" borderId="95" xfId="0" applyNumberFormat="1" applyFont="1" applyBorder="1" applyAlignment="1">
      <alignment horizontal="center" vertical="center"/>
    </xf>
    <xf numFmtId="0" fontId="26" fillId="0" borderId="9" xfId="0" applyFont="1" applyBorder="1" applyAlignment="1">
      <alignment vertical="center" wrapText="1"/>
    </xf>
    <xf numFmtId="0" fontId="26" fillId="0" borderId="95" xfId="0" applyFont="1" applyBorder="1" applyAlignment="1">
      <alignment vertical="center" wrapText="1"/>
    </xf>
    <xf numFmtId="0" fontId="26" fillId="0" borderId="60" xfId="0" applyFont="1" applyBorder="1" applyAlignment="1">
      <alignment horizontal="center" vertical="center" wrapText="1"/>
    </xf>
    <xf numFmtId="0" fontId="26" fillId="0" borderId="87" xfId="0" applyFont="1" applyBorder="1" applyAlignment="1">
      <alignment horizontal="center" vertical="center" wrapText="1"/>
    </xf>
    <xf numFmtId="0" fontId="26" fillId="0" borderId="87" xfId="0" applyFont="1" applyBorder="1" applyAlignment="1">
      <alignment horizontal="center" vertical="center"/>
    </xf>
    <xf numFmtId="2" fontId="26" fillId="0" borderId="87" xfId="0" applyNumberFormat="1" applyFont="1" applyBorder="1" applyAlignment="1">
      <alignment horizontal="center" vertical="center"/>
    </xf>
    <xf numFmtId="2" fontId="26" fillId="0" borderId="97" xfId="0" applyNumberFormat="1" applyFont="1" applyBorder="1" applyAlignment="1">
      <alignment horizontal="center" vertical="center"/>
    </xf>
    <xf numFmtId="0" fontId="26" fillId="0" borderId="0" xfId="0" applyFont="1" applyAlignment="1">
      <alignment horizontal="center" vertical="center" wrapText="1"/>
    </xf>
    <xf numFmtId="0" fontId="26" fillId="0" borderId="60" xfId="0" applyFont="1" applyBorder="1" applyAlignment="1">
      <alignment horizontal="center" vertical="center"/>
    </xf>
    <xf numFmtId="2" fontId="26" fillId="0" borderId="60" xfId="0" applyNumberFormat="1" applyFont="1" applyBorder="1" applyAlignment="1">
      <alignment horizontal="center" vertical="center"/>
    </xf>
    <xf numFmtId="2" fontId="26" fillId="0" borderId="98" xfId="0" applyNumberFormat="1" applyFont="1" applyBorder="1" applyAlignment="1">
      <alignment horizontal="center" vertical="center"/>
    </xf>
    <xf numFmtId="0" fontId="26" fillId="0" borderId="0" xfId="0" applyFont="1" applyAlignment="1">
      <alignment horizontal="center" vertical="center"/>
    </xf>
    <xf numFmtId="2" fontId="40" fillId="0" borderId="3" xfId="0" applyNumberFormat="1" applyFont="1" applyBorder="1" applyAlignment="1">
      <alignment horizontal="center" vertical="center"/>
    </xf>
    <xf numFmtId="0" fontId="26" fillId="0" borderId="101" xfId="0" applyFont="1" applyBorder="1"/>
    <xf numFmtId="0" fontId="26" fillId="0" borderId="18" xfId="0" applyFont="1" applyBorder="1"/>
    <xf numFmtId="0" fontId="26" fillId="0" borderId="103" xfId="0" applyFont="1" applyBorder="1"/>
    <xf numFmtId="0" fontId="26" fillId="0" borderId="22" xfId="0" applyFont="1" applyBorder="1"/>
    <xf numFmtId="4" fontId="42" fillId="0" borderId="103" xfId="0" applyNumberFormat="1" applyFont="1" applyBorder="1" applyAlignment="1">
      <alignment vertical="center"/>
    </xf>
    <xf numFmtId="4" fontId="42" fillId="0" borderId="22" xfId="0" applyNumberFormat="1" applyFont="1" applyBorder="1" applyAlignment="1">
      <alignment vertical="center"/>
    </xf>
    <xf numFmtId="4" fontId="43" fillId="0" borderId="105" xfId="0" applyNumberFormat="1" applyFont="1" applyBorder="1" applyAlignment="1">
      <alignment vertical="center" wrapText="1"/>
    </xf>
    <xf numFmtId="4" fontId="43" fillId="0" borderId="106" xfId="0" applyNumberFormat="1" applyFont="1" applyBorder="1" applyAlignment="1">
      <alignment vertical="center" wrapText="1"/>
    </xf>
    <xf numFmtId="0" fontId="21" fillId="12" borderId="54" xfId="0" applyFont="1" applyFill="1" applyBorder="1" applyAlignment="1">
      <alignment horizontal="center" vertical="center"/>
    </xf>
    <xf numFmtId="0" fontId="21" fillId="12" borderId="9" xfId="0" applyFont="1" applyFill="1" applyBorder="1" applyAlignment="1">
      <alignment horizontal="center" vertical="center"/>
    </xf>
    <xf numFmtId="4" fontId="21" fillId="12" borderId="9" xfId="0" applyNumberFormat="1" applyFont="1" applyFill="1" applyBorder="1" applyAlignment="1">
      <alignment horizontal="center" vertical="center"/>
    </xf>
    <xf numFmtId="0" fontId="19" fillId="13" borderId="6" xfId="0" applyFont="1" applyFill="1" applyBorder="1" applyAlignment="1">
      <alignment horizontal="center" vertical="center"/>
    </xf>
    <xf numFmtId="0" fontId="23" fillId="0" borderId="61" xfId="0" applyFont="1" applyBorder="1" applyAlignment="1">
      <alignment horizontal="center" vertical="center"/>
    </xf>
    <xf numFmtId="2" fontId="23" fillId="0" borderId="9" xfId="0" applyNumberFormat="1" applyFont="1" applyBorder="1" applyAlignment="1">
      <alignment horizontal="center" vertical="center"/>
    </xf>
    <xf numFmtId="167" fontId="23" fillId="0" borderId="9" xfId="0" applyNumberFormat="1" applyFont="1" applyBorder="1" applyAlignment="1">
      <alignment vertical="center"/>
    </xf>
    <xf numFmtId="167" fontId="23" fillId="0" borderId="9" xfId="0" applyNumberFormat="1" applyFont="1" applyBorder="1" applyAlignment="1">
      <alignment horizontal="right" vertical="center"/>
    </xf>
    <xf numFmtId="171" fontId="23" fillId="14" borderId="9" xfId="0" applyNumberFormat="1" applyFont="1" applyFill="1" applyBorder="1" applyAlignment="1">
      <alignment horizontal="center" vertical="center"/>
    </xf>
    <xf numFmtId="0" fontId="23" fillId="0" borderId="109" xfId="0" applyFont="1" applyBorder="1" applyAlignment="1">
      <alignment horizontal="left" vertical="center"/>
    </xf>
    <xf numFmtId="0" fontId="23" fillId="0" borderId="109" xfId="0" applyFont="1" applyBorder="1" applyAlignment="1">
      <alignment horizontal="left" vertical="center" wrapText="1"/>
    </xf>
    <xf numFmtId="0" fontId="23" fillId="0" borderId="0" xfId="0" applyFont="1" applyAlignment="1">
      <alignment vertical="center"/>
    </xf>
    <xf numFmtId="167" fontId="21" fillId="12" borderId="71" xfId="0" applyNumberFormat="1" applyFont="1" applyFill="1" applyBorder="1" applyAlignment="1">
      <alignment vertical="center"/>
    </xf>
    <xf numFmtId="0" fontId="19" fillId="0" borderId="0" xfId="0" applyFont="1" applyAlignment="1">
      <alignment horizontal="left" vertical="center"/>
    </xf>
    <xf numFmtId="0" fontId="23" fillId="0" borderId="0" xfId="0" applyFont="1" applyAlignment="1">
      <alignment horizontal="center" vertical="center"/>
    </xf>
    <xf numFmtId="4" fontId="23" fillId="0" borderId="0" xfId="0" applyNumberFormat="1" applyFont="1" applyAlignment="1">
      <alignment horizontal="center" vertical="center"/>
    </xf>
    <xf numFmtId="170" fontId="23" fillId="0" borderId="0" xfId="0" applyNumberFormat="1" applyFont="1" applyAlignment="1">
      <alignment vertical="center" wrapText="1"/>
    </xf>
    <xf numFmtId="167" fontId="23" fillId="0" borderId="0" xfId="0" applyNumberFormat="1" applyFont="1" applyAlignment="1">
      <alignment vertical="center" wrapText="1"/>
    </xf>
    <xf numFmtId="166" fontId="21" fillId="0" borderId="0" xfId="0" applyNumberFormat="1" applyFont="1" applyAlignment="1">
      <alignment vertical="center"/>
    </xf>
    <xf numFmtId="0" fontId="22" fillId="0" borderId="0" xfId="0" applyFont="1" applyAlignment="1">
      <alignment vertical="top" wrapText="1"/>
    </xf>
    <xf numFmtId="4" fontId="20" fillId="0" borderId="0" xfId="0" applyNumberFormat="1" applyFont="1"/>
    <xf numFmtId="0" fontId="39" fillId="0" borderId="113" xfId="0" applyFont="1" applyBorder="1" applyAlignment="1">
      <alignment horizontal="center" vertical="center" wrapText="1"/>
    </xf>
    <xf numFmtId="2" fontId="26" fillId="0" borderId="61" xfId="0" applyNumberFormat="1" applyFont="1" applyBorder="1" applyAlignment="1">
      <alignment horizontal="center" vertical="center"/>
    </xf>
    <xf numFmtId="0" fontId="26" fillId="0" borderId="61" xfId="0" applyFont="1" applyBorder="1" applyAlignment="1">
      <alignment horizontal="center" vertical="center"/>
    </xf>
    <xf numFmtId="0" fontId="26" fillId="0" borderId="61" xfId="0" applyFont="1" applyBorder="1" applyAlignment="1">
      <alignment horizontal="center" vertical="center" wrapText="1"/>
    </xf>
    <xf numFmtId="2" fontId="26" fillId="0" borderId="86" xfId="0" applyNumberFormat="1" applyFont="1" applyBorder="1" applyAlignment="1">
      <alignment horizontal="center" vertical="center"/>
    </xf>
    <xf numFmtId="0" fontId="26" fillId="0" borderId="86" xfId="0" applyFont="1" applyBorder="1" applyAlignment="1">
      <alignment horizontal="center" vertical="center"/>
    </xf>
    <xf numFmtId="0" fontId="26" fillId="0" borderId="113" xfId="0" applyFont="1" applyBorder="1" applyAlignment="1">
      <alignment vertical="center" wrapText="1"/>
    </xf>
    <xf numFmtId="2" fontId="26" fillId="0" borderId="0" xfId="0" applyNumberFormat="1" applyFont="1" applyAlignment="1">
      <alignment horizontal="center" vertical="center"/>
    </xf>
    <xf numFmtId="0" fontId="26" fillId="0" borderId="112" xfId="0" applyFont="1" applyBorder="1" applyAlignment="1">
      <alignment vertical="center" wrapText="1"/>
    </xf>
    <xf numFmtId="0" fontId="26" fillId="0" borderId="113" xfId="0" applyFont="1" applyBorder="1" applyAlignment="1">
      <alignment horizontal="center" vertical="center" wrapText="1"/>
    </xf>
    <xf numFmtId="0" fontId="26" fillId="0" borderId="96" xfId="0" applyFont="1" applyBorder="1" applyAlignment="1">
      <alignment horizontal="center" vertical="center" wrapText="1"/>
    </xf>
    <xf numFmtId="2" fontId="26" fillId="0" borderId="115" xfId="0" applyNumberFormat="1" applyFont="1" applyBorder="1" applyAlignment="1">
      <alignment horizontal="center" vertical="center"/>
    </xf>
    <xf numFmtId="0" fontId="26" fillId="0" borderId="35" xfId="0" applyFont="1" applyBorder="1" applyAlignment="1">
      <alignment vertical="center" wrapText="1"/>
    </xf>
    <xf numFmtId="0" fontId="26" fillId="0" borderId="86" xfId="0" applyFont="1" applyBorder="1" applyAlignment="1">
      <alignment horizontal="center" vertical="center" wrapText="1"/>
    </xf>
    <xf numFmtId="0" fontId="26" fillId="0" borderId="80" xfId="0" applyFont="1" applyBorder="1" applyAlignment="1">
      <alignment horizontal="center" vertical="center"/>
    </xf>
    <xf numFmtId="2" fontId="26" fillId="0" borderId="80" xfId="0" applyNumberFormat="1" applyFont="1" applyBorder="1" applyAlignment="1">
      <alignment horizontal="center" vertical="center"/>
    </xf>
    <xf numFmtId="2" fontId="26" fillId="0" borderId="84" xfId="0" applyNumberFormat="1" applyFont="1" applyBorder="1" applyAlignment="1">
      <alignment horizontal="center" vertical="center"/>
    </xf>
    <xf numFmtId="0" fontId="19" fillId="0" borderId="0" xfId="0" applyFont="1" applyAlignment="1">
      <alignment vertical="top" wrapText="1"/>
    </xf>
    <xf numFmtId="0" fontId="30" fillId="0" borderId="8" xfId="0" applyFont="1" applyBorder="1" applyAlignment="1">
      <alignment horizontal="center" vertical="center"/>
    </xf>
    <xf numFmtId="175" fontId="8" fillId="0" borderId="0" xfId="0" applyNumberFormat="1" applyFont="1"/>
    <xf numFmtId="0" fontId="24" fillId="0" borderId="8" xfId="0" applyFont="1" applyBorder="1" applyAlignment="1">
      <alignment horizontal="center" vertical="center"/>
    </xf>
    <xf numFmtId="0" fontId="13" fillId="0" borderId="9" xfId="0" applyFont="1" applyBorder="1" applyAlignment="1">
      <alignment horizontal="center" vertical="center"/>
    </xf>
    <xf numFmtId="0" fontId="16" fillId="0" borderId="9" xfId="0" applyFont="1" applyBorder="1" applyAlignment="1">
      <alignment horizontal="center" vertical="center"/>
    </xf>
    <xf numFmtId="0" fontId="11" fillId="0" borderId="32" xfId="0" applyFont="1" applyBorder="1" applyAlignment="1">
      <alignment horizontal="left" vertical="center" wrapText="1"/>
    </xf>
    <xf numFmtId="15" fontId="10" fillId="0" borderId="0" xfId="0" applyNumberFormat="1" applyFont="1" applyAlignment="1">
      <alignment horizontal="left" vertical="center" wrapText="1"/>
    </xf>
    <xf numFmtId="0" fontId="51" fillId="0" borderId="22" xfId="0" applyFont="1" applyBorder="1" applyAlignment="1">
      <alignment vertical="center" wrapText="1"/>
    </xf>
    <xf numFmtId="0" fontId="10" fillId="0" borderId="22" xfId="0" applyFont="1" applyBorder="1" applyAlignment="1">
      <alignment horizontal="left" vertical="center" wrapText="1"/>
    </xf>
    <xf numFmtId="0" fontId="10" fillId="0" borderId="22" xfId="0" applyFont="1" applyBorder="1" applyAlignment="1">
      <alignment vertical="center" wrapText="1"/>
    </xf>
    <xf numFmtId="1" fontId="10" fillId="0" borderId="0" xfId="0" applyNumberFormat="1" applyFont="1" applyAlignment="1">
      <alignment horizontal="left" vertical="center" wrapText="1"/>
    </xf>
    <xf numFmtId="1" fontId="11" fillId="0" borderId="0" xfId="0" applyNumberFormat="1" applyFont="1" applyAlignment="1">
      <alignment horizontal="left" vertical="center" wrapText="1"/>
    </xf>
    <xf numFmtId="2" fontId="10" fillId="0" borderId="22" xfId="0" applyNumberFormat="1" applyFont="1" applyBorder="1" applyAlignment="1">
      <alignment horizontal="left" vertical="center" wrapText="1"/>
    </xf>
    <xf numFmtId="0" fontId="11" fillId="0" borderId="118" xfId="0" applyFont="1" applyBorder="1" applyAlignment="1">
      <alignment horizontal="left" vertical="center" wrapText="1"/>
    </xf>
    <xf numFmtId="2" fontId="10" fillId="0" borderId="53" xfId="0" applyNumberFormat="1" applyFont="1" applyBorder="1" applyAlignment="1">
      <alignment horizontal="left" vertical="center" wrapText="1"/>
    </xf>
    <xf numFmtId="15" fontId="10" fillId="0" borderId="53" xfId="0" applyNumberFormat="1" applyFont="1" applyBorder="1" applyAlignment="1">
      <alignment horizontal="left" vertical="center" wrapText="1"/>
    </xf>
    <xf numFmtId="0" fontId="10" fillId="0" borderId="106" xfId="0" applyFont="1" applyBorder="1" applyAlignment="1">
      <alignment vertical="center" wrapText="1"/>
    </xf>
    <xf numFmtId="0" fontId="15" fillId="15" borderId="121" xfId="0" applyFont="1" applyFill="1" applyBorder="1" applyAlignment="1">
      <alignment horizontal="center" vertical="center" wrapText="1"/>
    </xf>
    <xf numFmtId="167" fontId="15" fillId="15" borderId="121" xfId="0" applyNumberFormat="1" applyFont="1" applyFill="1" applyBorder="1" applyAlignment="1">
      <alignment horizontal="center" vertical="center" wrapText="1"/>
    </xf>
    <xf numFmtId="0" fontId="16" fillId="0" borderId="5" xfId="0" applyFont="1" applyBorder="1" applyAlignment="1">
      <alignment vertical="center" wrapText="1"/>
    </xf>
    <xf numFmtId="0" fontId="13" fillId="7" borderId="6" xfId="0" applyFont="1" applyFill="1" applyBorder="1" applyAlignment="1">
      <alignment horizontal="left" vertical="top" wrapText="1"/>
    </xf>
    <xf numFmtId="0" fontId="13" fillId="0" borderId="6" xfId="0" applyFont="1" applyBorder="1" applyAlignment="1">
      <alignment horizontal="center" vertical="center" wrapText="1"/>
    </xf>
    <xf numFmtId="177" fontId="13" fillId="0" borderId="6" xfId="0" applyNumberFormat="1" applyFont="1" applyBorder="1" applyAlignment="1">
      <alignment horizontal="center" vertical="center" wrapText="1"/>
    </xf>
    <xf numFmtId="1" fontId="13" fillId="7" borderId="6" xfId="0" applyNumberFormat="1" applyFont="1" applyFill="1" applyBorder="1" applyAlignment="1">
      <alignment horizontal="center" vertical="center" wrapText="1"/>
    </xf>
    <xf numFmtId="167" fontId="13" fillId="7" borderId="6" xfId="0" applyNumberFormat="1" applyFont="1" applyFill="1" applyBorder="1" applyAlignment="1">
      <alignment horizontal="right" vertical="center" wrapText="1"/>
    </xf>
    <xf numFmtId="167" fontId="13" fillId="7" borderId="7" xfId="0" applyNumberFormat="1" applyFont="1" applyFill="1" applyBorder="1" applyAlignment="1">
      <alignment horizontal="right" vertical="center" wrapText="1"/>
    </xf>
    <xf numFmtId="0" fontId="16" fillId="0" borderId="8" xfId="0" applyFont="1" applyBorder="1" applyAlignment="1">
      <alignment vertical="center" wrapText="1"/>
    </xf>
    <xf numFmtId="0" fontId="13" fillId="0" borderId="9" xfId="0" applyFont="1" applyBorder="1" applyAlignment="1">
      <alignment horizontal="left" vertical="top" wrapText="1"/>
    </xf>
    <xf numFmtId="0" fontId="13" fillId="0" borderId="9" xfId="0" applyFont="1" applyBorder="1" applyAlignment="1">
      <alignment horizontal="center" vertical="center" wrapText="1"/>
    </xf>
    <xf numFmtId="177" fontId="13" fillId="0" borderId="9" xfId="0" applyNumberFormat="1" applyFont="1" applyBorder="1" applyAlignment="1">
      <alignment horizontal="center" vertical="center" wrapText="1"/>
    </xf>
    <xf numFmtId="167" fontId="13" fillId="0" borderId="9" xfId="0" applyNumberFormat="1" applyFont="1" applyBorder="1" applyAlignment="1">
      <alignment horizontal="right" vertical="center" wrapText="1"/>
    </xf>
    <xf numFmtId="167" fontId="13" fillId="0" borderId="10" xfId="0" applyNumberFormat="1" applyFont="1" applyBorder="1" applyAlignment="1">
      <alignment horizontal="right" vertical="center" wrapText="1"/>
    </xf>
    <xf numFmtId="0" fontId="13" fillId="0" borderId="9" xfId="0" applyFont="1" applyBorder="1" applyAlignment="1">
      <alignment horizontal="left" vertical="center" wrapText="1"/>
    </xf>
    <xf numFmtId="1" fontId="13" fillId="0" borderId="9" xfId="0" applyNumberFormat="1" applyFont="1" applyBorder="1" applyAlignment="1">
      <alignment horizontal="center" vertical="center" wrapText="1"/>
    </xf>
    <xf numFmtId="0" fontId="10" fillId="0" borderId="32" xfId="0" applyFont="1" applyBorder="1" applyAlignment="1">
      <alignment wrapText="1"/>
    </xf>
    <xf numFmtId="0" fontId="10" fillId="0" borderId="0" xfId="0" applyFont="1" applyAlignment="1">
      <alignment horizontal="left" vertical="top" wrapText="1"/>
    </xf>
    <xf numFmtId="0" fontId="10" fillId="0" borderId="0" xfId="0" applyFont="1" applyAlignment="1">
      <alignment horizontal="center" wrapText="1"/>
    </xf>
    <xf numFmtId="167" fontId="10" fillId="0" borderId="0" xfId="0" applyNumberFormat="1" applyFont="1" applyAlignment="1">
      <alignment horizontal="right" wrapText="1"/>
    </xf>
    <xf numFmtId="0" fontId="10" fillId="0" borderId="22" xfId="0" applyFont="1" applyBorder="1" applyAlignment="1">
      <alignment wrapText="1"/>
    </xf>
    <xf numFmtId="0" fontId="15" fillId="15" borderId="122" xfId="0" applyFont="1" applyFill="1" applyBorder="1" applyAlignment="1">
      <alignment vertical="center" wrapText="1"/>
    </xf>
    <xf numFmtId="0" fontId="52" fillId="15" borderId="123" xfId="0" applyFont="1" applyFill="1" applyBorder="1" applyAlignment="1">
      <alignment vertical="center" wrapText="1"/>
    </xf>
    <xf numFmtId="178" fontId="15" fillId="15" borderId="111" xfId="0" applyNumberFormat="1" applyFont="1" applyFill="1" applyBorder="1" applyAlignment="1">
      <alignment vertical="center" wrapText="1"/>
    </xf>
    <xf numFmtId="179" fontId="15" fillId="15" borderId="121" xfId="0" applyNumberFormat="1" applyFont="1" applyFill="1" applyBorder="1" applyAlignment="1">
      <alignment horizontal="center" vertical="center" wrapText="1"/>
    </xf>
    <xf numFmtId="0" fontId="13" fillId="0" borderId="6" xfId="0" applyFont="1" applyBorder="1" applyAlignment="1">
      <alignment horizontal="left" vertical="center" wrapText="1"/>
    </xf>
    <xf numFmtId="1" fontId="13" fillId="0" borderId="6" xfId="0" applyNumberFormat="1" applyFont="1" applyBorder="1" applyAlignment="1">
      <alignment horizontal="center" vertical="center" wrapText="1"/>
    </xf>
    <xf numFmtId="167" fontId="13" fillId="0" borderId="6" xfId="0" applyNumberFormat="1" applyFont="1" applyBorder="1" applyAlignment="1">
      <alignment horizontal="right" vertical="center" wrapText="1"/>
    </xf>
    <xf numFmtId="180" fontId="13" fillId="7" borderId="7" xfId="0" applyNumberFormat="1" applyFont="1" applyFill="1" applyBorder="1" applyAlignment="1">
      <alignment vertical="center" wrapText="1"/>
    </xf>
    <xf numFmtId="0" fontId="16" fillId="0" borderId="8" xfId="0" applyFont="1" applyBorder="1" applyAlignment="1">
      <alignment horizontal="left" vertical="center" wrapText="1"/>
    </xf>
    <xf numFmtId="181" fontId="13" fillId="0" borderId="9" xfId="0" applyNumberFormat="1" applyFont="1" applyBorder="1" applyAlignment="1">
      <alignment horizontal="center" vertical="center" wrapText="1"/>
    </xf>
    <xf numFmtId="181" fontId="13" fillId="0" borderId="10" xfId="0" applyNumberFormat="1" applyFont="1" applyBorder="1" applyAlignment="1">
      <alignment horizontal="center" vertical="center" wrapText="1"/>
    </xf>
    <xf numFmtId="0" fontId="24" fillId="0" borderId="9" xfId="0" applyFont="1" applyBorder="1" applyAlignment="1">
      <alignment horizontal="left" vertical="top" wrapText="1"/>
    </xf>
    <xf numFmtId="180" fontId="13" fillId="7" borderId="10" xfId="0" applyNumberFormat="1" applyFont="1" applyFill="1" applyBorder="1" applyAlignment="1">
      <alignment vertical="center" wrapText="1"/>
    </xf>
    <xf numFmtId="0" fontId="16" fillId="0" borderId="125" xfId="0" applyFont="1" applyBorder="1" applyAlignment="1">
      <alignment vertical="center" wrapText="1"/>
    </xf>
    <xf numFmtId="0" fontId="13" fillId="0" borderId="126" xfId="0" applyFont="1" applyBorder="1" applyAlignment="1">
      <alignment horizontal="left" vertical="center" wrapText="1"/>
    </xf>
    <xf numFmtId="0" fontId="13" fillId="0" borderId="126" xfId="0" applyFont="1" applyBorder="1" applyAlignment="1">
      <alignment horizontal="center" vertical="center" wrapText="1"/>
    </xf>
    <xf numFmtId="1" fontId="13" fillId="0" borderId="126" xfId="0" applyNumberFormat="1" applyFont="1" applyBorder="1" applyAlignment="1">
      <alignment horizontal="center" vertical="center" wrapText="1"/>
    </xf>
    <xf numFmtId="177" fontId="13" fillId="0" borderId="126" xfId="0" applyNumberFormat="1" applyFont="1" applyBorder="1" applyAlignment="1">
      <alignment horizontal="center" vertical="center" wrapText="1"/>
    </xf>
    <xf numFmtId="167" fontId="13" fillId="0" borderId="126" xfId="0" applyNumberFormat="1" applyFont="1" applyBorder="1" applyAlignment="1">
      <alignment horizontal="right" vertical="center" wrapText="1"/>
    </xf>
    <xf numFmtId="180" fontId="13" fillId="7" borderId="127" xfId="0" applyNumberFormat="1" applyFont="1" applyFill="1" applyBorder="1" applyAlignment="1">
      <alignment vertical="center" wrapText="1"/>
    </xf>
    <xf numFmtId="178" fontId="15" fillId="15" borderId="111" xfId="0" applyNumberFormat="1" applyFont="1" applyFill="1" applyBorder="1" applyAlignment="1">
      <alignment horizontal="right" vertical="center" wrapText="1"/>
    </xf>
    <xf numFmtId="178" fontId="34" fillId="13" borderId="111" xfId="0" applyNumberFormat="1" applyFont="1" applyFill="1" applyBorder="1" applyAlignment="1">
      <alignment vertical="center" wrapText="1"/>
    </xf>
    <xf numFmtId="167" fontId="53" fillId="13" borderId="122" xfId="0" applyNumberFormat="1" applyFont="1" applyFill="1" applyBorder="1" applyAlignment="1">
      <alignment horizontal="center" vertical="center" wrapText="1"/>
    </xf>
    <xf numFmtId="10" fontId="34" fillId="13" borderId="111" xfId="0" applyNumberFormat="1" applyFont="1" applyFill="1" applyBorder="1" applyAlignment="1">
      <alignment horizontal="center" vertical="center" wrapText="1"/>
    </xf>
    <xf numFmtId="0" fontId="30" fillId="0" borderId="9" xfId="0" applyFont="1" applyBorder="1" applyAlignment="1">
      <alignment horizontal="left" vertical="center"/>
    </xf>
    <xf numFmtId="0" fontId="30" fillId="0" borderId="10" xfId="0" applyFont="1" applyBorder="1" applyAlignment="1">
      <alignment horizontal="left" vertical="center"/>
    </xf>
    <xf numFmtId="4" fontId="24" fillId="0" borderId="9" xfId="0" applyNumberFormat="1" applyFont="1" applyBorder="1" applyAlignment="1">
      <alignment horizontal="left" vertical="center" wrapText="1"/>
    </xf>
    <xf numFmtId="4" fontId="24" fillId="0" borderId="9" xfId="0" applyNumberFormat="1" applyFont="1" applyBorder="1" applyAlignment="1">
      <alignment horizontal="center" vertical="center"/>
    </xf>
    <xf numFmtId="3" fontId="24" fillId="0" borderId="9" xfId="0" applyNumberFormat="1" applyFont="1" applyBorder="1" applyAlignment="1">
      <alignment horizontal="center" vertical="center"/>
    </xf>
    <xf numFmtId="9" fontId="24" fillId="0" borderId="9" xfId="0" applyNumberFormat="1" applyFont="1" applyBorder="1" applyAlignment="1">
      <alignment horizontal="center" vertical="center"/>
    </xf>
    <xf numFmtId="3" fontId="24" fillId="0" borderId="9" xfId="0" applyNumberFormat="1" applyFont="1" applyBorder="1" applyAlignment="1">
      <alignment horizontal="right" vertical="center"/>
    </xf>
    <xf numFmtId="3" fontId="24" fillId="0" borderId="10" xfId="0" applyNumberFormat="1" applyFont="1" applyBorder="1" applyAlignment="1">
      <alignment horizontal="right" vertical="center"/>
    </xf>
    <xf numFmtId="3" fontId="30" fillId="13" borderId="10" xfId="0" applyNumberFormat="1" applyFont="1" applyFill="1" applyBorder="1" applyAlignment="1">
      <alignment horizontal="right" vertical="center"/>
    </xf>
    <xf numFmtId="0" fontId="24" fillId="0" borderId="9" xfId="0" applyFont="1" applyBorder="1" applyAlignment="1">
      <alignment vertical="center"/>
    </xf>
    <xf numFmtId="3" fontId="30" fillId="15" borderId="10" xfId="0" applyNumberFormat="1" applyFont="1" applyFill="1" applyBorder="1" applyAlignment="1">
      <alignment horizontal="right" vertical="center"/>
    </xf>
    <xf numFmtId="4" fontId="30" fillId="7" borderId="134" xfId="0" applyNumberFormat="1" applyFont="1" applyFill="1" applyBorder="1" applyAlignment="1">
      <alignment vertical="center"/>
    </xf>
    <xf numFmtId="4" fontId="30" fillId="7" borderId="135" xfId="0" applyNumberFormat="1" applyFont="1" applyFill="1" applyBorder="1" applyAlignment="1">
      <alignment vertical="center"/>
    </xf>
    <xf numFmtId="4" fontId="30" fillId="7" borderId="136" xfId="0" applyNumberFormat="1" applyFont="1" applyFill="1" applyBorder="1" applyAlignment="1">
      <alignment vertical="center"/>
    </xf>
    <xf numFmtId="0" fontId="24" fillId="0" borderId="9" xfId="0" applyFont="1" applyBorder="1" applyAlignment="1">
      <alignment vertical="center" wrapText="1"/>
    </xf>
    <xf numFmtId="4" fontId="24" fillId="0" borderId="9" xfId="0" applyNumberFormat="1" applyFont="1" applyBorder="1" applyAlignment="1">
      <alignment horizontal="center" vertical="center" wrapText="1"/>
    </xf>
    <xf numFmtId="3" fontId="24" fillId="0" borderId="10" xfId="0" applyNumberFormat="1" applyFont="1" applyBorder="1" applyAlignment="1">
      <alignment horizontal="right" vertical="center" wrapText="1"/>
    </xf>
    <xf numFmtId="0" fontId="30" fillId="0" borderId="66" xfId="0" applyFont="1" applyBorder="1" applyAlignment="1">
      <alignment horizontal="right" vertical="center"/>
    </xf>
    <xf numFmtId="0" fontId="30" fillId="0" borderId="37" xfId="0" applyFont="1" applyBorder="1" applyAlignment="1">
      <alignment horizontal="right" vertical="center"/>
    </xf>
    <xf numFmtId="0" fontId="30" fillId="0" borderId="67" xfId="0" applyFont="1" applyBorder="1" applyAlignment="1">
      <alignment horizontal="right" vertical="center"/>
    </xf>
    <xf numFmtId="3" fontId="30" fillId="13" borderId="13" xfId="0" applyNumberFormat="1" applyFont="1" applyFill="1" applyBorder="1" applyAlignment="1">
      <alignment vertical="center"/>
    </xf>
    <xf numFmtId="0" fontId="30" fillId="0" borderId="0" xfId="0" applyFont="1" applyAlignment="1">
      <alignment horizontal="right" vertical="center"/>
    </xf>
    <xf numFmtId="3" fontId="30" fillId="0" borderId="0" xfId="0" applyNumberFormat="1" applyFont="1" applyAlignment="1">
      <alignment vertical="center"/>
    </xf>
    <xf numFmtId="0" fontId="24" fillId="0" borderId="0" xfId="0" applyFont="1"/>
    <xf numFmtId="0" fontId="55" fillId="0" borderId="0" xfId="0" applyFont="1" applyAlignment="1">
      <alignment horizontal="center"/>
    </xf>
    <xf numFmtId="0" fontId="56" fillId="0" borderId="0" xfId="0" applyFont="1" applyAlignment="1">
      <alignment horizontal="center"/>
    </xf>
    <xf numFmtId="0" fontId="57" fillId="0" borderId="34" xfId="0" applyFont="1" applyBorder="1" applyAlignment="1">
      <alignment horizontal="center"/>
    </xf>
    <xf numFmtId="0" fontId="58" fillId="0" borderId="9" xfId="0" applyFont="1" applyBorder="1"/>
    <xf numFmtId="0" fontId="57" fillId="0" borderId="36" xfId="0" applyFont="1" applyBorder="1"/>
    <xf numFmtId="0" fontId="59" fillId="0" borderId="37" xfId="0" applyFont="1" applyBorder="1" applyAlignment="1">
      <alignment horizontal="center"/>
    </xf>
    <xf numFmtId="0" fontId="60" fillId="0" borderId="37" xfId="0" applyFont="1" applyBorder="1"/>
    <xf numFmtId="0" fontId="60" fillId="0" borderId="35" xfId="0" applyFont="1" applyBorder="1"/>
    <xf numFmtId="0" fontId="61" fillId="0" borderId="9" xfId="0" applyFont="1" applyBorder="1" applyAlignment="1">
      <alignment horizontal="right"/>
    </xf>
    <xf numFmtId="0" fontId="60" fillId="0" borderId="9" xfId="0" applyFont="1" applyBorder="1" applyAlignment="1">
      <alignment horizontal="left"/>
    </xf>
    <xf numFmtId="0" fontId="58" fillId="0" borderId="9" xfId="0" applyFont="1" applyBorder="1" applyAlignment="1">
      <alignment horizontal="left"/>
    </xf>
    <xf numFmtId="10" fontId="58" fillId="0" borderId="9" xfId="0" applyNumberFormat="1" applyFont="1" applyBorder="1"/>
    <xf numFmtId="10" fontId="58" fillId="0" borderId="37" xfId="0" applyNumberFormat="1" applyFont="1" applyBorder="1"/>
    <xf numFmtId="0" fontId="58" fillId="0" borderId="37" xfId="0" applyFont="1" applyBorder="1" applyAlignment="1">
      <alignment horizontal="left"/>
    </xf>
    <xf numFmtId="0" fontId="57" fillId="0" borderId="37" xfId="0" applyFont="1" applyBorder="1"/>
    <xf numFmtId="10" fontId="58" fillId="0" borderId="35" xfId="0" applyNumberFormat="1" applyFont="1" applyBorder="1"/>
    <xf numFmtId="10" fontId="60" fillId="0" borderId="9" xfId="0" applyNumberFormat="1" applyFont="1" applyBorder="1"/>
    <xf numFmtId="0" fontId="58" fillId="0" borderId="36" xfId="0" applyFont="1" applyBorder="1"/>
    <xf numFmtId="0" fontId="58" fillId="0" borderId="37" xfId="0" applyFont="1" applyBorder="1"/>
    <xf numFmtId="0" fontId="60" fillId="0" borderId="36" xfId="0" applyFont="1" applyBorder="1"/>
    <xf numFmtId="0" fontId="63" fillId="0" borderId="37" xfId="0" applyFont="1" applyBorder="1"/>
    <xf numFmtId="9" fontId="55" fillId="0" borderId="35" xfId="0" applyNumberFormat="1" applyFont="1" applyBorder="1"/>
    <xf numFmtId="0" fontId="8" fillId="0" borderId="34" xfId="0" applyFont="1" applyBorder="1" applyAlignment="1">
      <alignment vertical="center"/>
    </xf>
    <xf numFmtId="0" fontId="65" fillId="0" borderId="9" xfId="0" applyFont="1" applyBorder="1" applyAlignment="1">
      <alignment horizontal="center"/>
    </xf>
    <xf numFmtId="0" fontId="65" fillId="0" borderId="9" xfId="0" applyFont="1" applyBorder="1" applyAlignment="1">
      <alignment horizontal="center" vertical="center"/>
    </xf>
    <xf numFmtId="0" fontId="35" fillId="0" borderId="9" xfId="0" applyFont="1" applyBorder="1" applyAlignment="1">
      <alignment horizontal="left" vertical="center"/>
    </xf>
    <xf numFmtId="0" fontId="35" fillId="0" borderId="9" xfId="0" applyFont="1" applyBorder="1" applyAlignment="1">
      <alignment horizontal="center" vertical="center"/>
    </xf>
    <xf numFmtId="182" fontId="35" fillId="0" borderId="9" xfId="0" applyNumberFormat="1" applyFont="1" applyBorder="1" applyAlignment="1">
      <alignment horizontal="right" vertical="center"/>
    </xf>
    <xf numFmtId="0" fontId="35" fillId="0" borderId="9" xfId="0" applyFont="1" applyBorder="1" applyAlignment="1">
      <alignment horizontal="left" vertical="center" wrapText="1"/>
    </xf>
    <xf numFmtId="182" fontId="35" fillId="0" borderId="9" xfId="0" applyNumberFormat="1" applyFont="1" applyBorder="1" applyAlignment="1">
      <alignment vertical="center"/>
    </xf>
    <xf numFmtId="182" fontId="11" fillId="0" borderId="9" xfId="0" applyNumberFormat="1" applyFont="1" applyBorder="1"/>
    <xf numFmtId="0" fontId="35" fillId="0" borderId="9" xfId="0" applyFont="1" applyBorder="1"/>
    <xf numFmtId="0" fontId="11" fillId="0" borderId="9" xfId="0" applyFont="1" applyBorder="1" applyAlignment="1">
      <alignment horizontal="center" vertical="center"/>
    </xf>
    <xf numFmtId="0" fontId="11" fillId="0" borderId="9" xfId="0" applyFont="1" applyBorder="1" applyAlignment="1">
      <alignment horizontal="center"/>
    </xf>
    <xf numFmtId="4" fontId="29" fillId="0" borderId="9" xfId="0" applyNumberFormat="1" applyFont="1" applyBorder="1" applyAlignment="1">
      <alignment horizontal="center" vertical="center" wrapText="1"/>
    </xf>
    <xf numFmtId="4" fontId="12" fillId="0" borderId="9" xfId="0" applyNumberFormat="1" applyFont="1" applyBorder="1" applyAlignment="1">
      <alignment horizontal="center" vertical="center" wrapText="1"/>
    </xf>
    <xf numFmtId="0" fontId="65" fillId="0" borderId="9" xfId="0" applyFont="1" applyBorder="1" applyAlignment="1">
      <alignment horizontal="left"/>
    </xf>
    <xf numFmtId="182" fontId="8" fillId="0" borderId="9" xfId="0" applyNumberFormat="1" applyFont="1" applyBorder="1"/>
    <xf numFmtId="0" fontId="16" fillId="0" borderId="9" xfId="0" applyFont="1" applyBorder="1" applyAlignment="1">
      <alignment horizontal="center" vertical="center" wrapText="1"/>
    </xf>
    <xf numFmtId="0" fontId="11" fillId="0" borderId="9" xfId="0" applyFont="1" applyBorder="1" applyAlignment="1">
      <alignment horizontal="center" vertical="center" wrapText="1"/>
    </xf>
    <xf numFmtId="0" fontId="12" fillId="0" borderId="0" xfId="0" applyFont="1" applyAlignment="1">
      <alignment horizontal="center" vertical="center"/>
    </xf>
    <xf numFmtId="0" fontId="12" fillId="0" borderId="8" xfId="0" applyFont="1" applyBorder="1" applyAlignment="1">
      <alignment horizontal="center"/>
    </xf>
    <xf numFmtId="0" fontId="12" fillId="0" borderId="10" xfId="0" applyFont="1" applyBorder="1" applyAlignment="1">
      <alignment horizontal="center"/>
    </xf>
    <xf numFmtId="0" fontId="8" fillId="0" borderId="8" xfId="0" applyFont="1" applyBorder="1" applyAlignment="1">
      <alignment horizontal="center"/>
    </xf>
    <xf numFmtId="166" fontId="12" fillId="0" borderId="13" xfId="0" applyNumberFormat="1" applyFont="1" applyBorder="1"/>
    <xf numFmtId="166" fontId="8" fillId="0" borderId="10" xfId="0" applyNumberFormat="1" applyFont="1" applyBorder="1" applyAlignment="1">
      <alignment horizontal="center"/>
    </xf>
    <xf numFmtId="166" fontId="8" fillId="0" borderId="0" xfId="0" applyNumberFormat="1" applyFont="1"/>
    <xf numFmtId="0" fontId="12" fillId="0" borderId="0" xfId="0" applyFont="1"/>
    <xf numFmtId="167" fontId="8" fillId="0" borderId="9" xfId="0" applyNumberFormat="1" applyFont="1" applyBorder="1" applyAlignment="1">
      <alignment horizontal="center"/>
    </xf>
    <xf numFmtId="0" fontId="8" fillId="0" borderId="11" xfId="0" applyFont="1" applyBorder="1"/>
    <xf numFmtId="0" fontId="8" fillId="0" borderId="12" xfId="0" applyFont="1" applyBorder="1"/>
    <xf numFmtId="167" fontId="12" fillId="0" borderId="12" xfId="0" applyNumberFormat="1" applyFont="1" applyBorder="1"/>
    <xf numFmtId="0" fontId="32" fillId="0" borderId="0" xfId="0" applyFont="1" applyAlignment="1">
      <alignment wrapText="1"/>
    </xf>
    <xf numFmtId="0" fontId="31" fillId="0" borderId="1" xfId="0" applyFont="1" applyBorder="1" applyAlignment="1">
      <alignment horizontal="center" vertical="center" wrapText="1"/>
    </xf>
    <xf numFmtId="0" fontId="31" fillId="0" borderId="0" xfId="0" applyFont="1" applyAlignment="1">
      <alignment horizontal="left" vertical="top" wrapText="1"/>
    </xf>
    <xf numFmtId="0" fontId="31" fillId="0" borderId="0" xfId="0" applyFont="1" applyAlignment="1">
      <alignment wrapText="1"/>
    </xf>
    <xf numFmtId="0" fontId="24" fillId="0" borderId="0" xfId="0" applyFont="1" applyAlignment="1">
      <alignment wrapText="1"/>
    </xf>
    <xf numFmtId="0" fontId="31" fillId="0" borderId="111" xfId="0" applyFont="1" applyBorder="1" applyAlignment="1">
      <alignment horizontal="center" vertical="center" wrapText="1"/>
    </xf>
    <xf numFmtId="0" fontId="31" fillId="13" borderId="111" xfId="0" applyFont="1" applyFill="1" applyBorder="1" applyAlignment="1">
      <alignment horizontal="center" vertical="center" wrapText="1"/>
    </xf>
    <xf numFmtId="0" fontId="30" fillId="0" borderId="0" xfId="0" applyFont="1" applyAlignment="1">
      <alignment wrapText="1"/>
    </xf>
    <xf numFmtId="0" fontId="31" fillId="0" borderId="59" xfId="0" applyFont="1" applyBorder="1" applyAlignment="1">
      <alignment horizontal="center" vertical="center" wrapText="1"/>
    </xf>
    <xf numFmtId="0" fontId="31" fillId="0" borderId="49" xfId="0" applyFont="1" applyBorder="1" applyAlignment="1">
      <alignment vertical="center" wrapText="1"/>
    </xf>
    <xf numFmtId="182" fontId="32" fillId="0" borderId="6" xfId="0" applyNumberFormat="1" applyFont="1" applyBorder="1" applyAlignment="1">
      <alignment horizontal="center" wrapText="1"/>
    </xf>
    <xf numFmtId="2" fontId="32" fillId="0" borderId="6" xfId="0" applyNumberFormat="1" applyFont="1" applyBorder="1" applyAlignment="1">
      <alignment horizontal="center" wrapText="1"/>
    </xf>
    <xf numFmtId="166" fontId="32" fillId="0" borderId="6" xfId="0" applyNumberFormat="1" applyFont="1" applyBorder="1" applyAlignment="1">
      <alignment wrapText="1"/>
    </xf>
    <xf numFmtId="0" fontId="32" fillId="0" borderId="7" xfId="0" applyFont="1" applyBorder="1" applyAlignment="1">
      <alignment wrapText="1"/>
    </xf>
    <xf numFmtId="2" fontId="32" fillId="0" borderId="9" xfId="0" applyNumberFormat="1" applyFont="1" applyBorder="1" applyAlignment="1">
      <alignment horizontal="center" wrapText="1"/>
    </xf>
    <xf numFmtId="182" fontId="32" fillId="0" borderId="9" xfId="0" applyNumberFormat="1" applyFont="1" applyBorder="1" applyAlignment="1">
      <alignment wrapText="1"/>
    </xf>
    <xf numFmtId="0" fontId="32" fillId="0" borderId="10" xfId="0" applyFont="1" applyBorder="1" applyAlignment="1">
      <alignment wrapText="1"/>
    </xf>
    <xf numFmtId="2" fontId="32" fillId="0" borderId="12" xfId="0" applyNumberFormat="1" applyFont="1" applyBorder="1" applyAlignment="1">
      <alignment horizontal="center" vertical="center" wrapText="1"/>
    </xf>
    <xf numFmtId="182" fontId="32" fillId="0" borderId="12" xfId="0" applyNumberFormat="1" applyFont="1" applyBorder="1" applyAlignment="1">
      <alignment vertical="center" wrapText="1"/>
    </xf>
    <xf numFmtId="0" fontId="32" fillId="0" borderId="13" xfId="0" applyFont="1" applyBorder="1" applyAlignment="1">
      <alignment vertical="center" wrapText="1"/>
    </xf>
    <xf numFmtId="166" fontId="32" fillId="0" borderId="49" xfId="0" applyNumberFormat="1" applyFont="1" applyBorder="1" applyAlignment="1">
      <alignment wrapText="1"/>
    </xf>
    <xf numFmtId="166" fontId="32" fillId="0" borderId="0" xfId="0" applyNumberFormat="1" applyFont="1" applyAlignment="1">
      <alignment wrapText="1"/>
    </xf>
    <xf numFmtId="166" fontId="32" fillId="0" borderId="131" xfId="0" applyNumberFormat="1" applyFont="1" applyBorder="1" applyAlignment="1">
      <alignment vertical="center" wrapText="1"/>
    </xf>
    <xf numFmtId="184" fontId="32" fillId="0" borderId="9" xfId="0" applyNumberFormat="1" applyFont="1" applyBorder="1" applyAlignment="1">
      <alignment horizontal="center" vertical="center" wrapText="1"/>
    </xf>
    <xf numFmtId="166" fontId="32" fillId="0" borderId="9" xfId="0" applyNumberFormat="1" applyFont="1" applyBorder="1" applyAlignment="1">
      <alignment vertical="center" wrapText="1"/>
    </xf>
    <xf numFmtId="4" fontId="32" fillId="0" borderId="6" xfId="0" applyNumberFormat="1" applyFont="1" applyBorder="1" applyAlignment="1">
      <alignment horizontal="center" vertical="center" wrapText="1"/>
    </xf>
    <xf numFmtId="166" fontId="32" fillId="0" borderId="6" xfId="0" applyNumberFormat="1" applyFont="1" applyBorder="1" applyAlignment="1">
      <alignment vertical="center" wrapText="1"/>
    </xf>
    <xf numFmtId="166" fontId="32" fillId="0" borderId="7" xfId="0" applyNumberFormat="1" applyFont="1" applyBorder="1" applyAlignment="1">
      <alignment wrapText="1"/>
    </xf>
    <xf numFmtId="0" fontId="32" fillId="0" borderId="9" xfId="0" applyFont="1" applyBorder="1" applyAlignment="1">
      <alignment horizontal="center" vertical="center" wrapText="1"/>
    </xf>
    <xf numFmtId="166" fontId="32" fillId="0" borderId="10" xfId="0" applyNumberFormat="1" applyFont="1" applyBorder="1" applyAlignment="1">
      <alignment wrapText="1"/>
    </xf>
    <xf numFmtId="2" fontId="32" fillId="0" borderId="9" xfId="0" applyNumberFormat="1" applyFont="1" applyBorder="1" applyAlignment="1">
      <alignment horizontal="center" vertical="center"/>
    </xf>
    <xf numFmtId="166" fontId="32" fillId="0" borderId="140" xfId="0" applyNumberFormat="1" applyFont="1" applyBorder="1" applyAlignment="1">
      <alignment wrapText="1"/>
    </xf>
    <xf numFmtId="0" fontId="32" fillId="0" borderId="35" xfId="0" applyFont="1" applyBorder="1" applyAlignment="1">
      <alignment horizontal="center" wrapText="1"/>
    </xf>
    <xf numFmtId="182" fontId="32" fillId="0" borderId="6" xfId="0" applyNumberFormat="1" applyFont="1" applyBorder="1" applyAlignment="1">
      <alignment wrapText="1"/>
    </xf>
    <xf numFmtId="165" fontId="32" fillId="0" borderId="9" xfId="0" applyNumberFormat="1" applyFont="1" applyBorder="1" applyAlignment="1">
      <alignment wrapText="1"/>
    </xf>
    <xf numFmtId="182" fontId="32" fillId="0" borderId="12" xfId="0" applyNumberFormat="1" applyFont="1" applyBorder="1" applyAlignment="1">
      <alignment wrapText="1"/>
    </xf>
    <xf numFmtId="165" fontId="32" fillId="0" borderId="12" xfId="0" applyNumberFormat="1" applyFont="1" applyBorder="1" applyAlignment="1">
      <alignment wrapText="1"/>
    </xf>
    <xf numFmtId="0" fontId="31" fillId="0" borderId="130" xfId="0" applyFont="1" applyBorder="1" applyAlignment="1">
      <alignment horizontal="center" vertical="center" wrapText="1"/>
    </xf>
    <xf numFmtId="166" fontId="32" fillId="0" borderId="6" xfId="0" applyNumberFormat="1" applyFont="1" applyBorder="1" applyAlignment="1">
      <alignment horizontal="right" vertical="center" wrapText="1"/>
    </xf>
    <xf numFmtId="166" fontId="32" fillId="0" borderId="12" xfId="0" applyNumberFormat="1" applyFont="1" applyBorder="1" applyAlignment="1">
      <alignment horizontal="right" vertical="center" wrapText="1"/>
    </xf>
    <xf numFmtId="166" fontId="32" fillId="0" borderId="13" xfId="0" applyNumberFormat="1" applyFont="1" applyBorder="1" applyAlignment="1">
      <alignment wrapText="1"/>
    </xf>
    <xf numFmtId="166" fontId="32" fillId="0" borderId="140" xfId="0" applyNumberFormat="1" applyFont="1" applyBorder="1" applyAlignment="1">
      <alignment vertical="center" wrapText="1"/>
    </xf>
    <xf numFmtId="0" fontId="32" fillId="0" borderId="0" xfId="0" applyFont="1" applyAlignment="1">
      <alignment horizontal="center" wrapText="1"/>
    </xf>
    <xf numFmtId="166" fontId="31" fillId="0" borderId="111" xfId="0" applyNumberFormat="1" applyFont="1" applyBorder="1" applyAlignment="1">
      <alignment vertical="center" wrapText="1"/>
    </xf>
    <xf numFmtId="4" fontId="32" fillId="0" borderId="9" xfId="0" applyNumberFormat="1" applyFont="1" applyBorder="1" applyAlignment="1">
      <alignment horizontal="center" vertical="center" wrapText="1"/>
    </xf>
    <xf numFmtId="171" fontId="31" fillId="13" borderId="111" xfId="0" applyNumberFormat="1" applyFont="1" applyFill="1" applyBorder="1" applyAlignment="1">
      <alignment horizontal="center" vertical="center" wrapText="1"/>
    </xf>
    <xf numFmtId="166" fontId="32" fillId="0" borderId="49" xfId="0" applyNumberFormat="1" applyFont="1" applyBorder="1" applyAlignment="1">
      <alignment vertical="center" wrapText="1"/>
    </xf>
    <xf numFmtId="184" fontId="24" fillId="0" borderId="9" xfId="0" applyNumberFormat="1" applyFont="1" applyBorder="1" applyAlignment="1">
      <alignment horizontal="center" vertical="center" wrapText="1"/>
    </xf>
    <xf numFmtId="182" fontId="32" fillId="0" borderId="9" xfId="0" applyNumberFormat="1" applyFont="1" applyBorder="1" applyAlignment="1">
      <alignment vertical="center" wrapText="1"/>
    </xf>
    <xf numFmtId="0" fontId="31" fillId="0" borderId="0" xfId="0" applyFont="1" applyAlignment="1">
      <alignment horizontal="right" wrapText="1"/>
    </xf>
    <xf numFmtId="166" fontId="31" fillId="0" borderId="0" xfId="0" applyNumberFormat="1" applyFont="1" applyAlignment="1">
      <alignment vertical="center" wrapText="1"/>
    </xf>
    <xf numFmtId="3" fontId="32" fillId="0" borderId="6" xfId="0" applyNumberFormat="1" applyFont="1" applyBorder="1" applyAlignment="1">
      <alignment horizontal="right" vertical="center" wrapText="1"/>
    </xf>
    <xf numFmtId="0" fontId="46" fillId="0" borderId="0" xfId="0" applyFont="1"/>
    <xf numFmtId="0" fontId="46" fillId="0" borderId="0" xfId="0" applyFont="1" applyAlignment="1">
      <alignment wrapText="1"/>
    </xf>
    <xf numFmtId="0" fontId="66" fillId="0" borderId="0" xfId="0" applyFont="1" applyAlignment="1">
      <alignment horizontal="left" vertical="top" wrapText="1"/>
    </xf>
    <xf numFmtId="0" fontId="66" fillId="0" borderId="0" xfId="0" applyFont="1" applyAlignment="1">
      <alignment wrapText="1"/>
    </xf>
    <xf numFmtId="0" fontId="66" fillId="0" borderId="111" xfId="0" applyFont="1" applyBorder="1" applyAlignment="1">
      <alignment horizontal="center" vertical="center" wrapText="1"/>
    </xf>
    <xf numFmtId="0" fontId="66" fillId="13" borderId="111" xfId="0" applyFont="1" applyFill="1" applyBorder="1" applyAlignment="1">
      <alignment horizontal="center" vertical="center" wrapText="1"/>
    </xf>
    <xf numFmtId="0" fontId="66" fillId="0" borderId="59" xfId="0" applyFont="1" applyBorder="1" applyAlignment="1">
      <alignment horizontal="center" vertical="center" wrapText="1"/>
    </xf>
    <xf numFmtId="0" fontId="66" fillId="0" borderId="49" xfId="0" applyFont="1" applyBorder="1" applyAlignment="1">
      <alignment vertical="center" wrapText="1"/>
    </xf>
    <xf numFmtId="182" fontId="46" fillId="0" borderId="6" xfId="0" applyNumberFormat="1" applyFont="1" applyBorder="1" applyAlignment="1">
      <alignment horizontal="center" wrapText="1"/>
    </xf>
    <xf numFmtId="2" fontId="46" fillId="0" borderId="6" xfId="0" applyNumberFormat="1" applyFont="1" applyBorder="1" applyAlignment="1">
      <alignment horizontal="center" wrapText="1"/>
    </xf>
    <xf numFmtId="182" fontId="46" fillId="0" borderId="6" xfId="0" applyNumberFormat="1" applyFont="1" applyBorder="1" applyAlignment="1">
      <alignment wrapText="1"/>
    </xf>
    <xf numFmtId="0" fontId="46" fillId="0" borderId="7" xfId="0" applyFont="1" applyBorder="1" applyAlignment="1">
      <alignment wrapText="1"/>
    </xf>
    <xf numFmtId="182" fontId="46" fillId="0" borderId="9" xfId="0" applyNumberFormat="1" applyFont="1" applyBorder="1" applyAlignment="1">
      <alignment horizontal="center" wrapText="1"/>
    </xf>
    <xf numFmtId="2" fontId="46" fillId="0" borderId="9" xfId="0" applyNumberFormat="1" applyFont="1" applyBorder="1" applyAlignment="1">
      <alignment horizontal="center" wrapText="1"/>
    </xf>
    <xf numFmtId="182" fontId="46" fillId="0" borderId="9" xfId="0" applyNumberFormat="1" applyFont="1" applyBorder="1" applyAlignment="1">
      <alignment wrapText="1"/>
    </xf>
    <xf numFmtId="0" fontId="46" fillId="0" borderId="10" xfId="0" applyFont="1" applyBorder="1" applyAlignment="1">
      <alignment wrapText="1"/>
    </xf>
    <xf numFmtId="182" fontId="46" fillId="0" borderId="12" xfId="0" applyNumberFormat="1" applyFont="1" applyBorder="1" applyAlignment="1">
      <alignment horizontal="center" vertical="center" wrapText="1"/>
    </xf>
    <xf numFmtId="2" fontId="46" fillId="0" borderId="12" xfId="0" applyNumberFormat="1" applyFont="1" applyBorder="1" applyAlignment="1">
      <alignment horizontal="center" vertical="center" wrapText="1"/>
    </xf>
    <xf numFmtId="182" fontId="46" fillId="0" borderId="12" xfId="0" applyNumberFormat="1" applyFont="1" applyBorder="1" applyAlignment="1">
      <alignment vertical="center" wrapText="1"/>
    </xf>
    <xf numFmtId="0" fontId="46" fillId="0" borderId="13" xfId="0" applyFont="1" applyBorder="1" applyAlignment="1">
      <alignment vertical="center" wrapText="1"/>
    </xf>
    <xf numFmtId="182" fontId="46" fillId="0" borderId="49" xfId="0" applyNumberFormat="1" applyFont="1" applyBorder="1" applyAlignment="1">
      <alignment wrapText="1"/>
    </xf>
    <xf numFmtId="184" fontId="46" fillId="0" borderId="6" xfId="0" applyNumberFormat="1" applyFont="1" applyBorder="1" applyAlignment="1">
      <alignment horizontal="center" vertical="center" wrapText="1"/>
    </xf>
    <xf numFmtId="166" fontId="46" fillId="0" borderId="6" xfId="0" applyNumberFormat="1" applyFont="1" applyBorder="1" applyAlignment="1">
      <alignment vertical="center" wrapText="1"/>
    </xf>
    <xf numFmtId="4" fontId="46" fillId="0" borderId="6" xfId="0" applyNumberFormat="1" applyFont="1" applyBorder="1" applyAlignment="1">
      <alignment horizontal="center" vertical="center" wrapText="1"/>
    </xf>
    <xf numFmtId="182" fontId="46" fillId="0" borderId="6" xfId="0" applyNumberFormat="1" applyFont="1" applyBorder="1" applyAlignment="1">
      <alignment vertical="center" wrapText="1"/>
    </xf>
    <xf numFmtId="184" fontId="46" fillId="0" borderId="9" xfId="0" applyNumberFormat="1" applyFont="1" applyBorder="1" applyAlignment="1">
      <alignment horizontal="center" vertical="center" wrapText="1"/>
    </xf>
    <xf numFmtId="166" fontId="46" fillId="0" borderId="9" xfId="0" applyNumberFormat="1" applyFont="1" applyBorder="1" applyAlignment="1">
      <alignment vertical="center" wrapText="1"/>
    </xf>
    <xf numFmtId="2" fontId="46" fillId="0" borderId="9" xfId="0" applyNumberFormat="1" applyFont="1" applyBorder="1" applyAlignment="1">
      <alignment horizontal="center" vertical="center" wrapText="1"/>
    </xf>
    <xf numFmtId="182" fontId="46" fillId="0" borderId="9" xfId="0" applyNumberFormat="1" applyFont="1" applyBorder="1" applyAlignment="1">
      <alignment vertical="center" wrapText="1"/>
    </xf>
    <xf numFmtId="0" fontId="46" fillId="0" borderId="9" xfId="0" applyFont="1" applyBorder="1" applyAlignment="1">
      <alignment horizontal="center" vertical="center" wrapText="1"/>
    </xf>
    <xf numFmtId="184" fontId="46" fillId="0" borderId="12" xfId="0" applyNumberFormat="1" applyFont="1" applyBorder="1" applyAlignment="1">
      <alignment horizontal="center" vertical="center" wrapText="1"/>
    </xf>
    <xf numFmtId="166" fontId="46" fillId="0" borderId="12" xfId="0" applyNumberFormat="1" applyFont="1" applyBorder="1" applyAlignment="1">
      <alignment vertical="center" wrapText="1"/>
    </xf>
    <xf numFmtId="2" fontId="46" fillId="0" borderId="12" xfId="0" applyNumberFormat="1" applyFont="1" applyBorder="1" applyAlignment="1">
      <alignment horizontal="center" vertical="center"/>
    </xf>
    <xf numFmtId="0" fontId="46" fillId="0" borderId="13" xfId="0" applyFont="1" applyBorder="1" applyAlignment="1">
      <alignment wrapText="1"/>
    </xf>
    <xf numFmtId="182" fontId="46" fillId="0" borderId="140" xfId="0" applyNumberFormat="1" applyFont="1" applyBorder="1" applyAlignment="1">
      <alignment wrapText="1"/>
    </xf>
    <xf numFmtId="0" fontId="46" fillId="0" borderId="131" xfId="0" applyFont="1" applyBorder="1" applyAlignment="1">
      <alignment vertical="center" wrapText="1"/>
    </xf>
    <xf numFmtId="0" fontId="46" fillId="0" borderId="35" xfId="0" applyFont="1" applyBorder="1" applyAlignment="1">
      <alignment horizontal="center" wrapText="1"/>
    </xf>
    <xf numFmtId="165" fontId="46" fillId="0" borderId="9" xfId="0" applyNumberFormat="1" applyFont="1" applyBorder="1" applyAlignment="1">
      <alignment wrapText="1"/>
    </xf>
    <xf numFmtId="182" fontId="46" fillId="0" borderId="12" xfId="0" applyNumberFormat="1" applyFont="1" applyBorder="1" applyAlignment="1">
      <alignment wrapText="1"/>
    </xf>
    <xf numFmtId="165" fontId="46" fillId="0" borderId="12" xfId="0" applyNumberFormat="1" applyFont="1" applyBorder="1" applyAlignment="1">
      <alignment wrapText="1"/>
    </xf>
    <xf numFmtId="0" fontId="46" fillId="0" borderId="140" xfId="0" applyFont="1" applyBorder="1" applyAlignment="1">
      <alignment wrapText="1"/>
    </xf>
    <xf numFmtId="0" fontId="66" fillId="0" borderId="130" xfId="0" applyFont="1" applyBorder="1" applyAlignment="1">
      <alignment horizontal="center" vertical="center" wrapText="1"/>
    </xf>
    <xf numFmtId="167" fontId="46" fillId="0" borderId="6" xfId="0" applyNumberFormat="1" applyFont="1" applyBorder="1" applyAlignment="1">
      <alignment horizontal="center" wrapText="1"/>
    </xf>
    <xf numFmtId="165" fontId="46" fillId="0" borderId="6" xfId="0" applyNumberFormat="1" applyFont="1" applyBorder="1" applyAlignment="1">
      <alignment horizontal="center" vertical="center" wrapText="1"/>
    </xf>
    <xf numFmtId="182" fontId="46" fillId="0" borderId="6" xfId="0" applyNumberFormat="1" applyFont="1" applyBorder="1" applyAlignment="1">
      <alignment horizontal="right" vertical="center" wrapText="1"/>
    </xf>
    <xf numFmtId="4" fontId="46" fillId="0" borderId="11" xfId="0" applyNumberFormat="1" applyFont="1" applyBorder="1" applyAlignment="1">
      <alignment vertical="center"/>
    </xf>
    <xf numFmtId="4" fontId="46" fillId="0" borderId="12" xfId="0" applyNumberFormat="1" applyFont="1" applyBorder="1" applyAlignment="1">
      <alignment vertical="center"/>
    </xf>
    <xf numFmtId="167" fontId="46" fillId="0" borderId="12" xfId="0" applyNumberFormat="1" applyFont="1" applyBorder="1" applyAlignment="1">
      <alignment horizontal="center" wrapText="1"/>
    </xf>
    <xf numFmtId="165" fontId="46" fillId="0" borderId="12" xfId="0" applyNumberFormat="1" applyFont="1" applyBorder="1" applyAlignment="1">
      <alignment horizontal="center" wrapText="1"/>
    </xf>
    <xf numFmtId="182" fontId="46" fillId="0" borderId="12" xfId="0" applyNumberFormat="1" applyFont="1" applyBorder="1" applyAlignment="1">
      <alignment horizontal="right" vertical="center" wrapText="1"/>
    </xf>
    <xf numFmtId="182" fontId="46" fillId="0" borderId="140" xfId="0" applyNumberFormat="1" applyFont="1" applyBorder="1" applyAlignment="1">
      <alignment vertical="center" wrapText="1"/>
    </xf>
    <xf numFmtId="0" fontId="46" fillId="0" borderId="0" xfId="0" applyFont="1" applyAlignment="1">
      <alignment horizontal="center" wrapText="1"/>
    </xf>
    <xf numFmtId="180" fontId="66" fillId="0" borderId="111" xfId="0" applyNumberFormat="1" applyFont="1" applyBorder="1" applyAlignment="1">
      <alignment vertical="center" wrapText="1"/>
    </xf>
    <xf numFmtId="176" fontId="8" fillId="0" borderId="9" xfId="0" applyNumberFormat="1" applyFont="1" applyBorder="1"/>
    <xf numFmtId="165" fontId="12" fillId="0" borderId="0" xfId="0" applyNumberFormat="1" applyFont="1"/>
    <xf numFmtId="170" fontId="8" fillId="0" borderId="9" xfId="0" applyNumberFormat="1" applyFont="1" applyBorder="1"/>
    <xf numFmtId="0" fontId="8" fillId="0" borderId="9" xfId="0" applyFont="1" applyBorder="1" applyAlignment="1">
      <alignment wrapText="1"/>
    </xf>
    <xf numFmtId="0" fontId="12" fillId="0" borderId="9" xfId="0" applyFont="1" applyBorder="1" applyAlignment="1">
      <alignment wrapText="1"/>
    </xf>
    <xf numFmtId="167" fontId="12" fillId="0" borderId="9" xfId="0" applyNumberFormat="1" applyFont="1" applyBorder="1"/>
    <xf numFmtId="0" fontId="32" fillId="0" borderId="0" xfId="0" applyFont="1"/>
    <xf numFmtId="0" fontId="31" fillId="0" borderId="0" xfId="0" applyFont="1"/>
    <xf numFmtId="0" fontId="30" fillId="0" borderId="0" xfId="0" applyFont="1"/>
    <xf numFmtId="0" fontId="31" fillId="0" borderId="59" xfId="0" applyFont="1" applyBorder="1" applyAlignment="1">
      <alignment horizontal="center" vertical="center"/>
    </xf>
    <xf numFmtId="0" fontId="31" fillId="0" borderId="49" xfId="0" applyFont="1" applyBorder="1" applyAlignment="1">
      <alignment vertical="center"/>
    </xf>
    <xf numFmtId="182" fontId="32" fillId="0" borderId="6" xfId="0" applyNumberFormat="1" applyFont="1" applyBorder="1" applyAlignment="1">
      <alignment horizontal="center"/>
    </xf>
    <xf numFmtId="2" fontId="32" fillId="0" borderId="6" xfId="0" applyNumberFormat="1" applyFont="1" applyBorder="1" applyAlignment="1">
      <alignment horizontal="center"/>
    </xf>
    <xf numFmtId="166" fontId="32" fillId="0" borderId="6" xfId="0" applyNumberFormat="1" applyFont="1" applyBorder="1"/>
    <xf numFmtId="0" fontId="32" fillId="0" borderId="7" xfId="0" applyFont="1" applyBorder="1"/>
    <xf numFmtId="182" fontId="32" fillId="0" borderId="12" xfId="0" applyNumberFormat="1" applyFont="1" applyBorder="1"/>
    <xf numFmtId="2" fontId="32" fillId="0" borderId="12" xfId="0" applyNumberFormat="1" applyFont="1" applyBorder="1" applyAlignment="1">
      <alignment horizontal="center"/>
    </xf>
    <xf numFmtId="0" fontId="32" fillId="0" borderId="13" xfId="0" applyFont="1" applyBorder="1"/>
    <xf numFmtId="166" fontId="32" fillId="0" borderId="49" xfId="0" applyNumberFormat="1" applyFont="1" applyBorder="1"/>
    <xf numFmtId="166" fontId="32" fillId="0" borderId="0" xfId="0" applyNumberFormat="1" applyFont="1"/>
    <xf numFmtId="166" fontId="31" fillId="0" borderId="49" xfId="0" applyNumberFormat="1" applyFont="1" applyBorder="1" applyAlignment="1">
      <alignment vertical="center"/>
    </xf>
    <xf numFmtId="0" fontId="32" fillId="0" borderId="6" xfId="0" applyFont="1" applyBorder="1" applyAlignment="1">
      <alignment horizontal="center"/>
    </xf>
    <xf numFmtId="182" fontId="32" fillId="0" borderId="6" xfId="0" applyNumberFormat="1" applyFont="1" applyBorder="1"/>
    <xf numFmtId="166" fontId="32" fillId="0" borderId="7" xfId="0" applyNumberFormat="1" applyFont="1" applyBorder="1"/>
    <xf numFmtId="0" fontId="32" fillId="0" borderId="9" xfId="0" applyFont="1" applyBorder="1" applyAlignment="1">
      <alignment horizontal="center"/>
    </xf>
    <xf numFmtId="182" fontId="32" fillId="0" borderId="9" xfId="0" applyNumberFormat="1" applyFont="1" applyBorder="1"/>
    <xf numFmtId="166" fontId="32" fillId="0" borderId="9" xfId="0" applyNumberFormat="1" applyFont="1" applyBorder="1"/>
    <xf numFmtId="166" fontId="32" fillId="0" borderId="10" xfId="0" applyNumberFormat="1" applyFont="1" applyBorder="1"/>
    <xf numFmtId="0" fontId="32" fillId="0" borderId="12" xfId="0" applyFont="1" applyBorder="1" applyAlignment="1">
      <alignment horizontal="center"/>
    </xf>
    <xf numFmtId="166" fontId="32" fillId="0" borderId="12" xfId="0" applyNumberFormat="1" applyFont="1" applyBorder="1"/>
    <xf numFmtId="166" fontId="32" fillId="0" borderId="13" xfId="0" applyNumberFormat="1" applyFont="1" applyBorder="1"/>
    <xf numFmtId="166" fontId="32" fillId="0" borderId="131" xfId="0" applyNumberFormat="1" applyFont="1" applyBorder="1" applyAlignment="1">
      <alignment vertical="center"/>
    </xf>
    <xf numFmtId="0" fontId="32" fillId="0" borderId="35" xfId="0" applyFont="1" applyBorder="1" applyAlignment="1">
      <alignment horizontal="center"/>
    </xf>
    <xf numFmtId="2" fontId="32" fillId="0" borderId="35" xfId="0" applyNumberFormat="1" applyFont="1" applyBorder="1" applyAlignment="1">
      <alignment horizontal="center"/>
    </xf>
    <xf numFmtId="166" fontId="32" fillId="0" borderId="140" xfId="0" applyNumberFormat="1" applyFont="1" applyBorder="1"/>
    <xf numFmtId="182" fontId="32" fillId="0" borderId="49" xfId="0" applyNumberFormat="1" applyFont="1" applyBorder="1"/>
    <xf numFmtId="166" fontId="32" fillId="0" borderId="49" xfId="0" applyNumberFormat="1" applyFont="1" applyBorder="1" applyAlignment="1">
      <alignment vertical="center"/>
    </xf>
    <xf numFmtId="167" fontId="32" fillId="0" borderId="102" xfId="0" applyNumberFormat="1" applyFont="1" applyBorder="1" applyAlignment="1">
      <alignment horizontal="center" vertical="center"/>
    </xf>
    <xf numFmtId="165" fontId="32" fillId="0" borderId="102" xfId="0" applyNumberFormat="1" applyFont="1" applyBorder="1" applyAlignment="1">
      <alignment horizontal="center" vertical="center"/>
    </xf>
    <xf numFmtId="166" fontId="32" fillId="0" borderId="6" xfId="0" applyNumberFormat="1" applyFont="1" applyBorder="1" applyAlignment="1">
      <alignment horizontal="right" vertical="center"/>
    </xf>
    <xf numFmtId="167" fontId="32" fillId="0" borderId="35" xfId="0" applyNumberFormat="1" applyFont="1" applyBorder="1" applyAlignment="1">
      <alignment horizontal="center"/>
    </xf>
    <xf numFmtId="165" fontId="32" fillId="0" borderId="35" xfId="0" applyNumberFormat="1" applyFont="1" applyBorder="1" applyAlignment="1">
      <alignment horizontal="center" wrapText="1"/>
    </xf>
    <xf numFmtId="165" fontId="32" fillId="0" borderId="35" xfId="0" applyNumberFormat="1" applyFont="1" applyBorder="1" applyAlignment="1">
      <alignment horizontal="center"/>
    </xf>
    <xf numFmtId="166" fontId="32" fillId="0" borderId="12" xfId="0" applyNumberFormat="1" applyFont="1" applyBorder="1" applyAlignment="1">
      <alignment horizontal="right" vertical="center"/>
    </xf>
    <xf numFmtId="0" fontId="32" fillId="0" borderId="0" xfId="0" applyFont="1" applyAlignment="1">
      <alignment horizontal="center"/>
    </xf>
    <xf numFmtId="182" fontId="31" fillId="0" borderId="111" xfId="0" applyNumberFormat="1" applyFont="1" applyBorder="1"/>
    <xf numFmtId="0" fontId="30" fillId="0" borderId="16" xfId="0" applyFont="1" applyBorder="1" applyAlignment="1">
      <alignment vertical="center" wrapText="1"/>
    </xf>
    <xf numFmtId="0" fontId="30" fillId="0" borderId="16" xfId="0" applyFont="1" applyBorder="1" applyAlignment="1">
      <alignment vertical="center"/>
    </xf>
    <xf numFmtId="0" fontId="30" fillId="0" borderId="18" xfId="0" applyFont="1" applyBorder="1" applyAlignment="1">
      <alignment vertical="center"/>
    </xf>
    <xf numFmtId="0" fontId="30" fillId="0" borderId="53" xfId="0" applyFont="1" applyBorder="1" applyAlignment="1">
      <alignment vertical="center"/>
    </xf>
    <xf numFmtId="0" fontId="30" fillId="0" borderId="106" xfId="0" applyFont="1" applyBorder="1" applyAlignment="1">
      <alignment vertical="center"/>
    </xf>
    <xf numFmtId="0" fontId="31" fillId="0" borderId="0" xfId="0" applyFont="1" applyAlignment="1">
      <alignment vertical="center" wrapText="1"/>
    </xf>
    <xf numFmtId="182" fontId="32" fillId="0" borderId="96" xfId="0" applyNumberFormat="1" applyFont="1" applyBorder="1"/>
    <xf numFmtId="2" fontId="32" fillId="0" borderId="96" xfId="0" applyNumberFormat="1" applyFont="1" applyBorder="1" applyAlignment="1">
      <alignment horizontal="center"/>
    </xf>
    <xf numFmtId="166" fontId="32" fillId="0" borderId="96" xfId="0" applyNumberFormat="1" applyFont="1" applyBorder="1"/>
    <xf numFmtId="0" fontId="32" fillId="0" borderId="141" xfId="0" applyFont="1" applyBorder="1"/>
    <xf numFmtId="0" fontId="32" fillId="0" borderId="10" xfId="0" applyFont="1" applyBorder="1"/>
    <xf numFmtId="166" fontId="32" fillId="0" borderId="96" xfId="0" applyNumberFormat="1" applyFont="1" applyBorder="1" applyAlignment="1">
      <alignment horizontal="right" vertical="center"/>
    </xf>
    <xf numFmtId="166" fontId="32" fillId="0" borderId="12" xfId="0" applyNumberFormat="1" applyFont="1" applyBorder="1" applyAlignment="1">
      <alignment horizontal="right"/>
    </xf>
    <xf numFmtId="166" fontId="31" fillId="0" borderId="111" xfId="0" applyNumberFormat="1" applyFont="1" applyBorder="1"/>
    <xf numFmtId="0" fontId="32" fillId="0" borderId="6" xfId="0" applyFont="1" applyBorder="1" applyAlignment="1">
      <alignment horizontal="center" vertical="center"/>
    </xf>
    <xf numFmtId="182" fontId="32" fillId="0" borderId="6" xfId="0" applyNumberFormat="1" applyFont="1" applyBorder="1" applyAlignment="1">
      <alignment vertical="center"/>
    </xf>
    <xf numFmtId="166" fontId="32" fillId="0" borderId="7" xfId="0" applyNumberFormat="1" applyFont="1" applyBorder="1" applyAlignment="1">
      <alignment vertical="center"/>
    </xf>
    <xf numFmtId="0" fontId="32" fillId="0" borderId="9" xfId="0" applyFont="1" applyBorder="1" applyAlignment="1">
      <alignment horizontal="center" vertical="center"/>
    </xf>
    <xf numFmtId="182" fontId="32" fillId="0" borderId="9" xfId="0" applyNumberFormat="1" applyFont="1" applyBorder="1" applyAlignment="1">
      <alignment vertical="center"/>
    </xf>
    <xf numFmtId="166" fontId="32" fillId="0" borderId="10" xfId="0" applyNumberFormat="1" applyFont="1" applyBorder="1" applyAlignment="1">
      <alignment vertical="center"/>
    </xf>
    <xf numFmtId="0" fontId="32" fillId="0" borderId="12" xfId="0" applyFont="1" applyBorder="1" applyAlignment="1">
      <alignment horizontal="center" vertical="center"/>
    </xf>
    <xf numFmtId="182" fontId="32" fillId="0" borderId="12" xfId="0" applyNumberFormat="1" applyFont="1" applyBorder="1" applyAlignment="1">
      <alignment vertical="center"/>
    </xf>
    <xf numFmtId="166" fontId="32" fillId="0" borderId="13" xfId="0" applyNumberFormat="1" applyFont="1" applyBorder="1" applyAlignment="1">
      <alignment vertical="center"/>
    </xf>
    <xf numFmtId="165" fontId="32" fillId="0" borderId="9" xfId="0" applyNumberFormat="1" applyFont="1" applyBorder="1"/>
    <xf numFmtId="165" fontId="32" fillId="0" borderId="12" xfId="0" applyNumberFormat="1" applyFont="1" applyBorder="1"/>
    <xf numFmtId="2" fontId="32" fillId="0" borderId="9" xfId="0" applyNumberFormat="1" applyFont="1" applyBorder="1" applyAlignment="1">
      <alignment horizontal="center"/>
    </xf>
    <xf numFmtId="180" fontId="32" fillId="0" borderId="12" xfId="0" applyNumberFormat="1" applyFont="1" applyBorder="1" applyAlignment="1">
      <alignment horizontal="right"/>
    </xf>
    <xf numFmtId="0" fontId="32" fillId="0" borderId="7" xfId="0" applyFont="1" applyBorder="1" applyAlignment="1">
      <alignment vertical="center"/>
    </xf>
    <xf numFmtId="0" fontId="32" fillId="0" borderId="10" xfId="0" applyFont="1" applyBorder="1" applyAlignment="1">
      <alignment vertical="center"/>
    </xf>
    <xf numFmtId="0" fontId="32" fillId="0" borderId="13" xfId="0" applyFont="1" applyBorder="1" applyAlignment="1">
      <alignment vertical="center"/>
    </xf>
    <xf numFmtId="0" fontId="32" fillId="0" borderId="131" xfId="0" applyFont="1" applyBorder="1" applyAlignment="1">
      <alignment vertical="center"/>
    </xf>
    <xf numFmtId="0" fontId="32" fillId="0" borderId="140" xfId="0" applyFont="1" applyBorder="1"/>
    <xf numFmtId="0" fontId="32" fillId="0" borderId="49" xfId="0" applyFont="1" applyBorder="1" applyAlignment="1">
      <alignment vertical="center"/>
    </xf>
    <xf numFmtId="185" fontId="32" fillId="0" borderId="49" xfId="0" applyNumberFormat="1" applyFont="1" applyBorder="1" applyAlignment="1">
      <alignment vertical="center"/>
    </xf>
    <xf numFmtId="185" fontId="32" fillId="0" borderId="0" xfId="0" applyNumberFormat="1" applyFont="1"/>
    <xf numFmtId="0" fontId="31" fillId="0" borderId="1" xfId="0" applyFont="1" applyBorder="1" applyAlignment="1">
      <alignment horizontal="right" vertical="center"/>
    </xf>
    <xf numFmtId="185" fontId="31" fillId="0" borderId="111" xfId="0" applyNumberFormat="1" applyFont="1" applyBorder="1" applyAlignment="1">
      <alignment vertical="center"/>
    </xf>
    <xf numFmtId="166" fontId="32" fillId="0" borderId="6" xfId="0" applyNumberFormat="1" applyFont="1" applyBorder="1" applyAlignment="1">
      <alignment vertical="center"/>
    </xf>
    <xf numFmtId="182" fontId="32" fillId="0" borderId="96" xfId="0" applyNumberFormat="1" applyFont="1" applyBorder="1" applyAlignment="1">
      <alignment horizontal="right" vertical="center"/>
    </xf>
    <xf numFmtId="178" fontId="32" fillId="0" borderId="12" xfId="0" applyNumberFormat="1" applyFont="1" applyBorder="1" applyAlignment="1">
      <alignment horizontal="right"/>
    </xf>
    <xf numFmtId="166" fontId="31" fillId="0" borderId="111" xfId="0" applyNumberFormat="1" applyFont="1" applyBorder="1" applyAlignment="1">
      <alignment vertical="center"/>
    </xf>
    <xf numFmtId="0" fontId="32" fillId="0" borderId="62" xfId="0" applyFont="1" applyBorder="1" applyAlignment="1">
      <alignment horizontal="left" vertical="center" wrapText="1"/>
    </xf>
    <xf numFmtId="182" fontId="32" fillId="0" borderId="6" xfId="0" applyNumberFormat="1" applyFont="1" applyBorder="1" applyAlignment="1">
      <alignment horizontal="center" vertical="center"/>
    </xf>
    <xf numFmtId="2" fontId="32" fillId="0" borderId="6" xfId="0" applyNumberFormat="1" applyFont="1" applyBorder="1" applyAlignment="1">
      <alignment horizontal="center" vertical="center"/>
    </xf>
    <xf numFmtId="3" fontId="32" fillId="0" borderId="35" xfId="0" applyNumberFormat="1" applyFont="1" applyBorder="1" applyAlignment="1">
      <alignment horizontal="right"/>
    </xf>
    <xf numFmtId="3" fontId="32" fillId="0" borderId="35" xfId="0" applyNumberFormat="1" applyFont="1" applyBorder="1" applyAlignment="1">
      <alignment horizontal="center"/>
    </xf>
    <xf numFmtId="167" fontId="32" fillId="0" borderId="35" xfId="0" applyNumberFormat="1" applyFont="1" applyBorder="1" applyAlignment="1">
      <alignment horizontal="center" vertical="center"/>
    </xf>
    <xf numFmtId="165" fontId="32" fillId="0" borderId="35" xfId="0" applyNumberFormat="1" applyFont="1" applyBorder="1" applyAlignment="1">
      <alignment horizontal="center" vertical="center" wrapText="1"/>
    </xf>
    <xf numFmtId="165" fontId="32" fillId="0" borderId="35" xfId="0" applyNumberFormat="1" applyFont="1" applyBorder="1" applyAlignment="1">
      <alignment horizontal="center" vertical="center"/>
    </xf>
    <xf numFmtId="0" fontId="24" fillId="0" borderId="0" xfId="0" applyFont="1" applyAlignment="1">
      <alignment vertical="center" wrapText="1"/>
    </xf>
    <xf numFmtId="0" fontId="8" fillId="0" borderId="0" xfId="0" applyFont="1" applyAlignment="1">
      <alignment vertical="center" wrapText="1"/>
    </xf>
    <xf numFmtId="0" fontId="32" fillId="0" borderId="0" xfId="0" applyFont="1" applyAlignment="1">
      <alignment vertical="center" wrapText="1"/>
    </xf>
    <xf numFmtId="0" fontId="32" fillId="0" borderId="0" xfId="0" applyFont="1" applyAlignment="1">
      <alignment vertical="center"/>
    </xf>
    <xf numFmtId="0" fontId="31" fillId="0" borderId="0" xfId="0" applyFont="1" applyAlignment="1">
      <alignment horizontal="left" vertical="center" wrapText="1"/>
    </xf>
    <xf numFmtId="0" fontId="30" fillId="0" borderId="0" xfId="0" applyFont="1" applyAlignment="1">
      <alignment vertical="center" wrapText="1"/>
    </xf>
    <xf numFmtId="2" fontId="32" fillId="0" borderId="12" xfId="0" applyNumberFormat="1" applyFont="1" applyBorder="1" applyAlignment="1">
      <alignment horizontal="center" vertical="center"/>
    </xf>
    <xf numFmtId="166" fontId="32" fillId="0" borderId="12" xfId="0" applyNumberFormat="1" applyFont="1" applyBorder="1" applyAlignment="1">
      <alignment vertical="center"/>
    </xf>
    <xf numFmtId="166" fontId="32" fillId="0" borderId="0" xfId="0" applyNumberFormat="1" applyFont="1" applyAlignment="1">
      <alignment vertical="center"/>
    </xf>
    <xf numFmtId="0" fontId="32" fillId="0" borderId="35" xfId="0" applyFont="1" applyBorder="1" applyAlignment="1">
      <alignment horizontal="center" vertical="center"/>
    </xf>
    <xf numFmtId="165" fontId="32" fillId="0" borderId="9" xfId="0" applyNumberFormat="1" applyFont="1" applyBorder="1" applyAlignment="1">
      <alignment vertical="center"/>
    </xf>
    <xf numFmtId="166" fontId="32" fillId="0" borderId="9" xfId="0" applyNumberFormat="1" applyFont="1" applyBorder="1" applyAlignment="1">
      <alignment vertical="center"/>
    </xf>
    <xf numFmtId="0" fontId="32" fillId="0" borderId="69" xfId="0" applyFont="1" applyBorder="1" applyAlignment="1">
      <alignment horizontal="center" vertical="center" wrapText="1"/>
    </xf>
    <xf numFmtId="166" fontId="32" fillId="0" borderId="140" xfId="0" applyNumberFormat="1" applyFont="1" applyBorder="1" applyAlignment="1">
      <alignment vertical="center"/>
    </xf>
    <xf numFmtId="0" fontId="32" fillId="0" borderId="0" xfId="0" applyFont="1" applyAlignment="1">
      <alignment horizontal="center" vertical="center"/>
    </xf>
    <xf numFmtId="182" fontId="32" fillId="0" borderId="49" xfId="0" applyNumberFormat="1" applyFont="1" applyBorder="1" applyAlignment="1">
      <alignment vertical="center"/>
    </xf>
    <xf numFmtId="0" fontId="32" fillId="0" borderId="140" xfId="0" applyFont="1" applyBorder="1" applyAlignment="1">
      <alignment vertical="center"/>
    </xf>
    <xf numFmtId="178" fontId="31" fillId="0" borderId="111" xfId="0" applyNumberFormat="1" applyFont="1" applyBorder="1" applyAlignment="1">
      <alignment vertical="center"/>
    </xf>
    <xf numFmtId="165" fontId="32" fillId="0" borderId="12" xfId="0" applyNumberFormat="1" applyFont="1" applyBorder="1" applyAlignment="1">
      <alignment vertical="center"/>
    </xf>
    <xf numFmtId="180" fontId="32" fillId="0" borderId="12" xfId="0" applyNumberFormat="1" applyFont="1" applyBorder="1" applyAlignment="1">
      <alignment horizontal="right" vertical="center"/>
    </xf>
    <xf numFmtId="0" fontId="24" fillId="7" borderId="4" xfId="0" applyFont="1" applyFill="1" applyBorder="1" applyAlignment="1">
      <alignment vertical="center"/>
    </xf>
    <xf numFmtId="0" fontId="31" fillId="0" borderId="0" xfId="0" applyFont="1" applyAlignment="1">
      <alignment horizontal="right" vertical="center" wrapText="1"/>
    </xf>
    <xf numFmtId="0" fontId="31" fillId="0" borderId="0" xfId="0" applyFont="1" applyAlignment="1">
      <alignment horizontal="right" vertical="center"/>
    </xf>
    <xf numFmtId="180" fontId="31" fillId="0" borderId="0" xfId="0" applyNumberFormat="1" applyFont="1" applyAlignment="1">
      <alignment vertical="center"/>
    </xf>
    <xf numFmtId="0" fontId="31" fillId="0" borderId="2" xfId="0" applyFont="1" applyBorder="1" applyAlignment="1">
      <alignment horizontal="center" vertical="center" wrapText="1"/>
    </xf>
    <xf numFmtId="0" fontId="31" fillId="0" borderId="48" xfId="0" applyFont="1" applyBorder="1" applyAlignment="1">
      <alignment horizontal="center" vertical="center" wrapText="1"/>
    </xf>
    <xf numFmtId="0" fontId="31" fillId="0" borderId="1" xfId="0" applyFont="1" applyBorder="1" applyAlignment="1">
      <alignment horizontal="right" vertical="center" wrapText="1"/>
    </xf>
    <xf numFmtId="0" fontId="31" fillId="0" borderId="2" xfId="0" applyFont="1" applyBorder="1" applyAlignment="1">
      <alignment horizontal="right" vertical="center"/>
    </xf>
    <xf numFmtId="0" fontId="31" fillId="0" borderId="48" xfId="0" applyFont="1" applyBorder="1" applyAlignment="1">
      <alignment horizontal="right" vertical="center"/>
    </xf>
    <xf numFmtId="0" fontId="32" fillId="0" borderId="108" xfId="0" applyFont="1" applyBorder="1" applyAlignment="1">
      <alignment horizontal="left" vertical="center"/>
    </xf>
    <xf numFmtId="0" fontId="32" fillId="0" borderId="8" xfId="0" applyFont="1" applyBorder="1" applyAlignment="1">
      <alignment horizontal="left" vertical="center" wrapText="1"/>
    </xf>
    <xf numFmtId="0" fontId="32" fillId="0" borderId="9" xfId="0" applyFont="1" applyBorder="1" applyAlignment="1">
      <alignment horizontal="left" vertical="center"/>
    </xf>
    <xf numFmtId="0" fontId="32" fillId="0" borderId="11" xfId="0" applyFont="1" applyBorder="1" applyAlignment="1">
      <alignment horizontal="left" vertical="center" wrapText="1"/>
    </xf>
    <xf numFmtId="0" fontId="32" fillId="0" borderId="12" xfId="0" applyFont="1" applyBorder="1" applyAlignment="1">
      <alignment horizontal="left" vertical="center"/>
    </xf>
    <xf numFmtId="0" fontId="31" fillId="0" borderId="48" xfId="0" applyFont="1" applyBorder="1" applyAlignment="1">
      <alignment horizontal="center" vertical="center"/>
    </xf>
    <xf numFmtId="0" fontId="32" fillId="0" borderId="57" xfId="0" applyFont="1" applyBorder="1" applyAlignment="1">
      <alignment horizontal="center" vertical="center" wrapText="1"/>
    </xf>
    <xf numFmtId="182" fontId="32" fillId="0" borderId="0" xfId="0" applyNumberFormat="1" applyFont="1" applyAlignment="1">
      <alignment vertical="center"/>
    </xf>
    <xf numFmtId="182" fontId="32" fillId="0" borderId="9" xfId="0" applyNumberFormat="1" applyFont="1" applyBorder="1" applyAlignment="1">
      <alignment horizontal="right" vertical="center"/>
    </xf>
    <xf numFmtId="0" fontId="32" fillId="0" borderId="96" xfId="0" applyFont="1" applyBorder="1" applyAlignment="1">
      <alignment horizontal="right" vertical="center"/>
    </xf>
    <xf numFmtId="166" fontId="32" fillId="0" borderId="9" xfId="0" applyNumberFormat="1" applyFont="1" applyBorder="1" applyAlignment="1">
      <alignment horizontal="right" vertical="center"/>
    </xf>
    <xf numFmtId="0" fontId="31" fillId="0" borderId="141" xfId="0" applyFont="1" applyBorder="1" applyAlignment="1">
      <alignment vertical="center"/>
    </xf>
    <xf numFmtId="1" fontId="32" fillId="0" borderId="9" xfId="0" applyNumberFormat="1" applyFont="1" applyBorder="1" applyAlignment="1">
      <alignment horizontal="right" vertical="center"/>
    </xf>
    <xf numFmtId="1" fontId="32" fillId="0" borderId="12" xfId="0" applyNumberFormat="1" applyFont="1" applyBorder="1" applyAlignment="1">
      <alignment horizontal="right" vertical="center"/>
    </xf>
    <xf numFmtId="170" fontId="32" fillId="0" borderId="102" xfId="0" applyNumberFormat="1" applyFont="1" applyBorder="1" applyAlignment="1">
      <alignment horizontal="center" vertical="center"/>
    </xf>
    <xf numFmtId="170" fontId="32" fillId="0" borderId="35" xfId="0" applyNumberFormat="1" applyFont="1" applyBorder="1" applyAlignment="1">
      <alignment horizontal="center" vertical="center"/>
    </xf>
    <xf numFmtId="0" fontId="8" fillId="17" borderId="4" xfId="0" applyFont="1" applyFill="1" applyBorder="1"/>
    <xf numFmtId="0" fontId="31" fillId="0" borderId="0" xfId="0" applyFont="1" applyAlignment="1">
      <alignment horizontal="right"/>
    </xf>
    <xf numFmtId="166" fontId="8" fillId="17" borderId="4" xfId="0" applyNumberFormat="1" applyFont="1" applyFill="1" applyBorder="1"/>
    <xf numFmtId="180" fontId="31" fillId="0" borderId="0" xfId="0" applyNumberFormat="1" applyFont="1"/>
    <xf numFmtId="166" fontId="32" fillId="0" borderId="130" xfId="0" applyNumberFormat="1" applyFont="1" applyBorder="1"/>
    <xf numFmtId="166" fontId="32" fillId="0" borderId="61" xfId="0" applyNumberFormat="1" applyFont="1" applyBorder="1"/>
    <xf numFmtId="182" fontId="32" fillId="0" borderId="12" xfId="0" applyNumberFormat="1" applyFont="1" applyBorder="1" applyAlignment="1">
      <alignment horizontal="center"/>
    </xf>
    <xf numFmtId="0" fontId="30" fillId="0" borderId="18" xfId="0" applyFont="1" applyBorder="1" applyAlignment="1">
      <alignment vertical="center" wrapText="1"/>
    </xf>
    <xf numFmtId="0" fontId="30" fillId="0" borderId="53" xfId="0" applyFont="1" applyBorder="1" applyAlignment="1">
      <alignment vertical="center" wrapText="1"/>
    </xf>
    <xf numFmtId="0" fontId="30" fillId="0" borderId="106" xfId="0" applyFont="1" applyBorder="1" applyAlignment="1">
      <alignment vertical="center" wrapText="1"/>
    </xf>
    <xf numFmtId="2" fontId="32" fillId="0" borderId="12" xfId="0" applyNumberFormat="1" applyFont="1" applyBorder="1" applyAlignment="1">
      <alignment horizontal="center" wrapText="1"/>
    </xf>
    <xf numFmtId="0" fontId="32" fillId="0" borderId="13" xfId="0" applyFont="1" applyBorder="1" applyAlignment="1">
      <alignment wrapText="1"/>
    </xf>
    <xf numFmtId="166" fontId="31" fillId="0" borderId="49" xfId="0" applyNumberFormat="1" applyFont="1" applyBorder="1" applyAlignment="1">
      <alignment vertical="center" wrapText="1"/>
    </xf>
    <xf numFmtId="0" fontId="32" fillId="0" borderId="6" xfId="0" applyFont="1" applyBorder="1" applyAlignment="1">
      <alignment horizontal="center" vertical="center" wrapText="1"/>
    </xf>
    <xf numFmtId="182" fontId="32" fillId="0" borderId="6" xfId="0" applyNumberFormat="1" applyFont="1" applyBorder="1" applyAlignment="1">
      <alignment vertical="center" wrapText="1"/>
    </xf>
    <xf numFmtId="166" fontId="32" fillId="0" borderId="7" xfId="0" applyNumberFormat="1" applyFont="1" applyBorder="1" applyAlignment="1">
      <alignment vertical="center" wrapText="1"/>
    </xf>
    <xf numFmtId="0" fontId="32" fillId="0" borderId="9" xfId="0" applyFont="1" applyBorder="1" applyAlignment="1">
      <alignment horizontal="center" wrapText="1"/>
    </xf>
    <xf numFmtId="0" fontId="32" fillId="0" borderId="12" xfId="0" applyFont="1" applyBorder="1" applyAlignment="1">
      <alignment horizontal="center" wrapText="1"/>
    </xf>
    <xf numFmtId="167" fontId="32" fillId="0" borderId="102" xfId="0" applyNumberFormat="1" applyFont="1" applyBorder="1" applyAlignment="1">
      <alignment horizontal="center" vertical="center" wrapText="1"/>
    </xf>
    <xf numFmtId="165" fontId="32" fillId="0" borderId="102" xfId="0" applyNumberFormat="1" applyFont="1" applyBorder="1" applyAlignment="1">
      <alignment horizontal="center" vertical="center" wrapText="1"/>
    </xf>
    <xf numFmtId="167" fontId="32" fillId="0" borderId="35" xfId="0" applyNumberFormat="1" applyFont="1" applyBorder="1" applyAlignment="1">
      <alignment horizontal="center" wrapText="1"/>
    </xf>
    <xf numFmtId="166" fontId="31" fillId="0" borderId="111" xfId="0" applyNumberFormat="1" applyFont="1" applyBorder="1" applyAlignment="1">
      <alignment wrapText="1"/>
    </xf>
    <xf numFmtId="0" fontId="24" fillId="17" borderId="4" xfId="0" applyFont="1" applyFill="1" applyBorder="1" applyAlignment="1">
      <alignment wrapText="1"/>
    </xf>
    <xf numFmtId="0" fontId="24" fillId="7" borderId="4" xfId="0" applyFont="1" applyFill="1" applyBorder="1" applyAlignment="1">
      <alignment wrapText="1"/>
    </xf>
    <xf numFmtId="2" fontId="24" fillId="17" borderId="4" xfId="0" applyNumberFormat="1" applyFont="1" applyFill="1" applyBorder="1" applyAlignment="1">
      <alignment wrapText="1"/>
    </xf>
    <xf numFmtId="0" fontId="24" fillId="17" borderId="4" xfId="0" applyFont="1" applyFill="1" applyBorder="1" applyAlignment="1">
      <alignment vertical="center" wrapText="1"/>
    </xf>
    <xf numFmtId="2" fontId="32" fillId="0" borderId="6" xfId="0" applyNumberFormat="1" applyFont="1" applyBorder="1" applyAlignment="1">
      <alignment horizontal="center" vertical="center" wrapText="1"/>
    </xf>
    <xf numFmtId="0" fontId="32" fillId="0" borderId="7" xfId="0" applyFont="1" applyBorder="1" applyAlignment="1">
      <alignment vertical="center" wrapText="1"/>
    </xf>
    <xf numFmtId="166" fontId="32" fillId="0" borderId="9" xfId="0" applyNumberFormat="1" applyFont="1" applyBorder="1" applyAlignment="1">
      <alignment wrapText="1"/>
    </xf>
    <xf numFmtId="0" fontId="32" fillId="0" borderId="131" xfId="0" applyFont="1" applyBorder="1" applyAlignment="1">
      <alignment vertical="center" wrapText="1"/>
    </xf>
    <xf numFmtId="0" fontId="32" fillId="0" borderId="140" xfId="0" applyFont="1" applyBorder="1" applyAlignment="1">
      <alignment wrapText="1"/>
    </xf>
    <xf numFmtId="182" fontId="32" fillId="0" borderId="49" xfId="0" applyNumberFormat="1" applyFont="1" applyBorder="1" applyAlignment="1">
      <alignment wrapText="1"/>
    </xf>
    <xf numFmtId="0" fontId="32" fillId="0" borderId="49" xfId="0" applyFont="1" applyBorder="1" applyAlignment="1">
      <alignment vertical="center" wrapText="1"/>
    </xf>
    <xf numFmtId="166" fontId="32" fillId="0" borderId="96" xfId="0" applyNumberFormat="1" applyFont="1" applyBorder="1" applyAlignment="1">
      <alignment horizontal="right" vertical="center" wrapText="1"/>
    </xf>
    <xf numFmtId="166" fontId="32" fillId="0" borderId="12" xfId="0" applyNumberFormat="1" applyFont="1" applyBorder="1" applyAlignment="1">
      <alignment horizontal="right" wrapText="1"/>
    </xf>
    <xf numFmtId="178" fontId="31" fillId="0" borderId="111" xfId="0" applyNumberFormat="1" applyFont="1" applyBorder="1" applyAlignment="1">
      <alignment wrapText="1"/>
    </xf>
    <xf numFmtId="178" fontId="31" fillId="0" borderId="0" xfId="0" applyNumberFormat="1" applyFont="1" applyAlignment="1">
      <alignment wrapText="1"/>
    </xf>
    <xf numFmtId="166" fontId="32" fillId="0" borderId="12" xfId="0" applyNumberFormat="1" applyFont="1" applyBorder="1" applyAlignment="1">
      <alignment wrapText="1"/>
    </xf>
    <xf numFmtId="0" fontId="32" fillId="0" borderId="6" xfId="0" applyFont="1" applyBorder="1" applyAlignment="1">
      <alignment horizontal="center" wrapText="1"/>
    </xf>
    <xf numFmtId="166" fontId="32" fillId="0" borderId="12" xfId="0" applyNumberFormat="1" applyFont="1" applyBorder="1" applyAlignment="1">
      <alignment vertical="center" wrapText="1"/>
    </xf>
    <xf numFmtId="182" fontId="32" fillId="0" borderId="96" xfId="0" applyNumberFormat="1" applyFont="1" applyBorder="1" applyAlignment="1">
      <alignment wrapText="1"/>
    </xf>
    <xf numFmtId="2" fontId="32" fillId="0" borderId="96" xfId="0" applyNumberFormat="1" applyFont="1" applyBorder="1" applyAlignment="1">
      <alignment horizontal="center" wrapText="1"/>
    </xf>
    <xf numFmtId="166" fontId="32" fillId="0" borderId="96" xfId="0" applyNumberFormat="1" applyFont="1" applyBorder="1" applyAlignment="1">
      <alignment wrapText="1"/>
    </xf>
    <xf numFmtId="0" fontId="32" fillId="0" borderId="141" xfId="0" applyFont="1" applyBorder="1" applyAlignment="1">
      <alignment wrapText="1"/>
    </xf>
    <xf numFmtId="166" fontId="31" fillId="0" borderId="0" xfId="0" applyNumberFormat="1" applyFont="1" applyAlignment="1">
      <alignment wrapText="1"/>
    </xf>
    <xf numFmtId="2" fontId="32" fillId="0" borderId="9" xfId="0" applyNumberFormat="1" applyFont="1" applyBorder="1" applyAlignment="1">
      <alignment horizontal="center" vertical="center" wrapText="1"/>
    </xf>
    <xf numFmtId="166" fontId="32" fillId="0" borderId="10" xfId="0" applyNumberFormat="1" applyFont="1" applyBorder="1" applyAlignment="1">
      <alignment vertical="center" wrapText="1"/>
    </xf>
    <xf numFmtId="0" fontId="32" fillId="0" borderId="12" xfId="0" applyFont="1" applyBorder="1" applyAlignment="1">
      <alignment horizontal="center" vertical="center" wrapText="1"/>
    </xf>
    <xf numFmtId="166" fontId="32" fillId="0" borderId="13" xfId="0" applyNumberFormat="1" applyFont="1" applyBorder="1" applyAlignment="1">
      <alignment vertical="center" wrapText="1"/>
    </xf>
    <xf numFmtId="182" fontId="32" fillId="0" borderId="96" xfId="0" applyNumberFormat="1" applyFont="1" applyBorder="1" applyAlignment="1">
      <alignment horizontal="right" vertical="center" wrapText="1"/>
    </xf>
    <xf numFmtId="180" fontId="32" fillId="0" borderId="12" xfId="0" applyNumberFormat="1" applyFont="1" applyBorder="1" applyAlignment="1">
      <alignment horizontal="right" wrapText="1"/>
    </xf>
    <xf numFmtId="180" fontId="31" fillId="0" borderId="111" xfId="0" applyNumberFormat="1" applyFont="1" applyBorder="1" applyAlignment="1">
      <alignment wrapText="1"/>
    </xf>
    <xf numFmtId="0" fontId="30" fillId="7" borderId="145" xfId="0" applyFont="1" applyFill="1" applyBorder="1" applyAlignment="1">
      <alignment vertical="center" wrapText="1"/>
    </xf>
    <xf numFmtId="0" fontId="30" fillId="7" borderId="146" xfId="0" applyFont="1" applyFill="1" applyBorder="1" applyAlignment="1">
      <alignment vertical="center" wrapText="1"/>
    </xf>
    <xf numFmtId="0" fontId="30" fillId="7" borderId="147" xfId="0" applyFont="1" applyFill="1" applyBorder="1" applyAlignment="1">
      <alignment vertical="center" wrapText="1"/>
    </xf>
    <xf numFmtId="0" fontId="30" fillId="7" borderId="148" xfId="0" applyFont="1" applyFill="1" applyBorder="1" applyAlignment="1">
      <alignment vertical="center" wrapText="1"/>
    </xf>
    <xf numFmtId="0" fontId="31" fillId="7" borderId="111" xfId="0" applyFont="1" applyFill="1" applyBorder="1" applyAlignment="1">
      <alignment horizontal="center" vertical="center" wrapText="1"/>
    </xf>
    <xf numFmtId="0" fontId="31" fillId="7" borderId="4" xfId="0" applyFont="1" applyFill="1" applyBorder="1" applyAlignment="1">
      <alignment vertical="center" wrapText="1"/>
    </xf>
    <xf numFmtId="0" fontId="31" fillId="7" borderId="59" xfId="0" applyFont="1" applyFill="1" applyBorder="1" applyAlignment="1">
      <alignment horizontal="center" vertical="center" wrapText="1"/>
    </xf>
    <xf numFmtId="0" fontId="31" fillId="7" borderId="49" xfId="0" applyFont="1" applyFill="1" applyBorder="1" applyAlignment="1">
      <alignment vertical="center" wrapText="1"/>
    </xf>
    <xf numFmtId="2" fontId="32" fillId="7" borderId="9" xfId="0" applyNumberFormat="1" applyFont="1" applyFill="1" applyBorder="1" applyAlignment="1">
      <alignment horizontal="center" vertical="center" wrapText="1"/>
    </xf>
    <xf numFmtId="166" fontId="32" fillId="7" borderId="9" xfId="0" applyNumberFormat="1" applyFont="1" applyFill="1" applyBorder="1" applyAlignment="1">
      <alignment vertical="center" wrapText="1"/>
    </xf>
    <xf numFmtId="166" fontId="32" fillId="7" borderId="12" xfId="0" applyNumberFormat="1" applyFont="1" applyFill="1" applyBorder="1" applyAlignment="1">
      <alignment vertical="center" wrapText="1"/>
    </xf>
    <xf numFmtId="2" fontId="32" fillId="7" borderId="12" xfId="0" applyNumberFormat="1" applyFont="1" applyFill="1" applyBorder="1" applyAlignment="1">
      <alignment horizontal="center" vertical="center" wrapText="1"/>
    </xf>
    <xf numFmtId="166" fontId="32" fillId="7" borderId="49" xfId="0" applyNumberFormat="1" applyFont="1" applyFill="1" applyBorder="1" applyAlignment="1">
      <alignment vertical="center" wrapText="1"/>
    </xf>
    <xf numFmtId="166" fontId="31" fillId="7" borderId="49" xfId="0" applyNumberFormat="1" applyFont="1" applyFill="1" applyBorder="1" applyAlignment="1">
      <alignment vertical="center" wrapText="1"/>
    </xf>
    <xf numFmtId="0" fontId="32" fillId="7" borderId="6" xfId="0" applyFont="1" applyFill="1" applyBorder="1" applyAlignment="1">
      <alignment horizontal="center" vertical="center" wrapText="1"/>
    </xf>
    <xf numFmtId="166" fontId="32" fillId="7" borderId="6" xfId="0" applyNumberFormat="1" applyFont="1" applyFill="1" applyBorder="1" applyAlignment="1">
      <alignment vertical="center" wrapText="1"/>
    </xf>
    <xf numFmtId="2" fontId="32" fillId="7" borderId="6" xfId="0" applyNumberFormat="1" applyFont="1" applyFill="1" applyBorder="1" applyAlignment="1">
      <alignment horizontal="center" vertical="center" wrapText="1"/>
    </xf>
    <xf numFmtId="166" fontId="32" fillId="7" borderId="7" xfId="0" applyNumberFormat="1" applyFont="1" applyFill="1" applyBorder="1" applyAlignment="1">
      <alignment vertical="center" wrapText="1"/>
    </xf>
    <xf numFmtId="0" fontId="32" fillId="7" borderId="9" xfId="0" applyFont="1" applyFill="1" applyBorder="1" applyAlignment="1">
      <alignment horizontal="center" vertical="center" wrapText="1"/>
    </xf>
    <xf numFmtId="166" fontId="32" fillId="7" borderId="149" xfId="0" applyNumberFormat="1" applyFont="1" applyFill="1" applyBorder="1" applyAlignment="1">
      <alignment vertical="center" wrapText="1"/>
    </xf>
    <xf numFmtId="167" fontId="32" fillId="7" borderId="152" xfId="0" applyNumberFormat="1" applyFont="1" applyFill="1" applyBorder="1" applyAlignment="1">
      <alignment horizontal="center" vertical="center" wrapText="1"/>
    </xf>
    <xf numFmtId="165" fontId="32" fillId="7" borderId="152" xfId="0" applyNumberFormat="1" applyFont="1" applyFill="1" applyBorder="1" applyAlignment="1">
      <alignment horizontal="center" vertical="center" wrapText="1"/>
    </xf>
    <xf numFmtId="166" fontId="32" fillId="7" borderId="6" xfId="0" applyNumberFormat="1" applyFont="1" applyFill="1" applyBorder="1" applyAlignment="1">
      <alignment horizontal="right" vertical="center" wrapText="1"/>
    </xf>
    <xf numFmtId="166" fontId="32" fillId="7" borderId="12" xfId="0" applyNumberFormat="1" applyFont="1" applyFill="1" applyBorder="1" applyAlignment="1">
      <alignment horizontal="right" vertical="center" wrapText="1"/>
    </xf>
    <xf numFmtId="168" fontId="32" fillId="0" borderId="9" xfId="0" applyNumberFormat="1" applyFont="1" applyBorder="1" applyAlignment="1">
      <alignment horizontal="center" wrapText="1"/>
    </xf>
    <xf numFmtId="0" fontId="32" fillId="0" borderId="61" xfId="0" applyFont="1" applyBorder="1" applyAlignment="1">
      <alignment horizontal="center" vertical="center" wrapText="1"/>
    </xf>
    <xf numFmtId="182" fontId="32" fillId="0" borderId="6" xfId="0" applyNumberFormat="1" applyFont="1" applyBorder="1" applyAlignment="1">
      <alignment horizontal="center" vertical="center" wrapText="1"/>
    </xf>
    <xf numFmtId="3" fontId="32" fillId="0" borderId="12" xfId="0" applyNumberFormat="1" applyFont="1" applyBorder="1" applyAlignment="1">
      <alignment horizontal="right" vertical="center" wrapText="1"/>
    </xf>
    <xf numFmtId="186" fontId="31" fillId="0" borderId="111" xfId="0" applyNumberFormat="1" applyFont="1" applyBorder="1" applyAlignment="1">
      <alignment wrapText="1"/>
    </xf>
    <xf numFmtId="166" fontId="46" fillId="0" borderId="13" xfId="0" applyNumberFormat="1" applyFont="1" applyBorder="1" applyAlignment="1">
      <alignment wrapText="1"/>
    </xf>
    <xf numFmtId="166" fontId="32" fillId="0" borderId="0" xfId="0" applyNumberFormat="1" applyFont="1" applyAlignment="1">
      <alignment vertical="center" wrapText="1"/>
    </xf>
    <xf numFmtId="0" fontId="32" fillId="0" borderId="35" xfId="0" applyFont="1" applyBorder="1" applyAlignment="1">
      <alignment horizontal="center" vertical="center" wrapText="1"/>
    </xf>
    <xf numFmtId="165" fontId="32" fillId="0" borderId="9" xfId="0" applyNumberFormat="1" applyFont="1" applyBorder="1" applyAlignment="1">
      <alignment vertical="center" wrapText="1"/>
    </xf>
    <xf numFmtId="165" fontId="32" fillId="0" borderId="12" xfId="0" applyNumberFormat="1" applyFont="1" applyBorder="1" applyAlignment="1">
      <alignment vertical="center" wrapText="1"/>
    </xf>
    <xf numFmtId="167" fontId="32" fillId="0" borderId="35" xfId="0" applyNumberFormat="1" applyFont="1" applyBorder="1" applyAlignment="1">
      <alignment horizontal="center" vertical="center" wrapText="1"/>
    </xf>
    <xf numFmtId="0" fontId="32" fillId="0" borderId="0" xfId="0" applyFont="1" applyAlignment="1">
      <alignment horizontal="center" vertical="center" wrapText="1"/>
    </xf>
    <xf numFmtId="168" fontId="32" fillId="0" borderId="9" xfId="0" applyNumberFormat="1" applyFont="1" applyBorder="1" applyAlignment="1">
      <alignment horizontal="center" vertical="center" wrapText="1"/>
    </xf>
    <xf numFmtId="178" fontId="31" fillId="0" borderId="111" xfId="0" applyNumberFormat="1" applyFont="1" applyBorder="1" applyAlignment="1">
      <alignment vertical="center" wrapText="1"/>
    </xf>
    <xf numFmtId="0" fontId="32" fillId="0" borderId="10" xfId="0" applyFont="1" applyBorder="1" applyAlignment="1">
      <alignment vertical="center" wrapText="1"/>
    </xf>
    <xf numFmtId="0" fontId="24" fillId="7" borderId="4" xfId="0" applyFont="1" applyFill="1" applyBorder="1" applyAlignment="1">
      <alignment vertical="center" wrapText="1"/>
    </xf>
    <xf numFmtId="180" fontId="32" fillId="0" borderId="12" xfId="0" applyNumberFormat="1" applyFont="1" applyBorder="1" applyAlignment="1">
      <alignment horizontal="right" vertical="center" wrapText="1"/>
    </xf>
    <xf numFmtId="177" fontId="32" fillId="0" borderId="9" xfId="0" applyNumberFormat="1" applyFont="1" applyBorder="1" applyAlignment="1">
      <alignment horizontal="center" vertical="center" wrapText="1"/>
    </xf>
    <xf numFmtId="185" fontId="32" fillId="0" borderId="96" xfId="0" applyNumberFormat="1" applyFont="1" applyBorder="1" applyAlignment="1">
      <alignment horizontal="right" vertical="center" wrapText="1"/>
    </xf>
    <xf numFmtId="166" fontId="32" fillId="0" borderId="130" xfId="0" applyNumberFormat="1" applyFont="1" applyBorder="1" applyAlignment="1">
      <alignment vertical="center" wrapText="1"/>
    </xf>
    <xf numFmtId="166" fontId="32" fillId="0" borderId="61" xfId="0" applyNumberFormat="1" applyFont="1" applyBorder="1" applyAlignment="1">
      <alignment vertical="center" wrapText="1"/>
    </xf>
    <xf numFmtId="168" fontId="32" fillId="0" borderId="12" xfId="0" applyNumberFormat="1" applyFont="1" applyBorder="1" applyAlignment="1">
      <alignment horizontal="center" vertical="center" wrapText="1"/>
    </xf>
    <xf numFmtId="0" fontId="32" fillId="0" borderId="60" xfId="0" applyFont="1" applyBorder="1" applyAlignment="1">
      <alignment horizontal="center" vertical="center" wrapText="1"/>
    </xf>
    <xf numFmtId="182" fontId="32" fillId="0" borderId="60" xfId="0" applyNumberFormat="1" applyFont="1" applyBorder="1" applyAlignment="1">
      <alignment vertical="center" wrapText="1"/>
    </xf>
    <xf numFmtId="166" fontId="32" fillId="0" borderId="60" xfId="0" applyNumberFormat="1" applyFont="1" applyBorder="1" applyAlignment="1">
      <alignment vertical="center" wrapText="1"/>
    </xf>
    <xf numFmtId="166" fontId="32" fillId="0" borderId="142" xfId="0" applyNumberFormat="1" applyFont="1" applyBorder="1" applyAlignment="1">
      <alignment vertical="center" wrapText="1"/>
    </xf>
    <xf numFmtId="166" fontId="32" fillId="0" borderId="49" xfId="0" applyNumberFormat="1" applyFont="1" applyBorder="1" applyAlignment="1">
      <alignment horizontal="right" vertical="center" wrapText="1"/>
    </xf>
    <xf numFmtId="166" fontId="32" fillId="0" borderId="0" xfId="0" applyNumberFormat="1" applyFont="1" applyAlignment="1">
      <alignment horizontal="right" vertical="center" wrapText="1"/>
    </xf>
    <xf numFmtId="166" fontId="31" fillId="0" borderId="49" xfId="0" applyNumberFormat="1" applyFont="1" applyBorder="1" applyAlignment="1">
      <alignment horizontal="right" vertical="center" wrapText="1"/>
    </xf>
    <xf numFmtId="166" fontId="32" fillId="0" borderId="7" xfId="0" applyNumberFormat="1" applyFont="1" applyBorder="1" applyAlignment="1">
      <alignment horizontal="right" vertical="center" wrapText="1"/>
    </xf>
    <xf numFmtId="166" fontId="32" fillId="0" borderId="10" xfId="0" applyNumberFormat="1" applyFont="1" applyBorder="1" applyAlignment="1">
      <alignment horizontal="right" vertical="center" wrapText="1"/>
    </xf>
    <xf numFmtId="0" fontId="32" fillId="0" borderId="140" xfId="0" applyFont="1" applyBorder="1" applyAlignment="1">
      <alignment vertical="center" wrapText="1"/>
    </xf>
    <xf numFmtId="182" fontId="32" fillId="0" borderId="49" xfId="0" applyNumberFormat="1" applyFont="1" applyBorder="1" applyAlignment="1">
      <alignment vertical="center" wrapText="1"/>
    </xf>
    <xf numFmtId="166" fontId="32" fillId="0" borderId="9" xfId="0" applyNumberFormat="1" applyFont="1" applyBorder="1" applyAlignment="1">
      <alignment horizontal="right" vertical="center" wrapText="1"/>
    </xf>
    <xf numFmtId="0" fontId="32" fillId="0" borderId="141" xfId="0" applyFont="1" applyBorder="1" applyAlignment="1">
      <alignment vertical="center" wrapText="1"/>
    </xf>
    <xf numFmtId="2" fontId="32" fillId="0" borderId="60" xfId="0" applyNumberFormat="1" applyFont="1" applyBorder="1" applyAlignment="1">
      <alignment horizontal="center" vertical="center" wrapText="1"/>
    </xf>
    <xf numFmtId="0" fontId="32" fillId="0" borderId="142" xfId="0" applyFont="1" applyBorder="1" applyAlignment="1">
      <alignment vertical="center" wrapText="1"/>
    </xf>
    <xf numFmtId="0" fontId="31" fillId="0" borderId="0" xfId="0" applyFont="1" applyAlignment="1">
      <alignment vertical="center"/>
    </xf>
    <xf numFmtId="0" fontId="32" fillId="13" borderId="138" xfId="0" applyFont="1" applyFill="1" applyBorder="1" applyAlignment="1">
      <alignment horizontal="center" vertical="center"/>
    </xf>
    <xf numFmtId="0" fontId="32" fillId="0" borderId="102" xfId="0" applyFont="1" applyBorder="1" applyAlignment="1">
      <alignment horizontal="center" vertical="center"/>
    </xf>
    <xf numFmtId="2" fontId="32" fillId="0" borderId="102" xfId="0" applyNumberFormat="1" applyFont="1" applyBorder="1" applyAlignment="1">
      <alignment horizontal="center" vertical="center"/>
    </xf>
    <xf numFmtId="167" fontId="32" fillId="0" borderId="6" xfId="0" applyNumberFormat="1" applyFont="1" applyBorder="1" applyAlignment="1">
      <alignment horizontal="center" vertical="center"/>
    </xf>
    <xf numFmtId="3" fontId="32" fillId="0" borderId="35" xfId="0" applyNumberFormat="1" applyFont="1" applyBorder="1" applyAlignment="1">
      <alignment horizontal="center" vertical="center" wrapText="1"/>
    </xf>
    <xf numFmtId="2" fontId="32" fillId="0" borderId="35" xfId="0" applyNumberFormat="1" applyFont="1" applyBorder="1" applyAlignment="1">
      <alignment horizontal="center" vertical="center"/>
    </xf>
    <xf numFmtId="167" fontId="32" fillId="0" borderId="96" xfId="0" applyNumberFormat="1" applyFont="1" applyBorder="1" applyAlignment="1">
      <alignment horizontal="center" vertical="center"/>
    </xf>
    <xf numFmtId="180" fontId="31" fillId="0" borderId="111" xfId="0" applyNumberFormat="1" applyFont="1" applyBorder="1" applyAlignment="1">
      <alignment vertical="center"/>
    </xf>
    <xf numFmtId="0" fontId="31" fillId="0" borderId="131" xfId="0" applyFont="1" applyBorder="1" applyAlignment="1">
      <alignment vertical="center"/>
    </xf>
    <xf numFmtId="182" fontId="32" fillId="0" borderId="140" xfId="0" applyNumberFormat="1" applyFont="1" applyBorder="1" applyAlignment="1">
      <alignment vertical="center"/>
    </xf>
    <xf numFmtId="182" fontId="32" fillId="0" borderId="6" xfId="0" applyNumberFormat="1" applyFont="1" applyBorder="1" applyAlignment="1">
      <alignment horizontal="right" vertical="center" wrapText="1"/>
    </xf>
    <xf numFmtId="182" fontId="32" fillId="0" borderId="61" xfId="0" applyNumberFormat="1" applyFont="1" applyBorder="1" applyAlignment="1">
      <alignment horizontal="right" vertical="center" wrapText="1"/>
    </xf>
    <xf numFmtId="182" fontId="32" fillId="0" borderId="12" xfId="0" applyNumberFormat="1" applyFont="1" applyBorder="1" applyAlignment="1">
      <alignment horizontal="right" vertical="center" wrapText="1"/>
    </xf>
    <xf numFmtId="0" fontId="31" fillId="0" borderId="130" xfId="0" applyFont="1" applyBorder="1" applyAlignment="1">
      <alignment horizontal="center" vertical="center"/>
    </xf>
    <xf numFmtId="182" fontId="32" fillId="0" borderId="61" xfId="0" applyNumberFormat="1" applyFont="1" applyBorder="1" applyAlignment="1">
      <alignment vertical="center"/>
    </xf>
    <xf numFmtId="166" fontId="31" fillId="0" borderId="131" xfId="0" applyNumberFormat="1" applyFont="1" applyBorder="1" applyAlignment="1">
      <alignment vertical="center"/>
    </xf>
    <xf numFmtId="166" fontId="32" fillId="0" borderId="61" xfId="0" applyNumberFormat="1" applyFont="1" applyBorder="1" applyAlignment="1">
      <alignment horizontal="right" vertical="center" wrapText="1"/>
    </xf>
    <xf numFmtId="0" fontId="13" fillId="0" borderId="0" xfId="0" applyFont="1" applyAlignment="1">
      <alignment vertical="center"/>
    </xf>
    <xf numFmtId="0" fontId="30" fillId="7" borderId="164" xfId="0" applyFont="1" applyFill="1" applyBorder="1" applyAlignment="1">
      <alignment vertical="center" wrapText="1"/>
    </xf>
    <xf numFmtId="0" fontId="30" fillId="7" borderId="4" xfId="0" applyFont="1" applyFill="1" applyBorder="1" applyAlignment="1">
      <alignment vertical="center" wrapText="1"/>
    </xf>
    <xf numFmtId="0" fontId="30" fillId="7" borderId="165" xfId="0" applyFont="1" applyFill="1" applyBorder="1" applyAlignment="1">
      <alignment vertical="center" wrapText="1"/>
    </xf>
    <xf numFmtId="0" fontId="13" fillId="7" borderId="164" xfId="0" applyFont="1" applyFill="1" applyBorder="1" applyAlignment="1">
      <alignment vertical="center" wrapText="1"/>
    </xf>
    <xf numFmtId="0" fontId="13" fillId="7" borderId="4" xfId="0" applyFont="1" applyFill="1" applyBorder="1" applyAlignment="1">
      <alignment vertical="center" wrapText="1"/>
    </xf>
    <xf numFmtId="0" fontId="13" fillId="7" borderId="4" xfId="0" applyFont="1" applyFill="1" applyBorder="1" applyAlignment="1">
      <alignment horizontal="center" vertical="center" wrapText="1"/>
    </xf>
    <xf numFmtId="184" fontId="13" fillId="7" borderId="4" xfId="0" applyNumberFormat="1" applyFont="1" applyFill="1" applyBorder="1" applyAlignment="1">
      <alignment vertical="center" wrapText="1"/>
    </xf>
    <xf numFmtId="179" fontId="13" fillId="7" borderId="4" xfId="0" applyNumberFormat="1" applyFont="1" applyFill="1" applyBorder="1" applyAlignment="1">
      <alignment horizontal="center" vertical="center"/>
    </xf>
    <xf numFmtId="0" fontId="30" fillId="7" borderId="4" xfId="0" applyFont="1" applyFill="1" applyBorder="1" applyAlignment="1">
      <alignment vertical="center"/>
    </xf>
    <xf numFmtId="187" fontId="13" fillId="7" borderId="165" xfId="0" applyNumberFormat="1" applyFont="1" applyFill="1" applyBorder="1" applyAlignment="1">
      <alignment vertical="center"/>
    </xf>
    <xf numFmtId="0" fontId="30" fillId="7" borderId="164" xfId="0" applyFont="1" applyFill="1" applyBorder="1" applyAlignment="1">
      <alignment vertical="center"/>
    </xf>
    <xf numFmtId="0" fontId="13" fillId="7" borderId="4" xfId="0" applyFont="1" applyFill="1" applyBorder="1" applyAlignment="1">
      <alignment vertical="center"/>
    </xf>
    <xf numFmtId="0" fontId="13" fillId="7" borderId="4" xfId="0" applyFont="1" applyFill="1" applyBorder="1" applyAlignment="1">
      <alignment horizontal="center" vertical="center"/>
    </xf>
    <xf numFmtId="184" fontId="13" fillId="7" borderId="4" xfId="0" applyNumberFormat="1" applyFont="1" applyFill="1" applyBorder="1" applyAlignment="1">
      <alignment vertical="center"/>
    </xf>
    <xf numFmtId="187" fontId="30" fillId="7" borderId="4" xfId="0" applyNumberFormat="1" applyFont="1" applyFill="1" applyBorder="1" applyAlignment="1">
      <alignment vertical="center"/>
    </xf>
    <xf numFmtId="0" fontId="30" fillId="7" borderId="9" xfId="0" applyFont="1" applyFill="1" applyBorder="1" applyAlignment="1">
      <alignment horizontal="center" vertical="center"/>
    </xf>
    <xf numFmtId="184" fontId="30" fillId="7" borderId="9" xfId="0" applyNumberFormat="1" applyFont="1" applyFill="1" applyBorder="1" applyAlignment="1">
      <alignment horizontal="center" vertical="center" wrapText="1"/>
    </xf>
    <xf numFmtId="179" fontId="30" fillId="7" borderId="9" xfId="0" applyNumberFormat="1" applyFont="1" applyFill="1" applyBorder="1" applyAlignment="1">
      <alignment horizontal="center" vertical="center"/>
    </xf>
    <xf numFmtId="187" fontId="30" fillId="7" borderId="9" xfId="0" applyNumberFormat="1" applyFont="1" applyFill="1" applyBorder="1" applyAlignment="1">
      <alignment horizontal="center" vertical="center"/>
    </xf>
    <xf numFmtId="187" fontId="13" fillId="7" borderId="165" xfId="0" applyNumberFormat="1" applyFont="1" applyFill="1" applyBorder="1" applyAlignment="1">
      <alignment horizontal="center" vertical="center"/>
    </xf>
    <xf numFmtId="0" fontId="24" fillId="7" borderId="9" xfId="0" applyFont="1" applyFill="1" applyBorder="1" applyAlignment="1">
      <alignment horizontal="center" vertical="center"/>
    </xf>
    <xf numFmtId="184" fontId="24" fillId="7" borderId="9" xfId="0" applyNumberFormat="1" applyFont="1" applyFill="1" applyBorder="1" applyAlignment="1">
      <alignment horizontal="left" vertical="center"/>
    </xf>
    <xf numFmtId="179" fontId="24" fillId="7" borderId="9" xfId="0" applyNumberFormat="1" applyFont="1" applyFill="1" applyBorder="1" applyAlignment="1">
      <alignment horizontal="center" vertical="center"/>
    </xf>
    <xf numFmtId="188" fontId="24" fillId="7" borderId="9" xfId="0" applyNumberFormat="1" applyFont="1" applyFill="1" applyBorder="1" applyAlignment="1">
      <alignment horizontal="left" vertical="center"/>
    </xf>
    <xf numFmtId="184" fontId="24" fillId="7" borderId="9" xfId="0" applyNumberFormat="1" applyFont="1" applyFill="1" applyBorder="1" applyAlignment="1">
      <alignment horizontal="center" vertical="center" wrapText="1"/>
    </xf>
    <xf numFmtId="0" fontId="13" fillId="7" borderId="9" xfId="0" applyFont="1" applyFill="1" applyBorder="1" applyAlignment="1">
      <alignment horizontal="center" vertical="center"/>
    </xf>
    <xf numFmtId="179" fontId="13" fillId="7" borderId="9" xfId="0" applyNumberFormat="1" applyFont="1" applyFill="1" applyBorder="1" applyAlignment="1">
      <alignment vertical="center"/>
    </xf>
    <xf numFmtId="187" fontId="24" fillId="7" borderId="46" xfId="0" applyNumberFormat="1" applyFont="1" applyFill="1" applyBorder="1" applyAlignment="1">
      <alignment horizontal="left" vertical="center"/>
    </xf>
    <xf numFmtId="187" fontId="24" fillId="7" borderId="165" xfId="0" applyNumberFormat="1" applyFont="1" applyFill="1" applyBorder="1" applyAlignment="1">
      <alignment horizontal="left" vertical="center"/>
    </xf>
    <xf numFmtId="187" fontId="30" fillId="7" borderId="54" xfId="0" applyNumberFormat="1" applyFont="1" applyFill="1" applyBorder="1" applyAlignment="1">
      <alignment vertical="center"/>
    </xf>
    <xf numFmtId="188" fontId="13" fillId="7" borderId="10" xfId="0" applyNumberFormat="1" applyFont="1" applyFill="1" applyBorder="1" applyAlignment="1">
      <alignment vertical="center"/>
    </xf>
    <xf numFmtId="0" fontId="13" fillId="7" borderId="164" xfId="0" applyFont="1" applyFill="1" applyBorder="1" applyAlignment="1">
      <alignment vertical="center"/>
    </xf>
    <xf numFmtId="187" fontId="13" fillId="7" borderId="4" xfId="0" applyNumberFormat="1" applyFont="1" applyFill="1" applyBorder="1" applyAlignment="1">
      <alignment vertical="center"/>
    </xf>
    <xf numFmtId="0" fontId="13" fillId="7" borderId="165" xfId="0" applyFont="1" applyFill="1" applyBorder="1" applyAlignment="1">
      <alignment vertical="center"/>
    </xf>
    <xf numFmtId="187" fontId="24" fillId="7" borderId="9" xfId="0" applyNumberFormat="1" applyFont="1" applyFill="1" applyBorder="1" applyAlignment="1">
      <alignment horizontal="center" vertical="center"/>
    </xf>
    <xf numFmtId="187" fontId="30" fillId="7" borderId="9" xfId="0" applyNumberFormat="1" applyFont="1" applyFill="1" applyBorder="1" applyAlignment="1">
      <alignment vertical="center"/>
    </xf>
    <xf numFmtId="184" fontId="13" fillId="7" borderId="165" xfId="0" applyNumberFormat="1" applyFont="1" applyFill="1" applyBorder="1" applyAlignment="1">
      <alignment vertical="center"/>
    </xf>
    <xf numFmtId="0" fontId="30" fillId="7" borderId="8" xfId="0" applyFont="1" applyFill="1" applyBorder="1" applyAlignment="1">
      <alignment horizontal="center" vertical="center"/>
    </xf>
    <xf numFmtId="0" fontId="30" fillId="7" borderId="138" xfId="0" applyFont="1" applyFill="1" applyBorder="1" applyAlignment="1">
      <alignment horizontal="center" vertical="center"/>
    </xf>
    <xf numFmtId="0" fontId="30" fillId="7" borderId="9" xfId="0" applyFont="1" applyFill="1" applyBorder="1" applyAlignment="1">
      <alignment horizontal="center" vertical="center" wrapText="1"/>
    </xf>
    <xf numFmtId="184" fontId="30" fillId="7" borderId="9" xfId="0" applyNumberFormat="1" applyFont="1" applyFill="1" applyBorder="1" applyAlignment="1">
      <alignment horizontal="center" vertical="center"/>
    </xf>
    <xf numFmtId="184" fontId="30" fillId="7" borderId="136" xfId="0" applyNumberFormat="1" applyFont="1" applyFill="1" applyBorder="1" applyAlignment="1">
      <alignment vertical="center"/>
    </xf>
    <xf numFmtId="0" fontId="13" fillId="7" borderId="8" xfId="0" applyFont="1" applyFill="1" applyBorder="1" applyAlignment="1">
      <alignment horizontal="left" vertical="center"/>
    </xf>
    <xf numFmtId="0" fontId="24" fillId="7" borderId="138" xfId="0" applyFont="1" applyFill="1" applyBorder="1" applyAlignment="1">
      <alignment horizontal="left" vertical="center"/>
    </xf>
    <xf numFmtId="184" fontId="13" fillId="7" borderId="9" xfId="0" applyNumberFormat="1" applyFont="1" applyFill="1" applyBorder="1" applyAlignment="1">
      <alignment horizontal="right" vertical="center"/>
    </xf>
    <xf numFmtId="189" fontId="13" fillId="7" borderId="9" xfId="0" applyNumberFormat="1" applyFont="1" applyFill="1" applyBorder="1" applyAlignment="1">
      <alignment horizontal="center" vertical="center"/>
    </xf>
    <xf numFmtId="184" fontId="13" fillId="7" borderId="47" xfId="0" applyNumberFormat="1" applyFont="1" applyFill="1" applyBorder="1" applyAlignment="1">
      <alignment horizontal="left" vertical="center"/>
    </xf>
    <xf numFmtId="184" fontId="13" fillId="7" borderId="168" xfId="0" applyNumberFormat="1" applyFont="1" applyFill="1" applyBorder="1" applyAlignment="1">
      <alignment horizontal="left" vertical="center"/>
    </xf>
    <xf numFmtId="184" fontId="30" fillId="7" borderId="4" xfId="0" applyNumberFormat="1" applyFont="1" applyFill="1" applyBorder="1" applyAlignment="1">
      <alignment vertical="center"/>
    </xf>
    <xf numFmtId="179" fontId="30" fillId="7" borderId="4" xfId="0" applyNumberFormat="1" applyFont="1" applyFill="1" applyBorder="1" applyAlignment="1">
      <alignment horizontal="center" vertical="center"/>
    </xf>
    <xf numFmtId="188" fontId="16" fillId="7" borderId="10" xfId="0" applyNumberFormat="1" applyFont="1" applyFill="1" applyBorder="1" applyAlignment="1">
      <alignment vertical="center"/>
    </xf>
    <xf numFmtId="0" fontId="13" fillId="0" borderId="118" xfId="0" applyFont="1" applyBorder="1" applyAlignment="1">
      <alignment vertical="center"/>
    </xf>
    <xf numFmtId="0" fontId="13" fillId="0" borderId="53" xfId="0" applyFont="1" applyBorder="1" applyAlignment="1">
      <alignment vertical="center"/>
    </xf>
    <xf numFmtId="0" fontId="13" fillId="0" borderId="106" xfId="0" applyFont="1" applyBorder="1" applyAlignment="1">
      <alignment vertical="center"/>
    </xf>
    <xf numFmtId="0" fontId="13" fillId="7" borderId="170" xfId="0" applyFont="1" applyFill="1" applyBorder="1" applyAlignment="1">
      <alignment vertical="center"/>
    </xf>
    <xf numFmtId="0" fontId="30" fillId="7" borderId="147" xfId="0" applyFont="1" applyFill="1" applyBorder="1" applyAlignment="1">
      <alignment vertical="center"/>
    </xf>
    <xf numFmtId="0" fontId="13" fillId="7" borderId="147" xfId="0" applyFont="1" applyFill="1" applyBorder="1" applyAlignment="1">
      <alignment horizontal="center" vertical="center"/>
    </xf>
    <xf numFmtId="184" fontId="13" fillId="7" borderId="147" xfId="0" applyNumberFormat="1" applyFont="1" applyFill="1" applyBorder="1" applyAlignment="1">
      <alignment vertical="center"/>
    </xf>
    <xf numFmtId="179" fontId="13" fillId="7" borderId="147" xfId="0" applyNumberFormat="1" applyFont="1" applyFill="1" applyBorder="1" applyAlignment="1">
      <alignment horizontal="center" vertical="center"/>
    </xf>
    <xf numFmtId="0" fontId="13" fillId="7" borderId="147" xfId="0" applyFont="1" applyFill="1" applyBorder="1" applyAlignment="1">
      <alignment vertical="center"/>
    </xf>
    <xf numFmtId="0" fontId="13" fillId="7" borderId="148" xfId="0" applyFont="1" applyFill="1" applyBorder="1" applyAlignment="1">
      <alignment vertical="center"/>
    </xf>
    <xf numFmtId="0" fontId="24" fillId="7" borderId="134" xfId="0" applyFont="1" applyFill="1" applyBorder="1" applyAlignment="1">
      <alignment vertical="center"/>
    </xf>
    <xf numFmtId="0" fontId="24" fillId="7" borderId="9" xfId="0" applyFont="1" applyFill="1" applyBorder="1" applyAlignment="1">
      <alignment horizontal="left" vertical="center"/>
    </xf>
    <xf numFmtId="184" fontId="24" fillId="7" borderId="9" xfId="0" applyNumberFormat="1" applyFont="1" applyFill="1" applyBorder="1" applyAlignment="1">
      <alignment horizontal="left" vertical="center" wrapText="1"/>
    </xf>
    <xf numFmtId="179" fontId="24" fillId="7" borderId="9" xfId="0" applyNumberFormat="1" applyFont="1" applyFill="1" applyBorder="1" applyAlignment="1">
      <alignment horizontal="left" vertical="center"/>
    </xf>
    <xf numFmtId="187" fontId="24" fillId="7" borderId="9" xfId="0" applyNumberFormat="1" applyFont="1" applyFill="1" applyBorder="1" applyAlignment="1">
      <alignment horizontal="left" vertical="center"/>
    </xf>
    <xf numFmtId="0" fontId="24" fillId="7" borderId="8" xfId="0" applyFont="1" applyFill="1" applyBorder="1" applyAlignment="1">
      <alignment horizontal="left" vertical="center"/>
    </xf>
    <xf numFmtId="188" fontId="13" fillId="7" borderId="9" xfId="0" applyNumberFormat="1" applyFont="1" applyFill="1" applyBorder="1" applyAlignment="1">
      <alignment vertical="center"/>
    </xf>
    <xf numFmtId="188" fontId="24" fillId="7" borderId="9" xfId="0" applyNumberFormat="1" applyFont="1" applyFill="1" applyBorder="1" applyAlignment="1">
      <alignment vertical="center"/>
    </xf>
    <xf numFmtId="0" fontId="13" fillId="0" borderId="32" xfId="0" applyFont="1" applyBorder="1" applyAlignment="1">
      <alignment vertical="center"/>
    </xf>
    <xf numFmtId="0" fontId="13" fillId="0" borderId="22" xfId="0" applyFont="1" applyBorder="1" applyAlignment="1">
      <alignment vertical="center"/>
    </xf>
    <xf numFmtId="187" fontId="24" fillId="7" borderId="9" xfId="0" applyNumberFormat="1" applyFont="1" applyFill="1" applyBorder="1" applyAlignment="1">
      <alignment horizontal="center" vertical="center" wrapText="1"/>
    </xf>
    <xf numFmtId="190" fontId="24" fillId="7" borderId="9" xfId="0" applyNumberFormat="1" applyFont="1" applyFill="1" applyBorder="1" applyAlignment="1">
      <alignment horizontal="center" vertical="center" wrapText="1"/>
    </xf>
    <xf numFmtId="188" fontId="24" fillId="7" borderId="9" xfId="0" applyNumberFormat="1" applyFont="1" applyFill="1" applyBorder="1" applyAlignment="1">
      <alignment horizontal="center" vertical="center"/>
    </xf>
    <xf numFmtId="188" fontId="24" fillId="0" borderId="9" xfId="0" applyNumberFormat="1" applyFont="1" applyBorder="1" applyAlignment="1">
      <alignment horizontal="center" vertical="center" wrapText="1"/>
    </xf>
    <xf numFmtId="188" fontId="24" fillId="0" borderId="9" xfId="0" applyNumberFormat="1" applyFont="1" applyBorder="1" applyAlignment="1">
      <alignment horizontal="right" vertical="center" wrapText="1"/>
    </xf>
    <xf numFmtId="179" fontId="24" fillId="7" borderId="9" xfId="0" applyNumberFormat="1" applyFont="1" applyFill="1" applyBorder="1" applyAlignment="1">
      <alignment horizontal="right" vertical="center"/>
    </xf>
    <xf numFmtId="3" fontId="13" fillId="0" borderId="9" xfId="0" applyNumberFormat="1" applyFont="1" applyBorder="1" applyAlignment="1">
      <alignment horizontal="right" vertical="center"/>
    </xf>
    <xf numFmtId="184" fontId="24" fillId="7" borderId="9" xfId="0" applyNumberFormat="1" applyFont="1" applyFill="1" applyBorder="1" applyAlignment="1">
      <alignment horizontal="right" vertical="center" wrapText="1"/>
    </xf>
    <xf numFmtId="189" fontId="30" fillId="7" borderId="9" xfId="0" applyNumberFormat="1" applyFont="1" applyFill="1" applyBorder="1" applyAlignment="1">
      <alignment horizontal="center" vertical="center"/>
    </xf>
    <xf numFmtId="0" fontId="13" fillId="0" borderId="2" xfId="0" applyFont="1" applyBorder="1" applyAlignment="1">
      <alignment vertical="center"/>
    </xf>
    <xf numFmtId="189" fontId="24" fillId="7" borderId="9" xfId="0" applyNumberFormat="1" applyFont="1" applyFill="1" applyBorder="1" applyAlignment="1">
      <alignment horizontal="center" vertical="center"/>
    </xf>
    <xf numFmtId="188" fontId="24" fillId="7" borderId="9" xfId="0" applyNumberFormat="1" applyFont="1" applyFill="1" applyBorder="1" applyAlignment="1">
      <alignment horizontal="center" vertical="center" wrapText="1"/>
    </xf>
    <xf numFmtId="184" fontId="70" fillId="7" borderId="9" xfId="0" applyNumberFormat="1" applyFont="1" applyFill="1" applyBorder="1" applyAlignment="1">
      <alignment horizontal="center" vertical="center" wrapText="1"/>
    </xf>
    <xf numFmtId="184" fontId="24" fillId="7" borderId="9" xfId="0" applyNumberFormat="1" applyFont="1" applyFill="1" applyBorder="1" applyAlignment="1">
      <alignment horizontal="right" vertical="center"/>
    </xf>
    <xf numFmtId="191" fontId="13" fillId="7" borderId="9" xfId="0" applyNumberFormat="1" applyFont="1" applyFill="1" applyBorder="1" applyAlignment="1">
      <alignment vertical="center"/>
    </xf>
    <xf numFmtId="0" fontId="66" fillId="0" borderId="16" xfId="0" applyFont="1" applyBorder="1" applyAlignment="1">
      <alignment vertical="center" wrapText="1"/>
    </xf>
    <xf numFmtId="0" fontId="66" fillId="0" borderId="18" xfId="0" applyFont="1" applyBorder="1" applyAlignment="1">
      <alignment vertical="center" wrapText="1"/>
    </xf>
    <xf numFmtId="0" fontId="66" fillId="0" borderId="53" xfId="0" applyFont="1" applyBorder="1" applyAlignment="1">
      <alignment vertical="center" wrapText="1"/>
    </xf>
    <xf numFmtId="0" fontId="66" fillId="0" borderId="106" xfId="0" applyFont="1" applyBorder="1" applyAlignment="1">
      <alignment vertical="center" wrapText="1"/>
    </xf>
    <xf numFmtId="0" fontId="66" fillId="0" borderId="0" xfId="0" applyFont="1" applyAlignment="1">
      <alignment vertical="center" wrapText="1"/>
    </xf>
    <xf numFmtId="184" fontId="46" fillId="0" borderId="0" xfId="0" applyNumberFormat="1" applyFont="1"/>
    <xf numFmtId="0" fontId="66" fillId="0" borderId="101" xfId="0" applyFont="1" applyBorder="1" applyAlignment="1">
      <alignment horizontal="center" vertical="center" wrapText="1"/>
    </xf>
    <xf numFmtId="0" fontId="66" fillId="0" borderId="172" xfId="0" applyFont="1" applyBorder="1" applyAlignment="1">
      <alignment horizontal="center" vertical="center" wrapText="1"/>
    </xf>
    <xf numFmtId="1" fontId="46" fillId="0" borderId="0" xfId="0" applyNumberFormat="1" applyFont="1"/>
    <xf numFmtId="184" fontId="46" fillId="0" borderId="65" xfId="0" applyNumberFormat="1" applyFont="1" applyBorder="1" applyAlignment="1">
      <alignment horizontal="center" vertical="center"/>
    </xf>
    <xf numFmtId="182" fontId="46" fillId="0" borderId="63" xfId="0" applyNumberFormat="1" applyFont="1" applyBorder="1" applyAlignment="1">
      <alignment wrapText="1"/>
    </xf>
    <xf numFmtId="2" fontId="46" fillId="0" borderId="5" xfId="0" applyNumberFormat="1" applyFont="1" applyBorder="1" applyAlignment="1">
      <alignment horizontal="center" vertical="center" wrapText="1"/>
    </xf>
    <xf numFmtId="184" fontId="46" fillId="0" borderId="68" xfId="0" applyNumberFormat="1" applyFont="1" applyBorder="1" applyAlignment="1">
      <alignment horizontal="center" vertical="center"/>
    </xf>
    <xf numFmtId="182" fontId="46" fillId="0" borderId="34" xfId="0" applyNumberFormat="1" applyFont="1" applyBorder="1" applyAlignment="1">
      <alignment wrapText="1"/>
    </xf>
    <xf numFmtId="0" fontId="46" fillId="0" borderId="8" xfId="0" applyFont="1" applyBorder="1" applyAlignment="1">
      <alignment horizontal="center"/>
    </xf>
    <xf numFmtId="2" fontId="46" fillId="0" borderId="8" xfId="0" applyNumberFormat="1" applyFont="1" applyBorder="1" applyAlignment="1">
      <alignment horizontal="center" vertical="center" wrapText="1"/>
    </xf>
    <xf numFmtId="182" fontId="46" fillId="0" borderId="37" xfId="0" applyNumberFormat="1" applyFont="1" applyBorder="1" applyAlignment="1">
      <alignment wrapText="1"/>
    </xf>
    <xf numFmtId="184" fontId="46" fillId="0" borderId="71" xfId="0" applyNumberFormat="1" applyFont="1" applyBorder="1" applyAlignment="1">
      <alignment horizontal="center" vertical="center"/>
    </xf>
    <xf numFmtId="182" fontId="46" fillId="0" borderId="56" xfId="0" applyNumberFormat="1" applyFont="1" applyBorder="1" applyAlignment="1">
      <alignment vertical="center" wrapText="1"/>
    </xf>
    <xf numFmtId="0" fontId="46" fillId="0" borderId="11" xfId="0" applyFont="1" applyBorder="1" applyAlignment="1">
      <alignment horizontal="center"/>
    </xf>
    <xf numFmtId="0" fontId="46" fillId="0" borderId="49" xfId="0" applyFont="1" applyBorder="1" applyAlignment="1">
      <alignment vertical="center" wrapText="1"/>
    </xf>
    <xf numFmtId="167" fontId="46" fillId="0" borderId="102" xfId="0" applyNumberFormat="1" applyFont="1" applyBorder="1" applyAlignment="1">
      <alignment horizontal="center" vertical="center" wrapText="1"/>
    </xf>
    <xf numFmtId="165" fontId="46" fillId="0" borderId="102" xfId="0" applyNumberFormat="1" applyFont="1" applyBorder="1" applyAlignment="1">
      <alignment horizontal="center" vertical="center" wrapText="1"/>
    </xf>
    <xf numFmtId="182" fontId="46" fillId="0" borderId="96" xfId="0" applyNumberFormat="1" applyFont="1" applyBorder="1" applyAlignment="1">
      <alignment horizontal="right" vertical="center" wrapText="1"/>
    </xf>
    <xf numFmtId="167" fontId="46" fillId="0" borderId="35" xfId="0" applyNumberFormat="1" applyFont="1" applyBorder="1" applyAlignment="1">
      <alignment horizontal="center" wrapText="1"/>
    </xf>
    <xf numFmtId="165" fontId="46" fillId="0" borderId="35" xfId="0" applyNumberFormat="1" applyFont="1" applyBorder="1" applyAlignment="1">
      <alignment horizontal="center" wrapText="1"/>
    </xf>
    <xf numFmtId="180" fontId="46" fillId="0" borderId="12" xfId="0" applyNumberFormat="1" applyFont="1" applyBorder="1" applyAlignment="1">
      <alignment horizontal="right" wrapText="1"/>
    </xf>
    <xf numFmtId="180" fontId="66" fillId="0" borderId="111" xfId="0" applyNumberFormat="1" applyFont="1" applyBorder="1" applyAlignment="1">
      <alignment wrapText="1"/>
    </xf>
    <xf numFmtId="192" fontId="46" fillId="0" borderId="5" xfId="0" applyNumberFormat="1" applyFont="1" applyBorder="1" applyAlignment="1">
      <alignment horizontal="center" vertical="center" wrapText="1"/>
    </xf>
    <xf numFmtId="193" fontId="46" fillId="0" borderId="7" xfId="0" applyNumberFormat="1" applyFont="1" applyBorder="1" applyAlignment="1">
      <alignment wrapText="1"/>
    </xf>
    <xf numFmtId="192" fontId="46" fillId="0" borderId="8" xfId="0" applyNumberFormat="1" applyFont="1" applyBorder="1" applyAlignment="1">
      <alignment horizontal="center"/>
    </xf>
    <xf numFmtId="193" fontId="46" fillId="0" borderId="10" xfId="0" applyNumberFormat="1" applyFont="1" applyBorder="1" applyAlignment="1">
      <alignment wrapText="1"/>
    </xf>
    <xf numFmtId="192" fontId="46" fillId="0" borderId="8" xfId="0" applyNumberFormat="1" applyFont="1" applyBorder="1" applyAlignment="1">
      <alignment horizontal="center" vertical="center" wrapText="1"/>
    </xf>
    <xf numFmtId="1" fontId="46" fillId="0" borderId="8" xfId="0" applyNumberFormat="1" applyFont="1" applyBorder="1" applyAlignment="1">
      <alignment horizontal="center" vertical="center" wrapText="1"/>
    </xf>
    <xf numFmtId="182" fontId="46" fillId="0" borderId="10" xfId="0" applyNumberFormat="1" applyFont="1" applyBorder="1" applyAlignment="1">
      <alignment wrapText="1"/>
    </xf>
    <xf numFmtId="182" fontId="46" fillId="0" borderId="56" xfId="0" applyNumberFormat="1" applyFont="1" applyBorder="1" applyAlignment="1">
      <alignment wrapText="1"/>
    </xf>
    <xf numFmtId="194" fontId="46" fillId="0" borderId="102" xfId="0" applyNumberFormat="1" applyFont="1" applyBorder="1" applyAlignment="1">
      <alignment horizontal="center" vertical="center" wrapText="1"/>
    </xf>
    <xf numFmtId="194" fontId="46" fillId="0" borderId="35" xfId="0" applyNumberFormat="1" applyFont="1" applyBorder="1" applyAlignment="1">
      <alignment horizontal="center" wrapText="1"/>
    </xf>
    <xf numFmtId="0" fontId="66" fillId="0" borderId="16" xfId="0" applyFont="1" applyBorder="1" applyAlignment="1">
      <alignment horizontal="center" vertical="center" wrapText="1"/>
    </xf>
    <xf numFmtId="184" fontId="46" fillId="0" borderId="6" xfId="0" applyNumberFormat="1" applyFont="1" applyBorder="1" applyAlignment="1">
      <alignment horizontal="center"/>
    </xf>
    <xf numFmtId="166" fontId="46" fillId="0" borderId="6" xfId="0" applyNumberFormat="1" applyFont="1" applyBorder="1"/>
    <xf numFmtId="4" fontId="46" fillId="0" borderId="6" xfId="0" applyNumberFormat="1" applyFont="1" applyBorder="1" applyAlignment="1">
      <alignment horizontal="center"/>
    </xf>
    <xf numFmtId="184" fontId="46" fillId="0" borderId="9" xfId="0" applyNumberFormat="1" applyFont="1" applyBorder="1" applyAlignment="1">
      <alignment horizontal="center"/>
    </xf>
    <xf numFmtId="166" fontId="46" fillId="0" borderId="9" xfId="0" applyNumberFormat="1" applyFont="1" applyBorder="1"/>
    <xf numFmtId="0" fontId="46" fillId="0" borderId="9" xfId="0" applyFont="1" applyBorder="1" applyAlignment="1">
      <alignment horizontal="center"/>
    </xf>
    <xf numFmtId="184" fontId="46" fillId="0" borderId="8" xfId="0" applyNumberFormat="1" applyFont="1" applyBorder="1" applyAlignment="1">
      <alignment horizontal="left"/>
    </xf>
    <xf numFmtId="184" fontId="46" fillId="0" borderId="9" xfId="0" applyNumberFormat="1" applyFont="1" applyBorder="1" applyAlignment="1">
      <alignment horizontal="left"/>
    </xf>
    <xf numFmtId="0" fontId="35" fillId="0" borderId="12" xfId="0" applyFont="1" applyBorder="1" applyAlignment="1">
      <alignment horizontal="center"/>
    </xf>
    <xf numFmtId="166" fontId="46" fillId="0" borderId="12" xfId="0" applyNumberFormat="1" applyFont="1" applyBorder="1" applyAlignment="1">
      <alignment wrapText="1"/>
    </xf>
    <xf numFmtId="0" fontId="46" fillId="0" borderId="12" xfId="0" applyFont="1" applyBorder="1" applyAlignment="1">
      <alignment horizontal="center"/>
    </xf>
    <xf numFmtId="194" fontId="46" fillId="0" borderId="6" xfId="0" applyNumberFormat="1" applyFont="1" applyBorder="1" applyAlignment="1">
      <alignment horizontal="center" vertical="center" wrapText="1"/>
    </xf>
    <xf numFmtId="0" fontId="46" fillId="0" borderId="6" xfId="0" applyFont="1" applyBorder="1" applyAlignment="1">
      <alignment horizontal="right" vertical="center" wrapText="1"/>
    </xf>
    <xf numFmtId="194" fontId="46" fillId="0" borderId="12" xfId="0" applyNumberFormat="1" applyFont="1" applyBorder="1" applyAlignment="1">
      <alignment horizontal="center" wrapText="1"/>
    </xf>
    <xf numFmtId="184" fontId="46" fillId="0" borderId="6" xfId="0" applyNumberFormat="1" applyFont="1" applyBorder="1" applyAlignment="1">
      <alignment horizontal="center" vertical="center"/>
    </xf>
    <xf numFmtId="177" fontId="46" fillId="0" borderId="6" xfId="0" applyNumberFormat="1" applyFont="1" applyBorder="1" applyAlignment="1">
      <alignment horizontal="center" vertical="center" wrapText="1"/>
    </xf>
    <xf numFmtId="166" fontId="46" fillId="0" borderId="7" xfId="0" applyNumberFormat="1" applyFont="1" applyBorder="1" applyAlignment="1">
      <alignment wrapText="1"/>
    </xf>
    <xf numFmtId="184" fontId="46" fillId="0" borderId="9" xfId="0" applyNumberFormat="1" applyFont="1" applyBorder="1" applyAlignment="1">
      <alignment horizontal="center" vertical="center"/>
    </xf>
    <xf numFmtId="177" fontId="46" fillId="0" borderId="9" xfId="0" applyNumberFormat="1" applyFont="1" applyBorder="1" applyAlignment="1">
      <alignment horizontal="center"/>
    </xf>
    <xf numFmtId="166" fontId="46" fillId="0" borderId="10" xfId="0" applyNumberFormat="1" applyFont="1" applyBorder="1" applyAlignment="1">
      <alignment wrapText="1"/>
    </xf>
    <xf numFmtId="192" fontId="46" fillId="0" borderId="9" xfId="0" applyNumberFormat="1" applyFont="1" applyBorder="1" applyAlignment="1">
      <alignment horizontal="center" vertical="center" wrapText="1"/>
    </xf>
    <xf numFmtId="1" fontId="46" fillId="0" borderId="9" xfId="0" applyNumberFormat="1" applyFont="1" applyBorder="1" applyAlignment="1">
      <alignment horizontal="center" vertical="center" wrapText="1"/>
    </xf>
    <xf numFmtId="184" fontId="46" fillId="0" borderId="12" xfId="0" applyNumberFormat="1" applyFont="1" applyBorder="1" applyAlignment="1">
      <alignment horizontal="center" vertical="center"/>
    </xf>
    <xf numFmtId="184" fontId="46" fillId="0" borderId="61" xfId="0" applyNumberFormat="1" applyFont="1" applyBorder="1" applyAlignment="1">
      <alignment horizontal="center" vertical="center"/>
    </xf>
    <xf numFmtId="182" fontId="46" fillId="0" borderId="61" xfId="0" applyNumberFormat="1" applyFont="1" applyBorder="1" applyAlignment="1">
      <alignment wrapText="1"/>
    </xf>
    <xf numFmtId="1" fontId="46" fillId="0" borderId="61" xfId="0" applyNumberFormat="1" applyFont="1" applyBorder="1" applyAlignment="1">
      <alignment horizontal="center" vertical="center" wrapText="1"/>
    </xf>
    <xf numFmtId="182" fontId="46" fillId="0" borderId="133" xfId="0" applyNumberFormat="1" applyFont="1" applyBorder="1" applyAlignment="1">
      <alignment wrapText="1"/>
    </xf>
    <xf numFmtId="192" fontId="46" fillId="0" borderId="9" xfId="0" applyNumberFormat="1" applyFont="1" applyBorder="1" applyAlignment="1">
      <alignment horizontal="center"/>
    </xf>
    <xf numFmtId="167" fontId="46" fillId="0" borderId="6" xfId="0" applyNumberFormat="1" applyFont="1" applyBorder="1" applyAlignment="1">
      <alignment horizontal="center" vertical="center" wrapText="1"/>
    </xf>
    <xf numFmtId="1" fontId="46" fillId="0" borderId="6" xfId="0" applyNumberFormat="1" applyFont="1" applyBorder="1" applyAlignment="1">
      <alignment horizontal="center" vertical="center" wrapText="1"/>
    </xf>
    <xf numFmtId="182" fontId="46" fillId="0" borderId="7" xfId="0" applyNumberFormat="1" applyFont="1" applyBorder="1" applyAlignment="1">
      <alignment wrapText="1"/>
    </xf>
    <xf numFmtId="1" fontId="46" fillId="0" borderId="5" xfId="0" applyNumberFormat="1" applyFont="1" applyBorder="1" applyAlignment="1">
      <alignment horizontal="center" vertical="center" wrapText="1"/>
    </xf>
    <xf numFmtId="0" fontId="46" fillId="0" borderId="35" xfId="0" applyFont="1" applyBorder="1" applyAlignment="1">
      <alignment horizontal="center"/>
    </xf>
    <xf numFmtId="182" fontId="46" fillId="0" borderId="6" xfId="0" applyNumberFormat="1" applyFont="1" applyBorder="1"/>
    <xf numFmtId="165" fontId="46" fillId="0" borderId="9" xfId="0" applyNumberFormat="1" applyFont="1" applyBorder="1"/>
    <xf numFmtId="2" fontId="46" fillId="0" borderId="9" xfId="0" applyNumberFormat="1" applyFont="1" applyBorder="1" applyAlignment="1">
      <alignment horizontal="center"/>
    </xf>
    <xf numFmtId="184" fontId="46" fillId="0" borderId="8" xfId="0" applyNumberFormat="1" applyFont="1" applyBorder="1" applyAlignment="1">
      <alignment horizontal="left" vertical="center"/>
    </xf>
    <xf numFmtId="166" fontId="46" fillId="0" borderId="9" xfId="0" applyNumberFormat="1" applyFont="1" applyBorder="1" applyAlignment="1">
      <alignment vertical="center"/>
    </xf>
    <xf numFmtId="2" fontId="46" fillId="0" borderId="12" xfId="0" applyNumberFormat="1" applyFont="1" applyBorder="1" applyAlignment="1">
      <alignment horizontal="center"/>
    </xf>
    <xf numFmtId="182" fontId="46" fillId="0" borderId="9" xfId="0" applyNumberFormat="1" applyFont="1" applyBorder="1" applyAlignment="1">
      <alignment horizontal="right" vertical="center" wrapText="1"/>
    </xf>
    <xf numFmtId="4" fontId="46" fillId="0" borderId="6" xfId="0" applyNumberFormat="1" applyFont="1" applyBorder="1" applyAlignment="1">
      <alignment horizontal="center" vertical="center"/>
    </xf>
    <xf numFmtId="184" fontId="46" fillId="0" borderId="61" xfId="0" applyNumberFormat="1" applyFont="1" applyBorder="1" applyAlignment="1">
      <alignment horizontal="center" vertical="center" wrapText="1"/>
    </xf>
    <xf numFmtId="166" fontId="46" fillId="0" borderId="61" xfId="0" applyNumberFormat="1" applyFont="1" applyBorder="1" applyAlignment="1">
      <alignment vertical="center" wrapText="1"/>
    </xf>
    <xf numFmtId="4" fontId="46" fillId="0" borderId="61" xfId="0" applyNumberFormat="1" applyFont="1" applyBorder="1" applyAlignment="1">
      <alignment horizontal="center" vertical="center" wrapText="1"/>
    </xf>
    <xf numFmtId="0" fontId="46" fillId="0" borderId="133" xfId="0" applyFont="1" applyBorder="1" applyAlignment="1">
      <alignment wrapText="1"/>
    </xf>
    <xf numFmtId="184" fontId="46" fillId="0" borderId="12" xfId="0" applyNumberFormat="1" applyFont="1" applyBorder="1" applyAlignment="1">
      <alignment horizontal="center"/>
    </xf>
    <xf numFmtId="166" fontId="46" fillId="0" borderId="12" xfId="0" applyNumberFormat="1" applyFont="1" applyBorder="1"/>
    <xf numFmtId="2" fontId="46" fillId="0" borderId="9" xfId="0" applyNumberFormat="1" applyFont="1" applyBorder="1" applyAlignment="1">
      <alignment horizontal="center" vertical="center"/>
    </xf>
    <xf numFmtId="4" fontId="46" fillId="0" borderId="9" xfId="0" applyNumberFormat="1" applyFont="1" applyBorder="1" applyAlignment="1">
      <alignment horizontal="center" vertical="center" wrapText="1"/>
    </xf>
    <xf numFmtId="182" fontId="46" fillId="0" borderId="61" xfId="0" applyNumberFormat="1" applyFont="1" applyBorder="1" applyAlignment="1">
      <alignment vertical="center" wrapText="1"/>
    </xf>
    <xf numFmtId="166" fontId="46" fillId="0" borderId="6" xfId="0" applyNumberFormat="1" applyFont="1" applyBorder="1" applyAlignment="1">
      <alignment horizontal="center" vertical="center" wrapText="1"/>
    </xf>
    <xf numFmtId="166" fontId="46" fillId="0" borderId="6" xfId="0" applyNumberFormat="1" applyFont="1" applyBorder="1" applyAlignment="1">
      <alignment horizontal="right" vertical="center" wrapText="1"/>
    </xf>
    <xf numFmtId="0" fontId="46" fillId="0" borderId="7" xfId="0" applyFont="1" applyBorder="1" applyAlignment="1">
      <alignment horizontal="left" vertical="center" wrapText="1"/>
    </xf>
    <xf numFmtId="184" fontId="46" fillId="0" borderId="9" xfId="0" applyNumberFormat="1" applyFont="1" applyBorder="1" applyAlignment="1">
      <alignment horizontal="left" vertical="center" wrapText="1"/>
    </xf>
    <xf numFmtId="166" fontId="46" fillId="0" borderId="9" xfId="0" applyNumberFormat="1" applyFont="1" applyBorder="1" applyAlignment="1">
      <alignment horizontal="left" vertical="center" wrapText="1"/>
    </xf>
    <xf numFmtId="0" fontId="46" fillId="0" borderId="9" xfId="0" applyFont="1" applyBorder="1" applyAlignment="1">
      <alignment horizontal="left" vertical="center" wrapText="1"/>
    </xf>
    <xf numFmtId="182" fontId="46" fillId="0" borderId="9" xfId="0" applyNumberFormat="1" applyFont="1" applyBorder="1" applyAlignment="1">
      <alignment horizontal="left" vertical="center" wrapText="1"/>
    </xf>
    <xf numFmtId="0" fontId="46" fillId="0" borderId="10" xfId="0" applyFont="1" applyBorder="1" applyAlignment="1">
      <alignment horizontal="left" vertical="center" wrapText="1"/>
    </xf>
    <xf numFmtId="166" fontId="46" fillId="0" borderId="140" xfId="0" applyNumberFormat="1" applyFont="1" applyBorder="1" applyAlignment="1">
      <alignment wrapText="1"/>
    </xf>
    <xf numFmtId="166" fontId="46" fillId="0" borderId="0" xfId="0" applyNumberFormat="1" applyFont="1" applyAlignment="1">
      <alignment wrapText="1"/>
    </xf>
    <xf numFmtId="166" fontId="46" fillId="0" borderId="131" xfId="0" applyNumberFormat="1" applyFont="1" applyBorder="1" applyAlignment="1">
      <alignment vertical="center" wrapText="1"/>
    </xf>
    <xf numFmtId="166" fontId="46" fillId="0" borderId="49" xfId="0" applyNumberFormat="1" applyFont="1" applyBorder="1" applyAlignment="1">
      <alignment wrapText="1"/>
    </xf>
    <xf numFmtId="166" fontId="46" fillId="0" borderId="140" xfId="0" applyNumberFormat="1" applyFont="1" applyBorder="1" applyAlignment="1">
      <alignment vertical="center" wrapText="1"/>
    </xf>
    <xf numFmtId="166" fontId="66" fillId="0" borderId="111" xfId="0" applyNumberFormat="1" applyFont="1" applyBorder="1" applyAlignment="1">
      <alignment vertical="center" wrapText="1"/>
    </xf>
    <xf numFmtId="166" fontId="46" fillId="0" borderId="9" xfId="0" applyNumberFormat="1" applyFont="1" applyBorder="1" applyAlignment="1">
      <alignment horizontal="right" vertical="center" wrapText="1"/>
    </xf>
    <xf numFmtId="166" fontId="46" fillId="0" borderId="12" xfId="0" applyNumberFormat="1" applyFont="1" applyBorder="1" applyAlignment="1">
      <alignment horizontal="right" vertical="center" wrapText="1"/>
    </xf>
    <xf numFmtId="0" fontId="66" fillId="0" borderId="2" xfId="0" applyFont="1" applyBorder="1" applyAlignment="1">
      <alignment horizontal="center" vertical="center" wrapText="1"/>
    </xf>
    <xf numFmtId="0" fontId="66" fillId="0" borderId="3" xfId="0" applyFont="1" applyBorder="1" applyAlignment="1">
      <alignment vertical="center" wrapText="1"/>
    </xf>
    <xf numFmtId="173" fontId="46" fillId="0" borderId="61" xfId="0" applyNumberFormat="1" applyFont="1" applyBorder="1" applyAlignment="1">
      <alignment horizontal="center" vertical="center" wrapText="1"/>
    </xf>
    <xf numFmtId="184" fontId="46" fillId="0" borderId="60" xfId="0" applyNumberFormat="1" applyFont="1" applyBorder="1" applyAlignment="1">
      <alignment horizontal="center" vertical="center" wrapText="1"/>
    </xf>
    <xf numFmtId="166" fontId="46" fillId="0" borderId="60" xfId="0" applyNumberFormat="1" applyFont="1" applyBorder="1" applyAlignment="1">
      <alignment vertical="center" wrapText="1"/>
    </xf>
    <xf numFmtId="2" fontId="46" fillId="0" borderId="60" xfId="0" applyNumberFormat="1" applyFont="1" applyBorder="1" applyAlignment="1">
      <alignment horizontal="center" vertical="center"/>
    </xf>
    <xf numFmtId="182" fontId="46" fillId="0" borderId="60" xfId="0" applyNumberFormat="1" applyFont="1" applyBorder="1" applyAlignment="1">
      <alignment vertical="center" wrapText="1"/>
    </xf>
    <xf numFmtId="0" fontId="46" fillId="0" borderId="142" xfId="0" applyFont="1" applyBorder="1" applyAlignment="1">
      <alignment wrapText="1"/>
    </xf>
    <xf numFmtId="182" fontId="46" fillId="0" borderId="13" xfId="0" applyNumberFormat="1" applyFont="1" applyBorder="1" applyAlignment="1">
      <alignment wrapText="1"/>
    </xf>
    <xf numFmtId="182" fontId="46" fillId="0" borderId="6" xfId="0" applyNumberFormat="1" applyFont="1" applyBorder="1" applyAlignment="1">
      <alignment horizontal="center" vertical="center" wrapText="1"/>
    </xf>
    <xf numFmtId="2" fontId="46" fillId="0" borderId="6" xfId="0" applyNumberFormat="1" applyFont="1" applyBorder="1" applyAlignment="1">
      <alignment horizontal="center" vertical="center" wrapText="1"/>
    </xf>
    <xf numFmtId="166" fontId="46" fillId="0" borderId="49" xfId="0" applyNumberFormat="1" applyFont="1" applyBorder="1" applyAlignment="1">
      <alignment horizontal="right" vertical="center" wrapText="1"/>
    </xf>
    <xf numFmtId="166" fontId="66" fillId="0" borderId="18" xfId="0" applyNumberFormat="1" applyFont="1" applyBorder="1" applyAlignment="1">
      <alignment vertical="center" wrapText="1"/>
    </xf>
    <xf numFmtId="166" fontId="46" fillId="0" borderId="9" xfId="0" applyNumberFormat="1" applyFont="1" applyBorder="1" applyAlignment="1">
      <alignment wrapText="1"/>
    </xf>
    <xf numFmtId="167" fontId="46" fillId="0" borderId="12" xfId="0" applyNumberFormat="1" applyFont="1" applyBorder="1" applyAlignment="1">
      <alignment horizontal="center" vertical="center" wrapText="1"/>
    </xf>
    <xf numFmtId="165" fontId="46" fillId="0" borderId="12" xfId="0" applyNumberFormat="1" applyFont="1" applyBorder="1" applyAlignment="1">
      <alignment horizontal="center" vertical="center" wrapText="1"/>
    </xf>
    <xf numFmtId="166" fontId="46" fillId="0" borderId="9" xfId="0" applyNumberFormat="1" applyFont="1" applyBorder="1" applyAlignment="1">
      <alignment horizontal="center" vertical="center" wrapText="1"/>
    </xf>
    <xf numFmtId="0" fontId="66" fillId="0" borderId="3" xfId="0" applyFont="1" applyBorder="1" applyAlignment="1">
      <alignment horizontal="center" vertical="center" wrapText="1"/>
    </xf>
    <xf numFmtId="166" fontId="66" fillId="0" borderId="49" xfId="0" applyNumberFormat="1" applyFont="1" applyBorder="1" applyAlignment="1">
      <alignment vertical="center" wrapText="1"/>
    </xf>
    <xf numFmtId="188" fontId="46" fillId="0" borderId="9" xfId="0" applyNumberFormat="1" applyFont="1" applyBorder="1" applyAlignment="1">
      <alignment horizontal="center" vertical="center" wrapText="1"/>
    </xf>
    <xf numFmtId="166" fontId="46" fillId="0" borderId="49" xfId="0" applyNumberFormat="1" applyFont="1" applyBorder="1" applyAlignment="1">
      <alignment vertical="center" wrapText="1"/>
    </xf>
    <xf numFmtId="0" fontId="46" fillId="0" borderId="12" xfId="0" applyFont="1" applyBorder="1" applyAlignment="1">
      <alignment horizontal="right" vertical="center" wrapText="1"/>
    </xf>
    <xf numFmtId="166" fontId="46" fillId="0" borderId="6" xfId="0" applyNumberFormat="1" applyFont="1" applyBorder="1" applyAlignment="1">
      <alignment wrapText="1"/>
    </xf>
    <xf numFmtId="166" fontId="46" fillId="0" borderId="9" xfId="0" applyNumberFormat="1" applyFont="1" applyBorder="1" applyAlignment="1">
      <alignment horizontal="center" wrapText="1"/>
    </xf>
    <xf numFmtId="182" fontId="46" fillId="0" borderId="126" xfId="0" applyNumberFormat="1" applyFont="1" applyBorder="1" applyAlignment="1">
      <alignment vertical="center" wrapText="1"/>
    </xf>
    <xf numFmtId="166" fontId="46" fillId="0" borderId="6" xfId="0" applyNumberFormat="1" applyFont="1" applyBorder="1" applyAlignment="1">
      <alignment vertical="center"/>
    </xf>
    <xf numFmtId="0" fontId="46" fillId="0" borderId="9" xfId="0" applyFont="1" applyBorder="1" applyAlignment="1">
      <alignment horizontal="center" vertical="center"/>
    </xf>
    <xf numFmtId="195" fontId="32" fillId="0" borderId="102" xfId="0" applyNumberFormat="1" applyFont="1" applyBorder="1" applyAlignment="1">
      <alignment horizontal="center" vertical="center" wrapText="1"/>
    </xf>
    <xf numFmtId="195" fontId="32" fillId="0" borderId="35" xfId="0" applyNumberFormat="1" applyFont="1" applyBorder="1" applyAlignment="1">
      <alignment horizontal="center" wrapText="1"/>
    </xf>
    <xf numFmtId="0" fontId="46" fillId="0" borderId="12" xfId="0" applyFont="1" applyBorder="1" applyAlignment="1">
      <alignment horizontal="center" wrapText="1"/>
    </xf>
    <xf numFmtId="0" fontId="72" fillId="2" borderId="9" xfId="0" applyFont="1" applyFill="1" applyBorder="1" applyAlignment="1">
      <alignment horizontal="center" vertical="center"/>
    </xf>
    <xf numFmtId="0" fontId="72" fillId="2" borderId="9" xfId="0" applyFont="1" applyFill="1" applyBorder="1" applyAlignment="1">
      <alignment horizontal="center" vertical="center" wrapText="1"/>
    </xf>
    <xf numFmtId="0" fontId="72" fillId="2" borderId="9" xfId="0" applyFont="1" applyFill="1" applyBorder="1" applyAlignment="1">
      <alignment horizontal="left" vertical="center" wrapText="1"/>
    </xf>
    <xf numFmtId="196" fontId="72" fillId="2" borderId="9" xfId="0" applyNumberFormat="1" applyFont="1" applyFill="1" applyBorder="1" applyAlignment="1">
      <alignment horizontal="center" vertical="center"/>
    </xf>
    <xf numFmtId="166" fontId="72" fillId="2" borderId="9" xfId="0" applyNumberFormat="1" applyFont="1" applyFill="1" applyBorder="1" applyAlignment="1">
      <alignment horizontal="center" vertical="center"/>
    </xf>
    <xf numFmtId="0" fontId="12" fillId="0" borderId="9" xfId="0" applyFont="1" applyBorder="1" applyAlignment="1">
      <alignment horizontal="center" vertical="center"/>
    </xf>
    <xf numFmtId="0" fontId="8" fillId="0" borderId="9" xfId="0" applyFont="1" applyBorder="1" applyAlignment="1">
      <alignment horizontal="left" vertical="center" wrapText="1"/>
    </xf>
    <xf numFmtId="196" fontId="8" fillId="0" borderId="9" xfId="0" applyNumberFormat="1" applyFont="1" applyBorder="1" applyAlignment="1">
      <alignment horizontal="center" vertical="center"/>
    </xf>
    <xf numFmtId="0" fontId="12" fillId="0" borderId="37" xfId="0" applyFont="1" applyBorder="1" applyAlignment="1">
      <alignment horizontal="center" vertical="center"/>
    </xf>
    <xf numFmtId="0" fontId="8" fillId="0" borderId="37" xfId="0" applyFont="1" applyBorder="1" applyAlignment="1">
      <alignment horizontal="left" vertical="center"/>
    </xf>
    <xf numFmtId="0" fontId="8" fillId="0" borderId="37" xfId="0" applyFont="1" applyBorder="1" applyAlignment="1">
      <alignment horizontal="center" vertical="center"/>
    </xf>
    <xf numFmtId="196" fontId="8" fillId="0" borderId="37" xfId="0" applyNumberFormat="1" applyFont="1" applyBorder="1" applyAlignment="1">
      <alignment horizontal="center" vertical="center"/>
    </xf>
    <xf numFmtId="0" fontId="8" fillId="0" borderId="0" xfId="0" applyFont="1" applyAlignment="1">
      <alignment horizontal="left" vertical="center" wrapText="1"/>
    </xf>
    <xf numFmtId="0" fontId="8" fillId="7" borderId="9" xfId="0" applyFont="1" applyFill="1" applyBorder="1" applyAlignment="1">
      <alignment horizontal="center" vertical="center"/>
    </xf>
    <xf numFmtId="180" fontId="31" fillId="0" borderId="0" xfId="0" applyNumberFormat="1" applyFont="1" applyAlignment="1">
      <alignment vertical="center" wrapText="1"/>
    </xf>
    <xf numFmtId="180" fontId="31" fillId="0" borderId="111" xfId="0" applyNumberFormat="1" applyFont="1" applyBorder="1" applyAlignment="1">
      <alignment vertical="center" wrapText="1"/>
    </xf>
    <xf numFmtId="0" fontId="32" fillId="7" borderId="4" xfId="0" applyFont="1" applyFill="1" applyBorder="1" applyAlignment="1">
      <alignment vertical="center" wrapText="1"/>
    </xf>
    <xf numFmtId="0" fontId="32" fillId="7" borderId="4" xfId="0" applyFont="1" applyFill="1" applyBorder="1" applyAlignment="1">
      <alignment horizontal="left" vertical="center" wrapText="1"/>
    </xf>
    <xf numFmtId="0" fontId="32" fillId="7" borderId="111" xfId="0" applyFont="1" applyFill="1" applyBorder="1" applyAlignment="1">
      <alignment horizontal="center" vertical="center" wrapText="1"/>
    </xf>
    <xf numFmtId="0" fontId="32" fillId="7" borderId="59" xfId="0" applyFont="1" applyFill="1" applyBorder="1" applyAlignment="1">
      <alignment horizontal="center" vertical="center" wrapText="1"/>
    </xf>
    <xf numFmtId="0" fontId="32" fillId="7" borderId="49" xfId="0" applyFont="1" applyFill="1" applyBorder="1" applyAlignment="1">
      <alignment vertical="center" wrapText="1"/>
    </xf>
    <xf numFmtId="182" fontId="32" fillId="7" borderId="6" xfId="0" applyNumberFormat="1" applyFont="1" applyFill="1" applyBorder="1" applyAlignment="1">
      <alignment horizontal="center" vertical="center" wrapText="1"/>
    </xf>
    <xf numFmtId="0" fontId="32" fillId="7" borderId="7" xfId="0" applyFont="1" applyFill="1" applyBorder="1" applyAlignment="1">
      <alignment vertical="center" wrapText="1"/>
    </xf>
    <xf numFmtId="182" fontId="32" fillId="7" borderId="12" xfId="0" applyNumberFormat="1" applyFont="1" applyFill="1" applyBorder="1" applyAlignment="1">
      <alignment vertical="center" wrapText="1"/>
    </xf>
    <xf numFmtId="0" fontId="32" fillId="7" borderId="13" xfId="0" applyFont="1" applyFill="1" applyBorder="1" applyAlignment="1">
      <alignment vertical="center" wrapText="1"/>
    </xf>
    <xf numFmtId="166" fontId="32" fillId="7" borderId="4" xfId="0" applyNumberFormat="1" applyFont="1" applyFill="1" applyBorder="1" applyAlignment="1">
      <alignment vertical="center" wrapText="1"/>
    </xf>
    <xf numFmtId="182" fontId="32" fillId="7" borderId="6" xfId="0" applyNumberFormat="1" applyFont="1" applyFill="1" applyBorder="1" applyAlignment="1">
      <alignment vertical="center" wrapText="1"/>
    </xf>
    <xf numFmtId="182" fontId="32" fillId="7" borderId="9" xfId="0" applyNumberFormat="1" applyFont="1" applyFill="1" applyBorder="1" applyAlignment="1">
      <alignment vertical="center" wrapText="1"/>
    </xf>
    <xf numFmtId="166" fontId="32" fillId="7" borderId="10" xfId="0" applyNumberFormat="1" applyFont="1" applyFill="1" applyBorder="1" applyAlignment="1">
      <alignment vertical="center" wrapText="1"/>
    </xf>
    <xf numFmtId="0" fontId="32" fillId="7" borderId="12" xfId="0" applyFont="1" applyFill="1" applyBorder="1" applyAlignment="1">
      <alignment horizontal="center" vertical="center" wrapText="1"/>
    </xf>
    <xf numFmtId="166" fontId="32" fillId="7" borderId="13" xfId="0" applyNumberFormat="1" applyFont="1" applyFill="1" applyBorder="1" applyAlignment="1">
      <alignment vertical="center" wrapText="1"/>
    </xf>
    <xf numFmtId="0" fontId="32" fillId="7" borderId="138" xfId="0" applyFont="1" applyFill="1" applyBorder="1" applyAlignment="1">
      <alignment horizontal="center" vertical="center" wrapText="1"/>
    </xf>
    <xf numFmtId="165" fontId="32" fillId="7" borderId="9" xfId="0" applyNumberFormat="1" applyFont="1" applyFill="1" applyBorder="1" applyAlignment="1">
      <alignment vertical="center" wrapText="1"/>
    </xf>
    <xf numFmtId="165" fontId="32" fillId="7" borderId="12" xfId="0" applyNumberFormat="1" applyFont="1" applyFill="1" applyBorder="1" applyAlignment="1">
      <alignment vertical="center" wrapText="1"/>
    </xf>
    <xf numFmtId="166" fontId="32" fillId="7" borderId="127" xfId="0" applyNumberFormat="1" applyFont="1" applyFill="1" applyBorder="1" applyAlignment="1">
      <alignment vertical="center" wrapText="1"/>
    </xf>
    <xf numFmtId="167" fontId="32" fillId="7" borderId="138" xfId="0" applyNumberFormat="1" applyFont="1" applyFill="1" applyBorder="1" applyAlignment="1">
      <alignment horizontal="center" vertical="center" wrapText="1"/>
    </xf>
    <xf numFmtId="165" fontId="32" fillId="7" borderId="138" xfId="0" applyNumberFormat="1" applyFont="1" applyFill="1" applyBorder="1" applyAlignment="1">
      <alignment horizontal="center" vertical="center" wrapText="1"/>
    </xf>
    <xf numFmtId="0" fontId="32" fillId="7" borderId="4" xfId="0" applyFont="1" applyFill="1" applyBorder="1" applyAlignment="1">
      <alignment horizontal="center" vertical="center" wrapText="1"/>
    </xf>
    <xf numFmtId="166" fontId="32" fillId="7" borderId="111" xfId="0" applyNumberFormat="1" applyFont="1" applyFill="1" applyBorder="1" applyAlignment="1">
      <alignment vertical="center" wrapText="1"/>
    </xf>
    <xf numFmtId="165" fontId="32" fillId="9" borderId="9" xfId="0" applyNumberFormat="1" applyFont="1" applyFill="1" applyBorder="1" applyAlignment="1">
      <alignment vertical="center" wrapText="1"/>
    </xf>
    <xf numFmtId="2" fontId="24" fillId="17" borderId="4" xfId="0" applyNumberFormat="1" applyFont="1" applyFill="1" applyBorder="1" applyAlignment="1">
      <alignment vertical="center" wrapText="1"/>
    </xf>
    <xf numFmtId="182" fontId="24" fillId="17" borderId="4" xfId="0" applyNumberFormat="1" applyFont="1" applyFill="1" applyBorder="1" applyAlignment="1">
      <alignment vertical="center" wrapText="1"/>
    </xf>
    <xf numFmtId="165" fontId="32" fillId="14" borderId="9" xfId="0" applyNumberFormat="1" applyFont="1" applyFill="1" applyBorder="1" applyAlignment="1">
      <alignment vertical="center" wrapText="1"/>
    </xf>
    <xf numFmtId="0" fontId="24" fillId="9" borderId="4" xfId="0" applyFont="1" applyFill="1" applyBorder="1" applyAlignment="1">
      <alignment vertical="center" wrapText="1"/>
    </xf>
    <xf numFmtId="0" fontId="31" fillId="7" borderId="4" xfId="0" applyFont="1" applyFill="1" applyBorder="1" applyAlignment="1">
      <alignment horizontal="left" vertical="center" wrapText="1"/>
    </xf>
    <xf numFmtId="168" fontId="32" fillId="7" borderId="12" xfId="0" applyNumberFormat="1" applyFont="1" applyFill="1" applyBorder="1" applyAlignment="1">
      <alignment horizontal="center" vertical="center" wrapText="1"/>
    </xf>
    <xf numFmtId="166" fontId="31" fillId="7" borderId="111" xfId="0" applyNumberFormat="1" applyFont="1" applyFill="1" applyBorder="1" applyAlignment="1">
      <alignment vertical="center" wrapText="1"/>
    </xf>
    <xf numFmtId="168" fontId="32" fillId="7" borderId="6" xfId="0" applyNumberFormat="1" applyFont="1" applyFill="1" applyBorder="1" applyAlignment="1">
      <alignment horizontal="center" vertical="center" wrapText="1"/>
    </xf>
    <xf numFmtId="3" fontId="32" fillId="7" borderId="6" xfId="0" applyNumberFormat="1" applyFont="1" applyFill="1" applyBorder="1" applyAlignment="1">
      <alignment horizontal="right" vertical="center" wrapText="1"/>
    </xf>
    <xf numFmtId="3" fontId="32" fillId="7" borderId="12" xfId="0" applyNumberFormat="1" applyFont="1" applyFill="1" applyBorder="1" applyAlignment="1">
      <alignment horizontal="right" vertical="center" wrapText="1"/>
    </xf>
    <xf numFmtId="182" fontId="32" fillId="0" borderId="126" xfId="0" applyNumberFormat="1" applyFont="1" applyBorder="1" applyAlignment="1">
      <alignment vertical="center" wrapText="1"/>
    </xf>
    <xf numFmtId="2" fontId="32" fillId="0" borderId="126" xfId="0" applyNumberFormat="1" applyFont="1" applyBorder="1" applyAlignment="1">
      <alignment horizontal="center" vertical="center" wrapText="1"/>
    </xf>
    <xf numFmtId="168" fontId="32" fillId="0" borderId="6" xfId="0" applyNumberFormat="1" applyFont="1" applyBorder="1" applyAlignment="1">
      <alignment horizontal="center" vertical="center" wrapText="1"/>
    </xf>
    <xf numFmtId="180" fontId="31" fillId="0" borderId="0" xfId="0" applyNumberFormat="1" applyFont="1" applyAlignment="1">
      <alignment wrapText="1"/>
    </xf>
    <xf numFmtId="0" fontId="8" fillId="0" borderId="35" xfId="0" applyFont="1" applyBorder="1" applyAlignment="1">
      <alignment horizontal="center" vertical="center"/>
    </xf>
    <xf numFmtId="0" fontId="8" fillId="0" borderId="96" xfId="0" applyFont="1" applyBorder="1" applyAlignment="1">
      <alignment horizontal="center" vertical="center"/>
    </xf>
    <xf numFmtId="165" fontId="10" fillId="0" borderId="96" xfId="0" applyNumberFormat="1" applyFont="1" applyBorder="1" applyAlignment="1">
      <alignment vertical="center"/>
    </xf>
    <xf numFmtId="165" fontId="10" fillId="0" borderId="102" xfId="0" applyNumberFormat="1" applyFont="1" applyBorder="1" applyAlignment="1">
      <alignment vertical="center"/>
    </xf>
    <xf numFmtId="0" fontId="8" fillId="0" borderId="61" xfId="0" applyFont="1" applyBorder="1" applyAlignment="1">
      <alignment horizontal="center" vertical="center"/>
    </xf>
    <xf numFmtId="165" fontId="10" fillId="0" borderId="104" xfId="0" applyNumberFormat="1" applyFont="1" applyBorder="1" applyAlignment="1">
      <alignment vertical="center"/>
    </xf>
    <xf numFmtId="0" fontId="8" fillId="0" borderId="60" xfId="0" applyFont="1" applyBorder="1" applyAlignment="1">
      <alignment horizontal="center"/>
    </xf>
    <xf numFmtId="165" fontId="10" fillId="0" borderId="60" xfId="0" applyNumberFormat="1" applyFont="1" applyBorder="1"/>
    <xf numFmtId="165" fontId="10" fillId="0" borderId="116" xfId="0" applyNumberFormat="1" applyFont="1" applyBorder="1"/>
    <xf numFmtId="0" fontId="8" fillId="0" borderId="61" xfId="0" applyFont="1" applyBorder="1" applyAlignment="1">
      <alignment horizontal="center"/>
    </xf>
    <xf numFmtId="165" fontId="10" fillId="0" borderId="61" xfId="0" applyNumberFormat="1" applyFont="1" applyBorder="1"/>
    <xf numFmtId="165" fontId="10" fillId="0" borderId="104" xfId="0" applyNumberFormat="1" applyFont="1" applyBorder="1"/>
    <xf numFmtId="165" fontId="8" fillId="0" borderId="0" xfId="0" applyNumberFormat="1" applyFont="1" applyAlignment="1">
      <alignment vertical="center"/>
    </xf>
    <xf numFmtId="2" fontId="8" fillId="0" borderId="9" xfId="0" applyNumberFormat="1" applyFont="1" applyBorder="1" applyAlignment="1">
      <alignment vertical="center"/>
    </xf>
    <xf numFmtId="0" fontId="8" fillId="0" borderId="173" xfId="0" applyFont="1" applyBorder="1" applyAlignment="1">
      <alignment vertical="center"/>
    </xf>
    <xf numFmtId="0" fontId="8" fillId="0" borderId="137" xfId="0" applyFont="1" applyBorder="1" applyAlignment="1">
      <alignment vertical="center"/>
    </xf>
    <xf numFmtId="165" fontId="10" fillId="0" borderId="116" xfId="0" applyNumberFormat="1" applyFont="1" applyBorder="1" applyAlignment="1">
      <alignment vertical="center"/>
    </xf>
    <xf numFmtId="0" fontId="8" fillId="0" borderId="103" xfId="0" applyFont="1" applyBorder="1" applyAlignment="1">
      <alignment vertical="center"/>
    </xf>
    <xf numFmtId="0" fontId="8" fillId="0" borderId="102" xfId="0" applyFont="1" applyBorder="1" applyAlignment="1">
      <alignment vertical="center"/>
    </xf>
    <xf numFmtId="0" fontId="8" fillId="0" borderId="109" xfId="0" applyFont="1" applyBorder="1" applyAlignment="1">
      <alignment vertical="center"/>
    </xf>
    <xf numFmtId="176" fontId="11" fillId="0" borderId="104" xfId="0" applyNumberFormat="1" applyFont="1" applyBorder="1" applyAlignment="1">
      <alignment vertical="center"/>
    </xf>
    <xf numFmtId="165" fontId="10" fillId="0" borderId="61" xfId="0" applyNumberFormat="1" applyFont="1" applyBorder="1" applyAlignment="1">
      <alignment vertical="center"/>
    </xf>
    <xf numFmtId="0" fontId="8" fillId="0" borderId="96" xfId="0" applyFont="1" applyBorder="1" applyAlignment="1">
      <alignment vertical="center"/>
    </xf>
    <xf numFmtId="2" fontId="8" fillId="0" borderId="96" xfId="0" applyNumberFormat="1" applyFont="1" applyBorder="1" applyAlignment="1">
      <alignment vertical="center"/>
    </xf>
    <xf numFmtId="0" fontId="8" fillId="0" borderId="61" xfId="0" applyFont="1" applyBorder="1" applyAlignment="1">
      <alignment vertical="center"/>
    </xf>
    <xf numFmtId="0" fontId="8" fillId="0" borderId="60" xfId="0" applyFont="1" applyBorder="1" applyAlignment="1">
      <alignment vertical="center"/>
    </xf>
    <xf numFmtId="165" fontId="10" fillId="0" borderId="60" xfId="0" applyNumberFormat="1" applyFont="1" applyBorder="1" applyAlignment="1">
      <alignment vertical="center"/>
    </xf>
    <xf numFmtId="2" fontId="8" fillId="0" borderId="60" xfId="0" applyNumberFormat="1" applyFont="1" applyBorder="1" applyAlignment="1">
      <alignment vertical="center"/>
    </xf>
    <xf numFmtId="2" fontId="8" fillId="0" borderId="61" xfId="0" applyNumberFormat="1" applyFont="1" applyBorder="1" applyAlignment="1">
      <alignment vertical="center"/>
    </xf>
    <xf numFmtId="3" fontId="8" fillId="0" borderId="9" xfId="0" applyNumberFormat="1" applyFont="1" applyBorder="1" applyAlignment="1">
      <alignment horizontal="center" vertical="center"/>
    </xf>
    <xf numFmtId="4" fontId="30" fillId="7" borderId="123" xfId="0" applyNumberFormat="1" applyFont="1" applyFill="1" applyBorder="1" applyAlignment="1">
      <alignment horizontal="center" vertical="center" wrapText="1"/>
    </xf>
    <xf numFmtId="167" fontId="30" fillId="7" borderId="123" xfId="0" applyNumberFormat="1" applyFont="1" applyFill="1" applyBorder="1" applyAlignment="1">
      <alignment horizontal="center" vertical="center" wrapText="1"/>
    </xf>
    <xf numFmtId="4" fontId="24" fillId="7" borderId="123" xfId="0" applyNumberFormat="1" applyFont="1" applyFill="1" applyBorder="1" applyAlignment="1">
      <alignment vertical="center" wrapText="1"/>
    </xf>
    <xf numFmtId="167" fontId="24" fillId="7" borderId="111" xfId="0" applyNumberFormat="1" applyFont="1" applyFill="1" applyBorder="1" applyAlignment="1">
      <alignment horizontal="center" vertical="center" wrapText="1"/>
    </xf>
    <xf numFmtId="4" fontId="30" fillId="7" borderId="174" xfId="0" applyNumberFormat="1" applyFont="1" applyFill="1" applyBorder="1" applyAlignment="1">
      <alignment horizontal="center" vertical="center" wrapText="1"/>
    </xf>
    <xf numFmtId="4" fontId="30" fillId="7" borderId="145" xfId="0" applyNumberFormat="1" applyFont="1" applyFill="1" applyBorder="1" applyAlignment="1">
      <alignment horizontal="center" vertical="center" wrapText="1"/>
    </xf>
    <xf numFmtId="167" fontId="30" fillId="7" borderId="145" xfId="0" applyNumberFormat="1" applyFont="1" applyFill="1" applyBorder="1" applyAlignment="1">
      <alignment horizontal="center" vertical="center" wrapText="1"/>
    </xf>
    <xf numFmtId="4" fontId="30" fillId="7" borderId="122" xfId="0" applyNumberFormat="1" applyFont="1" applyFill="1" applyBorder="1" applyAlignment="1">
      <alignment vertical="center" wrapText="1"/>
    </xf>
    <xf numFmtId="4" fontId="30" fillId="7" borderId="123" xfId="0" applyNumberFormat="1" applyFont="1" applyFill="1" applyBorder="1" applyAlignment="1">
      <alignment vertical="center" wrapText="1"/>
    </xf>
    <xf numFmtId="4" fontId="30" fillId="7" borderId="175" xfId="0" applyNumberFormat="1" applyFont="1" applyFill="1" applyBorder="1" applyAlignment="1">
      <alignment vertical="center" wrapText="1"/>
    </xf>
    <xf numFmtId="0" fontId="24" fillId="7" borderId="111" xfId="0" applyFont="1" applyFill="1" applyBorder="1" applyAlignment="1">
      <alignment horizontal="center" vertical="center"/>
    </xf>
    <xf numFmtId="171" fontId="24" fillId="7" borderId="111" xfId="0" applyNumberFormat="1" applyFont="1" applyFill="1" applyBorder="1" applyAlignment="1">
      <alignment horizontal="center" vertical="center"/>
    </xf>
    <xf numFmtId="0" fontId="24" fillId="7" borderId="111" xfId="0" applyFont="1" applyFill="1" applyBorder="1" applyAlignment="1">
      <alignment horizontal="center" vertical="center" wrapText="1"/>
    </xf>
    <xf numFmtId="167" fontId="24" fillId="7" borderId="111" xfId="0" applyNumberFormat="1" applyFont="1" applyFill="1" applyBorder="1" applyAlignment="1">
      <alignment horizontal="center" vertical="center"/>
    </xf>
    <xf numFmtId="0" fontId="24" fillId="7" borderId="176" xfId="0" applyFont="1" applyFill="1" applyBorder="1" applyAlignment="1">
      <alignment vertical="center"/>
    </xf>
    <xf numFmtId="171" fontId="24" fillId="7" borderId="176" xfId="0" applyNumberFormat="1" applyFont="1" applyFill="1" applyBorder="1" applyAlignment="1">
      <alignment horizontal="center" vertical="center"/>
    </xf>
    <xf numFmtId="0" fontId="24" fillId="7" borderId="176" xfId="0" applyFont="1" applyFill="1" applyBorder="1" applyAlignment="1">
      <alignment horizontal="right" vertical="center" wrapText="1"/>
    </xf>
    <xf numFmtId="167" fontId="24" fillId="7" borderId="176" xfId="0" applyNumberFormat="1" applyFont="1" applyFill="1" applyBorder="1" applyAlignment="1">
      <alignment horizontal="right" vertical="center"/>
    </xf>
    <xf numFmtId="0" fontId="24" fillId="7" borderId="176" xfId="0" applyFont="1" applyFill="1" applyBorder="1" applyAlignment="1">
      <alignment horizontal="left" vertical="center" wrapText="1"/>
    </xf>
    <xf numFmtId="167" fontId="24" fillId="7" borderId="176" xfId="0" applyNumberFormat="1" applyFont="1" applyFill="1" applyBorder="1" applyAlignment="1">
      <alignment horizontal="center" vertical="center"/>
    </xf>
    <xf numFmtId="10" fontId="24" fillId="7" borderId="176" xfId="0" applyNumberFormat="1" applyFont="1" applyFill="1" applyBorder="1" applyAlignment="1">
      <alignment horizontal="right" vertical="center" wrapText="1"/>
    </xf>
    <xf numFmtId="0" fontId="24" fillId="7" borderId="177" xfId="0" applyFont="1" applyFill="1" applyBorder="1" applyAlignment="1">
      <alignment vertical="center"/>
    </xf>
    <xf numFmtId="0" fontId="24" fillId="7" borderId="177" xfId="0" applyFont="1" applyFill="1" applyBorder="1" applyAlignment="1">
      <alignment horizontal="center" vertical="center"/>
    </xf>
    <xf numFmtId="0" fontId="13" fillId="7" borderId="177" xfId="0" applyFont="1" applyFill="1" applyBorder="1" applyAlignment="1">
      <alignment horizontal="left" vertical="center" wrapText="1"/>
    </xf>
    <xf numFmtId="167" fontId="24" fillId="7" borderId="177" xfId="0" applyNumberFormat="1" applyFont="1" applyFill="1" applyBorder="1" applyAlignment="1">
      <alignment horizontal="center" vertical="center"/>
    </xf>
    <xf numFmtId="167" fontId="24" fillId="7" borderId="177" xfId="0" applyNumberFormat="1" applyFont="1" applyFill="1" applyBorder="1" applyAlignment="1">
      <alignment horizontal="right" vertical="center"/>
    </xf>
    <xf numFmtId="0" fontId="24" fillId="7" borderId="178" xfId="0" applyFont="1" applyFill="1" applyBorder="1" applyAlignment="1">
      <alignment vertical="center"/>
    </xf>
    <xf numFmtId="177" fontId="24" fillId="7" borderId="178" xfId="0" applyNumberFormat="1" applyFont="1" applyFill="1" applyBorder="1" applyAlignment="1">
      <alignment horizontal="center" vertical="center"/>
    </xf>
    <xf numFmtId="10" fontId="13" fillId="7" borderId="178" xfId="0" applyNumberFormat="1" applyFont="1" applyFill="1" applyBorder="1" applyAlignment="1">
      <alignment horizontal="right" vertical="center" wrapText="1"/>
    </xf>
    <xf numFmtId="167" fontId="13" fillId="7" borderId="178" xfId="0" applyNumberFormat="1" applyFont="1" applyFill="1" applyBorder="1" applyAlignment="1">
      <alignment horizontal="center" vertical="center"/>
    </xf>
    <xf numFmtId="167" fontId="13" fillId="7" borderId="178" xfId="0" applyNumberFormat="1" applyFont="1" applyFill="1" applyBorder="1" applyAlignment="1">
      <alignment horizontal="right" vertical="center"/>
    </xf>
    <xf numFmtId="0" fontId="24" fillId="7" borderId="123" xfId="0" applyFont="1" applyFill="1" applyBorder="1" applyAlignment="1">
      <alignment horizontal="center" vertical="center"/>
    </xf>
    <xf numFmtId="167" fontId="30" fillId="7" borderId="111" xfId="0" applyNumberFormat="1" applyFont="1" applyFill="1" applyBorder="1" applyAlignment="1">
      <alignment horizontal="right" vertical="center" wrapText="1"/>
    </xf>
    <xf numFmtId="0" fontId="24" fillId="7" borderId="4" xfId="0" applyFont="1" applyFill="1" applyBorder="1" applyAlignment="1">
      <alignment horizontal="right" vertical="center"/>
    </xf>
    <xf numFmtId="0" fontId="24" fillId="7" borderId="4" xfId="0" applyFont="1" applyFill="1" applyBorder="1" applyAlignment="1">
      <alignment horizontal="center" vertical="center"/>
    </xf>
    <xf numFmtId="0" fontId="24" fillId="7" borderId="4" xfId="0" applyFont="1" applyFill="1" applyBorder="1" applyAlignment="1">
      <alignment horizontal="left" vertical="center" wrapText="1"/>
    </xf>
    <xf numFmtId="167" fontId="24" fillId="7" borderId="4" xfId="0" applyNumberFormat="1" applyFont="1" applyFill="1" applyBorder="1" applyAlignment="1">
      <alignment horizontal="center" vertical="center"/>
    </xf>
    <xf numFmtId="167" fontId="30" fillId="7" borderId="179" xfId="0" applyNumberFormat="1" applyFont="1" applyFill="1" applyBorder="1" applyAlignment="1">
      <alignment horizontal="right" vertical="center" wrapText="1"/>
    </xf>
    <xf numFmtId="4" fontId="24" fillId="7" borderId="176" xfId="0" applyNumberFormat="1" applyFont="1" applyFill="1" applyBorder="1" applyAlignment="1">
      <alignment vertical="center"/>
    </xf>
    <xf numFmtId="177" fontId="24" fillId="7" borderId="176" xfId="0" applyNumberFormat="1" applyFont="1" applyFill="1" applyBorder="1" applyAlignment="1">
      <alignment horizontal="right" vertical="center" wrapText="1"/>
    </xf>
    <xf numFmtId="171" fontId="24" fillId="7" borderId="4" xfId="0" applyNumberFormat="1" applyFont="1" applyFill="1" applyBorder="1" applyAlignment="1">
      <alignment horizontal="center" vertical="center"/>
    </xf>
    <xf numFmtId="2" fontId="24" fillId="7" borderId="176" xfId="0" applyNumberFormat="1" applyFont="1" applyFill="1" applyBorder="1" applyAlignment="1">
      <alignment horizontal="right" vertical="center" wrapText="1"/>
    </xf>
    <xf numFmtId="0" fontId="30" fillId="7" borderId="4" xfId="0" applyFont="1" applyFill="1" applyBorder="1" applyAlignment="1">
      <alignment horizontal="left" vertical="center"/>
    </xf>
    <xf numFmtId="0" fontId="30" fillId="7" borderId="122" xfId="0" applyFont="1" applyFill="1" applyBorder="1" applyAlignment="1">
      <alignment vertical="center"/>
    </xf>
    <xf numFmtId="0" fontId="30" fillId="7" borderId="4" xfId="0" applyFont="1" applyFill="1" applyBorder="1" applyAlignment="1">
      <alignment horizontal="right" vertical="center"/>
    </xf>
    <xf numFmtId="167" fontId="30" fillId="7" borderId="4" xfId="0" applyNumberFormat="1" applyFont="1" applyFill="1" applyBorder="1" applyAlignment="1">
      <alignment horizontal="right" vertical="center" wrapText="1"/>
    </xf>
    <xf numFmtId="167" fontId="24" fillId="0" borderId="0" xfId="0" applyNumberFormat="1" applyFont="1" applyAlignment="1">
      <alignment horizontal="center" vertical="center"/>
    </xf>
    <xf numFmtId="0" fontId="58" fillId="7" borderId="180" xfId="0" applyFont="1" applyFill="1" applyBorder="1"/>
    <xf numFmtId="0" fontId="58" fillId="7" borderId="181" xfId="0" applyFont="1" applyFill="1" applyBorder="1"/>
    <xf numFmtId="0" fontId="60" fillId="2" borderId="9" xfId="0" applyFont="1" applyFill="1" applyBorder="1" applyAlignment="1">
      <alignment horizontal="center" vertical="center"/>
    </xf>
    <xf numFmtId="0" fontId="60" fillId="2" borderId="9" xfId="0" applyFont="1" applyFill="1" applyBorder="1" applyAlignment="1">
      <alignment horizontal="center" vertical="center" wrapText="1"/>
    </xf>
    <xf numFmtId="0" fontId="58" fillId="7" borderId="9" xfId="0" applyFont="1" applyFill="1" applyBorder="1" applyAlignment="1">
      <alignment horizontal="center" vertical="center"/>
    </xf>
    <xf numFmtId="0" fontId="58" fillId="7" borderId="9" xfId="0" applyFont="1" applyFill="1" applyBorder="1" applyAlignment="1">
      <alignment vertical="center"/>
    </xf>
    <xf numFmtId="0" fontId="58" fillId="7" borderId="9" xfId="0" applyFont="1" applyFill="1" applyBorder="1"/>
    <xf numFmtId="197" fontId="58" fillId="7" borderId="9" xfId="0" applyNumberFormat="1" applyFont="1" applyFill="1" applyBorder="1" applyAlignment="1">
      <alignment horizontal="center" vertical="center"/>
    </xf>
    <xf numFmtId="2" fontId="58" fillId="7" borderId="9" xfId="0" applyNumberFormat="1" applyFont="1" applyFill="1" applyBorder="1" applyAlignment="1">
      <alignment horizontal="center" vertical="center"/>
    </xf>
    <xf numFmtId="0" fontId="58" fillId="0" borderId="9" xfId="0" applyFont="1" applyBorder="1" applyAlignment="1">
      <alignment vertical="center"/>
    </xf>
    <xf numFmtId="0" fontId="58" fillId="7" borderId="46" xfId="0" applyFont="1" applyFill="1" applyBorder="1" applyAlignment="1">
      <alignment horizontal="center" vertical="center"/>
    </xf>
    <xf numFmtId="0" fontId="58" fillId="7" borderId="46" xfId="0" applyFont="1" applyFill="1" applyBorder="1" applyAlignment="1">
      <alignment vertical="center"/>
    </xf>
    <xf numFmtId="0" fontId="58" fillId="7" borderId="46" xfId="0" applyFont="1" applyFill="1" applyBorder="1"/>
    <xf numFmtId="197" fontId="58" fillId="7" borderId="46" xfId="0" applyNumberFormat="1" applyFont="1" applyFill="1" applyBorder="1" applyAlignment="1">
      <alignment horizontal="center" vertical="center"/>
    </xf>
    <xf numFmtId="167" fontId="58" fillId="7" borderId="9" xfId="0" applyNumberFormat="1" applyFont="1" applyFill="1" applyBorder="1"/>
    <xf numFmtId="0" fontId="58" fillId="7" borderId="9" xfId="0" applyFont="1" applyFill="1" applyBorder="1" applyAlignment="1">
      <alignment vertical="center" wrapText="1"/>
    </xf>
    <xf numFmtId="167" fontId="58" fillId="7" borderId="9" xfId="0" applyNumberFormat="1" applyFont="1" applyFill="1" applyBorder="1" applyAlignment="1">
      <alignment vertical="center"/>
    </xf>
    <xf numFmtId="0" fontId="58" fillId="7" borderId="9" xfId="0" applyFont="1" applyFill="1" applyBorder="1" applyAlignment="1">
      <alignment horizontal="left" vertical="top"/>
    </xf>
    <xf numFmtId="0" fontId="75" fillId="7" borderId="9" xfId="0" applyFont="1" applyFill="1" applyBorder="1" applyAlignment="1">
      <alignment horizontal="left"/>
    </xf>
    <xf numFmtId="0" fontId="58" fillId="7" borderId="9" xfId="0" applyFont="1" applyFill="1" applyBorder="1" applyAlignment="1">
      <alignment vertical="top"/>
    </xf>
    <xf numFmtId="0" fontId="75" fillId="7" borderId="9" xfId="0" applyFont="1" applyFill="1" applyBorder="1" applyAlignment="1">
      <alignment horizontal="left" vertical="center"/>
    </xf>
    <xf numFmtId="0" fontId="58" fillId="7" borderId="182" xfId="0" applyFont="1" applyFill="1" applyBorder="1"/>
    <xf numFmtId="0" fontId="58" fillId="7" borderId="183" xfId="0" applyFont="1" applyFill="1" applyBorder="1"/>
    <xf numFmtId="198" fontId="58" fillId="7" borderId="9" xfId="0" applyNumberFormat="1" applyFont="1" applyFill="1" applyBorder="1" applyAlignment="1">
      <alignment vertical="center" wrapText="1"/>
    </xf>
    <xf numFmtId="0" fontId="58" fillId="7" borderId="184" xfId="0" applyFont="1" applyFill="1" applyBorder="1"/>
    <xf numFmtId="0" fontId="75" fillId="7" borderId="46" xfId="0" applyFont="1" applyFill="1" applyBorder="1" applyAlignment="1">
      <alignment horizontal="left" vertical="center"/>
    </xf>
    <xf numFmtId="0" fontId="58" fillId="7" borderId="185" xfId="0" applyFont="1" applyFill="1" applyBorder="1"/>
    <xf numFmtId="198" fontId="58" fillId="7" borderId="46" xfId="0" applyNumberFormat="1" applyFont="1" applyFill="1" applyBorder="1" applyAlignment="1">
      <alignment vertical="center" wrapText="1"/>
    </xf>
    <xf numFmtId="0" fontId="58" fillId="7" borderId="9" xfId="0" applyFont="1" applyFill="1" applyBorder="1" applyAlignment="1">
      <alignment horizontal="center"/>
    </xf>
    <xf numFmtId="168" fontId="58" fillId="7" borderId="9" xfId="0" applyNumberFormat="1" applyFont="1" applyFill="1" applyBorder="1" applyAlignment="1">
      <alignment horizontal="center"/>
    </xf>
    <xf numFmtId="167" fontId="58" fillId="0" borderId="9" xfId="0" applyNumberFormat="1" applyFont="1" applyBorder="1"/>
    <xf numFmtId="167" fontId="58" fillId="0" borderId="9" xfId="0" applyNumberFormat="1" applyFont="1" applyBorder="1" applyAlignment="1">
      <alignment vertical="center"/>
    </xf>
    <xf numFmtId="0" fontId="8" fillId="18" borderId="9" xfId="0" applyFont="1" applyFill="1" applyBorder="1" applyAlignment="1">
      <alignment horizontal="center"/>
    </xf>
    <xf numFmtId="167" fontId="10" fillId="18" borderId="9" xfId="0" applyNumberFormat="1" applyFont="1" applyFill="1" applyBorder="1" applyAlignment="1">
      <alignment horizontal="center"/>
    </xf>
    <xf numFmtId="0" fontId="26" fillId="0" borderId="9" xfId="0" applyFont="1" applyBorder="1" applyAlignment="1">
      <alignment horizontal="center"/>
    </xf>
    <xf numFmtId="167" fontId="10" fillId="0" borderId="9" xfId="0" applyNumberFormat="1" applyFont="1" applyBorder="1"/>
    <xf numFmtId="167" fontId="10" fillId="0" borderId="9" xfId="0" applyNumberFormat="1" applyFont="1" applyBorder="1" applyAlignment="1">
      <alignment horizontal="center" vertical="center"/>
    </xf>
    <xf numFmtId="3" fontId="76" fillId="0" borderId="9" xfId="0" applyNumberFormat="1" applyFont="1" applyBorder="1" applyAlignment="1">
      <alignment horizontal="center"/>
    </xf>
    <xf numFmtId="0" fontId="76" fillId="0" borderId="9" xfId="0" applyFont="1" applyBorder="1" applyAlignment="1">
      <alignment horizontal="center"/>
    </xf>
    <xf numFmtId="167" fontId="52" fillId="0" borderId="9" xfId="0" applyNumberFormat="1" applyFont="1" applyBorder="1" applyAlignment="1">
      <alignment vertical="center"/>
    </xf>
    <xf numFmtId="167" fontId="10" fillId="0" borderId="9" xfId="0" applyNumberFormat="1" applyFont="1" applyBorder="1" applyAlignment="1">
      <alignment vertical="center"/>
    </xf>
    <xf numFmtId="0" fontId="77" fillId="0" borderId="9" xfId="0" applyFont="1" applyBorder="1" applyAlignment="1">
      <alignment horizontal="center" vertical="center"/>
    </xf>
    <xf numFmtId="8" fontId="10" fillId="0" borderId="9" xfId="0" applyNumberFormat="1" applyFont="1" applyBorder="1" applyAlignment="1">
      <alignment vertical="center"/>
    </xf>
    <xf numFmtId="0" fontId="77" fillId="0" borderId="9" xfId="0" applyFont="1" applyBorder="1" applyAlignment="1">
      <alignment horizontal="center"/>
    </xf>
    <xf numFmtId="167" fontId="8" fillId="0" borderId="9" xfId="0" applyNumberFormat="1" applyFont="1" applyBorder="1" applyAlignment="1">
      <alignment vertical="center" wrapText="1"/>
    </xf>
    <xf numFmtId="0" fontId="8" fillId="0" borderId="9" xfId="0" applyFont="1" applyBorder="1" applyAlignment="1">
      <alignment horizontal="center" vertical="center" wrapText="1"/>
    </xf>
    <xf numFmtId="167" fontId="79" fillId="4" borderId="165" xfId="0" applyNumberFormat="1" applyFont="1" applyFill="1" applyBorder="1" applyAlignment="1">
      <alignment horizontal="center" vertical="center" wrapText="1"/>
    </xf>
    <xf numFmtId="0" fontId="79" fillId="4" borderId="148" xfId="0" applyFont="1" applyFill="1" applyBorder="1" applyAlignment="1">
      <alignment horizontal="center" vertical="center" wrapText="1"/>
    </xf>
    <xf numFmtId="0" fontId="48" fillId="0" borderId="186" xfId="0" applyFont="1" applyBorder="1" applyAlignment="1">
      <alignment horizontal="left" vertical="center" wrapText="1"/>
    </xf>
    <xf numFmtId="167" fontId="39" fillId="0" borderId="106" xfId="0" applyNumberFormat="1" applyFont="1" applyBorder="1" applyAlignment="1">
      <alignment horizontal="left" vertical="center" wrapText="1"/>
    </xf>
    <xf numFmtId="0" fontId="39" fillId="0" borderId="106" xfId="0" applyFont="1" applyBorder="1" applyAlignment="1">
      <alignment horizontal="center" vertical="center" wrapText="1"/>
    </xf>
    <xf numFmtId="0" fontId="48" fillId="0" borderId="186" xfId="0" applyFont="1" applyBorder="1" applyAlignment="1">
      <alignment vertical="center" wrapText="1"/>
    </xf>
    <xf numFmtId="0" fontId="48" fillId="0" borderId="110" xfId="0" applyFont="1" applyBorder="1" applyAlignment="1">
      <alignment horizontal="left" vertical="center" wrapText="1"/>
    </xf>
    <xf numFmtId="167" fontId="39" fillId="0" borderId="22" xfId="0" applyNumberFormat="1" applyFont="1" applyBorder="1" applyAlignment="1">
      <alignment horizontal="left" vertical="center" wrapText="1"/>
    </xf>
    <xf numFmtId="0" fontId="66" fillId="20" borderId="9" xfId="0" applyFont="1" applyFill="1" applyBorder="1"/>
    <xf numFmtId="0" fontId="32" fillId="7" borderId="138" xfId="0" applyFont="1" applyFill="1" applyBorder="1" applyAlignment="1">
      <alignment horizontal="center"/>
    </xf>
    <xf numFmtId="166" fontId="32" fillId="0" borderId="35" xfId="0" applyNumberFormat="1" applyFont="1" applyBorder="1" applyAlignment="1">
      <alignment horizontal="center"/>
    </xf>
    <xf numFmtId="169" fontId="32" fillId="0" borderId="9" xfId="0" applyNumberFormat="1" applyFont="1" applyBorder="1"/>
    <xf numFmtId="0" fontId="31" fillId="0" borderId="1" xfId="0" applyFont="1" applyBorder="1" applyAlignment="1">
      <alignment horizontal="left" vertical="center"/>
    </xf>
    <xf numFmtId="0" fontId="31" fillId="0" borderId="2" xfId="0" applyFont="1" applyBorder="1" applyAlignment="1">
      <alignment vertical="center" wrapText="1"/>
    </xf>
    <xf numFmtId="0" fontId="31" fillId="0" borderId="3" xfId="0" applyFont="1" applyBorder="1" applyAlignment="1">
      <alignment horizontal="right" vertical="center"/>
    </xf>
    <xf numFmtId="3" fontId="32" fillId="0" borderId="6" xfId="0" applyNumberFormat="1" applyFont="1" applyBorder="1" applyAlignment="1">
      <alignment horizontal="right" vertical="center"/>
    </xf>
    <xf numFmtId="3" fontId="32" fillId="0" borderId="12" xfId="0" applyNumberFormat="1" applyFont="1" applyBorder="1" applyAlignment="1">
      <alignment horizontal="right" vertical="center"/>
    </xf>
    <xf numFmtId="0" fontId="31" fillId="0" borderId="1" xfId="0" applyFont="1" applyBorder="1" applyAlignment="1">
      <alignment horizontal="left"/>
    </xf>
    <xf numFmtId="0" fontId="31" fillId="0" borderId="2" xfId="0" applyFont="1" applyBorder="1" applyAlignment="1">
      <alignment wrapText="1"/>
    </xf>
    <xf numFmtId="0" fontId="31" fillId="0" borderId="3" xfId="0" applyFont="1" applyBorder="1" applyAlignment="1">
      <alignment horizontal="right"/>
    </xf>
    <xf numFmtId="167" fontId="32" fillId="0" borderId="12" xfId="0" applyNumberFormat="1" applyFont="1" applyBorder="1" applyAlignment="1">
      <alignment horizontal="center" vertical="center"/>
    </xf>
    <xf numFmtId="182" fontId="32" fillId="0" borderId="130" xfId="0" applyNumberFormat="1" applyFont="1" applyBorder="1"/>
    <xf numFmtId="2" fontId="32" fillId="0" borderId="130" xfId="0" applyNumberFormat="1" applyFont="1" applyBorder="1" applyAlignment="1">
      <alignment horizontal="center"/>
    </xf>
    <xf numFmtId="0" fontId="32" fillId="0" borderId="131" xfId="0" applyFont="1" applyBorder="1"/>
    <xf numFmtId="180" fontId="31" fillId="0" borderId="111" xfId="0" applyNumberFormat="1" applyFont="1" applyBorder="1"/>
    <xf numFmtId="0" fontId="31" fillId="0" borderId="0" xfId="0" applyFont="1" applyAlignment="1">
      <alignment horizontal="left"/>
    </xf>
    <xf numFmtId="182" fontId="32" fillId="0" borderId="12" xfId="0" applyNumberFormat="1" applyFont="1" applyBorder="1" applyAlignment="1">
      <alignment horizontal="right" vertical="center"/>
    </xf>
    <xf numFmtId="166" fontId="32" fillId="0" borderId="142" xfId="0" applyNumberFormat="1" applyFont="1" applyBorder="1"/>
    <xf numFmtId="0" fontId="32" fillId="0" borderId="60" xfId="0" applyFont="1" applyBorder="1" applyAlignment="1">
      <alignment horizontal="center" vertical="center"/>
    </xf>
    <xf numFmtId="182" fontId="32" fillId="0" borderId="60" xfId="0" applyNumberFormat="1" applyFont="1" applyBorder="1" applyAlignment="1">
      <alignment vertical="center"/>
    </xf>
    <xf numFmtId="0" fontId="30" fillId="0" borderId="189" xfId="0" applyFont="1" applyBorder="1" applyAlignment="1">
      <alignment horizontal="center" vertical="center"/>
    </xf>
    <xf numFmtId="0" fontId="30" fillId="0" borderId="190" xfId="0" applyFont="1" applyBorder="1" applyAlignment="1">
      <alignment horizontal="center" vertical="center"/>
    </xf>
    <xf numFmtId="0" fontId="30" fillId="0" borderId="191" xfId="0" applyFont="1" applyBorder="1" applyAlignment="1">
      <alignment horizontal="center" vertical="center" wrapText="1"/>
    </xf>
    <xf numFmtId="0" fontId="30" fillId="0" borderId="190" xfId="0" applyFont="1" applyBorder="1" applyAlignment="1">
      <alignment horizontal="center" vertical="center" wrapText="1"/>
    </xf>
    <xf numFmtId="170" fontId="30" fillId="0" borderId="192" xfId="0" applyNumberFormat="1" applyFont="1" applyBorder="1" applyAlignment="1">
      <alignment vertical="center" wrapText="1"/>
    </xf>
    <xf numFmtId="0" fontId="30" fillId="13" borderId="122" xfId="0" applyFont="1" applyFill="1" applyBorder="1" applyAlignment="1">
      <alignment vertical="center"/>
    </xf>
    <xf numFmtId="0" fontId="30" fillId="13" borderId="123" xfId="0" applyFont="1" applyFill="1" applyBorder="1" applyAlignment="1">
      <alignment horizontal="center" vertical="center"/>
    </xf>
    <xf numFmtId="0" fontId="30" fillId="13" borderId="123" xfId="0" applyFont="1" applyFill="1" applyBorder="1" applyAlignment="1">
      <alignment horizontal="left" vertical="center" wrapText="1"/>
    </xf>
    <xf numFmtId="0" fontId="24" fillId="13" borderId="123" xfId="0" applyFont="1" applyFill="1" applyBorder="1" applyAlignment="1">
      <alignment horizontal="center" vertical="center" wrapText="1"/>
    </xf>
    <xf numFmtId="170" fontId="24" fillId="13" borderId="175" xfId="0" applyNumberFormat="1" applyFont="1" applyFill="1" applyBorder="1" applyAlignment="1">
      <alignment vertical="center"/>
    </xf>
    <xf numFmtId="0" fontId="24" fillId="0" borderId="193" xfId="0" applyFont="1" applyBorder="1" applyAlignment="1">
      <alignment vertical="center"/>
    </xf>
    <xf numFmtId="0" fontId="80" fillId="0" borderId="193" xfId="0" applyFont="1" applyBorder="1" applyAlignment="1">
      <alignment horizontal="center" vertical="center"/>
    </xf>
    <xf numFmtId="0" fontId="24" fillId="0" borderId="193" xfId="0" applyFont="1" applyBorder="1" applyAlignment="1">
      <alignment horizontal="left" vertical="center" wrapText="1"/>
    </xf>
    <xf numFmtId="0" fontId="24" fillId="0" borderId="193" xfId="0" applyFont="1" applyBorder="1" applyAlignment="1">
      <alignment horizontal="center" vertical="center" wrapText="1"/>
    </xf>
    <xf numFmtId="170" fontId="24" fillId="0" borderId="193" xfId="0" applyNumberFormat="1" applyFont="1" applyBorder="1" applyAlignment="1">
      <alignment vertical="center"/>
    </xf>
    <xf numFmtId="0" fontId="24" fillId="0" borderId="177" xfId="0" applyFont="1" applyBorder="1" applyAlignment="1">
      <alignment vertical="center"/>
    </xf>
    <xf numFmtId="0" fontId="80" fillId="0" borderId="177" xfId="0" applyFont="1" applyBorder="1" applyAlignment="1">
      <alignment horizontal="center" vertical="center"/>
    </xf>
    <xf numFmtId="0" fontId="24" fillId="0" borderId="177" xfId="0" applyFont="1" applyBorder="1" applyAlignment="1">
      <alignment horizontal="left" vertical="center" wrapText="1"/>
    </xf>
    <xf numFmtId="0" fontId="24" fillId="0" borderId="177" xfId="0" applyFont="1" applyBorder="1" applyAlignment="1">
      <alignment horizontal="center" vertical="center" wrapText="1"/>
    </xf>
    <xf numFmtId="170" fontId="24" fillId="0" borderId="177" xfId="0" applyNumberFormat="1" applyFont="1" applyBorder="1" applyAlignment="1">
      <alignment vertical="center"/>
    </xf>
    <xf numFmtId="170" fontId="24" fillId="7" borderId="177" xfId="0" applyNumberFormat="1" applyFont="1" applyFill="1" applyBorder="1" applyAlignment="1">
      <alignment vertical="center"/>
    </xf>
    <xf numFmtId="16" fontId="24" fillId="0" borderId="177" xfId="0" applyNumberFormat="1" applyFont="1" applyBorder="1" applyAlignment="1">
      <alignment horizontal="center" vertical="center" wrapText="1"/>
    </xf>
    <xf numFmtId="0" fontId="8" fillId="0" borderId="177" xfId="0" applyFont="1" applyBorder="1" applyAlignment="1">
      <alignment vertical="center"/>
    </xf>
    <xf numFmtId="0" fontId="24" fillId="0" borderId="194" xfId="0" applyFont="1" applyBorder="1" applyAlignment="1">
      <alignment vertical="center"/>
    </xf>
    <xf numFmtId="0" fontId="8" fillId="0" borderId="194" xfId="0" applyFont="1" applyBorder="1" applyAlignment="1">
      <alignment vertical="center" wrapText="1"/>
    </xf>
    <xf numFmtId="0" fontId="24" fillId="0" borderId="194" xfId="0" applyFont="1" applyBorder="1" applyAlignment="1">
      <alignment horizontal="center" vertical="center" wrapText="1"/>
    </xf>
    <xf numFmtId="170" fontId="24" fillId="0" borderId="194" xfId="0" applyNumberFormat="1" applyFont="1" applyBorder="1" applyAlignment="1">
      <alignment vertical="center" wrapText="1"/>
    </xf>
    <xf numFmtId="0" fontId="24" fillId="0" borderId="178" xfId="0" applyFont="1" applyBorder="1" applyAlignment="1">
      <alignment vertical="center"/>
    </xf>
    <xf numFmtId="0" fontId="24" fillId="0" borderId="178" xfId="0" applyFont="1" applyBorder="1" applyAlignment="1">
      <alignment horizontal="center" vertical="center"/>
    </xf>
    <xf numFmtId="0" fontId="30" fillId="0" borderId="178" xfId="0" applyFont="1" applyBorder="1" applyAlignment="1">
      <alignment horizontal="right" vertical="center" wrapText="1"/>
    </xf>
    <xf numFmtId="0" fontId="24" fillId="0" borderId="178" xfId="0" applyFont="1" applyBorder="1" applyAlignment="1">
      <alignment horizontal="center" vertical="center" wrapText="1"/>
    </xf>
    <xf numFmtId="170" fontId="24" fillId="0" borderId="178" xfId="0" applyNumberFormat="1" applyFont="1" applyBorder="1" applyAlignment="1">
      <alignment vertical="center"/>
    </xf>
    <xf numFmtId="0" fontId="24" fillId="13" borderId="122" xfId="0" applyFont="1" applyFill="1" applyBorder="1" applyAlignment="1">
      <alignment vertical="center"/>
    </xf>
    <xf numFmtId="0" fontId="24" fillId="0" borderId="1" xfId="0" applyFont="1" applyBorder="1" applyAlignment="1">
      <alignment vertical="center"/>
    </xf>
    <xf numFmtId="0" fontId="30" fillId="0" borderId="2" xfId="0" applyFont="1" applyBorder="1" applyAlignment="1">
      <alignment horizontal="center" vertical="center"/>
    </xf>
    <xf numFmtId="0" fontId="30" fillId="0" borderId="2" xfId="0" applyFont="1" applyBorder="1" applyAlignment="1">
      <alignment horizontal="left" vertical="center" wrapText="1"/>
    </xf>
    <xf numFmtId="0" fontId="24" fillId="0" borderId="2" xfId="0" applyFont="1" applyBorder="1" applyAlignment="1">
      <alignment horizontal="center" vertical="center" wrapText="1"/>
    </xf>
    <xf numFmtId="170" fontId="24" fillId="0" borderId="3" xfId="0" applyNumberFormat="1" applyFont="1" applyBorder="1" applyAlignment="1">
      <alignment vertical="center"/>
    </xf>
    <xf numFmtId="171" fontId="80" fillId="0" borderId="193" xfId="0" applyNumberFormat="1" applyFont="1" applyBorder="1" applyAlignment="1">
      <alignment horizontal="center" vertical="center"/>
    </xf>
    <xf numFmtId="0" fontId="24" fillId="0" borderId="193" xfId="0" applyFont="1" applyBorder="1" applyAlignment="1">
      <alignment horizontal="center" vertical="center"/>
    </xf>
    <xf numFmtId="171" fontId="80" fillId="0" borderId="177" xfId="0" applyNumberFormat="1" applyFont="1" applyBorder="1" applyAlignment="1">
      <alignment horizontal="center" vertical="center"/>
    </xf>
    <xf numFmtId="0" fontId="24" fillId="0" borderId="177" xfId="0" applyFont="1" applyBorder="1" applyAlignment="1">
      <alignment horizontal="center" vertical="center"/>
    </xf>
    <xf numFmtId="170" fontId="24" fillId="0" borderId="195" xfId="0" applyNumberFormat="1" applyFont="1" applyBorder="1" applyAlignment="1">
      <alignment vertical="center"/>
    </xf>
    <xf numFmtId="170" fontId="24" fillId="7" borderId="176" xfId="0" applyNumberFormat="1" applyFont="1" applyFill="1" applyBorder="1" applyAlignment="1">
      <alignment vertical="center"/>
    </xf>
    <xf numFmtId="3" fontId="80" fillId="0" borderId="178" xfId="0" applyNumberFormat="1" applyFont="1" applyBorder="1" applyAlignment="1">
      <alignment horizontal="center" vertical="center"/>
    </xf>
    <xf numFmtId="0" fontId="24" fillId="0" borderId="178" xfId="0" applyFont="1" applyBorder="1" applyAlignment="1">
      <alignment horizontal="left" vertical="center" wrapText="1"/>
    </xf>
    <xf numFmtId="170" fontId="24" fillId="0" borderId="110" xfId="0" applyNumberFormat="1" applyFont="1" applyBorder="1" applyAlignment="1">
      <alignment vertical="center"/>
    </xf>
    <xf numFmtId="0" fontId="30" fillId="13" borderId="123" xfId="0" applyFont="1" applyFill="1" applyBorder="1" applyAlignment="1">
      <alignment horizontal="left" vertical="center"/>
    </xf>
    <xf numFmtId="177" fontId="80" fillId="0" borderId="178" xfId="0" applyNumberFormat="1" applyFont="1" applyBorder="1" applyAlignment="1">
      <alignment horizontal="center" vertical="center"/>
    </xf>
    <xf numFmtId="0" fontId="16" fillId="0" borderId="178" xfId="0" applyFont="1" applyBorder="1" applyAlignment="1">
      <alignment horizontal="right" vertical="center" wrapText="1"/>
    </xf>
    <xf numFmtId="0" fontId="13" fillId="0" borderId="178" xfId="0" applyFont="1" applyBorder="1" applyAlignment="1">
      <alignment horizontal="center" vertical="center"/>
    </xf>
    <xf numFmtId="170" fontId="13" fillId="0" borderId="178" xfId="0" applyNumberFormat="1" applyFont="1" applyBorder="1" applyAlignment="1">
      <alignment vertical="center"/>
    </xf>
    <xf numFmtId="171" fontId="80" fillId="0" borderId="178" xfId="0" applyNumberFormat="1" applyFont="1" applyBorder="1" applyAlignment="1">
      <alignment horizontal="center" vertical="center"/>
    </xf>
    <xf numFmtId="0" fontId="13" fillId="0" borderId="178" xfId="0" applyFont="1" applyBorder="1" applyAlignment="1">
      <alignment horizontal="left" vertical="center" wrapText="1"/>
    </xf>
    <xf numFmtId="0" fontId="30" fillId="13" borderId="176" xfId="0" applyFont="1" applyFill="1" applyBorder="1" applyAlignment="1">
      <alignment vertical="center"/>
    </xf>
    <xf numFmtId="171" fontId="30" fillId="13" borderId="176" xfId="0" applyNumberFormat="1" applyFont="1" applyFill="1" applyBorder="1" applyAlignment="1">
      <alignment horizontal="center" vertical="center"/>
    </xf>
    <xf numFmtId="0" fontId="24" fillId="0" borderId="195" xfId="0" applyFont="1" applyBorder="1" applyAlignment="1">
      <alignment vertical="center"/>
    </xf>
    <xf numFmtId="171" fontId="80" fillId="0" borderId="195" xfId="0" applyNumberFormat="1" applyFont="1" applyBorder="1" applyAlignment="1">
      <alignment horizontal="center" vertical="center"/>
    </xf>
    <xf numFmtId="0" fontId="24" fillId="0" borderId="195" xfId="0" applyFont="1" applyBorder="1" applyAlignment="1">
      <alignment horizontal="left" vertical="center" wrapText="1"/>
    </xf>
    <xf numFmtId="0" fontId="24" fillId="0" borderId="195" xfId="0" applyFont="1" applyBorder="1" applyAlignment="1">
      <alignment horizontal="center" vertical="center"/>
    </xf>
    <xf numFmtId="0" fontId="30" fillId="13" borderId="176" xfId="0" applyFont="1" applyFill="1" applyBorder="1" applyAlignment="1">
      <alignment horizontal="left" vertical="center" wrapText="1"/>
    </xf>
    <xf numFmtId="0" fontId="24" fillId="13" borderId="176" xfId="0" applyFont="1" applyFill="1" applyBorder="1" applyAlignment="1">
      <alignment horizontal="center" vertical="center"/>
    </xf>
    <xf numFmtId="170" fontId="24" fillId="13" borderId="176" xfId="0" applyNumberFormat="1" applyFont="1" applyFill="1" applyBorder="1" applyAlignment="1">
      <alignment vertical="center"/>
    </xf>
    <xf numFmtId="0" fontId="30" fillId="0" borderId="177" xfId="0" applyFont="1" applyBorder="1" applyAlignment="1">
      <alignment vertical="center"/>
    </xf>
    <xf numFmtId="0" fontId="24" fillId="0" borderId="199" xfId="0" applyFont="1" applyBorder="1" applyAlignment="1">
      <alignment horizontal="left" vertical="center" wrapText="1"/>
    </xf>
    <xf numFmtId="0" fontId="24" fillId="0" borderId="110" xfId="0" applyFont="1" applyBorder="1" applyAlignment="1">
      <alignment vertical="center"/>
    </xf>
    <xf numFmtId="0" fontId="24" fillId="0" borderId="110" xfId="0" applyFont="1" applyBorder="1" applyAlignment="1">
      <alignment horizontal="left" vertical="center" wrapText="1"/>
    </xf>
    <xf numFmtId="0" fontId="24" fillId="0" borderId="110" xfId="0" applyFont="1" applyBorder="1" applyAlignment="1">
      <alignment horizontal="center" vertical="center"/>
    </xf>
    <xf numFmtId="0" fontId="30" fillId="13" borderId="145" xfId="0" applyFont="1" applyFill="1" applyBorder="1" applyAlignment="1">
      <alignment horizontal="center" vertical="center"/>
    </xf>
    <xf numFmtId="0" fontId="24" fillId="13" borderId="145" xfId="0" applyFont="1" applyFill="1" applyBorder="1" applyAlignment="1">
      <alignment horizontal="center" vertical="center" wrapText="1"/>
    </xf>
    <xf numFmtId="170" fontId="24" fillId="0" borderId="198" xfId="0" applyNumberFormat="1" applyFont="1" applyBorder="1" applyAlignment="1">
      <alignment vertical="center"/>
    </xf>
    <xf numFmtId="170" fontId="24" fillId="0" borderId="200" xfId="0" applyNumberFormat="1" applyFont="1" applyBorder="1" applyAlignment="1">
      <alignment vertical="center"/>
    </xf>
    <xf numFmtId="170" fontId="24" fillId="0" borderId="201" xfId="0" applyNumberFormat="1" applyFont="1" applyBorder="1" applyAlignment="1">
      <alignment vertical="center"/>
    </xf>
    <xf numFmtId="0" fontId="80" fillId="0" borderId="178" xfId="0" applyFont="1" applyBorder="1" applyAlignment="1">
      <alignment horizontal="center" vertical="center"/>
    </xf>
    <xf numFmtId="170" fontId="24" fillId="0" borderId="202" xfId="0" applyNumberFormat="1" applyFont="1" applyBorder="1" applyAlignment="1">
      <alignment vertical="center"/>
    </xf>
    <xf numFmtId="0" fontId="30" fillId="13" borderId="147" xfId="0" applyFont="1" applyFill="1" applyBorder="1" applyAlignment="1">
      <alignment horizontal="center" vertical="center"/>
    </xf>
    <xf numFmtId="0" fontId="24" fillId="0" borderId="0" xfId="0" applyFont="1" applyAlignment="1">
      <alignment horizontal="right" vertical="center"/>
    </xf>
    <xf numFmtId="0" fontId="24" fillId="0" borderId="0" xfId="0" applyFont="1" applyAlignment="1">
      <alignment horizontal="left" vertical="center" wrapText="1"/>
    </xf>
    <xf numFmtId="171" fontId="24" fillId="0" borderId="0" xfId="0" applyNumberFormat="1" applyFont="1" applyAlignment="1">
      <alignment horizontal="left" vertical="center"/>
    </xf>
    <xf numFmtId="170" fontId="24" fillId="0" borderId="0" xfId="0" applyNumberFormat="1" applyFont="1" applyAlignment="1">
      <alignment vertical="center"/>
    </xf>
    <xf numFmtId="0" fontId="30" fillId="9" borderId="122" xfId="0" applyFont="1" applyFill="1" applyBorder="1" applyAlignment="1">
      <alignment vertical="center"/>
    </xf>
    <xf numFmtId="0" fontId="30" fillId="9" borderId="123" xfId="0" applyFont="1" applyFill="1" applyBorder="1" applyAlignment="1">
      <alignment horizontal="center" vertical="center"/>
    </xf>
    <xf numFmtId="0" fontId="30" fillId="9" borderId="123" xfId="0" applyFont="1" applyFill="1" applyBorder="1" applyAlignment="1">
      <alignment horizontal="left" vertical="center" wrapText="1"/>
    </xf>
    <xf numFmtId="0" fontId="24" fillId="9" borderId="123" xfId="0" applyFont="1" applyFill="1" applyBorder="1" applyAlignment="1">
      <alignment horizontal="center" vertical="center" wrapText="1"/>
    </xf>
    <xf numFmtId="170" fontId="24" fillId="9" borderId="175" xfId="0" applyNumberFormat="1" applyFont="1" applyFill="1" applyBorder="1" applyAlignment="1">
      <alignment vertical="center"/>
    </xf>
    <xf numFmtId="0" fontId="24" fillId="10" borderId="122" xfId="0" applyFont="1" applyFill="1" applyBorder="1" applyAlignment="1">
      <alignment vertical="center"/>
    </xf>
    <xf numFmtId="0" fontId="30" fillId="10" borderId="123" xfId="0" applyFont="1" applyFill="1" applyBorder="1" applyAlignment="1">
      <alignment horizontal="center" vertical="center"/>
    </xf>
    <xf numFmtId="0" fontId="24" fillId="0" borderId="194" xfId="0" applyFont="1" applyBorder="1" applyAlignment="1">
      <alignment horizontal="left" vertical="center" wrapText="1"/>
    </xf>
    <xf numFmtId="170" fontId="24" fillId="0" borderId="194" xfId="0" applyNumberFormat="1" applyFont="1" applyBorder="1" applyAlignment="1">
      <alignment vertical="center"/>
    </xf>
    <xf numFmtId="0" fontId="8" fillId="0" borderId="178" xfId="0" applyFont="1" applyBorder="1" applyAlignment="1">
      <alignment vertical="center"/>
    </xf>
    <xf numFmtId="0" fontId="7" fillId="0" borderId="0" xfId="0" applyFont="1"/>
    <xf numFmtId="43" fontId="40" fillId="0" borderId="106" xfId="2" applyFont="1" applyBorder="1" applyAlignment="1">
      <alignment horizontal="center" vertical="center"/>
    </xf>
    <xf numFmtId="0" fontId="40" fillId="0" borderId="0" xfId="0" applyFont="1" applyAlignment="1">
      <alignment horizontal="left" vertical="center" wrapText="1"/>
    </xf>
    <xf numFmtId="0" fontId="26" fillId="0" borderId="0" xfId="0" applyFont="1" applyAlignment="1">
      <alignment horizontal="center"/>
    </xf>
    <xf numFmtId="0" fontId="26" fillId="0" borderId="0" xfId="0" applyFont="1" applyAlignment="1">
      <alignment vertical="center"/>
    </xf>
    <xf numFmtId="0" fontId="40" fillId="0" borderId="0" xfId="0" applyFont="1" applyAlignment="1">
      <alignment vertical="center"/>
    </xf>
    <xf numFmtId="0" fontId="40" fillId="0" borderId="0" xfId="0" applyFont="1"/>
    <xf numFmtId="182" fontId="26" fillId="0" borderId="9" xfId="0" applyNumberFormat="1" applyFont="1" applyBorder="1"/>
    <xf numFmtId="2" fontId="26" fillId="0" borderId="9" xfId="0" applyNumberFormat="1" applyFont="1" applyBorder="1" applyAlignment="1">
      <alignment horizontal="center"/>
    </xf>
    <xf numFmtId="0" fontId="40" fillId="0" borderId="0" xfId="0" applyFont="1" applyAlignment="1">
      <alignment wrapText="1"/>
    </xf>
    <xf numFmtId="0" fontId="40" fillId="0" borderId="9" xfId="0" applyFont="1" applyBorder="1" applyAlignment="1">
      <alignment horizontal="center"/>
    </xf>
    <xf numFmtId="0" fontId="40" fillId="0" borderId="35" xfId="0" applyFont="1" applyBorder="1" applyAlignment="1">
      <alignment horizontal="center"/>
    </xf>
    <xf numFmtId="0" fontId="26" fillId="0" borderId="9" xfId="0" applyFont="1" applyBorder="1"/>
    <xf numFmtId="2" fontId="26" fillId="0" borderId="0" xfId="0" applyNumberFormat="1" applyFont="1" applyAlignment="1">
      <alignment vertical="center"/>
    </xf>
    <xf numFmtId="0" fontId="26" fillId="0" borderId="244" xfId="0" applyFont="1" applyBorder="1" applyAlignment="1">
      <alignment horizontal="center" vertical="center"/>
    </xf>
    <xf numFmtId="0" fontId="26" fillId="0" borderId="246" xfId="0" applyFont="1" applyBorder="1" applyAlignment="1">
      <alignment horizontal="center" vertical="center"/>
    </xf>
    <xf numFmtId="0" fontId="26" fillId="0" borderId="247" xfId="0" applyFont="1" applyBorder="1" applyAlignment="1">
      <alignment horizontal="center" vertical="center"/>
    </xf>
    <xf numFmtId="0" fontId="26" fillId="0" borderId="158" xfId="0" applyFont="1" applyBorder="1" applyAlignment="1">
      <alignment vertical="center"/>
    </xf>
    <xf numFmtId="2" fontId="26" fillId="0" borderId="158" xfId="0" applyNumberFormat="1" applyFont="1" applyBorder="1" applyAlignment="1">
      <alignment vertical="center"/>
    </xf>
    <xf numFmtId="0" fontId="40" fillId="0" borderId="244" xfId="0" applyFont="1" applyBorder="1" applyAlignment="1">
      <alignment horizontal="center"/>
    </xf>
    <xf numFmtId="0" fontId="40" fillId="0" borderId="245" xfId="0" applyFont="1" applyBorder="1" applyAlignment="1">
      <alignment horizontal="center"/>
    </xf>
    <xf numFmtId="166" fontId="26" fillId="0" borderId="245" xfId="0" applyNumberFormat="1" applyFont="1" applyBorder="1" applyAlignment="1">
      <alignment horizontal="center"/>
    </xf>
    <xf numFmtId="183" fontId="26" fillId="0" borderId="35" xfId="0" applyNumberFormat="1" applyFont="1" applyBorder="1" applyAlignment="1">
      <alignment horizontal="center"/>
    </xf>
    <xf numFmtId="166" fontId="26" fillId="0" borderId="248" xfId="0" applyNumberFormat="1" applyFont="1" applyBorder="1" applyAlignment="1">
      <alignment horizontal="center"/>
    </xf>
    <xf numFmtId="183" fontId="26" fillId="0" borderId="138" xfId="0" applyNumberFormat="1" applyFont="1" applyBorder="1" applyAlignment="1">
      <alignment horizontal="center"/>
    </xf>
    <xf numFmtId="166" fontId="40" fillId="0" borderId="0" xfId="0" applyNumberFormat="1" applyFont="1" applyAlignment="1">
      <alignment horizontal="center"/>
    </xf>
    <xf numFmtId="182" fontId="40" fillId="0" borderId="0" xfId="0" applyNumberFormat="1" applyFont="1"/>
    <xf numFmtId="182" fontId="40" fillId="0" borderId="9" xfId="0" applyNumberFormat="1" applyFont="1" applyBorder="1"/>
    <xf numFmtId="0" fontId="26" fillId="0" borderId="9" xfId="0" applyFont="1" applyBorder="1" applyAlignment="1">
      <alignment horizontal="left" vertical="center"/>
    </xf>
    <xf numFmtId="168" fontId="26" fillId="0" borderId="9" xfId="0" applyNumberFormat="1" applyFont="1" applyBorder="1" applyAlignment="1">
      <alignment horizontal="center" vertical="center"/>
    </xf>
    <xf numFmtId="166" fontId="26" fillId="0" borderId="9" xfId="0" applyNumberFormat="1" applyFont="1" applyBorder="1" applyAlignment="1">
      <alignment horizontal="center" vertical="center"/>
    </xf>
    <xf numFmtId="0" fontId="26" fillId="0" borderId="247" xfId="0" applyFont="1" applyBorder="1" applyAlignment="1">
      <alignment horizontal="left" vertical="center" wrapText="1"/>
    </xf>
    <xf numFmtId="168" fontId="26" fillId="0" borderId="247" xfId="0" applyNumberFormat="1" applyFont="1" applyBorder="1" applyAlignment="1">
      <alignment horizontal="center" vertical="center"/>
    </xf>
    <xf numFmtId="166" fontId="26" fillId="0" borderId="247" xfId="0" applyNumberFormat="1" applyFont="1" applyBorder="1" applyAlignment="1">
      <alignment horizontal="center" vertical="center"/>
    </xf>
    <xf numFmtId="170" fontId="83" fillId="14" borderId="4" xfId="0" applyNumberFormat="1" applyFont="1" applyFill="1" applyBorder="1" applyAlignment="1">
      <alignment horizontal="center" vertical="center"/>
    </xf>
    <xf numFmtId="0" fontId="83" fillId="14" borderId="4" xfId="0" applyFont="1" applyFill="1" applyBorder="1"/>
    <xf numFmtId="170" fontId="83" fillId="14" borderId="4" xfId="0" applyNumberFormat="1" applyFont="1" applyFill="1" applyBorder="1" applyAlignment="1">
      <alignment vertical="center"/>
    </xf>
    <xf numFmtId="0" fontId="40" fillId="0" borderId="222" xfId="0" applyFont="1" applyBorder="1" applyAlignment="1">
      <alignment wrapText="1"/>
    </xf>
    <xf numFmtId="2" fontId="26" fillId="0" borderId="158" xfId="14" applyNumberFormat="1" applyFont="1" applyAlignment="1">
      <alignment horizontal="center" vertical="center"/>
    </xf>
    <xf numFmtId="0" fontId="26" fillId="0" borderId="158" xfId="14" applyFont="1" applyAlignment="1">
      <alignment vertical="center"/>
    </xf>
    <xf numFmtId="2" fontId="84" fillId="0" borderId="158" xfId="14" applyNumberFormat="1" applyFont="1" applyAlignment="1">
      <alignment vertical="center"/>
    </xf>
    <xf numFmtId="2" fontId="26" fillId="0" borderId="158" xfId="14" applyNumberFormat="1" applyFont="1" applyAlignment="1">
      <alignment vertical="center"/>
    </xf>
    <xf numFmtId="0" fontId="40" fillId="23" borderId="215" xfId="12" applyFont="1" applyFill="1" applyBorder="1" applyAlignment="1">
      <alignment horizontal="center" vertical="center" wrapText="1"/>
    </xf>
    <xf numFmtId="2" fontId="40" fillId="0" borderId="158" xfId="14" applyNumberFormat="1" applyFont="1" applyAlignment="1">
      <alignment horizontal="center" vertical="center" wrapText="1"/>
    </xf>
    <xf numFmtId="0" fontId="40" fillId="0" borderId="158" xfId="14" applyFont="1" applyAlignment="1">
      <alignment horizontal="center" vertical="center" wrapText="1"/>
    </xf>
    <xf numFmtId="201" fontId="85" fillId="23" borderId="215" xfId="14" applyNumberFormat="1" applyFont="1" applyFill="1" applyBorder="1" applyAlignment="1">
      <alignment horizontal="center" vertical="center" wrapText="1"/>
    </xf>
    <xf numFmtId="0" fontId="40" fillId="23" borderId="215" xfId="12" applyFont="1" applyFill="1" applyBorder="1" applyAlignment="1">
      <alignment horizontal="left" vertical="center" wrapText="1"/>
    </xf>
    <xf numFmtId="0" fontId="40" fillId="23" borderId="215" xfId="13" applyFont="1" applyFill="1" applyBorder="1" applyAlignment="1">
      <alignment horizontal="center" vertical="center"/>
    </xf>
    <xf numFmtId="165" fontId="40" fillId="23" borderId="215" xfId="16" applyNumberFormat="1" applyFont="1" applyFill="1" applyBorder="1" applyAlignment="1">
      <alignment horizontal="center" vertical="center" wrapText="1"/>
    </xf>
    <xf numFmtId="200" fontId="40" fillId="23" borderId="215" xfId="12" applyNumberFormat="1" applyFont="1" applyFill="1" applyBorder="1" applyAlignment="1">
      <alignment vertical="center" wrapText="1"/>
    </xf>
    <xf numFmtId="10" fontId="85" fillId="23" borderId="215" xfId="18" applyNumberFormat="1" applyFont="1" applyFill="1" applyBorder="1" applyAlignment="1">
      <alignment horizontal="right" vertical="center"/>
    </xf>
    <xf numFmtId="176" fontId="85" fillId="23" borderId="215" xfId="19" applyNumberFormat="1" applyFont="1" applyFill="1" applyBorder="1" applyAlignment="1">
      <alignment vertical="center"/>
    </xf>
    <xf numFmtId="2" fontId="85" fillId="23" borderId="215" xfId="19" applyNumberFormat="1" applyFont="1" applyFill="1" applyBorder="1" applyAlignment="1">
      <alignment vertical="center"/>
    </xf>
    <xf numFmtId="42" fontId="85" fillId="23" borderId="215" xfId="19" applyNumberFormat="1" applyFont="1" applyFill="1" applyBorder="1" applyAlignment="1">
      <alignment vertical="center"/>
    </xf>
    <xf numFmtId="2" fontId="26" fillId="0" borderId="158" xfId="19" applyNumberFormat="1" applyFont="1" applyAlignment="1">
      <alignment horizontal="center" vertical="center"/>
    </xf>
    <xf numFmtId="2" fontId="40" fillId="0" borderId="158" xfId="14" applyNumberFormat="1" applyFont="1" applyAlignment="1">
      <alignment vertical="center"/>
    </xf>
    <xf numFmtId="0" fontId="40" fillId="0" borderId="158" xfId="14" applyFont="1" applyAlignment="1">
      <alignment vertical="center"/>
    </xf>
    <xf numFmtId="2" fontId="91" fillId="0" borderId="215" xfId="12" applyNumberFormat="1" applyFont="1" applyBorder="1" applyAlignment="1">
      <alignment horizontal="center" vertical="center"/>
    </xf>
    <xf numFmtId="2" fontId="91" fillId="0" borderId="215" xfId="12" applyNumberFormat="1" applyFont="1" applyBorder="1" applyAlignment="1">
      <alignment vertical="center"/>
    </xf>
    <xf numFmtId="2" fontId="85" fillId="0" borderId="158" xfId="14" applyNumberFormat="1" applyFont="1" applyAlignment="1">
      <alignment vertical="center"/>
    </xf>
    <xf numFmtId="0" fontId="85" fillId="0" borderId="158" xfId="14" applyFont="1" applyAlignment="1">
      <alignment vertical="center"/>
    </xf>
    <xf numFmtId="0" fontId="86" fillId="0" borderId="158" xfId="14" applyFont="1" applyAlignment="1">
      <alignment vertical="center"/>
    </xf>
    <xf numFmtId="2" fontId="84" fillId="22" borderId="215" xfId="12" applyNumberFormat="1" applyFill="1" applyBorder="1" applyAlignment="1">
      <alignment horizontal="right" vertical="center"/>
    </xf>
    <xf numFmtId="42" fontId="26" fillId="0" borderId="215" xfId="20" applyFont="1" applyFill="1" applyBorder="1" applyAlignment="1">
      <alignment vertical="center"/>
    </xf>
    <xf numFmtId="42" fontId="85" fillId="23" borderId="215" xfId="20" applyFont="1" applyFill="1" applyBorder="1" applyAlignment="1">
      <alignment vertical="center"/>
    </xf>
    <xf numFmtId="44" fontId="26" fillId="0" borderId="158" xfId="17" applyFont="1" applyAlignment="1">
      <alignment horizontal="center" vertical="center"/>
    </xf>
    <xf numFmtId="0" fontId="40" fillId="23" borderId="209" xfId="14" applyFont="1" applyFill="1" applyBorder="1" applyAlignment="1">
      <alignment vertical="center"/>
    </xf>
    <xf numFmtId="0" fontId="26" fillId="22" borderId="215" xfId="12" applyFont="1" applyFill="1" applyBorder="1" applyAlignment="1">
      <alignment horizontal="center" vertical="center" wrapText="1"/>
    </xf>
    <xf numFmtId="0" fontId="26" fillId="0" borderId="215" xfId="12" applyFont="1" applyBorder="1" applyAlignment="1">
      <alignment horizontal="center" vertical="center" wrapText="1"/>
    </xf>
    <xf numFmtId="10" fontId="84" fillId="0" borderId="215" xfId="18" applyNumberFormat="1" applyFont="1" applyBorder="1" applyAlignment="1">
      <alignment horizontal="right" vertical="center"/>
    </xf>
    <xf numFmtId="2" fontId="40" fillId="0" borderId="158" xfId="19" applyNumberFormat="1" applyFont="1" applyAlignment="1">
      <alignment horizontal="center" vertical="center"/>
    </xf>
    <xf numFmtId="0" fontId="40" fillId="22" borderId="209" xfId="12" applyFont="1" applyFill="1" applyBorder="1" applyAlignment="1">
      <alignment vertical="center" wrapText="1"/>
    </xf>
    <xf numFmtId="0" fontId="40" fillId="22" borderId="210" xfId="12" applyFont="1" applyFill="1" applyBorder="1" applyAlignment="1">
      <alignment vertical="center" wrapText="1"/>
    </xf>
    <xf numFmtId="0" fontId="40" fillId="22" borderId="210" xfId="12" applyFont="1" applyFill="1" applyBorder="1" applyAlignment="1">
      <alignment horizontal="center" vertical="center" wrapText="1"/>
    </xf>
    <xf numFmtId="0" fontId="40" fillId="22" borderId="211" xfId="12" applyFont="1" applyFill="1" applyBorder="1" applyAlignment="1">
      <alignment vertical="center" wrapText="1"/>
    </xf>
    <xf numFmtId="203" fontId="85" fillId="22" borderId="211" xfId="19" applyNumberFormat="1" applyFont="1" applyFill="1" applyBorder="1" applyAlignment="1">
      <alignment vertical="center"/>
    </xf>
    <xf numFmtId="0" fontId="26" fillId="23" borderId="209" xfId="12" applyFont="1" applyFill="1" applyBorder="1" applyAlignment="1">
      <alignment horizontal="center" vertical="center" wrapText="1"/>
    </xf>
    <xf numFmtId="170" fontId="85" fillId="23" borderId="215" xfId="17" applyNumberFormat="1" applyFont="1" applyFill="1" applyBorder="1" applyAlignment="1">
      <alignment vertical="center"/>
    </xf>
    <xf numFmtId="10" fontId="85" fillId="23" borderId="215" xfId="18" applyNumberFormat="1" applyFont="1" applyFill="1" applyBorder="1" applyAlignment="1">
      <alignment vertical="center"/>
    </xf>
    <xf numFmtId="9" fontId="85" fillId="23" borderId="211" xfId="18" applyFont="1" applyFill="1" applyBorder="1" applyAlignment="1">
      <alignment vertical="center"/>
    </xf>
    <xf numFmtId="170" fontId="26" fillId="0" borderId="158" xfId="14" applyNumberFormat="1" applyFont="1" applyAlignment="1">
      <alignment vertical="center"/>
    </xf>
    <xf numFmtId="0" fontId="84" fillId="0" borderId="158" xfId="14" applyFont="1" applyAlignment="1">
      <alignment vertical="center"/>
    </xf>
    <xf numFmtId="0" fontId="26" fillId="0" borderId="158" xfId="14" applyFont="1" applyAlignment="1">
      <alignment horizontal="center" vertical="center"/>
    </xf>
    <xf numFmtId="2" fontId="84" fillId="0" borderId="158" xfId="14" applyNumberFormat="1" applyFont="1" applyAlignment="1">
      <alignment horizontal="center" vertical="center"/>
    </xf>
    <xf numFmtId="200" fontId="26" fillId="0" borderId="158" xfId="14" applyNumberFormat="1" applyFont="1" applyAlignment="1">
      <alignment vertical="center"/>
    </xf>
    <xf numFmtId="0" fontId="85" fillId="23" borderId="217" xfId="14" applyFont="1" applyFill="1" applyBorder="1" applyAlignment="1">
      <alignment horizontal="center" vertical="center" wrapText="1"/>
    </xf>
    <xf numFmtId="200" fontId="26" fillId="22" borderId="215" xfId="12" applyNumberFormat="1" applyFont="1" applyFill="1" applyBorder="1" applyAlignment="1">
      <alignment horizontal="center" vertical="center" wrapText="1"/>
    </xf>
    <xf numFmtId="44" fontId="26" fillId="0" borderId="215" xfId="1" applyFont="1" applyBorder="1" applyAlignment="1">
      <alignment horizontal="center" vertical="center" wrapText="1"/>
    </xf>
    <xf numFmtId="44" fontId="40" fillId="23" borderId="215" xfId="1" applyFont="1" applyFill="1" applyBorder="1" applyAlignment="1">
      <alignment vertical="center" wrapText="1"/>
    </xf>
    <xf numFmtId="44" fontId="40" fillId="23" borderId="215" xfId="1" applyFont="1" applyFill="1" applyBorder="1" applyAlignment="1">
      <alignment horizontal="center" vertical="center" wrapText="1"/>
    </xf>
    <xf numFmtId="44" fontId="89" fillId="0" borderId="210" xfId="1" applyFont="1" applyBorder="1" applyAlignment="1">
      <alignment vertical="center" wrapText="1"/>
    </xf>
    <xf numFmtId="44" fontId="26" fillId="0" borderId="158" xfId="1" applyFont="1" applyBorder="1" applyAlignment="1">
      <alignment vertical="center"/>
    </xf>
    <xf numFmtId="0" fontId="40" fillId="0" borderId="215" xfId="12" applyFont="1" applyBorder="1" applyAlignment="1">
      <alignment horizontal="justify" vertical="center" wrapText="1"/>
    </xf>
    <xf numFmtId="9" fontId="40" fillId="23" borderId="215" xfId="11" applyFont="1" applyFill="1" applyBorder="1" applyAlignment="1">
      <alignment vertical="center" wrapText="1"/>
    </xf>
    <xf numFmtId="201" fontId="85" fillId="23" borderId="215" xfId="14" applyNumberFormat="1" applyFont="1" applyFill="1" applyBorder="1" applyAlignment="1">
      <alignment vertical="center" wrapText="1"/>
    </xf>
    <xf numFmtId="202" fontId="85" fillId="23" borderId="215" xfId="14" applyNumberFormat="1" applyFont="1" applyFill="1" applyBorder="1" applyAlignment="1">
      <alignment vertical="center" wrapText="1"/>
    </xf>
    <xf numFmtId="204" fontId="40" fillId="23" borderId="215" xfId="12" applyNumberFormat="1" applyFont="1" applyFill="1" applyBorder="1" applyAlignment="1">
      <alignment vertical="center" wrapText="1"/>
    </xf>
    <xf numFmtId="44" fontId="84" fillId="0" borderId="215" xfId="1" applyFont="1" applyBorder="1" applyAlignment="1">
      <alignment horizontal="right" vertical="center"/>
    </xf>
    <xf numFmtId="43" fontId="85" fillId="0" borderId="158" xfId="2" applyFont="1" applyBorder="1" applyAlignment="1">
      <alignment horizontal="center" vertical="center"/>
    </xf>
    <xf numFmtId="43" fontId="26" fillId="0" borderId="158" xfId="2" applyFont="1" applyBorder="1" applyAlignment="1">
      <alignment vertical="center"/>
    </xf>
    <xf numFmtId="43" fontId="40" fillId="0" borderId="158" xfId="2" applyFont="1" applyBorder="1" applyAlignment="1">
      <alignment horizontal="center" vertical="center" wrapText="1"/>
    </xf>
    <xf numFmtId="43" fontId="40" fillId="0" borderId="158" xfId="2" applyFont="1" applyBorder="1" applyAlignment="1">
      <alignment horizontal="center" vertical="center"/>
    </xf>
    <xf numFmtId="43" fontId="40" fillId="0" borderId="158" xfId="2" applyFont="1" applyBorder="1" applyAlignment="1">
      <alignment vertical="center"/>
    </xf>
    <xf numFmtId="43" fontId="86" fillId="0" borderId="158" xfId="2" applyFont="1" applyBorder="1" applyAlignment="1">
      <alignment vertical="center"/>
    </xf>
    <xf numFmtId="43" fontId="84" fillId="0" borderId="158" xfId="2" applyFont="1" applyBorder="1" applyAlignment="1">
      <alignment vertical="center"/>
    </xf>
    <xf numFmtId="176" fontId="40" fillId="23" borderId="215" xfId="17" applyNumberFormat="1" applyFont="1" applyFill="1" applyBorder="1" applyAlignment="1">
      <alignment vertical="center" wrapText="1"/>
    </xf>
    <xf numFmtId="176" fontId="40" fillId="23" borderId="215" xfId="12" applyNumberFormat="1" applyFont="1" applyFill="1" applyBorder="1" applyAlignment="1">
      <alignment horizontal="center" vertical="center" wrapText="1"/>
    </xf>
    <xf numFmtId="176" fontId="26" fillId="0" borderId="215" xfId="1" applyNumberFormat="1" applyFont="1" applyBorder="1" applyAlignment="1">
      <alignment horizontal="center" vertical="center" wrapText="1"/>
    </xf>
    <xf numFmtId="176" fontId="40" fillId="22" borderId="210" xfId="12" applyNumberFormat="1" applyFont="1" applyFill="1" applyBorder="1" applyAlignment="1">
      <alignment vertical="center" wrapText="1"/>
    </xf>
    <xf numFmtId="176" fontId="26" fillId="0" borderId="158" xfId="14" applyNumberFormat="1" applyFont="1" applyAlignment="1">
      <alignment vertical="center"/>
    </xf>
    <xf numFmtId="0" fontId="83" fillId="14" borderId="158" xfId="0" applyFont="1" applyFill="1" applyBorder="1"/>
    <xf numFmtId="170" fontId="83" fillId="14" borderId="158" xfId="0" applyNumberFormat="1" applyFont="1" applyFill="1" applyBorder="1" applyAlignment="1">
      <alignment vertical="center"/>
    </xf>
    <xf numFmtId="170" fontId="83" fillId="14" borderId="158" xfId="0" applyNumberFormat="1" applyFont="1" applyFill="1" applyBorder="1" applyAlignment="1">
      <alignment horizontal="center" vertical="center"/>
    </xf>
    <xf numFmtId="0" fontId="40" fillId="23" borderId="211" xfId="12" applyFont="1" applyFill="1" applyBorder="1" applyAlignment="1">
      <alignment horizontal="center" vertical="center" wrapText="1"/>
    </xf>
    <xf numFmtId="0" fontId="85" fillId="23" borderId="215" xfId="14" applyFont="1" applyFill="1" applyBorder="1" applyAlignment="1">
      <alignment horizontal="center" vertical="center" wrapText="1"/>
    </xf>
    <xf numFmtId="0" fontId="85" fillId="23" borderId="206" xfId="14" applyFont="1" applyFill="1" applyBorder="1" applyAlignment="1">
      <alignment horizontal="center" vertical="center" wrapText="1"/>
    </xf>
    <xf numFmtId="0" fontId="85" fillId="23" borderId="208" xfId="14" applyFont="1" applyFill="1" applyBorder="1" applyAlignment="1">
      <alignment horizontal="center" vertical="center" wrapText="1"/>
    </xf>
    <xf numFmtId="0" fontId="85" fillId="23" borderId="209" xfId="14" applyFont="1" applyFill="1" applyBorder="1" applyAlignment="1">
      <alignment horizontal="center" vertical="center" wrapText="1"/>
    </xf>
    <xf numFmtId="10" fontId="85" fillId="23" borderId="211" xfId="18" applyNumberFormat="1" applyFont="1" applyFill="1" applyBorder="1" applyAlignment="1">
      <alignment vertical="center"/>
    </xf>
    <xf numFmtId="43" fontId="85" fillId="0" borderId="158" xfId="14" applyNumberFormat="1" applyFont="1" applyAlignment="1">
      <alignment vertical="center"/>
    </xf>
    <xf numFmtId="42" fontId="26" fillId="0" borderId="158" xfId="14" applyNumberFormat="1" applyFont="1" applyAlignment="1">
      <alignment vertical="center"/>
    </xf>
    <xf numFmtId="42" fontId="40" fillId="0" borderId="158" xfId="14" applyNumberFormat="1" applyFont="1" applyAlignment="1">
      <alignment vertical="center"/>
    </xf>
    <xf numFmtId="42" fontId="92" fillId="0" borderId="158" xfId="14" applyNumberFormat="1" applyFont="1" applyAlignment="1">
      <alignment vertical="center"/>
    </xf>
    <xf numFmtId="42" fontId="85" fillId="24" borderId="215" xfId="19" applyNumberFormat="1" applyFont="1" applyFill="1" applyBorder="1" applyAlignment="1">
      <alignment vertical="center"/>
    </xf>
    <xf numFmtId="0" fontId="40" fillId="24" borderId="215" xfId="14" applyFont="1" applyFill="1" applyBorder="1" applyAlignment="1">
      <alignment vertical="center"/>
    </xf>
    <xf numFmtId="0" fontId="48" fillId="0" borderId="0" xfId="0" applyFont="1"/>
    <xf numFmtId="0" fontId="48" fillId="0" borderId="0" xfId="0" applyFont="1" applyAlignment="1">
      <alignment horizontal="center"/>
    </xf>
    <xf numFmtId="200" fontId="86" fillId="0" borderId="158" xfId="14" applyNumberFormat="1" applyFont="1" applyAlignment="1">
      <alignment vertical="center"/>
    </xf>
    <xf numFmtId="200" fontId="40" fillId="0" borderId="158" xfId="14" applyNumberFormat="1" applyFont="1" applyAlignment="1">
      <alignment vertical="center"/>
    </xf>
    <xf numFmtId="0" fontId="101" fillId="0" borderId="230" xfId="28" applyFont="1" applyBorder="1" applyAlignment="1">
      <alignment horizontal="center" vertical="center" wrapText="1"/>
    </xf>
    <xf numFmtId="0" fontId="95" fillId="0" borderId="262" xfId="13" applyFont="1" applyBorder="1" applyAlignment="1">
      <alignment horizontal="center" vertical="center"/>
    </xf>
    <xf numFmtId="0" fontId="95" fillId="0" borderId="215" xfId="13" applyFont="1" applyBorder="1" applyAlignment="1">
      <alignment horizontal="center" vertical="center"/>
    </xf>
    <xf numFmtId="0" fontId="95" fillId="0" borderId="215" xfId="13" applyFont="1" applyBorder="1" applyAlignment="1">
      <alignment horizontal="left" vertical="center" wrapText="1"/>
    </xf>
    <xf numFmtId="4" fontId="95" fillId="0" borderId="215" xfId="29" applyNumberFormat="1" applyFont="1" applyBorder="1" applyAlignment="1">
      <alignment vertical="center" wrapText="1"/>
    </xf>
    <xf numFmtId="207" fontId="95" fillId="0" borderId="215" xfId="30" applyNumberFormat="1" applyFont="1" applyBorder="1" applyAlignment="1">
      <alignment horizontal="right" vertical="center" wrapText="1"/>
    </xf>
    <xf numFmtId="207" fontId="95" fillId="0" borderId="237" xfId="30" applyNumberFormat="1" applyFont="1" applyBorder="1" applyAlignment="1">
      <alignment horizontal="right" vertical="center" wrapText="1"/>
    </xf>
    <xf numFmtId="0" fontId="95" fillId="0" borderId="221" xfId="13" applyFont="1" applyBorder="1" applyAlignment="1">
      <alignment horizontal="left" vertical="center"/>
    </xf>
    <xf numFmtId="0" fontId="95" fillId="0" borderId="222" xfId="13" applyFont="1" applyBorder="1" applyAlignment="1">
      <alignment horizontal="center" vertical="center"/>
    </xf>
    <xf numFmtId="0" fontId="95" fillId="0" borderId="222" xfId="13" applyFont="1" applyBorder="1" applyAlignment="1">
      <alignment horizontal="left" vertical="center" wrapText="1"/>
    </xf>
    <xf numFmtId="207" fontId="95" fillId="0" borderId="282" xfId="30" applyNumberFormat="1" applyFont="1" applyBorder="1" applyAlignment="1">
      <alignment horizontal="right" vertical="center" wrapText="1"/>
    </xf>
    <xf numFmtId="182" fontId="101" fillId="0" borderId="264" xfId="29" applyNumberFormat="1" applyFont="1" applyBorder="1" applyAlignment="1">
      <alignment horizontal="right" vertical="center"/>
    </xf>
    <xf numFmtId="207" fontId="95" fillId="0" borderId="227" xfId="30" applyNumberFormat="1" applyFont="1" applyBorder="1" applyAlignment="1">
      <alignment horizontal="right" vertical="center" wrapText="1"/>
    </xf>
    <xf numFmtId="0" fontId="95" fillId="0" borderId="215" xfId="31" applyFont="1" applyBorder="1" applyAlignment="1">
      <alignment horizontal="center" vertical="center"/>
    </xf>
    <xf numFmtId="0" fontId="95" fillId="0" borderId="215" xfId="31" applyFont="1" applyBorder="1" applyAlignment="1">
      <alignment horizontal="left" vertical="center" wrapText="1"/>
    </xf>
    <xf numFmtId="0" fontId="95" fillId="0" borderId="158" xfId="32" applyFont="1"/>
    <xf numFmtId="0" fontId="95" fillId="0" borderId="271" xfId="32" applyFont="1" applyBorder="1"/>
    <xf numFmtId="208" fontId="101" fillId="26" borderId="241" xfId="13" applyNumberFormat="1" applyFont="1" applyFill="1" applyBorder="1" applyAlignment="1">
      <alignment vertical="center"/>
    </xf>
    <xf numFmtId="0" fontId="95" fillId="0" borderId="275" xfId="32" applyFont="1" applyBorder="1"/>
    <xf numFmtId="0" fontId="103" fillId="0" borderId="158" xfId="32" applyFont="1"/>
    <xf numFmtId="49" fontId="101" fillId="0" borderId="158" xfId="33" applyNumberFormat="1" applyFont="1" applyAlignment="1">
      <alignment horizontal="right" vertical="center"/>
    </xf>
    <xf numFmtId="181" fontId="101" fillId="0" borderId="158" xfId="33" applyNumberFormat="1" applyFont="1" applyAlignment="1">
      <alignment vertical="center"/>
    </xf>
    <xf numFmtId="0" fontId="95" fillId="0" borderId="158" xfId="32" applyFont="1" applyAlignment="1">
      <alignment horizontal="center"/>
    </xf>
    <xf numFmtId="0" fontId="104" fillId="0" borderId="242" xfId="32" applyFont="1" applyBorder="1" applyAlignment="1">
      <alignment horizontal="right" vertical="center"/>
    </xf>
    <xf numFmtId="210" fontId="95" fillId="0" borderId="226" xfId="34" applyNumberFormat="1" applyFont="1" applyBorder="1" applyAlignment="1">
      <alignment vertical="center"/>
    </xf>
    <xf numFmtId="0" fontId="95" fillId="0" borderId="249" xfId="32" applyFont="1" applyBorder="1" applyAlignment="1">
      <alignment horizontal="left" vertical="center"/>
    </xf>
    <xf numFmtId="205" fontId="95" fillId="0" borderId="210" xfId="34" applyNumberFormat="1" applyFont="1" applyBorder="1" applyAlignment="1">
      <alignment horizontal="center" vertical="center"/>
    </xf>
    <xf numFmtId="0" fontId="101" fillId="0" borderId="210" xfId="32" applyFont="1" applyBorder="1" applyAlignment="1">
      <alignment vertical="center"/>
    </xf>
    <xf numFmtId="0" fontId="101" fillId="0" borderId="211" xfId="32" applyFont="1" applyBorder="1" applyAlignment="1">
      <alignment horizontal="right" vertical="center"/>
    </xf>
    <xf numFmtId="210" fontId="95" fillId="0" borderId="227" xfId="34" applyNumberFormat="1" applyFont="1" applyBorder="1" applyAlignment="1">
      <alignment vertical="center"/>
    </xf>
    <xf numFmtId="0" fontId="95" fillId="0" borderId="158" xfId="28" applyFont="1" applyAlignment="1">
      <alignment horizontal="center" vertical="center"/>
    </xf>
    <xf numFmtId="9" fontId="95" fillId="0" borderId="210" xfId="34" applyNumberFormat="1" applyFont="1" applyBorder="1" applyAlignment="1">
      <alignment horizontal="center" vertical="center"/>
    </xf>
    <xf numFmtId="210" fontId="95" fillId="0" borderId="210" xfId="34" applyNumberFormat="1" applyFont="1" applyBorder="1" applyAlignment="1">
      <alignment vertical="center"/>
    </xf>
    <xf numFmtId="0" fontId="95" fillId="0" borderId="211" xfId="32" applyFont="1" applyBorder="1" applyAlignment="1">
      <alignment vertical="center"/>
    </xf>
    <xf numFmtId="0" fontId="101" fillId="0" borderId="249" xfId="32" applyFont="1" applyBorder="1" applyAlignment="1">
      <alignment horizontal="left" vertical="center"/>
    </xf>
    <xf numFmtId="210" fontId="101" fillId="0" borderId="227" xfId="34" applyNumberFormat="1" applyFont="1" applyBorder="1" applyAlignment="1">
      <alignment vertical="center"/>
    </xf>
    <xf numFmtId="0" fontId="95" fillId="0" borderId="249" xfId="32" applyFont="1" applyBorder="1" applyAlignment="1">
      <alignment horizontal="left" vertical="center" wrapText="1"/>
    </xf>
    <xf numFmtId="0" fontId="95" fillId="0" borderId="211" xfId="32" applyFont="1" applyBorder="1" applyAlignment="1">
      <alignment horizontal="right" vertical="center"/>
    </xf>
    <xf numFmtId="0" fontId="95" fillId="0" borderId="158" xfId="32" applyFont="1" applyAlignment="1">
      <alignment horizontal="center" vertical="center" wrapText="1"/>
    </xf>
    <xf numFmtId="0" fontId="101" fillId="0" borderId="257" xfId="32" applyFont="1" applyBorder="1" applyAlignment="1">
      <alignment horizontal="left" vertical="center"/>
    </xf>
    <xf numFmtId="9" fontId="95" fillId="0" borderId="258" xfId="34" applyNumberFormat="1" applyFont="1" applyBorder="1" applyAlignment="1">
      <alignment horizontal="center" vertical="center"/>
    </xf>
    <xf numFmtId="210" fontId="101" fillId="0" borderId="258" xfId="34" applyNumberFormat="1" applyFont="1" applyBorder="1" applyAlignment="1">
      <alignment vertical="center"/>
    </xf>
    <xf numFmtId="0" fontId="95" fillId="0" borderId="243" xfId="32" applyFont="1" applyBorder="1" applyAlignment="1">
      <alignment vertical="center"/>
    </xf>
    <xf numFmtId="2" fontId="95" fillId="0" borderId="158" xfId="32" applyNumberFormat="1" applyFont="1"/>
    <xf numFmtId="210" fontId="95" fillId="0" borderId="158" xfId="34" applyNumberFormat="1" applyFont="1" applyBorder="1"/>
    <xf numFmtId="39" fontId="101" fillId="0" borderId="158" xfId="34" applyNumberFormat="1" applyFont="1" applyBorder="1" applyAlignment="1">
      <alignment vertical="center"/>
    </xf>
    <xf numFmtId="0" fontId="101" fillId="0" borderId="267" xfId="10" applyFont="1" applyBorder="1" applyAlignment="1">
      <alignment vertical="center"/>
    </xf>
    <xf numFmtId="211" fontId="95" fillId="0" borderId="275" xfId="32" applyNumberFormat="1" applyFont="1" applyBorder="1"/>
    <xf numFmtId="181" fontId="101" fillId="21" borderId="237" xfId="35" applyNumberFormat="1" applyFont="1" applyFill="1" applyBorder="1" applyAlignment="1">
      <alignment horizontal="center" vertical="center"/>
    </xf>
    <xf numFmtId="213" fontId="95" fillId="0" borderId="275" xfId="32" applyNumberFormat="1" applyFont="1" applyBorder="1"/>
    <xf numFmtId="181" fontId="101" fillId="21" borderId="215" xfId="35" applyNumberFormat="1" applyFont="1" applyFill="1" applyBorder="1" applyAlignment="1">
      <alignment horizontal="center" vertical="center"/>
    </xf>
    <xf numFmtId="9" fontId="95" fillId="25" borderId="227" xfId="36" applyFont="1" applyFill="1" applyBorder="1" applyAlignment="1">
      <alignment horizontal="center" vertical="center"/>
    </xf>
    <xf numFmtId="0" fontId="105" fillId="0" borderId="158" xfId="32" applyFont="1"/>
    <xf numFmtId="0" fontId="95" fillId="0" borderId="284" xfId="32" applyFont="1" applyBorder="1"/>
    <xf numFmtId="188" fontId="95" fillId="0" borderId="285" xfId="6" applyNumberFormat="1" applyFont="1" applyBorder="1"/>
    <xf numFmtId="4" fontId="95" fillId="0" borderId="215" xfId="29" applyNumberFormat="1" applyFont="1" applyBorder="1" applyAlignment="1">
      <alignment horizontal="center" vertical="center" wrapText="1"/>
    </xf>
    <xf numFmtId="214" fontId="95" fillId="0" borderId="237" xfId="30" applyNumberFormat="1" applyFont="1" applyBorder="1" applyAlignment="1">
      <alignment horizontal="right" vertical="center" wrapText="1"/>
    </xf>
    <xf numFmtId="0" fontId="97" fillId="0" borderId="158" xfId="12" applyFont="1" applyAlignment="1">
      <alignment horizontal="left"/>
    </xf>
    <xf numFmtId="0" fontId="98" fillId="0" borderId="158" xfId="12" applyFont="1" applyAlignment="1">
      <alignment horizontal="left"/>
    </xf>
    <xf numFmtId="0" fontId="97" fillId="0" borderId="289" xfId="12" applyFont="1" applyBorder="1" applyAlignment="1">
      <alignment horizontal="left"/>
    </xf>
    <xf numFmtId="0" fontId="100" fillId="0" borderId="290" xfId="12" applyFont="1" applyBorder="1" applyAlignment="1">
      <alignment horizontal="left"/>
    </xf>
    <xf numFmtId="0" fontId="97" fillId="0" borderId="291" xfId="12" applyFont="1" applyBorder="1" applyAlignment="1">
      <alignment horizontal="left"/>
    </xf>
    <xf numFmtId="0" fontId="100" fillId="0" borderId="292" xfId="12" applyFont="1" applyBorder="1" applyAlignment="1">
      <alignment horizontal="left"/>
    </xf>
    <xf numFmtId="0" fontId="98" fillId="0" borderId="222" xfId="12" applyFont="1" applyBorder="1" applyAlignment="1">
      <alignment horizontal="left"/>
    </xf>
    <xf numFmtId="208" fontId="101" fillId="26" borderId="241" xfId="31" applyNumberFormat="1" applyFont="1" applyFill="1" applyBorder="1" applyAlignment="1">
      <alignment vertical="center"/>
    </xf>
    <xf numFmtId="0" fontId="101" fillId="0" borderId="249" xfId="32" applyFont="1" applyBorder="1" applyAlignment="1">
      <alignment horizontal="left" vertical="center" wrapText="1"/>
    </xf>
    <xf numFmtId="0" fontId="105" fillId="0" borderId="158" xfId="12" applyFont="1"/>
    <xf numFmtId="0" fontId="97" fillId="0" borderId="271" xfId="12" applyFont="1" applyBorder="1" applyAlignment="1">
      <alignment horizontal="left"/>
    </xf>
    <xf numFmtId="0" fontId="105" fillId="0" borderId="275" xfId="12" applyFont="1" applyBorder="1"/>
    <xf numFmtId="0" fontId="108" fillId="0" borderId="296" xfId="12" applyFont="1" applyBorder="1" applyAlignment="1">
      <alignment horizontal="left"/>
    </xf>
    <xf numFmtId="0" fontId="100" fillId="0" borderId="296" xfId="12" applyFont="1" applyBorder="1" applyAlignment="1">
      <alignment horizontal="left"/>
    </xf>
    <xf numFmtId="0" fontId="105" fillId="0" borderId="271" xfId="12" applyFont="1" applyBorder="1"/>
    <xf numFmtId="0" fontId="114" fillId="0" borderId="158" xfId="12" applyFont="1" applyAlignment="1">
      <alignment horizontal="center"/>
    </xf>
    <xf numFmtId="0" fontId="105" fillId="0" borderId="236" xfId="12" applyFont="1" applyBorder="1" applyAlignment="1">
      <alignment horizontal="center"/>
    </xf>
    <xf numFmtId="0" fontId="114" fillId="0" borderId="204" xfId="12" applyFont="1" applyBorder="1" applyAlignment="1">
      <alignment horizontal="center"/>
    </xf>
    <xf numFmtId="0" fontId="113" fillId="0" borderId="204" xfId="12" applyFont="1" applyBorder="1" applyAlignment="1">
      <alignment vertical="center"/>
    </xf>
    <xf numFmtId="0" fontId="113" fillId="0" borderId="228" xfId="12" applyFont="1" applyBorder="1" applyAlignment="1">
      <alignment vertical="center"/>
    </xf>
    <xf numFmtId="0" fontId="105" fillId="0" borderId="254" xfId="12" applyFont="1" applyBorder="1" applyAlignment="1">
      <alignment horizontal="center"/>
    </xf>
    <xf numFmtId="0" fontId="114" fillId="0" borderId="219" xfId="12" applyFont="1" applyBorder="1" applyAlignment="1">
      <alignment horizontal="center"/>
    </xf>
    <xf numFmtId="0" fontId="113" fillId="0" borderId="219" xfId="12" applyFont="1" applyBorder="1" applyAlignment="1">
      <alignment horizontal="right" vertical="center"/>
    </xf>
    <xf numFmtId="0" fontId="113" fillId="0" borderId="225" xfId="12" applyFont="1" applyBorder="1" applyAlignment="1">
      <alignment horizontal="center" vertical="center"/>
    </xf>
    <xf numFmtId="0" fontId="113" fillId="0" borderId="226" xfId="12" applyFont="1" applyBorder="1" applyAlignment="1">
      <alignment horizontal="center" vertical="center"/>
    </xf>
    <xf numFmtId="0" fontId="105" fillId="0" borderId="224" xfId="12" applyFont="1" applyBorder="1" applyAlignment="1">
      <alignment horizontal="center"/>
    </xf>
    <xf numFmtId="0" fontId="113" fillId="0" borderId="158" xfId="12" applyFont="1" applyAlignment="1">
      <alignment horizontal="right" vertical="center"/>
    </xf>
    <xf numFmtId="1" fontId="113" fillId="0" borderId="215" xfId="12" applyNumberFormat="1" applyFont="1" applyBorder="1" applyAlignment="1">
      <alignment horizontal="center" vertical="center"/>
    </xf>
    <xf numFmtId="1" fontId="113" fillId="0" borderId="227" xfId="12" applyNumberFormat="1" applyFont="1" applyBorder="1" applyAlignment="1">
      <alignment horizontal="center" vertical="center"/>
    </xf>
    <xf numFmtId="1" fontId="113" fillId="0" borderId="220" xfId="12" applyNumberFormat="1" applyFont="1" applyBorder="1" applyAlignment="1">
      <alignment horizontal="center" vertical="center"/>
    </xf>
    <xf numFmtId="0" fontId="113" fillId="0" borderId="298" xfId="12" applyFont="1" applyBorder="1" applyAlignment="1">
      <alignment horizontal="left"/>
    </xf>
    <xf numFmtId="0" fontId="113" fillId="0" borderId="207" xfId="12" applyFont="1" applyBorder="1" applyAlignment="1">
      <alignment horizontal="center"/>
    </xf>
    <xf numFmtId="0" fontId="113" fillId="0" borderId="281" xfId="12" applyFont="1" applyBorder="1" applyAlignment="1">
      <alignment horizontal="center"/>
    </xf>
    <xf numFmtId="0" fontId="105" fillId="0" borderId="257" xfId="12" applyFont="1" applyBorder="1"/>
    <xf numFmtId="0" fontId="105" fillId="0" borderId="258" xfId="12" applyFont="1" applyBorder="1"/>
    <xf numFmtId="0" fontId="105" fillId="0" borderId="253" xfId="12" applyFont="1" applyBorder="1"/>
    <xf numFmtId="0" fontId="105" fillId="0" borderId="254" xfId="12" applyFont="1" applyBorder="1"/>
    <xf numFmtId="0" fontId="105" fillId="0" borderId="219" xfId="12" applyFont="1" applyBorder="1"/>
    <xf numFmtId="0" fontId="105" fillId="0" borderId="250" xfId="12" applyFont="1" applyBorder="1"/>
    <xf numFmtId="0" fontId="105" fillId="0" borderId="224" xfId="12" applyFont="1" applyBorder="1"/>
    <xf numFmtId="0" fontId="105" fillId="0" borderId="220" xfId="12" applyFont="1" applyBorder="1"/>
    <xf numFmtId="0" fontId="116" fillId="26" borderId="299" xfId="12" applyFont="1" applyFill="1" applyBorder="1" applyAlignment="1">
      <alignment horizontal="center" vertical="center"/>
    </xf>
    <xf numFmtId="0" fontId="105" fillId="26" borderId="300" xfId="12" applyFont="1" applyFill="1" applyBorder="1" applyAlignment="1">
      <alignment horizontal="center" vertical="center"/>
    </xf>
    <xf numFmtId="4" fontId="105" fillId="26" borderId="300" xfId="12" applyNumberFormat="1" applyFont="1" applyFill="1" applyBorder="1" applyAlignment="1">
      <alignment horizontal="center" vertical="center"/>
    </xf>
    <xf numFmtId="0" fontId="115" fillId="26" borderId="251" xfId="12" applyFont="1" applyFill="1" applyBorder="1" applyAlignment="1">
      <alignment horizontal="center"/>
    </xf>
    <xf numFmtId="0" fontId="115" fillId="26" borderId="225" xfId="12" applyFont="1" applyFill="1" applyBorder="1" applyAlignment="1">
      <alignment horizontal="center"/>
    </xf>
    <xf numFmtId="0" fontId="115" fillId="26" borderId="226" xfId="12" applyFont="1" applyFill="1" applyBorder="1" applyAlignment="1">
      <alignment horizontal="center"/>
    </xf>
    <xf numFmtId="0" fontId="105" fillId="0" borderId="210" xfId="12" applyFont="1" applyBorder="1"/>
    <xf numFmtId="184" fontId="105" fillId="0" borderId="215" xfId="6" applyFont="1" applyBorder="1"/>
    <xf numFmtId="184" fontId="105" fillId="0" borderId="227" xfId="6" applyFont="1" applyBorder="1"/>
    <xf numFmtId="0" fontId="105" fillId="0" borderId="236" xfId="12" applyFont="1" applyBorder="1"/>
    <xf numFmtId="0" fontId="105" fillId="0" borderId="204" xfId="12" applyFont="1" applyBorder="1"/>
    <xf numFmtId="0" fontId="105" fillId="0" borderId="205" xfId="12" applyFont="1" applyBorder="1"/>
    <xf numFmtId="0" fontId="105" fillId="0" borderId="203" xfId="12" applyFont="1" applyBorder="1"/>
    <xf numFmtId="184" fontId="105" fillId="0" borderId="263" xfId="6" applyFont="1" applyBorder="1"/>
    <xf numFmtId="184" fontId="105" fillId="0" borderId="218" xfId="12" applyNumberFormat="1" applyFont="1" applyBorder="1"/>
    <xf numFmtId="0" fontId="115" fillId="26" borderId="259" xfId="12" applyFont="1" applyFill="1" applyBorder="1" applyAlignment="1">
      <alignment horizontal="center"/>
    </xf>
    <xf numFmtId="0" fontId="105" fillId="0" borderId="210" xfId="12" applyFont="1" applyBorder="1" applyAlignment="1">
      <alignment horizontal="center"/>
    </xf>
    <xf numFmtId="2" fontId="105" fillId="0" borderId="215" xfId="12" applyNumberFormat="1" applyFont="1" applyBorder="1"/>
    <xf numFmtId="0" fontId="105" fillId="0" borderId="230" xfId="12" applyFont="1" applyBorder="1"/>
    <xf numFmtId="184" fontId="105" fillId="0" borderId="231" xfId="6" applyFont="1" applyBorder="1"/>
    <xf numFmtId="184" fontId="105" fillId="0" borderId="218" xfId="6" applyFont="1" applyBorder="1"/>
    <xf numFmtId="0" fontId="115" fillId="26" borderId="225" xfId="12" applyFont="1" applyFill="1" applyBorder="1"/>
    <xf numFmtId="2" fontId="105" fillId="0" borderId="215" xfId="12" applyNumberFormat="1" applyFont="1" applyBorder="1" applyAlignment="1">
      <alignment horizontal="center"/>
    </xf>
    <xf numFmtId="2" fontId="105" fillId="0" borderId="210" xfId="12" applyNumberFormat="1" applyFont="1" applyBorder="1" applyAlignment="1">
      <alignment horizontal="center"/>
    </xf>
    <xf numFmtId="0" fontId="105" fillId="0" borderId="263" xfId="12" applyFont="1" applyBorder="1"/>
    <xf numFmtId="0" fontId="105" fillId="0" borderId="222" xfId="12" applyFont="1" applyBorder="1"/>
    <xf numFmtId="184" fontId="105" fillId="0" borderId="264" xfId="6" applyFont="1" applyBorder="1"/>
    <xf numFmtId="0" fontId="115" fillId="26" borderId="259" xfId="12" applyFont="1" applyFill="1" applyBorder="1" applyAlignment="1">
      <alignment horizontal="center" wrapText="1"/>
    </xf>
    <xf numFmtId="0" fontId="115" fillId="26" borderId="225" xfId="12" applyFont="1" applyFill="1" applyBorder="1" applyAlignment="1">
      <alignment horizontal="center" wrapText="1"/>
    </xf>
    <xf numFmtId="0" fontId="115" fillId="26" borderId="242" xfId="12" applyFont="1" applyFill="1" applyBorder="1" applyAlignment="1">
      <alignment horizontal="center" wrapText="1"/>
    </xf>
    <xf numFmtId="0" fontId="115" fillId="26" borderId="226" xfId="12" applyFont="1" applyFill="1" applyBorder="1" applyAlignment="1">
      <alignment horizontal="center" wrapText="1"/>
    </xf>
    <xf numFmtId="0" fontId="105" fillId="0" borderId="249" xfId="12" applyFont="1" applyBorder="1" applyAlignment="1">
      <alignment horizontal="left"/>
    </xf>
    <xf numFmtId="0" fontId="105" fillId="0" borderId="210" xfId="12" applyFont="1" applyBorder="1" applyAlignment="1">
      <alignment horizontal="left"/>
    </xf>
    <xf numFmtId="184" fontId="105" fillId="0" borderId="215" xfId="6" applyFont="1" applyBorder="1" applyAlignment="1">
      <alignment horizontal="center"/>
    </xf>
    <xf numFmtId="0" fontId="105" fillId="0" borderId="210" xfId="36" applyNumberFormat="1" applyFont="1" applyBorder="1" applyAlignment="1">
      <alignment horizontal="center"/>
    </xf>
    <xf numFmtId="215" fontId="105" fillId="0" borderId="217" xfId="12" applyNumberFormat="1" applyFont="1" applyBorder="1" applyAlignment="1">
      <alignment horizontal="center" wrapText="1"/>
    </xf>
    <xf numFmtId="184" fontId="105" fillId="0" borderId="237" xfId="6" applyFont="1" applyBorder="1" applyAlignment="1">
      <alignment horizontal="center" wrapText="1"/>
    </xf>
    <xf numFmtId="215" fontId="105" fillId="26" borderId="218" xfId="12" applyNumberFormat="1" applyFont="1" applyFill="1" applyBorder="1"/>
    <xf numFmtId="43" fontId="105" fillId="0" borderId="210" xfId="6" applyNumberFormat="1" applyFont="1" applyBorder="1"/>
    <xf numFmtId="9" fontId="105" fillId="0" borderId="211" xfId="36" applyFont="1" applyBorder="1"/>
    <xf numFmtId="9" fontId="105" fillId="0" borderId="215" xfId="36" applyFont="1" applyBorder="1" applyAlignment="1">
      <alignment horizontal="center"/>
    </xf>
    <xf numFmtId="43" fontId="105" fillId="0" borderId="227" xfId="6" applyNumberFormat="1" applyFont="1" applyBorder="1"/>
    <xf numFmtId="43" fontId="105" fillId="0" borderId="258" xfId="6" applyNumberFormat="1" applyFont="1" applyBorder="1"/>
    <xf numFmtId="9" fontId="105" fillId="0" borderId="243" xfId="36" applyFont="1" applyBorder="1"/>
    <xf numFmtId="43" fontId="105" fillId="0" borderId="218" xfId="12" applyNumberFormat="1" applyFont="1" applyBorder="1"/>
    <xf numFmtId="43" fontId="105" fillId="26" borderId="218" xfId="12" applyNumberFormat="1" applyFont="1" applyFill="1" applyBorder="1"/>
    <xf numFmtId="0" fontId="105" fillId="0" borderId="207" xfId="12" applyFont="1" applyBorder="1"/>
    <xf numFmtId="0" fontId="103" fillId="0" borderId="224" xfId="12" applyFont="1" applyBorder="1"/>
    <xf numFmtId="0" fontId="103" fillId="0" borderId="158" xfId="12" applyFont="1"/>
    <xf numFmtId="0" fontId="103" fillId="0" borderId="220" xfId="12" applyFont="1" applyBorder="1"/>
    <xf numFmtId="0" fontId="105" fillId="0" borderId="158" xfId="12" applyFont="1" applyAlignment="1">
      <alignment horizontal="center"/>
    </xf>
    <xf numFmtId="0" fontId="105" fillId="0" borderId="220" xfId="12" applyFont="1" applyBorder="1" applyAlignment="1">
      <alignment horizontal="center"/>
    </xf>
    <xf numFmtId="0" fontId="115" fillId="0" borderId="249" xfId="12" applyFont="1" applyBorder="1"/>
    <xf numFmtId="0" fontId="105" fillId="0" borderId="238" xfId="12" applyFont="1" applyBorder="1"/>
    <xf numFmtId="0" fontId="85" fillId="0" borderId="224" xfId="12" applyFont="1" applyBorder="1" applyAlignment="1">
      <alignment horizontal="left"/>
    </xf>
    <xf numFmtId="0" fontId="105" fillId="0" borderId="158" xfId="12" applyFont="1" applyAlignment="1">
      <alignment horizontal="left"/>
    </xf>
    <xf numFmtId="0" fontId="105" fillId="0" borderId="224" xfId="12" applyFont="1" applyBorder="1" applyAlignment="1">
      <alignment horizontal="left"/>
    </xf>
    <xf numFmtId="0" fontId="103" fillId="0" borderId="224" xfId="12" applyFont="1" applyBorder="1" applyAlignment="1">
      <alignment horizontal="left"/>
    </xf>
    <xf numFmtId="0" fontId="118" fillId="0" borderId="158" xfId="12" applyFont="1" applyAlignment="1">
      <alignment horizontal="left"/>
    </xf>
    <xf numFmtId="0" fontId="105" fillId="0" borderId="284" xfId="12" applyFont="1" applyBorder="1"/>
    <xf numFmtId="0" fontId="105" fillId="0" borderId="285" xfId="12" applyFont="1" applyBorder="1"/>
    <xf numFmtId="0" fontId="105" fillId="0" borderId="266" xfId="12" applyFont="1" applyBorder="1"/>
    <xf numFmtId="0" fontId="8" fillId="0" borderId="1" xfId="0" applyFont="1" applyBorder="1" applyAlignment="1">
      <alignment horizontal="center" vertical="center"/>
    </xf>
    <xf numFmtId="0" fontId="9" fillId="0" borderId="2" xfId="0" applyFont="1" applyBorder="1"/>
    <xf numFmtId="0" fontId="9" fillId="0" borderId="3" xfId="0" applyFont="1" applyBorder="1"/>
    <xf numFmtId="0" fontId="8" fillId="2" borderId="1" xfId="0" applyFont="1" applyFill="1" applyBorder="1" applyAlignment="1">
      <alignment horizontal="left" vertical="center"/>
    </xf>
    <xf numFmtId="2" fontId="16" fillId="0" borderId="32" xfId="0" applyNumberFormat="1" applyFont="1" applyBorder="1" applyAlignment="1">
      <alignment horizontal="center" vertical="center" wrapText="1"/>
    </xf>
    <xf numFmtId="0" fontId="0" fillId="0" borderId="0" xfId="0"/>
    <xf numFmtId="0" fontId="9" fillId="0" borderId="22" xfId="0" applyFont="1" applyBorder="1"/>
    <xf numFmtId="0" fontId="12" fillId="0" borderId="33" xfId="0" applyFont="1" applyBorder="1" applyAlignment="1">
      <alignment horizontal="center" vertical="center"/>
    </xf>
    <xf numFmtId="0" fontId="9" fillId="0" borderId="34" xfId="0" applyFont="1" applyBorder="1"/>
    <xf numFmtId="0" fontId="8" fillId="0" borderId="36" xfId="0" applyFont="1" applyBorder="1" applyAlignment="1">
      <alignment horizontal="center"/>
    </xf>
    <xf numFmtId="0" fontId="9" fillId="0" borderId="37" xfId="0" applyFont="1" applyBorder="1"/>
    <xf numFmtId="0" fontId="9" fillId="0" borderId="35" xfId="0" applyFont="1" applyBorder="1"/>
    <xf numFmtId="0" fontId="13" fillId="0" borderId="14" xfId="0" applyFont="1" applyBorder="1" applyAlignment="1">
      <alignment vertical="top" wrapText="1"/>
    </xf>
    <xf numFmtId="0" fontId="9" fillId="0" borderId="19" xfId="0" applyFont="1" applyBorder="1"/>
    <xf numFmtId="0" fontId="9" fillId="0" borderId="27" xfId="0" applyFont="1" applyBorder="1"/>
    <xf numFmtId="4" fontId="14" fillId="0" borderId="15" xfId="0" applyNumberFormat="1" applyFont="1" applyBorder="1" applyAlignment="1">
      <alignment horizontal="center" vertical="center" wrapText="1"/>
    </xf>
    <xf numFmtId="0" fontId="9" fillId="0" borderId="16" xfId="0" applyFont="1" applyBorder="1"/>
    <xf numFmtId="0" fontId="9" fillId="0" borderId="17" xfId="0" applyFont="1" applyBorder="1"/>
    <xf numFmtId="0" fontId="9" fillId="0" borderId="20" xfId="0" applyFont="1" applyBorder="1"/>
    <xf numFmtId="0" fontId="9" fillId="0" borderId="21" xfId="0" applyFont="1" applyBorder="1"/>
    <xf numFmtId="0" fontId="9" fillId="0" borderId="23" xfId="0" applyFont="1" applyBorder="1"/>
    <xf numFmtId="0" fontId="9" fillId="0" borderId="24" xfId="0" applyFont="1" applyBorder="1"/>
    <xf numFmtId="0" fontId="9" fillId="0" borderId="25" xfId="0" applyFont="1" applyBorder="1"/>
    <xf numFmtId="0" fontId="15" fillId="4" borderId="15" xfId="0" applyFont="1" applyFill="1" applyBorder="1" applyAlignment="1">
      <alignment horizontal="center" vertical="center" wrapText="1"/>
    </xf>
    <xf numFmtId="0" fontId="9" fillId="0" borderId="18" xfId="0" applyFont="1" applyBorder="1"/>
    <xf numFmtId="0" fontId="9" fillId="0" borderId="26" xfId="0" applyFont="1" applyBorder="1"/>
    <xf numFmtId="4" fontId="16" fillId="0" borderId="28" xfId="0" applyNumberFormat="1" applyFont="1" applyBorder="1" applyAlignment="1">
      <alignment horizontal="center" vertical="center" wrapText="1"/>
    </xf>
    <xf numFmtId="0" fontId="9" fillId="0" borderId="29" xfId="0" applyFont="1" applyBorder="1"/>
    <xf numFmtId="0" fontId="9" fillId="0" borderId="30" xfId="0" applyFont="1" applyBorder="1"/>
    <xf numFmtId="4" fontId="11" fillId="0" borderId="28" xfId="0" applyNumberFormat="1" applyFont="1" applyBorder="1" applyAlignment="1">
      <alignment horizontal="center" vertical="center" wrapText="1"/>
    </xf>
    <xf numFmtId="0" fontId="9" fillId="0" borderId="31" xfId="0" applyFont="1" applyBorder="1"/>
    <xf numFmtId="0" fontId="101" fillId="26" borderId="240" xfId="13" applyFont="1" applyFill="1" applyBorder="1" applyAlignment="1">
      <alignment horizontal="center" vertical="center"/>
    </xf>
    <xf numFmtId="0" fontId="101" fillId="26" borderId="239" xfId="13" applyFont="1" applyFill="1" applyBorder="1" applyAlignment="1">
      <alignment horizontal="center" vertical="center"/>
    </xf>
    <xf numFmtId="0" fontId="101" fillId="26" borderId="241" xfId="13" applyFont="1" applyFill="1" applyBorder="1" applyAlignment="1">
      <alignment horizontal="center" vertical="center"/>
    </xf>
    <xf numFmtId="0" fontId="101" fillId="26" borderId="240" xfId="13" applyFont="1" applyFill="1" applyBorder="1" applyAlignment="1">
      <alignment horizontal="right" vertical="center"/>
    </xf>
    <xf numFmtId="0" fontId="101" fillId="26" borderId="239" xfId="13" applyFont="1" applyFill="1" applyBorder="1" applyAlignment="1">
      <alignment horizontal="right" vertical="center"/>
    </xf>
    <xf numFmtId="0" fontId="101" fillId="26" borderId="283" xfId="13" applyFont="1" applyFill="1" applyBorder="1" applyAlignment="1">
      <alignment horizontal="right" vertical="center"/>
    </xf>
    <xf numFmtId="0" fontId="95" fillId="0" borderId="267" xfId="32" applyFont="1" applyBorder="1" applyAlignment="1">
      <alignment horizontal="left" vertical="center" wrapText="1"/>
    </xf>
    <xf numFmtId="0" fontId="95" fillId="0" borderId="259" xfId="32" applyFont="1" applyBorder="1" applyAlignment="1">
      <alignment horizontal="left" vertical="center" wrapText="1"/>
    </xf>
    <xf numFmtId="0" fontId="95" fillId="0" borderId="242" xfId="32" applyFont="1" applyBorder="1" applyAlignment="1">
      <alignment horizontal="left" vertical="center" wrapText="1"/>
    </xf>
    <xf numFmtId="0" fontId="95" fillId="0" borderId="259" xfId="10" applyFont="1" applyBorder="1" applyAlignment="1">
      <alignment horizontal="center" vertical="center"/>
    </xf>
    <xf numFmtId="0" fontId="95" fillId="0" borderId="252" xfId="10" applyFont="1" applyBorder="1" applyAlignment="1">
      <alignment horizontal="center" vertical="center"/>
    </xf>
    <xf numFmtId="0" fontId="101" fillId="26" borderId="221" xfId="13" applyFont="1" applyFill="1" applyBorder="1" applyAlignment="1">
      <alignment horizontal="center" vertical="center"/>
    </xf>
    <xf numFmtId="0" fontId="101" fillId="26" borderId="222" xfId="13" applyFont="1" applyFill="1" applyBorder="1" applyAlignment="1">
      <alignment horizontal="center" vertical="center"/>
    </xf>
    <xf numFmtId="0" fontId="101" fillId="26" borderId="223" xfId="13" applyFont="1" applyFill="1" applyBorder="1" applyAlignment="1">
      <alignment horizontal="center" vertical="center"/>
    </xf>
    <xf numFmtId="0" fontId="101" fillId="22" borderId="232" xfId="13" applyFont="1" applyFill="1" applyBorder="1" applyAlignment="1">
      <alignment horizontal="center" vertical="center" wrapText="1"/>
    </xf>
    <xf numFmtId="0" fontId="101" fillId="22" borderId="229" xfId="13" applyFont="1" applyFill="1" applyBorder="1" applyAlignment="1">
      <alignment horizontal="center" vertical="center" wrapText="1"/>
    </xf>
    <xf numFmtId="0" fontId="101" fillId="22" borderId="225" xfId="13" applyFont="1" applyFill="1" applyBorder="1" applyAlignment="1">
      <alignment horizontal="center" vertical="center" wrapText="1"/>
    </xf>
    <xf numFmtId="0" fontId="101" fillId="22" borderId="230" xfId="13" applyFont="1" applyFill="1" applyBorder="1" applyAlignment="1">
      <alignment horizontal="center" vertical="center" wrapText="1"/>
    </xf>
    <xf numFmtId="0" fontId="101" fillId="0" borderId="225" xfId="28" applyFont="1" applyBorder="1" applyAlignment="1">
      <alignment horizontal="center" vertical="center" wrapText="1"/>
    </xf>
    <xf numFmtId="4" fontId="101" fillId="22" borderId="225" xfId="13" applyNumberFormat="1" applyFont="1" applyFill="1" applyBorder="1" applyAlignment="1">
      <alignment horizontal="center" vertical="center" wrapText="1"/>
    </xf>
    <xf numFmtId="4" fontId="101" fillId="22" borderId="230" xfId="13" applyNumberFormat="1" applyFont="1" applyFill="1" applyBorder="1" applyAlignment="1">
      <alignment horizontal="center" vertical="center" wrapText="1"/>
    </xf>
    <xf numFmtId="4" fontId="101" fillId="22" borderId="226" xfId="13" applyNumberFormat="1" applyFont="1" applyFill="1" applyBorder="1" applyAlignment="1">
      <alignment horizontal="center" vertical="center" wrapText="1"/>
    </xf>
    <xf numFmtId="4" fontId="101" fillId="22" borderId="231" xfId="13" applyNumberFormat="1" applyFont="1" applyFill="1" applyBorder="1" applyAlignment="1">
      <alignment horizontal="center" vertical="center" wrapText="1"/>
    </xf>
    <xf numFmtId="0" fontId="95" fillId="0" borderId="236" xfId="12" applyFont="1" applyBorder="1" applyAlignment="1">
      <alignment horizontal="center" vertical="center" wrapText="1"/>
    </xf>
    <xf numFmtId="0" fontId="95" fillId="0" borderId="204" xfId="12" applyFont="1" applyBorder="1" applyAlignment="1">
      <alignment horizontal="center" vertical="center" wrapText="1"/>
    </xf>
    <xf numFmtId="0" fontId="95" fillId="0" borderId="205" xfId="12" applyFont="1" applyBorder="1" applyAlignment="1">
      <alignment horizontal="center" vertical="center" wrapText="1"/>
    </xf>
    <xf numFmtId="0" fontId="95" fillId="0" borderId="224" xfId="12" applyFont="1" applyBorder="1" applyAlignment="1">
      <alignment horizontal="center" vertical="center" wrapText="1"/>
    </xf>
    <xf numFmtId="0" fontId="95" fillId="0" borderId="158" xfId="12" applyFont="1" applyAlignment="1">
      <alignment horizontal="center" vertical="center" wrapText="1"/>
    </xf>
    <xf numFmtId="0" fontId="95" fillId="0" borderId="214" xfId="12" applyFont="1" applyBorder="1" applyAlignment="1">
      <alignment horizontal="center" vertical="center" wrapText="1"/>
    </xf>
    <xf numFmtId="0" fontId="95" fillId="0" borderId="221" xfId="12" applyFont="1" applyBorder="1" applyAlignment="1">
      <alignment horizontal="center" vertical="center" wrapText="1"/>
    </xf>
    <xf numFmtId="0" fontId="95" fillId="0" borderId="222" xfId="12" applyFont="1" applyBorder="1" applyAlignment="1">
      <alignment horizontal="center" vertical="center" wrapText="1"/>
    </xf>
    <xf numFmtId="0" fontId="95" fillId="0" borderId="282" xfId="12" applyFont="1" applyBorder="1" applyAlignment="1">
      <alignment horizontal="center" vertical="center" wrapText="1"/>
    </xf>
    <xf numFmtId="0" fontId="101" fillId="26" borderId="221" xfId="31" applyFont="1" applyFill="1" applyBorder="1" applyAlignment="1">
      <alignment horizontal="left" vertical="center"/>
    </xf>
    <xf numFmtId="0" fontId="101" fillId="26" borderId="222" xfId="31" applyFont="1" applyFill="1" applyBorder="1" applyAlignment="1">
      <alignment horizontal="left" vertical="center"/>
    </xf>
    <xf numFmtId="0" fontId="101" fillId="26" borderId="223" xfId="31" applyFont="1" applyFill="1" applyBorder="1" applyAlignment="1">
      <alignment horizontal="left" vertical="center"/>
    </xf>
    <xf numFmtId="0" fontId="101" fillId="22" borderId="232" xfId="31" applyFont="1" applyFill="1" applyBorder="1" applyAlignment="1">
      <alignment horizontal="center" vertical="center" wrapText="1"/>
    </xf>
    <xf numFmtId="0" fontId="101" fillId="22" borderId="229" xfId="31" applyFont="1" applyFill="1" applyBorder="1" applyAlignment="1">
      <alignment horizontal="center" vertical="center" wrapText="1"/>
    </xf>
    <xf numFmtId="0" fontId="101" fillId="22" borderId="225" xfId="31" applyFont="1" applyFill="1" applyBorder="1" applyAlignment="1">
      <alignment horizontal="center" vertical="center" wrapText="1"/>
    </xf>
    <xf numFmtId="0" fontId="101" fillId="22" borderId="230" xfId="31" applyFont="1" applyFill="1" applyBorder="1" applyAlignment="1">
      <alignment horizontal="center" vertical="center" wrapText="1"/>
    </xf>
    <xf numFmtId="4" fontId="101" fillId="22" borderId="225" xfId="31" applyNumberFormat="1" applyFont="1" applyFill="1" applyBorder="1" applyAlignment="1">
      <alignment horizontal="center" vertical="center" wrapText="1"/>
    </xf>
    <xf numFmtId="4" fontId="101" fillId="22" borderId="230" xfId="31" applyNumberFormat="1" applyFont="1" applyFill="1" applyBorder="1" applyAlignment="1">
      <alignment horizontal="center" vertical="center" wrapText="1"/>
    </xf>
    <xf numFmtId="4" fontId="101" fillId="22" borderId="226" xfId="31" applyNumberFormat="1" applyFont="1" applyFill="1" applyBorder="1" applyAlignment="1">
      <alignment horizontal="center" vertical="center" wrapText="1"/>
    </xf>
    <xf numFmtId="4" fontId="101" fillId="22" borderId="231" xfId="31" applyNumberFormat="1" applyFont="1" applyFill="1" applyBorder="1" applyAlignment="1">
      <alignment horizontal="center" vertical="center" wrapText="1"/>
    </xf>
    <xf numFmtId="0" fontId="97" fillId="0" borderId="286" xfId="12" applyFont="1" applyBorder="1" applyAlignment="1">
      <alignment horizontal="center" wrapText="1"/>
    </xf>
    <xf numFmtId="0" fontId="97" fillId="0" borderId="287" xfId="12" applyFont="1" applyBorder="1" applyAlignment="1">
      <alignment horizontal="center" wrapText="1"/>
    </xf>
    <xf numFmtId="0" fontId="97" fillId="0" borderId="288" xfId="12" applyFont="1" applyBorder="1" applyAlignment="1">
      <alignment horizontal="center" wrapText="1"/>
    </xf>
    <xf numFmtId="0" fontId="85" fillId="0" borderId="224" xfId="12" applyFont="1" applyBorder="1" applyAlignment="1">
      <alignment wrapText="1"/>
    </xf>
    <xf numFmtId="0" fontId="85" fillId="0" borderId="158" xfId="12" applyFont="1" applyAlignment="1">
      <alignment wrapText="1"/>
    </xf>
    <xf numFmtId="0" fontId="85" fillId="0" borderId="220" xfId="12" applyFont="1" applyBorder="1" applyAlignment="1">
      <alignment wrapText="1"/>
    </xf>
    <xf numFmtId="0" fontId="95" fillId="0" borderId="158" xfId="12" applyFont="1" applyAlignment="1">
      <alignment horizontal="right"/>
    </xf>
    <xf numFmtId="0" fontId="95" fillId="0" borderId="220" xfId="12" applyFont="1" applyBorder="1" applyAlignment="1">
      <alignment horizontal="right"/>
    </xf>
    <xf numFmtId="0" fontId="95" fillId="0" borderId="222" xfId="12" applyFont="1" applyBorder="1" applyAlignment="1">
      <alignment horizontal="right"/>
    </xf>
    <xf numFmtId="0" fontId="95" fillId="0" borderId="223" xfId="12" applyFont="1" applyBorder="1" applyAlignment="1">
      <alignment horizontal="right"/>
    </xf>
    <xf numFmtId="0" fontId="118" fillId="0" borderId="221" xfId="12" applyFont="1" applyBorder="1" applyAlignment="1">
      <alignment horizontal="left"/>
    </xf>
    <xf numFmtId="0" fontId="118" fillId="0" borderId="222" xfId="12" applyFont="1" applyBorder="1" applyAlignment="1">
      <alignment horizontal="left"/>
    </xf>
    <xf numFmtId="43" fontId="105" fillId="0" borderId="209" xfId="6" applyNumberFormat="1" applyFont="1" applyBorder="1" applyAlignment="1">
      <alignment horizontal="center"/>
    </xf>
    <xf numFmtId="43" fontId="105" fillId="0" borderId="211" xfId="6" applyNumberFormat="1" applyFont="1" applyBorder="1" applyAlignment="1">
      <alignment horizontal="center"/>
    </xf>
    <xf numFmtId="43" fontId="105" fillId="0" borderId="256" xfId="6" applyNumberFormat="1" applyFont="1" applyBorder="1" applyAlignment="1">
      <alignment horizontal="center"/>
    </xf>
    <xf numFmtId="43" fontId="105" fillId="0" borderId="243" xfId="6" applyNumberFormat="1" applyFont="1" applyBorder="1" applyAlignment="1">
      <alignment horizontal="center"/>
    </xf>
    <xf numFmtId="0" fontId="115" fillId="0" borderId="240" xfId="12" applyFont="1" applyBorder="1" applyAlignment="1">
      <alignment horizontal="right"/>
    </xf>
    <xf numFmtId="0" fontId="115" fillId="0" borderId="239" xfId="12" applyFont="1" applyBorder="1" applyAlignment="1">
      <alignment horizontal="right"/>
    </xf>
    <xf numFmtId="0" fontId="115" fillId="0" borderId="241" xfId="12" applyFont="1" applyBorder="1" applyAlignment="1">
      <alignment horizontal="right"/>
    </xf>
    <xf numFmtId="0" fontId="114" fillId="26" borderId="240" xfId="12" applyFont="1" applyFill="1" applyBorder="1" applyAlignment="1">
      <alignment horizontal="right"/>
    </xf>
    <xf numFmtId="0" fontId="114" fillId="26" borderId="239" xfId="12" applyFont="1" applyFill="1" applyBorder="1" applyAlignment="1">
      <alignment horizontal="right"/>
    </xf>
    <xf numFmtId="0" fontId="114" fillId="26" borderId="241" xfId="12" applyFont="1" applyFill="1" applyBorder="1" applyAlignment="1">
      <alignment horizontal="right"/>
    </xf>
    <xf numFmtId="0" fontId="105" fillId="0" borderId="249" xfId="12" applyFont="1" applyBorder="1" applyAlignment="1">
      <alignment horizontal="center"/>
    </xf>
    <xf numFmtId="0" fontId="105" fillId="0" borderId="210" xfId="12" applyFont="1" applyBorder="1" applyAlignment="1">
      <alignment horizontal="center"/>
    </xf>
    <xf numFmtId="0" fontId="105" fillId="0" borderId="238" xfId="12" applyFont="1" applyBorder="1" applyAlignment="1">
      <alignment horizontal="center"/>
    </xf>
    <xf numFmtId="0" fontId="115" fillId="0" borderId="254" xfId="12" applyFont="1" applyBorder="1" applyAlignment="1">
      <alignment horizontal="left" vertical="center"/>
    </xf>
    <xf numFmtId="0" fontId="115" fillId="0" borderId="219" xfId="12" applyFont="1" applyBorder="1" applyAlignment="1">
      <alignment horizontal="left" vertical="center"/>
    </xf>
    <xf numFmtId="0" fontId="115" fillId="0" borderId="250" xfId="12" applyFont="1" applyBorder="1" applyAlignment="1">
      <alignment horizontal="left" vertical="center"/>
    </xf>
    <xf numFmtId="0" fontId="115" fillId="0" borderId="224" xfId="12" applyFont="1" applyBorder="1" applyAlignment="1">
      <alignment horizontal="left" vertical="center"/>
    </xf>
    <xf numFmtId="0" fontId="115" fillId="0" borderId="158" xfId="12" applyFont="1" applyAlignment="1">
      <alignment horizontal="left" vertical="center"/>
    </xf>
    <xf numFmtId="0" fontId="115" fillId="0" borderId="220" xfId="12" applyFont="1" applyBorder="1" applyAlignment="1">
      <alignment horizontal="left" vertical="center"/>
    </xf>
    <xf numFmtId="0" fontId="115" fillId="0" borderId="221" xfId="12" applyFont="1" applyBorder="1" applyAlignment="1">
      <alignment horizontal="left" vertical="center"/>
    </xf>
    <xf numFmtId="0" fontId="115" fillId="0" borderId="222" xfId="12" applyFont="1" applyBorder="1" applyAlignment="1">
      <alignment horizontal="left" vertical="center"/>
    </xf>
    <xf numFmtId="0" fontId="115" fillId="0" borderId="223" xfId="12" applyFont="1" applyBorder="1" applyAlignment="1">
      <alignment horizontal="left" vertical="center"/>
    </xf>
    <xf numFmtId="0" fontId="115" fillId="26" borderId="267" xfId="12" applyFont="1" applyFill="1" applyBorder="1" applyAlignment="1">
      <alignment horizontal="center"/>
    </xf>
    <xf numFmtId="0" fontId="115" fillId="26" borderId="259" xfId="12" applyFont="1" applyFill="1" applyBorder="1" applyAlignment="1">
      <alignment horizontal="center"/>
    </xf>
    <xf numFmtId="0" fontId="115" fillId="26" borderId="251" xfId="12" applyFont="1" applyFill="1" applyBorder="1" applyAlignment="1">
      <alignment horizontal="center" wrapText="1"/>
    </xf>
    <xf numFmtId="0" fontId="115" fillId="26" borderId="242" xfId="12" applyFont="1" applyFill="1" applyBorder="1" applyAlignment="1">
      <alignment horizontal="center" wrapText="1"/>
    </xf>
    <xf numFmtId="0" fontId="105" fillId="0" borderId="249" xfId="12" applyFont="1" applyBorder="1"/>
    <xf numFmtId="0" fontId="105" fillId="0" borderId="210" xfId="12" applyFont="1" applyBorder="1"/>
    <xf numFmtId="2" fontId="105" fillId="0" borderId="209" xfId="12" applyNumberFormat="1" applyFont="1" applyBorder="1" applyAlignment="1">
      <alignment horizontal="center" wrapText="1"/>
    </xf>
    <xf numFmtId="2" fontId="105" fillId="0" borderId="211" xfId="12" applyNumberFormat="1" applyFont="1" applyBorder="1" applyAlignment="1">
      <alignment horizontal="center" wrapText="1"/>
    </xf>
    <xf numFmtId="2" fontId="105" fillId="0" borderId="209" xfId="12" applyNumberFormat="1" applyFont="1" applyBorder="1" applyAlignment="1">
      <alignment horizontal="center"/>
    </xf>
    <xf numFmtId="2" fontId="105" fillId="0" borderId="211" xfId="12" applyNumberFormat="1" applyFont="1" applyBorder="1" applyAlignment="1">
      <alignment horizontal="center"/>
    </xf>
    <xf numFmtId="0" fontId="105" fillId="0" borderId="257" xfId="12" applyFont="1" applyBorder="1"/>
    <xf numFmtId="0" fontId="105" fillId="0" borderId="258" xfId="12" applyFont="1" applyBorder="1"/>
    <xf numFmtId="0" fontId="105" fillId="0" borderId="256" xfId="12" applyFont="1" applyBorder="1" applyAlignment="1">
      <alignment horizontal="center"/>
    </xf>
    <xf numFmtId="0" fontId="105" fillId="0" borderId="243" xfId="12" applyFont="1" applyBorder="1" applyAlignment="1">
      <alignment horizontal="center"/>
    </xf>
    <xf numFmtId="0" fontId="115" fillId="26" borderId="251" xfId="12" applyFont="1" applyFill="1" applyBorder="1" applyAlignment="1">
      <alignment horizontal="center"/>
    </xf>
    <xf numFmtId="0" fontId="115" fillId="26" borderId="242" xfId="12" applyFont="1" applyFill="1" applyBorder="1" applyAlignment="1">
      <alignment horizontal="center"/>
    </xf>
    <xf numFmtId="0" fontId="105" fillId="0" borderId="211" xfId="12" applyFont="1" applyBorder="1"/>
    <xf numFmtId="184" fontId="105" fillId="0" borderId="209" xfId="6" applyFont="1" applyBorder="1" applyAlignment="1">
      <alignment horizontal="center"/>
    </xf>
    <xf numFmtId="184" fontId="105" fillId="0" borderId="211" xfId="6" applyFont="1" applyBorder="1" applyAlignment="1">
      <alignment horizontal="center"/>
    </xf>
    <xf numFmtId="0" fontId="105" fillId="0" borderId="243" xfId="12" applyFont="1" applyBorder="1"/>
    <xf numFmtId="0" fontId="105" fillId="0" borderId="209" xfId="12" applyFont="1" applyBorder="1" applyAlignment="1">
      <alignment horizontal="center"/>
    </xf>
    <xf numFmtId="0" fontId="105" fillId="0" borderId="211" xfId="12" applyFont="1" applyBorder="1" applyAlignment="1">
      <alignment horizontal="center"/>
    </xf>
    <xf numFmtId="0" fontId="105" fillId="0" borderId="256" xfId="12" applyFont="1" applyBorder="1"/>
    <xf numFmtId="2" fontId="105" fillId="0" borderId="256" xfId="12" applyNumberFormat="1" applyFont="1" applyBorder="1" applyAlignment="1">
      <alignment horizontal="center"/>
    </xf>
    <xf numFmtId="2" fontId="105" fillId="0" borderId="243" xfId="12" applyNumberFormat="1" applyFont="1" applyBorder="1" applyAlignment="1">
      <alignment horizontal="center"/>
    </xf>
    <xf numFmtId="0" fontId="105" fillId="26" borderId="259" xfId="12" applyFont="1" applyFill="1" applyBorder="1" applyAlignment="1">
      <alignment horizontal="center"/>
    </xf>
    <xf numFmtId="0" fontId="105" fillId="26" borderId="242" xfId="12" applyFont="1" applyFill="1" applyBorder="1" applyAlignment="1">
      <alignment horizontal="center"/>
    </xf>
    <xf numFmtId="0" fontId="115" fillId="26" borderId="206" xfId="12" applyFont="1" applyFill="1" applyBorder="1" applyAlignment="1">
      <alignment horizontal="center"/>
    </xf>
    <xf numFmtId="0" fontId="115" fillId="26" borderId="208" xfId="12" applyFont="1" applyFill="1" applyBorder="1" applyAlignment="1">
      <alignment horizontal="center"/>
    </xf>
    <xf numFmtId="0" fontId="105" fillId="0" borderId="209" xfId="12" applyFont="1" applyBorder="1"/>
    <xf numFmtId="0" fontId="85" fillId="0" borderId="224" xfId="12" applyFont="1" applyBorder="1" applyAlignment="1">
      <alignment horizontal="right" vertical="center"/>
    </xf>
    <xf numFmtId="0" fontId="85" fillId="0" borderId="158" xfId="12" applyFont="1" applyAlignment="1">
      <alignment horizontal="right" vertical="center"/>
    </xf>
    <xf numFmtId="0" fontId="115" fillId="0" borderId="254" xfId="12" applyFont="1" applyBorder="1" applyAlignment="1" applyProtection="1">
      <alignment horizontal="center"/>
      <protection locked="0"/>
    </xf>
    <xf numFmtId="0" fontId="115" fillId="0" borderId="219" xfId="12" applyFont="1" applyBorder="1" applyAlignment="1" applyProtection="1">
      <alignment horizontal="center"/>
      <protection locked="0"/>
    </xf>
    <xf numFmtId="0" fontId="115" fillId="0" borderId="250" xfId="12" applyFont="1" applyBorder="1" applyAlignment="1" applyProtection="1">
      <alignment horizontal="center"/>
      <protection locked="0"/>
    </xf>
    <xf numFmtId="0" fontId="116" fillId="26" borderId="267" xfId="12" applyFont="1" applyFill="1" applyBorder="1" applyAlignment="1">
      <alignment horizontal="center" vertical="center" wrapText="1"/>
    </xf>
    <xf numFmtId="0" fontId="116" fillId="26" borderId="259" xfId="12" applyFont="1" applyFill="1" applyBorder="1" applyAlignment="1">
      <alignment horizontal="center" vertical="center" wrapText="1"/>
    </xf>
    <xf numFmtId="0" fontId="116" fillId="26" borderId="252" xfId="12" applyFont="1" applyFill="1" applyBorder="1" applyAlignment="1">
      <alignment horizontal="center" vertical="center" wrapText="1"/>
    </xf>
    <xf numFmtId="0" fontId="116" fillId="26" borderId="267" xfId="12" applyFont="1" applyFill="1" applyBorder="1" applyAlignment="1">
      <alignment horizontal="center" vertical="center"/>
    </xf>
    <xf numFmtId="0" fontId="116" fillId="26" borderId="252" xfId="12" applyFont="1" applyFill="1" applyBorder="1" applyAlignment="1">
      <alignment horizontal="center" vertical="center"/>
    </xf>
    <xf numFmtId="0" fontId="105" fillId="26" borderId="257" xfId="12" applyFont="1" applyFill="1" applyBorder="1" applyAlignment="1">
      <alignment horizontal="center" vertical="center"/>
    </xf>
    <xf numFmtId="0" fontId="105" fillId="26" borderId="258" xfId="12" applyFont="1" applyFill="1" applyBorder="1" applyAlignment="1">
      <alignment horizontal="center" vertical="center"/>
    </xf>
    <xf numFmtId="0" fontId="105" fillId="26" borderId="253" xfId="12" applyFont="1" applyFill="1" applyBorder="1" applyAlignment="1">
      <alignment horizontal="center" vertical="center"/>
    </xf>
    <xf numFmtId="0" fontId="114" fillId="0" borderId="213" xfId="12" applyFont="1" applyBorder="1" applyAlignment="1">
      <alignment horizontal="center"/>
    </xf>
    <xf numFmtId="0" fontId="114" fillId="0" borderId="158" xfId="12" applyFont="1" applyAlignment="1">
      <alignment horizontal="center"/>
    </xf>
    <xf numFmtId="0" fontId="114" fillId="0" borderId="214" xfId="12" applyFont="1" applyBorder="1" applyAlignment="1">
      <alignment horizontal="center"/>
    </xf>
    <xf numFmtId="0" fontId="114" fillId="0" borderId="213" xfId="12" applyFont="1" applyBorder="1" applyAlignment="1">
      <alignment horizontal="center" vertical="center" wrapText="1"/>
    </xf>
    <xf numFmtId="0" fontId="114" fillId="0" borderId="158" xfId="12" applyFont="1" applyAlignment="1">
      <alignment horizontal="center" vertical="center" wrapText="1"/>
    </xf>
    <xf numFmtId="0" fontId="114" fillId="0" borderId="214" xfId="12" applyFont="1" applyBorder="1" applyAlignment="1">
      <alignment horizontal="center" vertical="center" wrapText="1"/>
    </xf>
    <xf numFmtId="0" fontId="113" fillId="0" borderId="216" xfId="38" applyFont="1" applyBorder="1" applyAlignment="1">
      <alignment horizontal="center" vertical="center"/>
    </xf>
    <xf numFmtId="0" fontId="113" fillId="0" borderId="255" xfId="38" applyFont="1" applyBorder="1" applyAlignment="1">
      <alignment horizontal="center" vertical="center"/>
    </xf>
    <xf numFmtId="0" fontId="113" fillId="0" borderId="234" xfId="38" applyFont="1" applyBorder="1" applyAlignment="1">
      <alignment horizontal="center" vertical="center"/>
    </xf>
    <xf numFmtId="0" fontId="113" fillId="0" borderId="235" xfId="38" applyFont="1" applyBorder="1" applyAlignment="1">
      <alignment horizontal="center" vertical="center"/>
    </xf>
    <xf numFmtId="0" fontId="97" fillId="0" borderId="269" xfId="12" applyFont="1" applyBorder="1" applyAlignment="1">
      <alignment horizontal="center"/>
    </xf>
    <xf numFmtId="0" fontId="97" fillId="0" borderId="270" xfId="12" applyFont="1" applyBorder="1" applyAlignment="1">
      <alignment horizontal="center"/>
    </xf>
    <xf numFmtId="0" fontId="97" fillId="0" borderId="265" xfId="12" applyFont="1" applyBorder="1" applyAlignment="1">
      <alignment horizontal="center"/>
    </xf>
    <xf numFmtId="0" fontId="108" fillId="0" borderId="293" xfId="12" applyFont="1" applyBorder="1" applyAlignment="1">
      <alignment horizontal="center" wrapText="1"/>
    </xf>
    <xf numFmtId="0" fontId="108" fillId="0" borderId="294" xfId="12" applyFont="1" applyBorder="1" applyAlignment="1">
      <alignment horizontal="center" wrapText="1"/>
    </xf>
    <xf numFmtId="0" fontId="108" fillId="0" borderId="295" xfId="12" applyFont="1" applyBorder="1" applyAlignment="1">
      <alignment horizontal="center" wrapText="1"/>
    </xf>
    <xf numFmtId="0" fontId="95" fillId="25" borderId="215" xfId="12" applyFont="1" applyFill="1" applyBorder="1" applyAlignment="1">
      <alignment horizontal="center" wrapText="1"/>
    </xf>
    <xf numFmtId="0" fontId="110" fillId="0" borderId="260" xfId="37" applyFont="1" applyBorder="1" applyAlignment="1" applyProtection="1">
      <alignment horizontal="center"/>
    </xf>
    <xf numFmtId="0" fontId="110" fillId="0" borderId="261" xfId="37" applyFont="1" applyBorder="1" applyAlignment="1" applyProtection="1">
      <alignment horizontal="center"/>
    </xf>
    <xf numFmtId="0" fontId="111" fillId="0" borderId="297" xfId="12" applyFont="1" applyBorder="1" applyAlignment="1">
      <alignment horizontal="center"/>
    </xf>
    <xf numFmtId="0" fontId="111" fillId="0" borderId="219" xfId="12" applyFont="1" applyBorder="1" applyAlignment="1">
      <alignment horizontal="center"/>
    </xf>
    <xf numFmtId="0" fontId="111" fillId="0" borderId="268" xfId="12" applyFont="1" applyBorder="1" applyAlignment="1">
      <alignment horizontal="center"/>
    </xf>
    <xf numFmtId="0" fontId="113" fillId="0" borderId="297" xfId="38" applyFont="1" applyBorder="1" applyAlignment="1">
      <alignment horizontal="center" vertical="center"/>
    </xf>
    <xf numFmtId="0" fontId="113" fillId="0" borderId="219" xfId="38" applyFont="1" applyBorder="1" applyAlignment="1">
      <alignment horizontal="center" vertical="center"/>
    </xf>
    <xf numFmtId="0" fontId="113" fillId="0" borderId="250" xfId="38" applyFont="1" applyBorder="1" applyAlignment="1">
      <alignment horizontal="center" vertical="center"/>
    </xf>
    <xf numFmtId="0" fontId="113" fillId="0" borderId="206" xfId="38" applyFont="1" applyBorder="1" applyAlignment="1">
      <alignment horizontal="center" vertical="center"/>
    </xf>
    <xf numFmtId="0" fontId="113" fillId="0" borderId="207" xfId="38" applyFont="1" applyBorder="1" applyAlignment="1">
      <alignment horizontal="center" vertical="center"/>
    </xf>
    <xf numFmtId="0" fontId="113" fillId="0" borderId="281" xfId="38" applyFont="1" applyBorder="1" applyAlignment="1">
      <alignment horizontal="center" vertical="center"/>
    </xf>
    <xf numFmtId="0" fontId="115" fillId="0" borderId="213" xfId="12" applyFont="1" applyBorder="1" applyAlignment="1">
      <alignment horizontal="center"/>
    </xf>
    <xf numFmtId="0" fontId="115" fillId="0" borderId="158" xfId="12" applyFont="1" applyAlignment="1">
      <alignment horizontal="center"/>
    </xf>
    <xf numFmtId="0" fontId="115" fillId="0" borderId="214" xfId="12" applyFont="1" applyBorder="1" applyAlignment="1">
      <alignment horizontal="center"/>
    </xf>
    <xf numFmtId="0" fontId="113" fillId="0" borderId="217" xfId="12" applyFont="1" applyBorder="1" applyAlignment="1">
      <alignment horizontal="center" vertical="center"/>
    </xf>
    <xf numFmtId="0" fontId="113" fillId="0" borderId="203" xfId="38" applyFont="1" applyBorder="1" applyAlignment="1">
      <alignment horizontal="center" vertical="center"/>
    </xf>
    <xf numFmtId="0" fontId="113" fillId="0" borderId="204" xfId="38" applyFont="1" applyBorder="1" applyAlignment="1">
      <alignment horizontal="center" vertical="center"/>
    </xf>
    <xf numFmtId="0" fontId="113" fillId="0" borderId="228" xfId="38" applyFont="1" applyBorder="1" applyAlignment="1">
      <alignment horizontal="center" vertical="center"/>
    </xf>
    <xf numFmtId="0" fontId="113" fillId="0" borderId="206" xfId="12" applyFont="1" applyBorder="1" applyAlignment="1">
      <alignment horizontal="center" vertical="center"/>
    </xf>
    <xf numFmtId="0" fontId="113" fillId="0" borderId="207" xfId="12" applyFont="1" applyBorder="1" applyAlignment="1">
      <alignment horizontal="center" vertical="center"/>
    </xf>
    <xf numFmtId="0" fontId="113" fillId="0" borderId="281" xfId="12" applyFont="1" applyBorder="1" applyAlignment="1">
      <alignment horizontal="center" vertical="center"/>
    </xf>
    <xf numFmtId="2" fontId="83" fillId="0" borderId="224" xfId="0" applyNumberFormat="1" applyFont="1" applyBorder="1" applyAlignment="1">
      <alignment horizontal="center" vertical="center" wrapText="1"/>
    </xf>
    <xf numFmtId="0" fontId="26" fillId="0" borderId="158" xfId="0" applyFont="1" applyBorder="1"/>
    <xf numFmtId="0" fontId="84" fillId="0" borderId="220" xfId="0" applyFont="1" applyBorder="1"/>
    <xf numFmtId="0" fontId="26" fillId="0" borderId="0" xfId="0" applyFont="1" applyAlignment="1">
      <alignment horizontal="center" vertical="center"/>
    </xf>
    <xf numFmtId="0" fontId="26" fillId="0" borderId="0" xfId="0" applyFont="1"/>
    <xf numFmtId="0" fontId="57" fillId="0" borderId="232" xfId="0" applyFont="1" applyBorder="1" applyAlignment="1">
      <alignment vertical="center" wrapText="1"/>
    </xf>
    <xf numFmtId="0" fontId="84" fillId="0" borderId="233" xfId="0" applyFont="1" applyBorder="1" applyAlignment="1">
      <alignment vertical="center"/>
    </xf>
    <xf numFmtId="4" fontId="83" fillId="0" borderId="225" xfId="0" applyNumberFormat="1" applyFont="1" applyBorder="1" applyAlignment="1">
      <alignment horizontal="center" vertical="center" wrapText="1"/>
    </xf>
    <xf numFmtId="4" fontId="83" fillId="0" borderId="226" xfId="0" applyNumberFormat="1" applyFont="1" applyBorder="1" applyAlignment="1">
      <alignment horizontal="center" vertical="center" wrapText="1"/>
    </xf>
    <xf numFmtId="4" fontId="57" fillId="0" borderId="215" xfId="0" applyNumberFormat="1" applyFont="1" applyBorder="1" applyAlignment="1">
      <alignment horizontal="center" vertical="center" wrapText="1"/>
    </xf>
    <xf numFmtId="4" fontId="57" fillId="0" borderId="227" xfId="0" applyNumberFormat="1" applyFont="1" applyBorder="1" applyAlignment="1">
      <alignment horizontal="center" vertical="center" wrapText="1"/>
    </xf>
    <xf numFmtId="0" fontId="11" fillId="0" borderId="1" xfId="0" applyFont="1" applyBorder="1" applyAlignment="1">
      <alignment horizontal="left"/>
    </xf>
    <xf numFmtId="0" fontId="9" fillId="0" borderId="48" xfId="0" applyFont="1" applyBorder="1"/>
    <xf numFmtId="0" fontId="8" fillId="10" borderId="1" xfId="0" applyFont="1" applyFill="1" applyBorder="1" applyAlignment="1">
      <alignment horizontal="left" vertical="top"/>
    </xf>
    <xf numFmtId="0" fontId="8" fillId="0" borderId="1" xfId="0" applyFont="1" applyBorder="1" applyAlignment="1">
      <alignment horizontal="center"/>
    </xf>
    <xf numFmtId="0" fontId="8" fillId="2" borderId="1" xfId="0" applyFont="1" applyFill="1" applyBorder="1" applyAlignment="1">
      <alignment horizontal="left" vertical="top"/>
    </xf>
    <xf numFmtId="0" fontId="30" fillId="0" borderId="1" xfId="0" applyFont="1" applyBorder="1" applyAlignment="1">
      <alignment horizontal="right" vertical="center" wrapText="1"/>
    </xf>
    <xf numFmtId="0" fontId="28" fillId="12" borderId="69" xfId="0" applyFont="1" applyFill="1" applyBorder="1" applyAlignment="1">
      <alignment horizontal="right" vertical="center" wrapText="1"/>
    </xf>
    <xf numFmtId="0" fontId="9" fillId="0" borderId="56" xfId="0" applyFont="1" applyBorder="1"/>
    <xf numFmtId="0" fontId="9" fillId="0" borderId="70" xfId="0" applyFont="1" applyBorder="1"/>
    <xf numFmtId="0" fontId="28" fillId="12" borderId="58" xfId="0" applyFont="1" applyFill="1" applyBorder="1" applyAlignment="1">
      <alignment horizontal="right" vertical="center" wrapText="1"/>
    </xf>
    <xf numFmtId="0" fontId="28" fillId="12" borderId="62" xfId="0" applyFont="1" applyFill="1" applyBorder="1" applyAlignment="1">
      <alignment horizontal="right" vertical="center" wrapText="1"/>
    </xf>
    <xf numFmtId="0" fontId="9" fillId="0" borderId="63" xfId="0" applyFont="1" applyBorder="1"/>
    <xf numFmtId="0" fontId="9" fillId="0" borderId="64" xfId="0" applyFont="1" applyBorder="1"/>
    <xf numFmtId="0" fontId="30" fillId="0" borderId="66" xfId="0" applyFont="1" applyBorder="1" applyAlignment="1">
      <alignment horizontal="right" vertical="center" wrapText="1"/>
    </xf>
    <xf numFmtId="0" fontId="9" fillId="0" borderId="67" xfId="0" applyFont="1" applyBorder="1"/>
    <xf numFmtId="0" fontId="30" fillId="0" borderId="1" xfId="0" applyFont="1" applyBorder="1" applyAlignment="1">
      <alignment horizontal="right" vertical="center"/>
    </xf>
    <xf numFmtId="0" fontId="24" fillId="0" borderId="53" xfId="0" applyFont="1" applyBorder="1" applyAlignment="1">
      <alignment vertical="center"/>
    </xf>
    <xf numFmtId="0" fontId="9" fillId="0" borderId="53" xfId="0" applyFont="1" applyBorder="1"/>
    <xf numFmtId="0" fontId="30" fillId="0" borderId="55" xfId="0" applyFont="1" applyBorder="1" applyAlignment="1">
      <alignment horizontal="left" vertical="center"/>
    </xf>
    <xf numFmtId="0" fontId="9" fillId="0" borderId="57" xfId="0" applyFont="1" applyBorder="1"/>
    <xf numFmtId="0" fontId="28" fillId="12" borderId="36" xfId="0" applyFont="1" applyFill="1" applyBorder="1" applyAlignment="1">
      <alignment horizontal="right" vertical="center" wrapText="1"/>
    </xf>
    <xf numFmtId="4" fontId="25" fillId="0" borderId="0" xfId="0" applyNumberFormat="1" applyFont="1" applyAlignment="1">
      <alignment horizontal="center" vertical="center"/>
    </xf>
    <xf numFmtId="4" fontId="27" fillId="0" borderId="0" xfId="0" applyNumberFormat="1" applyFont="1" applyAlignment="1">
      <alignment horizontal="center" vertical="center" wrapText="1"/>
    </xf>
    <xf numFmtId="2" fontId="28" fillId="12" borderId="50" xfId="0" applyNumberFormat="1" applyFont="1" applyFill="1" applyBorder="1" applyAlignment="1">
      <alignment horizontal="center" vertical="center" wrapText="1"/>
    </xf>
    <xf numFmtId="0" fontId="9" fillId="0" borderId="51" xfId="0" applyFont="1" applyBorder="1"/>
    <xf numFmtId="0" fontId="9" fillId="0" borderId="52" xfId="0" applyFont="1" applyBorder="1"/>
    <xf numFmtId="4" fontId="29" fillId="0" borderId="0" xfId="0" applyNumberFormat="1" applyFont="1" applyAlignment="1">
      <alignment horizontal="center" vertical="center" wrapText="1"/>
    </xf>
    <xf numFmtId="4" fontId="13" fillId="0" borderId="38" xfId="0" applyNumberFormat="1" applyFont="1" applyBorder="1" applyAlignment="1">
      <alignment horizontal="left" vertical="center" wrapText="1"/>
    </xf>
    <xf numFmtId="0" fontId="9" fillId="0" borderId="40" xfId="0" applyFont="1" applyBorder="1"/>
    <xf numFmtId="0" fontId="11" fillId="0" borderId="38" xfId="0" applyFont="1" applyBorder="1" applyAlignment="1">
      <alignment horizontal="center" vertical="center" wrapText="1"/>
    </xf>
    <xf numFmtId="0" fontId="9" fillId="0" borderId="39" xfId="0" applyFont="1" applyBorder="1"/>
    <xf numFmtId="0" fontId="13" fillId="5" borderId="38" xfId="0" applyFont="1" applyFill="1" applyBorder="1" applyAlignment="1">
      <alignment vertical="top" wrapText="1"/>
    </xf>
    <xf numFmtId="0" fontId="10" fillId="0" borderId="38" xfId="0" applyFont="1" applyBorder="1" applyAlignment="1">
      <alignment horizontal="left" vertical="center" wrapText="1"/>
    </xf>
    <xf numFmtId="0" fontId="18" fillId="6" borderId="38" xfId="0" applyFont="1" applyFill="1" applyBorder="1" applyAlignment="1">
      <alignment horizontal="center" vertical="center" wrapText="1"/>
    </xf>
    <xf numFmtId="0" fontId="9" fillId="0" borderId="45" xfId="0" applyFont="1" applyBorder="1"/>
    <xf numFmtId="0" fontId="10" fillId="0" borderId="23" xfId="0" applyFont="1" applyBorder="1" applyAlignment="1">
      <alignment vertical="center" wrapText="1"/>
    </xf>
    <xf numFmtId="0" fontId="15" fillId="6" borderId="38" xfId="0" applyFont="1" applyFill="1" applyBorder="1" applyAlignment="1">
      <alignment horizontal="center" vertical="center" wrapText="1"/>
    </xf>
    <xf numFmtId="0" fontId="13" fillId="5" borderId="42" xfId="0" applyFont="1" applyFill="1" applyBorder="1" applyAlignment="1">
      <alignment vertical="top" wrapText="1"/>
    </xf>
    <xf numFmtId="0" fontId="9" fillId="0" borderId="43" xfId="0" applyFont="1" applyBorder="1"/>
    <xf numFmtId="0" fontId="9" fillId="0" borderId="44" xfId="0" applyFont="1" applyBorder="1"/>
    <xf numFmtId="0" fontId="10" fillId="0" borderId="38" xfId="0" applyFont="1" applyBorder="1" applyAlignment="1">
      <alignment vertical="center" wrapText="1"/>
    </xf>
    <xf numFmtId="4" fontId="13" fillId="0" borderId="23" xfId="0" applyNumberFormat="1" applyFont="1" applyBorder="1" applyAlignment="1">
      <alignment horizontal="left" vertical="center" wrapText="1"/>
    </xf>
    <xf numFmtId="4" fontId="13" fillId="0" borderId="73" xfId="0" applyNumberFormat="1" applyFont="1" applyBorder="1" applyAlignment="1">
      <alignment horizontal="left" vertical="center" wrapText="1"/>
    </xf>
    <xf numFmtId="0" fontId="9" fillId="0" borderId="75" xfId="0" applyFont="1" applyBorder="1"/>
    <xf numFmtId="0" fontId="13" fillId="0" borderId="38" xfId="0" applyFont="1" applyBorder="1" applyAlignment="1">
      <alignment horizontal="left" vertical="center" wrapText="1"/>
    </xf>
    <xf numFmtId="0" fontId="13" fillId="0" borderId="38" xfId="0" applyFont="1" applyBorder="1" applyAlignment="1">
      <alignment vertical="center" wrapText="1"/>
    </xf>
    <xf numFmtId="0" fontId="13" fillId="0" borderId="73" xfId="0" applyFont="1" applyBorder="1" applyAlignment="1">
      <alignment horizontal="left" vertical="center" wrapText="1"/>
    </xf>
    <xf numFmtId="0" fontId="16" fillId="0" borderId="38" xfId="0" applyFont="1" applyBorder="1" applyAlignment="1">
      <alignment vertical="center" wrapText="1"/>
    </xf>
    <xf numFmtId="0" fontId="11" fillId="0" borderId="73" xfId="0" applyFont="1" applyBorder="1" applyAlignment="1">
      <alignment horizontal="center" vertical="center" wrapText="1"/>
    </xf>
    <xf numFmtId="0" fontId="11" fillId="0" borderId="23" xfId="0" applyFont="1" applyBorder="1" applyAlignment="1">
      <alignment horizontal="center" vertical="center" wrapText="1"/>
    </xf>
    <xf numFmtId="4" fontId="13" fillId="0" borderId="38" xfId="0" applyNumberFormat="1" applyFont="1" applyBorder="1" applyAlignment="1">
      <alignment horizontal="center" vertical="center" wrapText="1"/>
    </xf>
    <xf numFmtId="0" fontId="16" fillId="0" borderId="38" xfId="0" applyFont="1" applyBorder="1" applyAlignment="1">
      <alignment horizontal="left" vertical="center" wrapText="1"/>
    </xf>
    <xf numFmtId="0" fontId="36" fillId="0" borderId="38" xfId="0" applyFont="1" applyBorder="1" applyAlignment="1">
      <alignment vertical="center" wrapText="1"/>
    </xf>
    <xf numFmtId="0" fontId="13" fillId="6" borderId="38" xfId="0" applyFont="1" applyFill="1" applyBorder="1" applyAlignment="1">
      <alignment horizontal="center" vertical="top" wrapText="1"/>
    </xf>
    <xf numFmtId="0" fontId="13" fillId="0" borderId="72" xfId="0" applyFont="1" applyBorder="1" applyAlignment="1">
      <alignment vertical="top" wrapText="1"/>
    </xf>
    <xf numFmtId="0" fontId="9" fillId="0" borderId="76" xfId="0" applyFont="1" applyBorder="1"/>
    <xf numFmtId="0" fontId="9" fillId="0" borderId="77" xfId="0" applyFont="1" applyBorder="1"/>
    <xf numFmtId="0" fontId="34" fillId="0" borderId="38" xfId="0" applyFont="1" applyBorder="1" applyAlignment="1">
      <alignment horizontal="center" vertical="center" wrapText="1"/>
    </xf>
    <xf numFmtId="0" fontId="15" fillId="6" borderId="73" xfId="0" applyFont="1" applyFill="1" applyBorder="1" applyAlignment="1">
      <alignment horizontal="center" vertical="center" wrapText="1"/>
    </xf>
    <xf numFmtId="0" fontId="9" fillId="0" borderId="74" xfId="0" applyFont="1" applyBorder="1"/>
    <xf numFmtId="0" fontId="16" fillId="0" borderId="38" xfId="0" applyFont="1" applyBorder="1" applyAlignment="1">
      <alignment horizontal="center" vertical="center" wrapText="1"/>
    </xf>
    <xf numFmtId="0" fontId="13" fillId="0" borderId="38" xfId="0" applyFont="1" applyBorder="1" applyAlignment="1">
      <alignment vertical="top" wrapText="1"/>
    </xf>
    <xf numFmtId="0" fontId="9" fillId="0" borderId="78" xfId="0" applyFont="1" applyBorder="1"/>
    <xf numFmtId="0" fontId="10" fillId="0" borderId="23" xfId="0" applyFont="1" applyBorder="1" applyAlignment="1">
      <alignment horizontal="left" vertical="center" wrapText="1"/>
    </xf>
    <xf numFmtId="4" fontId="10" fillId="0" borderId="23" xfId="0" applyNumberFormat="1" applyFont="1" applyBorder="1" applyAlignment="1">
      <alignment horizontal="left" vertical="center" wrapText="1"/>
    </xf>
    <xf numFmtId="0" fontId="13" fillId="0" borderId="73" xfId="0" applyFont="1" applyBorder="1" applyAlignment="1">
      <alignment vertical="center" wrapText="1"/>
    </xf>
    <xf numFmtId="0" fontId="10" fillId="0" borderId="38" xfId="0" applyFont="1" applyBorder="1" applyAlignment="1">
      <alignment wrapText="1"/>
    </xf>
    <xf numFmtId="0" fontId="24" fillId="0" borderId="38" xfId="0" applyFont="1" applyBorder="1" applyAlignment="1">
      <alignment vertical="center" wrapText="1"/>
    </xf>
    <xf numFmtId="0" fontId="26" fillId="0" borderId="80" xfId="0" applyFont="1" applyBorder="1" applyAlignment="1">
      <alignment horizontal="center" vertical="center" wrapText="1"/>
    </xf>
    <xf numFmtId="0" fontId="9" fillId="0" borderId="96" xfId="0" applyFont="1" applyBorder="1"/>
    <xf numFmtId="0" fontId="9" fillId="0" borderId="86" xfId="0" applyFont="1" applyBorder="1"/>
    <xf numFmtId="0" fontId="40" fillId="0" borderId="1" xfId="0" applyFont="1" applyBorder="1" applyAlignment="1">
      <alignment horizontal="center" vertical="center"/>
    </xf>
    <xf numFmtId="0" fontId="26" fillId="0" borderId="79" xfId="0" applyFont="1" applyBorder="1" applyAlignment="1">
      <alignment horizontal="center" vertical="center" wrapText="1"/>
    </xf>
    <xf numFmtId="0" fontId="9" fillId="0" borderId="94" xfId="0" applyFont="1" applyBorder="1"/>
    <xf numFmtId="0" fontId="9" fillId="0" borderId="85" xfId="0" applyFont="1" applyBorder="1"/>
    <xf numFmtId="0" fontId="26" fillId="0" borderId="60" xfId="0" applyFont="1" applyBorder="1" applyAlignment="1">
      <alignment horizontal="center" vertical="center" wrapText="1"/>
    </xf>
    <xf numFmtId="0" fontId="9" fillId="0" borderId="61" xfId="0" applyFont="1" applyBorder="1"/>
    <xf numFmtId="0" fontId="39" fillId="0" borderId="80" xfId="0" applyFont="1" applyBorder="1" applyAlignment="1">
      <alignment horizontal="center" vertical="center" wrapText="1"/>
    </xf>
    <xf numFmtId="0" fontId="39" fillId="0" borderId="84" xfId="0" applyFont="1" applyBorder="1" applyAlignment="1">
      <alignment horizontal="center" vertical="center" wrapText="1"/>
    </xf>
    <xf numFmtId="0" fontId="9" fillId="0" borderId="88" xfId="0" applyFont="1" applyBorder="1"/>
    <xf numFmtId="0" fontId="37" fillId="0" borderId="0" xfId="0" applyFont="1" applyAlignment="1">
      <alignment horizontal="center"/>
    </xf>
    <xf numFmtId="2" fontId="38" fillId="0" borderId="0" xfId="0" applyNumberFormat="1" applyFont="1" applyAlignment="1">
      <alignment horizontal="center"/>
    </xf>
    <xf numFmtId="0" fontId="39" fillId="0" borderId="79" xfId="0" applyFont="1" applyBorder="1" applyAlignment="1">
      <alignment horizontal="center" vertical="center" wrapText="1"/>
    </xf>
    <xf numFmtId="0" fontId="39" fillId="0" borderId="81" xfId="0" applyFont="1" applyBorder="1" applyAlignment="1">
      <alignment horizontal="center" vertical="center" wrapText="1"/>
    </xf>
    <xf numFmtId="0" fontId="9" fillId="0" borderId="82" xfId="0" applyFont="1" applyBorder="1"/>
    <xf numFmtId="0" fontId="9" fillId="0" borderId="83" xfId="0" applyFont="1" applyBorder="1"/>
    <xf numFmtId="0" fontId="48" fillId="0" borderId="114" xfId="0" applyFont="1" applyBorder="1" applyAlignment="1">
      <alignment horizontal="center" vertical="center" wrapText="1"/>
    </xf>
    <xf numFmtId="0" fontId="9" fillId="0" borderId="102" xfId="0" applyFont="1" applyBorder="1"/>
    <xf numFmtId="0" fontId="9" fillId="0" borderId="104" xfId="0" applyFont="1" applyBorder="1"/>
    <xf numFmtId="0" fontId="48" fillId="0" borderId="60" xfId="0" applyFont="1" applyBorder="1" applyAlignment="1">
      <alignment horizontal="center" vertical="center" wrapText="1"/>
    </xf>
    <xf numFmtId="0" fontId="23" fillId="0" borderId="0" xfId="0" applyFont="1" applyAlignment="1">
      <alignment horizontal="left"/>
    </xf>
    <xf numFmtId="0" fontId="48" fillId="0" borderId="102" xfId="0" applyFont="1" applyBorder="1" applyAlignment="1">
      <alignment horizontal="center" vertical="center" wrapText="1"/>
    </xf>
    <xf numFmtId="0" fontId="48" fillId="0" borderId="116" xfId="0" applyFont="1" applyBorder="1" applyAlignment="1">
      <alignment horizontal="center" vertical="center" wrapText="1"/>
    </xf>
    <xf numFmtId="0" fontId="9" fillId="0" borderId="117" xfId="0" applyFont="1" applyBorder="1"/>
    <xf numFmtId="0" fontId="26" fillId="0" borderId="96" xfId="0" applyFont="1" applyBorder="1" applyAlignment="1">
      <alignment horizontal="center" vertical="center" wrapText="1"/>
    </xf>
    <xf numFmtId="0" fontId="19" fillId="0" borderId="0" xfId="0" applyFont="1" applyAlignment="1">
      <alignment horizontal="left" vertical="top" wrapText="1"/>
    </xf>
    <xf numFmtId="0" fontId="40" fillId="0" borderId="118" xfId="0" applyFont="1" applyBorder="1" applyAlignment="1">
      <alignment horizontal="center" vertical="center"/>
    </xf>
    <xf numFmtId="0" fontId="37" fillId="0" borderId="203" xfId="0" applyFont="1" applyBorder="1" applyAlignment="1">
      <alignment horizontal="center"/>
    </xf>
    <xf numFmtId="0" fontId="0" fillId="0" borderId="204" xfId="0" applyBorder="1"/>
    <xf numFmtId="0" fontId="0" fillId="0" borderId="205" xfId="0" applyBorder="1"/>
    <xf numFmtId="2" fontId="47" fillId="0" borderId="213" xfId="0" applyNumberFormat="1" applyFont="1" applyBorder="1" applyAlignment="1">
      <alignment horizontal="center" vertical="center" wrapText="1"/>
    </xf>
    <xf numFmtId="0" fontId="0" fillId="0" borderId="158" xfId="0" applyBorder="1"/>
    <xf numFmtId="0" fontId="0" fillId="0" borderId="214" xfId="0" applyBorder="1"/>
    <xf numFmtId="0" fontId="9" fillId="0" borderId="206" xfId="0" applyFont="1" applyBorder="1"/>
    <xf numFmtId="0" fontId="9" fillId="0" borderId="207" xfId="0" applyFont="1" applyBorder="1"/>
    <xf numFmtId="0" fontId="9" fillId="0" borderId="208" xfId="0" applyFont="1" applyBorder="1"/>
    <xf numFmtId="0" fontId="39" fillId="0" borderId="94" xfId="0" applyFont="1" applyBorder="1" applyAlignment="1">
      <alignment horizontal="center" vertical="center" wrapText="1"/>
    </xf>
    <xf numFmtId="0" fontId="39" fillId="0" borderId="96" xfId="0" applyFont="1" applyBorder="1" applyAlignment="1">
      <alignment horizontal="center" vertical="center" wrapText="1"/>
    </xf>
    <xf numFmtId="0" fontId="39" fillId="0" borderId="188" xfId="0" applyFont="1" applyBorder="1" applyAlignment="1">
      <alignment horizontal="center" vertical="center" wrapText="1"/>
    </xf>
    <xf numFmtId="0" fontId="9" fillId="0" borderId="187" xfId="0" applyFont="1" applyBorder="1"/>
    <xf numFmtId="0" fontId="9" fillId="0" borderId="151" xfId="0" applyFont="1" applyBorder="1"/>
    <xf numFmtId="0" fontId="39" fillId="0" borderId="212" xfId="0" applyFont="1" applyBorder="1" applyAlignment="1">
      <alignment horizontal="center" vertical="center" wrapText="1"/>
    </xf>
    <xf numFmtId="0" fontId="48" fillId="0" borderId="80" xfId="0" applyFont="1" applyBorder="1" applyAlignment="1">
      <alignment horizontal="center" vertical="center" wrapText="1"/>
    </xf>
    <xf numFmtId="167" fontId="15" fillId="0" borderId="1" xfId="0" applyNumberFormat="1" applyFont="1" applyBorder="1" applyAlignment="1">
      <alignment horizontal="right" vertical="center" wrapText="1"/>
    </xf>
    <xf numFmtId="170" fontId="15" fillId="13" borderId="1" xfId="0" applyNumberFormat="1" applyFont="1" applyFill="1" applyBorder="1" applyAlignment="1">
      <alignment horizontal="center" vertical="center" wrapText="1"/>
    </xf>
    <xf numFmtId="177" fontId="10" fillId="0" borderId="0" xfId="0" applyNumberFormat="1" applyFont="1" applyAlignment="1">
      <alignment horizontal="left" vertical="center" wrapText="1"/>
    </xf>
    <xf numFmtId="0" fontId="34" fillId="15" borderId="1" xfId="0" applyFont="1" applyFill="1" applyBorder="1" applyAlignment="1">
      <alignment horizontal="center" vertical="center" wrapText="1"/>
    </xf>
    <xf numFmtId="167" fontId="15" fillId="15" borderId="120" xfId="0" applyNumberFormat="1" applyFont="1" applyFill="1" applyBorder="1" applyAlignment="1">
      <alignment horizontal="right" vertical="center" wrapText="1"/>
    </xf>
    <xf numFmtId="0" fontId="11" fillId="0" borderId="33" xfId="0" applyFont="1" applyBorder="1" applyAlignment="1">
      <alignment horizontal="center" vertical="center" wrapText="1"/>
    </xf>
    <xf numFmtId="0" fontId="9" fillId="0" borderId="124" xfId="0" applyFont="1" applyBorder="1"/>
    <xf numFmtId="0" fontId="15" fillId="0" borderId="1" xfId="0" applyFont="1" applyBorder="1" applyAlignment="1">
      <alignment horizontal="right" vertical="center" wrapText="1"/>
    </xf>
    <xf numFmtId="15" fontId="10" fillId="0" borderId="0" xfId="0" applyNumberFormat="1" applyFont="1" applyAlignment="1">
      <alignment horizontal="left" vertical="center" wrapText="1"/>
    </xf>
    <xf numFmtId="4" fontId="10" fillId="0" borderId="0" xfId="0" applyNumberFormat="1" applyFont="1" applyAlignment="1">
      <alignment horizontal="left" vertical="center" wrapText="1"/>
    </xf>
    <xf numFmtId="167" fontId="15" fillId="0" borderId="32" xfId="0" applyNumberFormat="1" applyFont="1" applyBorder="1" applyAlignment="1">
      <alignment horizontal="center" vertical="center" wrapText="1"/>
    </xf>
    <xf numFmtId="167" fontId="15" fillId="16" borderId="66" xfId="0" applyNumberFormat="1" applyFont="1" applyFill="1" applyBorder="1" applyAlignment="1">
      <alignment horizontal="right" vertical="center" wrapText="1"/>
    </xf>
    <xf numFmtId="0" fontId="9" fillId="0" borderId="128" xfId="0" applyFont="1" applyBorder="1"/>
    <xf numFmtId="4" fontId="50" fillId="0" borderId="99" xfId="0" applyNumberFormat="1" applyFont="1" applyBorder="1" applyAlignment="1">
      <alignment horizontal="center" vertical="center" wrapText="1"/>
    </xf>
    <xf numFmtId="4" fontId="34" fillId="0" borderId="32" xfId="0" applyNumberFormat="1" applyFont="1" applyBorder="1" applyAlignment="1">
      <alignment horizontal="center" vertical="center" wrapText="1"/>
    </xf>
    <xf numFmtId="0" fontId="34" fillId="0" borderId="32" xfId="0" applyFont="1" applyBorder="1" applyAlignment="1">
      <alignment horizontal="center" vertical="center" wrapText="1"/>
    </xf>
    <xf numFmtId="4" fontId="30" fillId="13" borderId="66" xfId="0" applyNumberFormat="1" applyFont="1" applyFill="1" applyBorder="1" applyAlignment="1">
      <alignment horizontal="right" vertical="center"/>
    </xf>
    <xf numFmtId="0" fontId="30" fillId="13" borderId="69" xfId="0" applyFont="1" applyFill="1" applyBorder="1" applyAlignment="1">
      <alignment horizontal="right" vertical="center"/>
    </xf>
    <xf numFmtId="0" fontId="30" fillId="13" borderId="101" xfId="0" applyFont="1" applyFill="1" applyBorder="1" applyAlignment="1">
      <alignment horizontal="center" vertical="center" wrapText="1"/>
    </xf>
    <xf numFmtId="0" fontId="9" fillId="0" borderId="100" xfId="0" applyFont="1" applyBorder="1"/>
    <xf numFmtId="0" fontId="9" fillId="0" borderId="109" xfId="0" applyFont="1" applyBorder="1"/>
    <xf numFmtId="4" fontId="24" fillId="0" borderId="36" xfId="0" applyNumberFormat="1" applyFont="1" applyBorder="1" applyAlignment="1">
      <alignment horizontal="center" vertical="center" wrapText="1"/>
    </xf>
    <xf numFmtId="4" fontId="30" fillId="7" borderId="66" xfId="0" applyNumberFormat="1" applyFont="1" applyFill="1" applyBorder="1" applyAlignment="1">
      <alignment horizontal="center" vertical="center"/>
    </xf>
    <xf numFmtId="0" fontId="30" fillId="13" borderId="129" xfId="0" applyFont="1" applyFill="1" applyBorder="1" applyAlignment="1">
      <alignment horizontal="center" vertical="center" wrapText="1"/>
    </xf>
    <xf numFmtId="0" fontId="9" fillId="0" borderId="132" xfId="0" applyFont="1" applyBorder="1"/>
    <xf numFmtId="0" fontId="30" fillId="13" borderId="130" xfId="0" applyFont="1" applyFill="1" applyBorder="1" applyAlignment="1">
      <alignment horizontal="center" vertical="center" wrapText="1"/>
    </xf>
    <xf numFmtId="4" fontId="30" fillId="13" borderId="130" xfId="0" applyNumberFormat="1" applyFont="1" applyFill="1" applyBorder="1" applyAlignment="1">
      <alignment horizontal="center" vertical="center" wrapText="1"/>
    </xf>
    <xf numFmtId="0" fontId="30" fillId="13" borderId="131" xfId="0" applyFont="1" applyFill="1" applyBorder="1" applyAlignment="1">
      <alignment horizontal="center" vertical="center" wrapText="1"/>
    </xf>
    <xf numFmtId="0" fontId="9" fillId="0" borderId="133" xfId="0" applyFont="1" applyBorder="1"/>
    <xf numFmtId="4" fontId="30" fillId="0" borderId="66" xfId="0" applyNumberFormat="1" applyFont="1" applyBorder="1" applyAlignment="1">
      <alignment horizontal="center" vertical="center"/>
    </xf>
    <xf numFmtId="0" fontId="30" fillId="0" borderId="36" xfId="0" applyFont="1" applyBorder="1" applyAlignment="1">
      <alignment horizontal="left" vertical="center"/>
    </xf>
    <xf numFmtId="0" fontId="24" fillId="0" borderId="66" xfId="0" applyFont="1" applyBorder="1" applyAlignment="1">
      <alignment horizontal="right" vertical="center"/>
    </xf>
    <xf numFmtId="4" fontId="24" fillId="0" borderId="36" xfId="0" applyNumberFormat="1" applyFont="1" applyBorder="1" applyAlignment="1">
      <alignment horizontal="center" vertical="center"/>
    </xf>
    <xf numFmtId="4" fontId="49" fillId="0" borderId="0" xfId="0" applyNumberFormat="1" applyFont="1" applyAlignment="1">
      <alignment horizontal="center" vertical="center"/>
    </xf>
    <xf numFmtId="4" fontId="24" fillId="0" borderId="0" xfId="0" applyNumberFormat="1" applyFont="1" applyAlignment="1">
      <alignment horizontal="center"/>
    </xf>
    <xf numFmtId="4" fontId="30" fillId="0" borderId="0" xfId="0" applyNumberFormat="1" applyFont="1" applyAlignment="1">
      <alignment horizontal="center" vertical="center" wrapText="1"/>
    </xf>
    <xf numFmtId="0" fontId="24" fillId="0" borderId="0" xfId="0" applyFont="1" applyAlignment="1">
      <alignment horizontal="center" vertical="center"/>
    </xf>
    <xf numFmtId="0" fontId="24" fillId="0" borderId="53" xfId="0" applyFont="1" applyBorder="1" applyAlignment="1">
      <alignment horizontal="center" vertical="center"/>
    </xf>
    <xf numFmtId="0" fontId="55" fillId="0" borderId="36" xfId="0" applyFont="1" applyBorder="1" applyAlignment="1">
      <alignment horizontal="center"/>
    </xf>
    <xf numFmtId="0" fontId="58" fillId="0" borderId="36" xfId="0" applyFont="1" applyBorder="1" applyAlignment="1">
      <alignment horizontal="left"/>
    </xf>
    <xf numFmtId="0" fontId="60" fillId="0" borderId="37" xfId="0" applyFont="1" applyBorder="1" applyAlignment="1">
      <alignment horizontal="right"/>
    </xf>
    <xf numFmtId="0" fontId="62" fillId="0" borderId="36" xfId="0" applyFont="1" applyBorder="1" applyAlignment="1">
      <alignment horizontal="left"/>
    </xf>
    <xf numFmtId="0" fontId="64" fillId="0" borderId="36" xfId="0" applyFont="1" applyBorder="1" applyAlignment="1">
      <alignment horizontal="left" wrapText="1"/>
    </xf>
    <xf numFmtId="4" fontId="54" fillId="0" borderId="0" xfId="0" applyNumberFormat="1" applyFont="1" applyAlignment="1">
      <alignment horizontal="center"/>
    </xf>
    <xf numFmtId="4" fontId="8" fillId="0" borderId="0" xfId="0" applyNumberFormat="1" applyFont="1" applyAlignment="1">
      <alignment horizontal="center"/>
    </xf>
    <xf numFmtId="4" fontId="11" fillId="0" borderId="0" xfId="0" applyNumberFormat="1" applyFont="1" applyAlignment="1">
      <alignment horizontal="center" vertical="center" wrapText="1"/>
    </xf>
    <xf numFmtId="0" fontId="56" fillId="0" borderId="0" xfId="0" applyFont="1" applyAlignment="1">
      <alignment horizontal="center"/>
    </xf>
    <xf numFmtId="0" fontId="57" fillId="0" borderId="34" xfId="0" applyFont="1" applyBorder="1" applyAlignment="1">
      <alignment horizontal="center"/>
    </xf>
    <xf numFmtId="0" fontId="65" fillId="0" borderId="36" xfId="0" applyFont="1" applyBorder="1" applyAlignment="1">
      <alignment horizontal="left" vertical="center"/>
    </xf>
    <xf numFmtId="0" fontId="11" fillId="0" borderId="36" xfId="0" applyFont="1" applyBorder="1" applyAlignment="1">
      <alignment horizontal="left"/>
    </xf>
    <xf numFmtId="0" fontId="65" fillId="0" borderId="36" xfId="0" applyFont="1" applyBorder="1" applyAlignment="1">
      <alignment horizontal="left"/>
    </xf>
    <xf numFmtId="0" fontId="31" fillId="0" borderId="1" xfId="0" applyFont="1" applyBorder="1" applyAlignment="1">
      <alignment horizontal="right"/>
    </xf>
    <xf numFmtId="0" fontId="31" fillId="0" borderId="1" xfId="0" applyFont="1" applyBorder="1" applyAlignment="1">
      <alignment horizontal="center" vertical="center"/>
    </xf>
    <xf numFmtId="4" fontId="32" fillId="0" borderId="62" xfId="0" applyNumberFormat="1" applyFont="1" applyBorder="1" applyAlignment="1">
      <alignment horizontal="left" vertical="center"/>
    </xf>
    <xf numFmtId="0" fontId="9" fillId="0" borderId="108" xfId="0" applyFont="1" applyBorder="1"/>
    <xf numFmtId="4" fontId="32" fillId="0" borderId="69" xfId="0" applyNumberFormat="1" applyFont="1" applyBorder="1" applyAlignment="1">
      <alignment horizontal="left" vertical="top" wrapText="1"/>
    </xf>
    <xf numFmtId="0" fontId="31" fillId="0" borderId="1" xfId="0" applyFont="1" applyBorder="1" applyAlignment="1">
      <alignment horizontal="right" vertical="center"/>
    </xf>
    <xf numFmtId="0" fontId="29" fillId="0" borderId="99" xfId="0" applyFont="1" applyBorder="1" applyAlignment="1">
      <alignment horizontal="center" vertical="center"/>
    </xf>
    <xf numFmtId="0" fontId="9" fillId="0" borderId="118" xfId="0" applyFont="1" applyBorder="1"/>
    <xf numFmtId="0" fontId="9" fillId="0" borderId="106" xfId="0" applyFont="1" applyBorder="1"/>
    <xf numFmtId="4" fontId="31" fillId="0" borderId="1" xfId="0" applyNumberFormat="1" applyFont="1" applyBorder="1" applyAlignment="1">
      <alignment horizontal="center" vertical="center" wrapText="1"/>
    </xf>
    <xf numFmtId="0" fontId="31" fillId="0" borderId="1" xfId="0" applyFont="1" applyBorder="1" applyAlignment="1">
      <alignment horizontal="left" vertical="center" wrapText="1"/>
    </xf>
    <xf numFmtId="0" fontId="31" fillId="0" borderId="1" xfId="0" applyFont="1" applyBorder="1" applyAlignment="1">
      <alignment horizontal="center" vertical="center" wrapText="1"/>
    </xf>
    <xf numFmtId="0" fontId="32" fillId="0" borderId="62" xfId="0" applyFont="1" applyBorder="1" applyAlignment="1">
      <alignment horizontal="left" vertical="center"/>
    </xf>
    <xf numFmtId="0" fontId="32" fillId="0" borderId="66" xfId="0" applyFont="1" applyBorder="1" applyAlignment="1">
      <alignment horizontal="left" vertical="center"/>
    </xf>
    <xf numFmtId="0" fontId="32" fillId="0" borderId="69" xfId="0" applyFont="1" applyBorder="1" applyAlignment="1">
      <alignment horizontal="left" vertical="center"/>
    </xf>
    <xf numFmtId="0" fontId="32" fillId="0" borderId="62" xfId="0" applyFont="1" applyBorder="1" applyAlignment="1">
      <alignment horizontal="center" vertical="top" wrapText="1"/>
    </xf>
    <xf numFmtId="0" fontId="32" fillId="0" borderId="69" xfId="0" applyFont="1" applyBorder="1" applyAlignment="1">
      <alignment horizontal="center" vertical="top" wrapText="1"/>
    </xf>
    <xf numFmtId="0" fontId="32" fillId="0" borderId="62" xfId="0" applyFont="1" applyBorder="1" applyAlignment="1">
      <alignment horizontal="left" vertical="top" wrapText="1"/>
    </xf>
    <xf numFmtId="0" fontId="32" fillId="0" borderId="69" xfId="0" applyFont="1" applyBorder="1" applyAlignment="1">
      <alignment horizontal="left" vertical="top" wrapText="1"/>
    </xf>
    <xf numFmtId="4" fontId="32" fillId="0" borderId="33" xfId="0" applyNumberFormat="1" applyFont="1" applyBorder="1" applyAlignment="1">
      <alignment horizontal="left" vertical="center"/>
    </xf>
    <xf numFmtId="4" fontId="32" fillId="0" borderId="69" xfId="0" applyNumberFormat="1" applyFont="1" applyBorder="1" applyAlignment="1">
      <alignment horizontal="left" vertical="center" wrapText="1"/>
    </xf>
    <xf numFmtId="0" fontId="19" fillId="0" borderId="0" xfId="0" applyFont="1" applyAlignment="1">
      <alignment horizontal="left" vertical="center" wrapText="1"/>
    </xf>
    <xf numFmtId="0" fontId="68" fillId="0" borderId="0" xfId="0" applyFont="1" applyAlignment="1">
      <alignment horizontal="left" vertical="top" wrapText="1"/>
    </xf>
    <xf numFmtId="0" fontId="32" fillId="0" borderId="62" xfId="0" applyFont="1" applyBorder="1" applyAlignment="1">
      <alignment horizontal="left" vertical="center" wrapText="1"/>
    </xf>
    <xf numFmtId="0" fontId="32" fillId="0" borderId="66" xfId="0" applyFont="1" applyBorder="1" applyAlignment="1">
      <alignment horizontal="left" vertical="top" wrapText="1"/>
    </xf>
    <xf numFmtId="4" fontId="25" fillId="0" borderId="99" xfId="0" applyNumberFormat="1" applyFont="1" applyBorder="1" applyAlignment="1">
      <alignment horizontal="center" vertical="center" wrapText="1"/>
    </xf>
    <xf numFmtId="0" fontId="67" fillId="0" borderId="99" xfId="0" applyFont="1" applyBorder="1" applyAlignment="1">
      <alignment horizontal="center" vertical="center" wrapText="1"/>
    </xf>
    <xf numFmtId="4" fontId="31" fillId="0" borderId="1" xfId="0" applyNumberFormat="1" applyFont="1" applyBorder="1" applyAlignment="1">
      <alignment horizontal="left" vertical="center" wrapText="1"/>
    </xf>
    <xf numFmtId="0" fontId="30" fillId="0" borderId="1" xfId="0" applyFont="1" applyBorder="1" applyAlignment="1">
      <alignment horizontal="center" vertical="center" wrapText="1"/>
    </xf>
    <xf numFmtId="0" fontId="32" fillId="0" borderId="69" xfId="0" applyFont="1" applyBorder="1" applyAlignment="1">
      <alignment horizontal="center" vertical="center" wrapText="1"/>
    </xf>
    <xf numFmtId="4" fontId="25" fillId="0" borderId="99" xfId="0" applyNumberFormat="1" applyFont="1" applyBorder="1" applyAlignment="1">
      <alignment horizontal="center" vertical="center"/>
    </xf>
    <xf numFmtId="0" fontId="32" fillId="0" borderId="66" xfId="0" applyFont="1" applyBorder="1" applyAlignment="1">
      <alignment horizontal="left" vertical="center" wrapText="1"/>
    </xf>
    <xf numFmtId="0" fontId="32" fillId="0" borderId="69" xfId="0" applyFont="1" applyBorder="1" applyAlignment="1">
      <alignment horizontal="left" vertical="center" wrapText="1"/>
    </xf>
    <xf numFmtId="0" fontId="32" fillId="0" borderId="109" xfId="0" applyFont="1" applyBorder="1" applyAlignment="1">
      <alignment horizontal="left" vertical="center" wrapText="1"/>
    </xf>
    <xf numFmtId="0" fontId="32" fillId="0" borderId="36" xfId="0" applyFont="1" applyBorder="1" applyAlignment="1">
      <alignment horizontal="left" vertical="center" wrapText="1"/>
    </xf>
    <xf numFmtId="0" fontId="32" fillId="0" borderId="118" xfId="0" applyFont="1" applyBorder="1" applyAlignment="1">
      <alignment horizontal="left" vertical="center" wrapText="1"/>
    </xf>
    <xf numFmtId="0" fontId="9" fillId="0" borderId="139" xfId="0" applyFont="1" applyBorder="1"/>
    <xf numFmtId="0" fontId="32" fillId="0" borderId="62" xfId="0" applyFont="1" applyBorder="1" applyAlignment="1">
      <alignment horizontal="center" vertical="center" wrapText="1"/>
    </xf>
    <xf numFmtId="0" fontId="31" fillId="0" borderId="0" xfId="0" applyFont="1" applyAlignment="1">
      <alignment horizontal="right" vertical="center"/>
    </xf>
    <xf numFmtId="0" fontId="31" fillId="0" borderId="1" xfId="0" applyFont="1" applyBorder="1" applyAlignment="1">
      <alignment horizontal="right" wrapText="1"/>
    </xf>
    <xf numFmtId="4" fontId="32" fillId="0" borderId="33" xfId="0" applyNumberFormat="1" applyFont="1" applyBorder="1" applyAlignment="1">
      <alignment horizontal="left" vertical="center" wrapText="1"/>
    </xf>
    <xf numFmtId="0" fontId="29" fillId="0" borderId="99" xfId="0" applyFont="1" applyBorder="1" applyAlignment="1">
      <alignment horizontal="center" vertical="center" wrapText="1"/>
    </xf>
    <xf numFmtId="0" fontId="32" fillId="21" borderId="69" xfId="0" applyFont="1" applyFill="1" applyBorder="1" applyAlignment="1">
      <alignment horizontal="left" vertical="top" wrapText="1"/>
    </xf>
    <xf numFmtId="0" fontId="9" fillId="21" borderId="56" xfId="0" applyFont="1" applyFill="1" applyBorder="1"/>
    <xf numFmtId="0" fontId="9" fillId="21" borderId="57" xfId="0" applyFont="1" applyFill="1" applyBorder="1"/>
    <xf numFmtId="0" fontId="32" fillId="21" borderId="62" xfId="0" applyFont="1" applyFill="1" applyBorder="1" applyAlignment="1">
      <alignment horizontal="left" vertical="center" wrapText="1"/>
    </xf>
    <xf numFmtId="0" fontId="9" fillId="21" borderId="108" xfId="0" applyFont="1" applyFill="1" applyBorder="1"/>
    <xf numFmtId="0" fontId="66" fillId="0" borderId="1" xfId="0" applyFont="1" applyBorder="1" applyAlignment="1">
      <alignment horizontal="center" vertical="center" wrapText="1"/>
    </xf>
    <xf numFmtId="4" fontId="30" fillId="0" borderId="118" xfId="0" applyNumberFormat="1" applyFont="1" applyBorder="1" applyAlignment="1">
      <alignment horizontal="center" vertical="center" wrapText="1"/>
    </xf>
    <xf numFmtId="4" fontId="32" fillId="0" borderId="66" xfId="0" applyNumberFormat="1" applyFont="1" applyBorder="1" applyAlignment="1">
      <alignment horizontal="left" vertical="top" wrapText="1"/>
    </xf>
    <xf numFmtId="184" fontId="32" fillId="0" borderId="66" xfId="0" applyNumberFormat="1" applyFont="1" applyBorder="1" applyAlignment="1">
      <alignment horizontal="left" vertical="center" wrapText="1"/>
    </xf>
    <xf numFmtId="0" fontId="31" fillId="0" borderId="1" xfId="0" applyFont="1" applyBorder="1" applyAlignment="1">
      <alignment horizontal="right" vertical="center" wrapText="1"/>
    </xf>
    <xf numFmtId="4" fontId="32" fillId="0" borderId="66" xfId="0" applyNumberFormat="1" applyFont="1" applyBorder="1" applyAlignment="1">
      <alignment horizontal="left" vertical="center" wrapText="1"/>
    </xf>
    <xf numFmtId="0" fontId="31" fillId="0" borderId="99" xfId="0" applyFont="1" applyBorder="1" applyAlignment="1">
      <alignment horizontal="center" vertical="center" wrapText="1"/>
    </xf>
    <xf numFmtId="0" fontId="31" fillId="0" borderId="118" xfId="0" applyFont="1" applyBorder="1" applyAlignment="1">
      <alignment horizontal="right" vertical="center"/>
    </xf>
    <xf numFmtId="4" fontId="30" fillId="0" borderId="118" xfId="0" applyNumberFormat="1" applyFont="1" applyBorder="1" applyAlignment="1">
      <alignment horizontal="center" vertical="center"/>
    </xf>
    <xf numFmtId="0" fontId="24" fillId="7" borderId="66" xfId="0" applyFont="1" applyFill="1" applyBorder="1" applyAlignment="1">
      <alignment horizontal="left" vertical="center"/>
    </xf>
    <xf numFmtId="179" fontId="13" fillId="7" borderId="50" xfId="0" applyNumberFormat="1" applyFont="1" applyFill="1" applyBorder="1" applyAlignment="1">
      <alignment horizontal="left" vertical="center"/>
    </xf>
    <xf numFmtId="0" fontId="30" fillId="7" borderId="66" xfId="0" applyFont="1" applyFill="1" applyBorder="1" applyAlignment="1">
      <alignment horizontal="center" vertical="center"/>
    </xf>
    <xf numFmtId="0" fontId="13" fillId="7" borderId="66" xfId="0" applyFont="1" applyFill="1" applyBorder="1" applyAlignment="1">
      <alignment horizontal="left" vertical="center"/>
    </xf>
    <xf numFmtId="0" fontId="13" fillId="7" borderId="161" xfId="0" applyFont="1" applyFill="1" applyBorder="1" applyAlignment="1">
      <alignment horizontal="center" vertical="center"/>
    </xf>
    <xf numFmtId="0" fontId="9" fillId="0" borderId="171" xfId="0" applyFont="1" applyBorder="1"/>
    <xf numFmtId="0" fontId="24" fillId="7" borderId="66" xfId="0" applyFont="1" applyFill="1" applyBorder="1" applyAlignment="1">
      <alignment horizontal="left" vertical="center" wrapText="1"/>
    </xf>
    <xf numFmtId="0" fontId="30" fillId="7" borderId="161" xfId="0" applyFont="1" applyFill="1" applyBorder="1" applyAlignment="1">
      <alignment horizontal="center" vertical="center" wrapText="1"/>
    </xf>
    <xf numFmtId="0" fontId="9" fillId="0" borderId="162" xfId="0" applyFont="1" applyBorder="1"/>
    <xf numFmtId="0" fontId="9" fillId="0" borderId="163" xfId="0" applyFont="1" applyBorder="1"/>
    <xf numFmtId="0" fontId="30" fillId="7" borderId="166" xfId="0" applyFont="1" applyFill="1" applyBorder="1" applyAlignment="1">
      <alignment horizontal="left" vertical="center" wrapText="1"/>
    </xf>
    <xf numFmtId="0" fontId="30" fillId="7" borderId="166" xfId="0" applyFont="1" applyFill="1" applyBorder="1" applyAlignment="1">
      <alignment horizontal="left" vertical="center"/>
    </xf>
    <xf numFmtId="0" fontId="9" fillId="0" borderId="167" xfId="0" applyFont="1" applyBorder="1"/>
    <xf numFmtId="0" fontId="13" fillId="7" borderId="166" xfId="0" applyFont="1" applyFill="1" applyBorder="1" applyAlignment="1">
      <alignment horizontal="center" vertical="center"/>
    </xf>
    <xf numFmtId="0" fontId="30" fillId="0" borderId="62" xfId="0" applyFont="1" applyBorder="1" applyAlignment="1">
      <alignment horizontal="center" vertical="center"/>
    </xf>
    <xf numFmtId="0" fontId="30" fillId="7" borderId="153" xfId="0" applyFont="1" applyFill="1" applyBorder="1" applyAlignment="1">
      <alignment horizontal="center" vertical="center" wrapText="1"/>
    </xf>
    <xf numFmtId="0" fontId="9" fillId="0" borderId="137" xfId="0" applyFont="1" applyBorder="1"/>
    <xf numFmtId="0" fontId="9" fillId="0" borderId="154" xfId="0" applyFont="1" applyBorder="1"/>
    <xf numFmtId="0" fontId="9" fillId="0" borderId="32" xfId="0" applyFont="1" applyBorder="1"/>
    <xf numFmtId="0" fontId="9" fillId="0" borderId="157" xfId="0" applyFont="1" applyBorder="1"/>
    <xf numFmtId="0" fontId="9" fillId="0" borderId="33" xfId="0" applyFont="1" applyBorder="1"/>
    <xf numFmtId="0" fontId="9" fillId="0" borderId="159" xfId="0" applyFont="1" applyBorder="1"/>
    <xf numFmtId="0" fontId="30" fillId="7" borderId="155" xfId="0" applyFont="1" applyFill="1" applyBorder="1" applyAlignment="1">
      <alignment horizontal="center" vertical="center" wrapText="1"/>
    </xf>
    <xf numFmtId="0" fontId="9" fillId="0" borderId="156" xfId="0" applyFont="1" applyBorder="1"/>
    <xf numFmtId="0" fontId="9" fillId="0" borderId="158" xfId="0" applyFont="1" applyBorder="1"/>
    <xf numFmtId="0" fontId="9" fillId="0" borderId="160" xfId="0" applyFont="1" applyBorder="1"/>
    <xf numFmtId="0" fontId="30" fillId="7" borderId="62" xfId="0" applyFont="1" applyFill="1" applyBorder="1" applyAlignment="1">
      <alignment horizontal="center" vertical="center"/>
    </xf>
    <xf numFmtId="0" fontId="13" fillId="7" borderId="143" xfId="0" applyFont="1" applyFill="1" applyBorder="1" applyAlignment="1">
      <alignment horizontal="left" vertical="center"/>
    </xf>
    <xf numFmtId="0" fontId="9" fillId="0" borderId="144" xfId="0" applyFont="1" applyBorder="1"/>
    <xf numFmtId="0" fontId="9" fillId="0" borderId="169" xfId="0" applyFont="1" applyBorder="1"/>
    <xf numFmtId="0" fontId="13" fillId="0" borderId="66" xfId="0" applyFont="1" applyBorder="1" applyAlignment="1">
      <alignment horizontal="left" vertical="center"/>
    </xf>
    <xf numFmtId="0" fontId="24" fillId="7" borderId="66" xfId="0" applyFont="1" applyFill="1" applyBorder="1" applyAlignment="1">
      <alignment horizontal="center" vertical="center"/>
    </xf>
    <xf numFmtId="0" fontId="46" fillId="0" borderId="69" xfId="0" applyFont="1" applyBorder="1" applyAlignment="1">
      <alignment horizontal="left" vertical="top" wrapText="1"/>
    </xf>
    <xf numFmtId="0" fontId="66" fillId="0" borderId="1" xfId="0" applyFont="1" applyBorder="1" applyAlignment="1">
      <alignment horizontal="right" wrapText="1"/>
    </xf>
    <xf numFmtId="0" fontId="66" fillId="0" borderId="99" xfId="0" applyFont="1" applyBorder="1" applyAlignment="1">
      <alignment horizontal="center" vertical="center" wrapText="1"/>
    </xf>
    <xf numFmtId="4" fontId="46" fillId="0" borderId="62" xfId="0" applyNumberFormat="1" applyFont="1" applyBorder="1" applyAlignment="1">
      <alignment horizontal="left" vertical="center"/>
    </xf>
    <xf numFmtId="0" fontId="66" fillId="0" borderId="118" xfId="0" applyFont="1" applyBorder="1" applyAlignment="1">
      <alignment horizontal="right" wrapText="1"/>
    </xf>
    <xf numFmtId="184" fontId="46" fillId="0" borderId="66" xfId="0" applyNumberFormat="1" applyFont="1" applyBorder="1" applyAlignment="1">
      <alignment horizontal="left" vertical="center"/>
    </xf>
    <xf numFmtId="184" fontId="46" fillId="0" borderId="66" xfId="0" applyNumberFormat="1" applyFont="1" applyBorder="1" applyAlignment="1">
      <alignment horizontal="left"/>
    </xf>
    <xf numFmtId="184" fontId="46" fillId="0" borderId="62" xfId="0" applyNumberFormat="1" applyFont="1" applyBorder="1" applyAlignment="1">
      <alignment horizontal="left" vertical="center"/>
    </xf>
    <xf numFmtId="0" fontId="46" fillId="0" borderId="62" xfId="0" applyFont="1" applyBorder="1" applyAlignment="1">
      <alignment horizontal="left" vertical="top" wrapText="1"/>
    </xf>
    <xf numFmtId="4" fontId="66" fillId="0" borderId="1" xfId="0" applyNumberFormat="1" applyFont="1" applyBorder="1" applyAlignment="1">
      <alignment horizontal="center" vertical="center" wrapText="1"/>
    </xf>
    <xf numFmtId="0" fontId="66" fillId="0" borderId="1" xfId="0" applyFont="1" applyBorder="1" applyAlignment="1">
      <alignment horizontal="left" vertical="center" wrapText="1"/>
    </xf>
    <xf numFmtId="0" fontId="46" fillId="0" borderId="66" xfId="0" applyFont="1" applyBorder="1" applyAlignment="1">
      <alignment horizontal="left" vertical="top" wrapText="1"/>
    </xf>
    <xf numFmtId="0" fontId="46" fillId="0" borderId="69" xfId="0" applyFont="1" applyBorder="1" applyAlignment="1">
      <alignment horizontal="left" vertical="center" wrapText="1"/>
    </xf>
    <xf numFmtId="184" fontId="46" fillId="0" borderId="69" xfId="0" applyNumberFormat="1" applyFont="1" applyBorder="1" applyAlignment="1">
      <alignment horizontal="left" vertical="center"/>
    </xf>
    <xf numFmtId="184" fontId="46" fillId="0" borderId="62" xfId="0" applyNumberFormat="1" applyFont="1" applyBorder="1" applyAlignment="1">
      <alignment horizontal="left" vertical="center" wrapText="1"/>
    </xf>
    <xf numFmtId="184" fontId="46" fillId="0" borderId="66" xfId="0" applyNumberFormat="1" applyFont="1" applyBorder="1" applyAlignment="1">
      <alignment horizontal="left" vertical="center" wrapText="1"/>
    </xf>
    <xf numFmtId="184" fontId="46" fillId="0" borderId="62" xfId="0" applyNumberFormat="1" applyFont="1" applyBorder="1" applyAlignment="1">
      <alignment horizontal="left"/>
    </xf>
    <xf numFmtId="0" fontId="69" fillId="0" borderId="99" xfId="0" applyFont="1" applyBorder="1" applyAlignment="1">
      <alignment horizontal="center" vertical="center" wrapText="1"/>
    </xf>
    <xf numFmtId="4" fontId="66" fillId="0" borderId="1" xfId="0" applyNumberFormat="1" applyFont="1" applyBorder="1" applyAlignment="1">
      <alignment horizontal="left" vertical="center" wrapText="1"/>
    </xf>
    <xf numFmtId="4" fontId="46" fillId="0" borderId="62" xfId="0" applyNumberFormat="1" applyFont="1" applyBorder="1" applyAlignment="1">
      <alignment horizontal="left" vertical="center" wrapText="1"/>
    </xf>
    <xf numFmtId="4" fontId="46" fillId="0" borderId="69" xfId="0" applyNumberFormat="1" applyFont="1" applyBorder="1" applyAlignment="1">
      <alignment horizontal="left" vertical="top" wrapText="1"/>
    </xf>
    <xf numFmtId="184" fontId="46" fillId="0" borderId="69" xfId="0" applyNumberFormat="1" applyFont="1" applyBorder="1" applyAlignment="1">
      <alignment horizontal="left"/>
    </xf>
    <xf numFmtId="184" fontId="46" fillId="0" borderId="33" xfId="0" applyNumberFormat="1" applyFont="1" applyBorder="1" applyAlignment="1">
      <alignment horizontal="left" vertical="center" wrapText="1"/>
    </xf>
    <xf numFmtId="0" fontId="46" fillId="0" borderId="62" xfId="0" applyFont="1" applyBorder="1" applyAlignment="1">
      <alignment horizontal="left" vertical="center" wrapText="1"/>
    </xf>
    <xf numFmtId="0" fontId="66" fillId="0" borderId="69" xfId="0" applyFont="1" applyBorder="1" applyAlignment="1">
      <alignment horizontal="right" wrapText="1"/>
    </xf>
    <xf numFmtId="184" fontId="46" fillId="0" borderId="153" xfId="0" applyNumberFormat="1" applyFont="1" applyBorder="1" applyAlignment="1">
      <alignment horizontal="left" vertical="center"/>
    </xf>
    <xf numFmtId="0" fontId="9" fillId="0" borderId="116" xfId="0" applyFont="1" applyBorder="1"/>
    <xf numFmtId="190" fontId="46" fillId="0" borderId="66" xfId="0" applyNumberFormat="1" applyFont="1" applyBorder="1" applyAlignment="1">
      <alignment horizontal="left" vertical="center"/>
    </xf>
    <xf numFmtId="4" fontId="46" fillId="0" borderId="33" xfId="0" applyNumberFormat="1" applyFont="1" applyBorder="1" applyAlignment="1">
      <alignment horizontal="left" vertical="center" wrapText="1"/>
    </xf>
    <xf numFmtId="4" fontId="46" fillId="0" borderId="62" xfId="0" applyNumberFormat="1" applyFont="1" applyBorder="1" applyAlignment="1">
      <alignment horizontal="center" vertical="center"/>
    </xf>
    <xf numFmtId="0" fontId="46" fillId="0" borderId="33" xfId="0" applyFont="1" applyBorder="1" applyAlignment="1">
      <alignment horizontal="left" vertical="center" wrapText="1"/>
    </xf>
    <xf numFmtId="184" fontId="46" fillId="0" borderId="103" xfId="0" applyNumberFormat="1" applyFont="1" applyBorder="1" applyAlignment="1">
      <alignment horizontal="left" vertical="center" wrapText="1"/>
    </xf>
    <xf numFmtId="0" fontId="46" fillId="0" borderId="66" xfId="0" applyFont="1" applyBorder="1" applyAlignment="1">
      <alignment horizontal="left" vertical="center"/>
    </xf>
    <xf numFmtId="184" fontId="32" fillId="0" borderId="66" xfId="0" applyNumberFormat="1" applyFont="1" applyBorder="1" applyAlignment="1">
      <alignment horizontal="left" vertical="center"/>
    </xf>
    <xf numFmtId="0" fontId="71" fillId="0" borderId="36" xfId="0" applyFont="1" applyBorder="1" applyAlignment="1">
      <alignment horizontal="center" vertical="center" wrapText="1"/>
    </xf>
    <xf numFmtId="0" fontId="31" fillId="7" borderId="1" xfId="0" applyFont="1" applyFill="1" applyBorder="1" applyAlignment="1">
      <alignment horizontal="right" vertical="center" wrapText="1"/>
    </xf>
    <xf numFmtId="0" fontId="31" fillId="7" borderId="1" xfId="0" applyFont="1" applyFill="1" applyBorder="1" applyAlignment="1">
      <alignment horizontal="left" vertical="center" wrapText="1"/>
    </xf>
    <xf numFmtId="0" fontId="31" fillId="7" borderId="1" xfId="0" applyFont="1" applyFill="1" applyBorder="1" applyAlignment="1">
      <alignment horizontal="center" vertical="center" wrapText="1"/>
    </xf>
    <xf numFmtId="0" fontId="32" fillId="7" borderId="69" xfId="0" applyFont="1" applyFill="1" applyBorder="1" applyAlignment="1">
      <alignment horizontal="left" vertical="center" wrapText="1"/>
    </xf>
    <xf numFmtId="0" fontId="32" fillId="7" borderId="62" xfId="0" applyFont="1" applyFill="1" applyBorder="1" applyAlignment="1">
      <alignment horizontal="left" vertical="center" wrapText="1"/>
    </xf>
    <xf numFmtId="0" fontId="32" fillId="7" borderId="66" xfId="0" applyFont="1" applyFill="1" applyBorder="1" applyAlignment="1">
      <alignment horizontal="left" vertical="center" wrapText="1"/>
    </xf>
    <xf numFmtId="4" fontId="32" fillId="7" borderId="150" xfId="0" applyNumberFormat="1" applyFont="1" applyFill="1" applyBorder="1" applyAlignment="1">
      <alignment horizontal="left" vertical="center" wrapText="1"/>
    </xf>
    <xf numFmtId="4" fontId="32" fillId="7" borderId="69" xfId="0" applyNumberFormat="1" applyFont="1" applyFill="1" applyBorder="1" applyAlignment="1">
      <alignment horizontal="left" vertical="center" wrapText="1"/>
    </xf>
    <xf numFmtId="0" fontId="32" fillId="7" borderId="1" xfId="0" applyFont="1" applyFill="1" applyBorder="1" applyAlignment="1">
      <alignment horizontal="center" vertical="center" wrapText="1"/>
    </xf>
    <xf numFmtId="0" fontId="32" fillId="7" borderId="1" xfId="0" applyFont="1" applyFill="1" applyBorder="1" applyAlignment="1">
      <alignment horizontal="right" vertical="center" wrapText="1"/>
    </xf>
    <xf numFmtId="0" fontId="11" fillId="0" borderId="34" xfId="0" applyFont="1" applyBorder="1" applyAlignment="1">
      <alignment horizontal="center" vertical="center"/>
    </xf>
    <xf numFmtId="0" fontId="8" fillId="0" borderId="103" xfId="0" applyFont="1" applyBorder="1" applyAlignment="1">
      <alignment horizontal="left" vertical="center"/>
    </xf>
    <xf numFmtId="0" fontId="8" fillId="0" borderId="109" xfId="0" applyFont="1" applyBorder="1" applyAlignment="1">
      <alignment horizontal="left" vertical="center"/>
    </xf>
    <xf numFmtId="0" fontId="8" fillId="0" borderId="137" xfId="0" applyFont="1" applyBorder="1" applyAlignment="1">
      <alignment horizontal="center" vertical="center"/>
    </xf>
    <xf numFmtId="0" fontId="8" fillId="0" borderId="36" xfId="0" applyFont="1" applyBorder="1" applyAlignment="1">
      <alignment horizontal="left" vertical="center"/>
    </xf>
    <xf numFmtId="0" fontId="13" fillId="0" borderId="103" xfId="0" applyFont="1" applyBorder="1" applyAlignment="1">
      <alignment horizontal="left" vertical="center"/>
    </xf>
    <xf numFmtId="0" fontId="8" fillId="0" borderId="0" xfId="0" applyFont="1" applyAlignment="1">
      <alignment horizontal="center" vertical="center"/>
    </xf>
    <xf numFmtId="165" fontId="10" fillId="0" borderId="173" xfId="0" applyNumberFormat="1" applyFont="1" applyBorder="1" applyAlignment="1">
      <alignment horizontal="center" vertical="center"/>
    </xf>
    <xf numFmtId="0" fontId="11" fillId="0" borderId="173" xfId="0" applyFont="1" applyBorder="1" applyAlignment="1">
      <alignment horizontal="center" vertical="center"/>
    </xf>
    <xf numFmtId="0" fontId="8" fillId="0" borderId="103" xfId="0" applyFont="1" applyBorder="1" applyAlignment="1">
      <alignment horizontal="center" vertical="center"/>
    </xf>
    <xf numFmtId="0" fontId="8" fillId="0" borderId="36" xfId="0" applyFont="1" applyBorder="1" applyAlignment="1">
      <alignment horizontal="center" vertical="center"/>
    </xf>
    <xf numFmtId="0" fontId="13" fillId="0" borderId="173" xfId="0" applyFont="1" applyBorder="1" applyAlignment="1">
      <alignment horizontal="left" vertical="center" wrapText="1"/>
    </xf>
    <xf numFmtId="0" fontId="13" fillId="0" borderId="103" xfId="0" applyFont="1" applyBorder="1" applyAlignment="1">
      <alignment horizontal="left" vertical="center" wrapText="1"/>
    </xf>
    <xf numFmtId="165" fontId="10" fillId="0" borderId="109" xfId="0" applyNumberFormat="1" applyFont="1" applyBorder="1" applyAlignment="1">
      <alignment horizontal="center" vertical="center"/>
    </xf>
    <xf numFmtId="0" fontId="8" fillId="0" borderId="173" xfId="0" applyFont="1" applyBorder="1" applyAlignment="1">
      <alignment horizontal="left" vertical="center" wrapText="1"/>
    </xf>
    <xf numFmtId="0" fontId="8" fillId="0" borderId="103" xfId="0" applyFont="1" applyBorder="1" applyAlignment="1">
      <alignment horizontal="left" vertical="center" wrapText="1"/>
    </xf>
    <xf numFmtId="165" fontId="10" fillId="0" borderId="36" xfId="0" applyNumberFormat="1" applyFont="1" applyBorder="1" applyAlignment="1">
      <alignment horizontal="center" vertical="center"/>
    </xf>
    <xf numFmtId="0" fontId="8" fillId="0" borderId="173" xfId="0" applyFont="1" applyBorder="1" applyAlignment="1">
      <alignment horizontal="left" wrapText="1"/>
    </xf>
    <xf numFmtId="0" fontId="8" fillId="0" borderId="109" xfId="0" applyFont="1" applyBorder="1" applyAlignment="1">
      <alignment horizontal="left"/>
    </xf>
    <xf numFmtId="4" fontId="30" fillId="7" borderId="1" xfId="0" applyNumberFormat="1" applyFont="1" applyFill="1" applyBorder="1" applyAlignment="1">
      <alignment horizontal="left" vertical="center" wrapText="1"/>
    </xf>
    <xf numFmtId="0" fontId="30" fillId="7" borderId="58" xfId="0" applyFont="1" applyFill="1" applyBorder="1" applyAlignment="1">
      <alignment horizontal="center" vertical="center"/>
    </xf>
    <xf numFmtId="0" fontId="30" fillId="7" borderId="1" xfId="0" applyFont="1" applyFill="1" applyBorder="1" applyAlignment="1">
      <alignment horizontal="right" vertical="center"/>
    </xf>
    <xf numFmtId="0" fontId="9" fillId="0" borderId="119" xfId="0" applyFont="1" applyBorder="1"/>
    <xf numFmtId="4" fontId="30" fillId="7" borderId="120" xfId="0" applyNumberFormat="1" applyFont="1" applyFill="1" applyBorder="1" applyAlignment="1">
      <alignment horizontal="left" vertical="center" wrapText="1"/>
    </xf>
    <xf numFmtId="4" fontId="73" fillId="0" borderId="99" xfId="0" applyNumberFormat="1" applyFont="1" applyBorder="1" applyAlignment="1">
      <alignment horizontal="center"/>
    </xf>
    <xf numFmtId="4" fontId="27" fillId="0" borderId="118" xfId="0" applyNumberFormat="1" applyFont="1" applyBorder="1" applyAlignment="1">
      <alignment horizontal="center" vertical="center" wrapText="1"/>
    </xf>
    <xf numFmtId="4" fontId="74" fillId="0" borderId="32" xfId="0" applyNumberFormat="1" applyFont="1" applyBorder="1" applyAlignment="1">
      <alignment horizontal="center" vertical="center" wrapText="1"/>
    </xf>
    <xf numFmtId="49" fontId="30" fillId="7" borderId="1" xfId="0" applyNumberFormat="1" applyFont="1" applyFill="1" applyBorder="1" applyAlignment="1">
      <alignment horizontal="center" vertical="center" wrapText="1"/>
    </xf>
    <xf numFmtId="0" fontId="40" fillId="0" borderId="0" xfId="0" applyFont="1" applyAlignment="1">
      <alignment horizontal="left" vertical="top" wrapText="1"/>
    </xf>
    <xf numFmtId="0" fontId="26" fillId="0" borderId="0" xfId="0" applyFont="1" applyAlignment="1">
      <alignment horizontal="left"/>
    </xf>
    <xf numFmtId="0" fontId="85" fillId="22" borderId="232" xfId="12" applyFont="1" applyFill="1" applyBorder="1" applyAlignment="1">
      <alignment horizontal="center" vertical="center"/>
    </xf>
    <xf numFmtId="0" fontId="85" fillId="22" borderId="225" xfId="12" applyFont="1" applyFill="1" applyBorder="1" applyAlignment="1">
      <alignment horizontal="center" vertical="center"/>
    </xf>
    <xf numFmtId="0" fontId="85" fillId="22" borderId="233" xfId="12" applyFont="1" applyFill="1" applyBorder="1" applyAlignment="1">
      <alignment horizontal="center" vertical="center"/>
    </xf>
    <xf numFmtId="0" fontId="85" fillId="22" borderId="215" xfId="12" applyFont="1" applyFill="1" applyBorder="1" applyAlignment="1">
      <alignment horizontal="center" vertical="center"/>
    </xf>
    <xf numFmtId="200" fontId="40" fillId="23" borderId="217" xfId="12" applyNumberFormat="1" applyFont="1" applyFill="1" applyBorder="1" applyAlignment="1">
      <alignment horizontal="center" vertical="center" wrapText="1"/>
    </xf>
    <xf numFmtId="200" fontId="40" fillId="23" borderId="215" xfId="12" applyNumberFormat="1" applyFont="1" applyFill="1" applyBorder="1" applyAlignment="1">
      <alignment horizontal="center" vertical="center" wrapText="1"/>
    </xf>
    <xf numFmtId="0" fontId="85" fillId="23" borderId="217" xfId="14" applyFont="1" applyFill="1" applyBorder="1" applyAlignment="1">
      <alignment horizontal="center" vertical="center" wrapText="1"/>
    </xf>
    <xf numFmtId="0" fontId="85" fillId="23" borderId="215" xfId="14" applyFont="1" applyFill="1" applyBorder="1" applyAlignment="1">
      <alignment horizontal="center" vertical="center" wrapText="1"/>
    </xf>
    <xf numFmtId="0" fontId="85" fillId="23" borderId="206" xfId="14" applyFont="1" applyFill="1" applyBorder="1" applyAlignment="1">
      <alignment horizontal="center" vertical="center" wrapText="1"/>
    </xf>
    <xf numFmtId="0" fontId="85" fillId="23" borderId="207" xfId="14" applyFont="1" applyFill="1" applyBorder="1" applyAlignment="1">
      <alignment horizontal="center" vertical="center" wrapText="1"/>
    </xf>
    <xf numFmtId="0" fontId="85" fillId="23" borderId="208" xfId="14" applyFont="1" applyFill="1" applyBorder="1" applyAlignment="1">
      <alignment horizontal="center" vertical="center" wrapText="1"/>
    </xf>
    <xf numFmtId="201" fontId="85" fillId="23" borderId="209" xfId="14" applyNumberFormat="1" applyFont="1" applyFill="1" applyBorder="1" applyAlignment="1">
      <alignment horizontal="center" vertical="center" wrapText="1"/>
    </xf>
    <xf numFmtId="201" fontId="85" fillId="23" borderId="210" xfId="14" applyNumberFormat="1" applyFont="1" applyFill="1" applyBorder="1" applyAlignment="1">
      <alignment horizontal="center" vertical="center" wrapText="1"/>
    </xf>
    <xf numFmtId="0" fontId="40" fillId="23" borderId="217" xfId="12" applyFont="1" applyFill="1" applyBorder="1" applyAlignment="1">
      <alignment horizontal="center" vertical="center" wrapText="1"/>
    </xf>
    <xf numFmtId="0" fontId="40" fillId="23" borderId="215" xfId="12" applyFont="1" applyFill="1" applyBorder="1" applyAlignment="1">
      <alignment horizontal="center" vertical="center" wrapText="1"/>
    </xf>
    <xf numFmtId="199" fontId="40" fillId="23" borderId="217" xfId="12" applyNumberFormat="1" applyFont="1" applyFill="1" applyBorder="1" applyAlignment="1">
      <alignment horizontal="center" vertical="center" wrapText="1"/>
    </xf>
    <xf numFmtId="199" fontId="40" fillId="23" borderId="215" xfId="12" applyNumberFormat="1" applyFont="1" applyFill="1" applyBorder="1" applyAlignment="1">
      <alignment horizontal="center" vertical="center" wrapText="1"/>
    </xf>
    <xf numFmtId="44" fontId="40" fillId="23" borderId="255" xfId="1" applyFont="1" applyFill="1" applyBorder="1" applyAlignment="1">
      <alignment horizontal="center" vertical="center" wrapText="1"/>
    </xf>
    <xf numFmtId="44" fontId="40" fillId="23" borderId="217" xfId="1" applyFont="1" applyFill="1" applyBorder="1" applyAlignment="1">
      <alignment horizontal="center" vertical="center" wrapText="1"/>
    </xf>
    <xf numFmtId="176" fontId="40" fillId="23" borderId="217" xfId="15" applyNumberFormat="1" applyFont="1" applyFill="1" applyBorder="1" applyAlignment="1">
      <alignment horizontal="center" vertical="center" wrapText="1"/>
    </xf>
    <xf numFmtId="176" fontId="40" fillId="23" borderId="215" xfId="15" applyNumberFormat="1" applyFont="1" applyFill="1" applyBorder="1" applyAlignment="1">
      <alignment horizontal="center" vertical="center" wrapText="1"/>
    </xf>
    <xf numFmtId="0" fontId="40" fillId="23" borderId="225" xfId="14" applyFont="1" applyFill="1" applyBorder="1" applyAlignment="1">
      <alignment horizontal="center" vertical="center"/>
    </xf>
    <xf numFmtId="0" fontId="40" fillId="23" borderId="251" xfId="14" applyFont="1" applyFill="1" applyBorder="1" applyAlignment="1">
      <alignment horizontal="center" vertical="center"/>
    </xf>
    <xf numFmtId="0" fontId="40" fillId="23" borderId="226" xfId="14" applyFont="1" applyFill="1" applyBorder="1" applyAlignment="1">
      <alignment horizontal="center" vertical="center"/>
    </xf>
    <xf numFmtId="0" fontId="40" fillId="23" borderId="215" xfId="14" applyFont="1" applyFill="1" applyBorder="1" applyAlignment="1">
      <alignment horizontal="center" vertical="center"/>
    </xf>
    <xf numFmtId="0" fontId="40" fillId="23" borderId="209" xfId="14" applyFont="1" applyFill="1" applyBorder="1" applyAlignment="1">
      <alignment horizontal="center" vertical="center"/>
    </xf>
    <xf numFmtId="0" fontId="40" fillId="23" borderId="227" xfId="14" applyFont="1" applyFill="1" applyBorder="1" applyAlignment="1">
      <alignment horizontal="center" vertical="center"/>
    </xf>
    <xf numFmtId="0" fontId="40" fillId="0" borderId="215" xfId="14" applyFont="1" applyBorder="1" applyAlignment="1">
      <alignment horizontal="center" vertical="center"/>
    </xf>
    <xf numFmtId="0" fontId="85" fillId="0" borderId="215" xfId="12" applyFont="1" applyBorder="1" applyAlignment="1">
      <alignment horizontal="center" vertical="center" wrapText="1"/>
    </xf>
    <xf numFmtId="0" fontId="85" fillId="0" borderId="209" xfId="12" applyFont="1" applyBorder="1" applyAlignment="1">
      <alignment horizontal="center" vertical="center" wrapText="1"/>
    </xf>
    <xf numFmtId="0" fontId="85" fillId="0" borderId="227" xfId="12" applyFont="1" applyBorder="1" applyAlignment="1">
      <alignment horizontal="center" vertical="center" wrapText="1"/>
    </xf>
    <xf numFmtId="0" fontId="26" fillId="0" borderId="215" xfId="14" applyFont="1" applyBorder="1" applyAlignment="1">
      <alignment horizontal="center" vertical="center"/>
    </xf>
    <xf numFmtId="0" fontId="26" fillId="0" borderId="209" xfId="14" applyFont="1" applyBorder="1" applyAlignment="1">
      <alignment horizontal="center" vertical="center"/>
    </xf>
    <xf numFmtId="0" fontId="26" fillId="0" borderId="227" xfId="14" applyFont="1" applyBorder="1" applyAlignment="1">
      <alignment horizontal="center" vertical="center"/>
    </xf>
    <xf numFmtId="0" fontId="40" fillId="0" borderId="215" xfId="14" applyFont="1" applyBorder="1" applyAlignment="1">
      <alignment horizontal="center" vertical="center" wrapText="1"/>
    </xf>
    <xf numFmtId="0" fontId="40" fillId="0" borderId="209" xfId="14" applyFont="1" applyBorder="1" applyAlignment="1">
      <alignment horizontal="center" vertical="center" wrapText="1"/>
    </xf>
    <xf numFmtId="0" fontId="40" fillId="0" borderId="227" xfId="14" applyFont="1" applyBorder="1" applyAlignment="1">
      <alignment horizontal="center" vertical="center" wrapText="1"/>
    </xf>
    <xf numFmtId="0" fontId="26" fillId="22" borderId="215" xfId="12" applyFont="1" applyFill="1" applyBorder="1" applyAlignment="1">
      <alignment horizontal="center" vertical="center" wrapText="1"/>
    </xf>
    <xf numFmtId="0" fontId="26" fillId="0" borderId="215" xfId="12" applyFont="1" applyBorder="1" applyAlignment="1">
      <alignment horizontal="justify" vertical="center" wrapText="1"/>
    </xf>
    <xf numFmtId="0" fontId="26" fillId="0" borderId="215" xfId="12" applyFont="1" applyBorder="1" applyAlignment="1">
      <alignment horizontal="center" vertical="center" wrapText="1"/>
    </xf>
    <xf numFmtId="44" fontId="26" fillId="0" borderId="215" xfId="1" applyFont="1" applyBorder="1" applyAlignment="1">
      <alignment horizontal="center" vertical="center" wrapText="1"/>
    </xf>
    <xf numFmtId="176" fontId="26" fillId="0" borderId="216" xfId="1" applyNumberFormat="1" applyFont="1" applyFill="1" applyBorder="1" applyAlignment="1">
      <alignment horizontal="center" vertical="center" wrapText="1"/>
    </xf>
    <xf numFmtId="176" fontId="26" fillId="0" borderId="255" xfId="1" applyNumberFormat="1" applyFont="1" applyFill="1" applyBorder="1" applyAlignment="1">
      <alignment horizontal="center" vertical="center" wrapText="1"/>
    </xf>
    <xf numFmtId="176" fontId="26" fillId="0" borderId="217" xfId="1" applyNumberFormat="1" applyFont="1" applyFill="1" applyBorder="1" applyAlignment="1">
      <alignment horizontal="center" vertical="center" wrapText="1"/>
    </xf>
    <xf numFmtId="170" fontId="26" fillId="22" borderId="216" xfId="12" applyNumberFormat="1" applyFont="1" applyFill="1" applyBorder="1" applyAlignment="1">
      <alignment horizontal="center" vertical="center" wrapText="1"/>
    </xf>
    <xf numFmtId="170" fontId="26" fillId="22" borderId="255" xfId="12" applyNumberFormat="1" applyFont="1" applyFill="1" applyBorder="1" applyAlignment="1">
      <alignment horizontal="center" vertical="center" wrapText="1"/>
    </xf>
    <xf numFmtId="170" fontId="26" fillId="22" borderId="217" xfId="12" applyNumberFormat="1" applyFont="1" applyFill="1" applyBorder="1" applyAlignment="1">
      <alignment horizontal="center" vertical="center" wrapText="1"/>
    </xf>
    <xf numFmtId="10" fontId="84" fillId="0" borderId="215" xfId="18" applyNumberFormat="1" applyFont="1" applyBorder="1" applyAlignment="1">
      <alignment horizontal="right" vertical="center"/>
    </xf>
    <xf numFmtId="10" fontId="84" fillId="0" borderId="216" xfId="18" applyNumberFormat="1" applyFont="1" applyBorder="1" applyAlignment="1">
      <alignment horizontal="right" vertical="center"/>
    </xf>
    <xf numFmtId="10" fontId="84" fillId="0" borderId="255" xfId="18" applyNumberFormat="1" applyFont="1" applyBorder="1" applyAlignment="1">
      <alignment horizontal="right" vertical="center"/>
    </xf>
    <xf numFmtId="10" fontId="84" fillId="0" borderId="217" xfId="18" applyNumberFormat="1" applyFont="1" applyBorder="1" applyAlignment="1">
      <alignment horizontal="right" vertical="center"/>
    </xf>
    <xf numFmtId="0" fontId="26" fillId="22" borderId="216" xfId="12" applyFont="1" applyFill="1" applyBorder="1" applyAlignment="1">
      <alignment horizontal="center" vertical="center" wrapText="1"/>
    </xf>
    <xf numFmtId="0" fontId="26" fillId="22" borderId="255" xfId="12" applyFont="1" applyFill="1" applyBorder="1" applyAlignment="1">
      <alignment horizontal="center" vertical="center" wrapText="1"/>
    </xf>
    <xf numFmtId="0" fontId="26" fillId="22" borderId="217" xfId="12" applyFont="1" applyFill="1" applyBorder="1" applyAlignment="1">
      <alignment horizontal="center" vertical="center" wrapText="1"/>
    </xf>
    <xf numFmtId="0" fontId="26" fillId="0" borderId="216" xfId="12" applyFont="1" applyBorder="1" applyAlignment="1">
      <alignment horizontal="justify" vertical="center" wrapText="1"/>
    </xf>
    <xf numFmtId="0" fontId="26" fillId="0" borderId="255" xfId="12" applyFont="1" applyBorder="1" applyAlignment="1">
      <alignment horizontal="justify" vertical="center" wrapText="1"/>
    </xf>
    <xf numFmtId="0" fontId="26" fillId="0" borderId="217" xfId="12" applyFont="1" applyBorder="1" applyAlignment="1">
      <alignment horizontal="justify" vertical="center" wrapText="1"/>
    </xf>
    <xf numFmtId="0" fontId="26" fillId="0" borderId="216" xfId="12" applyFont="1" applyBorder="1" applyAlignment="1">
      <alignment horizontal="center" vertical="center" wrapText="1"/>
    </xf>
    <xf numFmtId="0" fontId="26" fillId="0" borderId="255" xfId="12" applyFont="1" applyBorder="1" applyAlignment="1">
      <alignment horizontal="center" vertical="center" wrapText="1"/>
    </xf>
    <xf numFmtId="0" fontId="26" fillId="0" borderId="217" xfId="12" applyFont="1" applyBorder="1" applyAlignment="1">
      <alignment horizontal="center" vertical="center" wrapText="1"/>
    </xf>
    <xf numFmtId="44" fontId="26" fillId="0" borderId="216" xfId="1" applyFont="1" applyFill="1" applyBorder="1" applyAlignment="1">
      <alignment horizontal="center" vertical="center" wrapText="1"/>
    </xf>
    <xf numFmtId="44" fontId="26" fillId="0" borderId="255" xfId="1" applyFont="1" applyFill="1" applyBorder="1" applyAlignment="1">
      <alignment horizontal="center" vertical="center" wrapText="1"/>
    </xf>
    <xf numFmtId="44" fontId="26" fillId="0" borderId="217" xfId="1" applyFont="1" applyFill="1" applyBorder="1" applyAlignment="1">
      <alignment horizontal="center" vertical="center" wrapText="1"/>
    </xf>
    <xf numFmtId="44" fontId="26" fillId="0" borderId="216" xfId="1" applyFont="1" applyBorder="1" applyAlignment="1">
      <alignment horizontal="center" vertical="center" wrapText="1"/>
    </xf>
    <xf numFmtId="44" fontId="26" fillId="0" borderId="255" xfId="1" applyFont="1" applyBorder="1" applyAlignment="1">
      <alignment horizontal="center" vertical="center" wrapText="1"/>
    </xf>
    <xf numFmtId="44" fontId="26" fillId="0" borderId="217" xfId="1" applyFont="1" applyBorder="1" applyAlignment="1">
      <alignment horizontal="center" vertical="center" wrapText="1"/>
    </xf>
    <xf numFmtId="1" fontId="26" fillId="0" borderId="216" xfId="12" applyNumberFormat="1" applyFont="1" applyBorder="1" applyAlignment="1">
      <alignment horizontal="center" vertical="center" wrapText="1"/>
    </xf>
    <xf numFmtId="1" fontId="26" fillId="0" borderId="255" xfId="12" applyNumberFormat="1" applyFont="1" applyBorder="1" applyAlignment="1">
      <alignment horizontal="center" vertical="center" wrapText="1"/>
    </xf>
    <xf numFmtId="1" fontId="26" fillId="0" borderId="217" xfId="12" applyNumberFormat="1" applyFont="1" applyBorder="1" applyAlignment="1">
      <alignment horizontal="center" vertical="center" wrapText="1"/>
    </xf>
    <xf numFmtId="0" fontId="40" fillId="23" borderId="210" xfId="12" applyFont="1" applyFill="1" applyBorder="1" applyAlignment="1">
      <alignment horizontal="center" vertical="center" wrapText="1"/>
    </xf>
    <xf numFmtId="0" fontId="40" fillId="23" borderId="211" xfId="12" applyFont="1" applyFill="1" applyBorder="1" applyAlignment="1">
      <alignment horizontal="center" vertical="center" wrapText="1"/>
    </xf>
    <xf numFmtId="4" fontId="26" fillId="0" borderId="215" xfId="12" applyNumberFormat="1" applyFont="1" applyBorder="1" applyAlignment="1">
      <alignment horizontal="center" vertical="center" wrapText="1"/>
    </xf>
    <xf numFmtId="0" fontId="26" fillId="0" borderId="210" xfId="14" applyFont="1" applyBorder="1" applyAlignment="1">
      <alignment horizontal="center" vertical="center"/>
    </xf>
    <xf numFmtId="0" fontId="26" fillId="0" borderId="238" xfId="14" applyFont="1" applyBorder="1" applyAlignment="1">
      <alignment horizontal="center" vertical="center"/>
    </xf>
    <xf numFmtId="10" fontId="93" fillId="23" borderId="203" xfId="18" applyNumberFormat="1" applyFont="1" applyFill="1" applyBorder="1" applyAlignment="1">
      <alignment horizontal="center" vertical="center" textRotation="90"/>
    </xf>
    <xf numFmtId="10" fontId="93" fillId="23" borderId="213" xfId="18" applyNumberFormat="1" applyFont="1" applyFill="1" applyBorder="1" applyAlignment="1">
      <alignment horizontal="center" vertical="center" textRotation="90"/>
    </xf>
    <xf numFmtId="10" fontId="93" fillId="23" borderId="206" xfId="18" applyNumberFormat="1" applyFont="1" applyFill="1" applyBorder="1" applyAlignment="1">
      <alignment horizontal="center" vertical="center" textRotation="90"/>
    </xf>
    <xf numFmtId="0" fontId="21" fillId="12" borderId="1" xfId="0" applyFont="1" applyFill="1" applyBorder="1" applyAlignment="1">
      <alignment horizontal="right" vertical="center" wrapText="1"/>
    </xf>
    <xf numFmtId="0" fontId="22" fillId="0" borderId="0" xfId="0" applyFont="1" applyAlignment="1">
      <alignment horizontal="left" vertical="top" wrapText="1"/>
    </xf>
    <xf numFmtId="0" fontId="41" fillId="0" borderId="99" xfId="0" applyFont="1" applyBorder="1" applyAlignment="1">
      <alignment horizontal="center"/>
    </xf>
    <xf numFmtId="0" fontId="41" fillId="0" borderId="32" xfId="0" applyFont="1" applyBorder="1" applyAlignment="1">
      <alignment horizontal="center"/>
    </xf>
    <xf numFmtId="4" fontId="41" fillId="0" borderId="33" xfId="0" applyNumberFormat="1" applyFont="1" applyBorder="1" applyAlignment="1">
      <alignment horizontal="center" vertical="center"/>
    </xf>
    <xf numFmtId="4" fontId="41" fillId="0" borderId="69" xfId="0" applyNumberFormat="1" applyFont="1" applyBorder="1" applyAlignment="1">
      <alignment horizontal="center" vertical="center" wrapText="1"/>
    </xf>
    <xf numFmtId="4" fontId="43" fillId="0" borderId="0" xfId="0" applyNumberFormat="1" applyFont="1" applyAlignment="1">
      <alignment horizontal="center" vertical="center" wrapText="1"/>
    </xf>
    <xf numFmtId="2" fontId="21" fillId="12" borderId="50" xfId="0" applyNumberFormat="1" applyFont="1" applyFill="1" applyBorder="1" applyAlignment="1">
      <alignment horizontal="center" vertical="center" wrapText="1"/>
    </xf>
    <xf numFmtId="4" fontId="44" fillId="0" borderId="0" xfId="0" applyNumberFormat="1" applyFont="1" applyAlignment="1">
      <alignment horizontal="center" vertical="center" wrapText="1"/>
    </xf>
    <xf numFmtId="4" fontId="41" fillId="13" borderId="36" xfId="0" applyNumberFormat="1" applyFont="1" applyFill="1" applyBorder="1" applyAlignment="1">
      <alignment horizontal="center" vertical="center" wrapText="1"/>
    </xf>
    <xf numFmtId="4" fontId="45" fillId="13" borderId="36" xfId="0" applyNumberFormat="1" applyFont="1" applyFill="1" applyBorder="1" applyAlignment="1">
      <alignment horizontal="center" vertical="center" wrapText="1"/>
    </xf>
    <xf numFmtId="0" fontId="23" fillId="0" borderId="53" xfId="0" applyFont="1" applyBorder="1" applyAlignment="1">
      <alignment vertical="center"/>
    </xf>
    <xf numFmtId="0" fontId="19" fillId="0" borderId="55" xfId="0" applyFont="1" applyBorder="1" applyAlignment="1">
      <alignment horizontal="left" vertical="center"/>
    </xf>
    <xf numFmtId="0" fontId="19" fillId="13" borderId="107" xfId="0" applyFont="1" applyFill="1" applyBorder="1" applyAlignment="1">
      <alignment horizontal="center" vertical="center" wrapText="1"/>
    </xf>
    <xf numFmtId="0" fontId="60" fillId="2" borderId="60" xfId="0" applyFont="1" applyFill="1" applyBorder="1" applyAlignment="1">
      <alignment horizontal="center" vertical="center"/>
    </xf>
    <xf numFmtId="0" fontId="60" fillId="2" borderId="173" xfId="0" applyFont="1" applyFill="1" applyBorder="1" applyAlignment="1">
      <alignment horizontal="center" vertical="center"/>
    </xf>
    <xf numFmtId="0" fontId="60" fillId="2" borderId="36" xfId="0" applyFont="1" applyFill="1" applyBorder="1" applyAlignment="1">
      <alignment horizontal="left" vertical="center"/>
    </xf>
    <xf numFmtId="0" fontId="76" fillId="19" borderId="36" xfId="0" applyFont="1" applyFill="1" applyBorder="1" applyAlignment="1">
      <alignment horizontal="left" vertical="center" wrapText="1"/>
    </xf>
    <xf numFmtId="0" fontId="8" fillId="19" borderId="36" xfId="0" applyFont="1" applyFill="1" applyBorder="1" applyAlignment="1">
      <alignment horizontal="left" vertical="center"/>
    </xf>
    <xf numFmtId="2" fontId="76" fillId="19" borderId="36" xfId="0" applyNumberFormat="1" applyFont="1" applyFill="1" applyBorder="1" applyAlignment="1">
      <alignment horizontal="left" vertical="center" wrapText="1"/>
    </xf>
    <xf numFmtId="0" fontId="8" fillId="18" borderId="36" xfId="0" applyFont="1" applyFill="1" applyBorder="1" applyAlignment="1">
      <alignment horizontal="center"/>
    </xf>
    <xf numFmtId="0" fontId="76" fillId="19" borderId="36" xfId="0" applyFont="1" applyFill="1" applyBorder="1" applyAlignment="1">
      <alignment horizontal="left" vertical="center"/>
    </xf>
    <xf numFmtId="0" fontId="8" fillId="19" borderId="36" xfId="0" applyFont="1" applyFill="1" applyBorder="1" applyAlignment="1">
      <alignment horizontal="left"/>
    </xf>
    <xf numFmtId="0" fontId="8" fillId="19" borderId="36" xfId="0" applyFont="1" applyFill="1" applyBorder="1" applyAlignment="1">
      <alignment horizontal="left" wrapText="1"/>
    </xf>
    <xf numFmtId="184" fontId="8" fillId="19" borderId="36" xfId="0" applyNumberFormat="1" applyFont="1" applyFill="1" applyBorder="1" applyAlignment="1">
      <alignment horizontal="left" vertical="center"/>
    </xf>
    <xf numFmtId="0" fontId="78" fillId="4" borderId="172" xfId="0" applyFont="1" applyFill="1" applyBorder="1" applyAlignment="1">
      <alignment horizontal="center" vertical="center" wrapText="1"/>
    </xf>
    <xf numFmtId="0" fontId="9" fillId="0" borderId="110" xfId="0" applyFont="1" applyBorder="1"/>
    <xf numFmtId="0" fontId="9" fillId="0" borderId="186" xfId="0" applyFont="1" applyBorder="1"/>
    <xf numFmtId="0" fontId="79" fillId="4" borderId="1" xfId="0" applyFont="1" applyFill="1" applyBorder="1" applyAlignment="1">
      <alignment horizontal="center" vertical="center" wrapText="1"/>
    </xf>
    <xf numFmtId="0" fontId="79" fillId="4" borderId="172" xfId="0" applyFont="1" applyFill="1" applyBorder="1" applyAlignment="1">
      <alignment horizontal="center" vertical="center" wrapText="1"/>
    </xf>
    <xf numFmtId="0" fontId="32" fillId="0" borderId="99" xfId="0" applyFont="1" applyBorder="1" applyAlignment="1">
      <alignment horizontal="left" vertical="top" wrapText="1"/>
    </xf>
    <xf numFmtId="0" fontId="30" fillId="13" borderId="120" xfId="0" applyFont="1" applyFill="1" applyBorder="1" applyAlignment="1">
      <alignment horizontal="right" vertical="center" wrapText="1"/>
    </xf>
    <xf numFmtId="4" fontId="27" fillId="0" borderId="32" xfId="0" applyNumberFormat="1" applyFont="1" applyBorder="1" applyAlignment="1">
      <alignment horizontal="center" vertical="center" wrapText="1"/>
    </xf>
    <xf numFmtId="0" fontId="24" fillId="0" borderId="118" xfId="0" applyFont="1" applyBorder="1" applyAlignment="1">
      <alignment horizontal="center" vertical="center"/>
    </xf>
    <xf numFmtId="4" fontId="30" fillId="13" borderId="1" xfId="0" applyNumberFormat="1" applyFont="1" applyFill="1" applyBorder="1" applyAlignment="1">
      <alignment horizontal="center" vertical="center" wrapText="1"/>
    </xf>
    <xf numFmtId="0" fontId="30" fillId="13" borderId="196" xfId="0" applyFont="1" applyFill="1" applyBorder="1" applyAlignment="1">
      <alignment horizontal="left" vertical="center"/>
    </xf>
    <xf numFmtId="0" fontId="9" fillId="0" borderId="197" xfId="0" applyFont="1" applyBorder="1"/>
    <xf numFmtId="0" fontId="9" fillId="0" borderId="198" xfId="0" applyFont="1" applyBorder="1"/>
    <xf numFmtId="0" fontId="30" fillId="10" borderId="120" xfId="0" applyFont="1" applyFill="1" applyBorder="1" applyAlignment="1">
      <alignment horizontal="right" vertical="center" wrapText="1"/>
    </xf>
    <xf numFmtId="0" fontId="95" fillId="0" borderId="158" xfId="39" applyFont="1"/>
    <xf numFmtId="0" fontId="97" fillId="0" borderId="158" xfId="40" applyFont="1" applyAlignment="1">
      <alignment horizontal="left"/>
    </xf>
    <xf numFmtId="0" fontId="98" fillId="0" borderId="158" xfId="40" applyFont="1" applyAlignment="1">
      <alignment horizontal="left"/>
    </xf>
    <xf numFmtId="0" fontId="99" fillId="0" borderId="158" xfId="39" applyFont="1"/>
    <xf numFmtId="0" fontId="95" fillId="0" borderId="269" xfId="39" applyFont="1" applyBorder="1" applyAlignment="1">
      <alignment horizontal="center"/>
    </xf>
    <xf numFmtId="0" fontId="95" fillId="0" borderId="270" xfId="39" applyFont="1" applyBorder="1" applyAlignment="1">
      <alignment horizontal="center"/>
    </xf>
    <xf numFmtId="0" fontId="95" fillId="0" borderId="265" xfId="39" applyFont="1" applyBorder="1" applyAlignment="1">
      <alignment horizontal="center"/>
    </xf>
    <xf numFmtId="0" fontId="95" fillId="0" borderId="271" xfId="39" applyFont="1" applyBorder="1"/>
    <xf numFmtId="0" fontId="97" fillId="0" borderId="272" xfId="40" applyFont="1" applyBorder="1" applyAlignment="1">
      <alignment horizontal="center" wrapText="1"/>
    </xf>
    <xf numFmtId="0" fontId="97" fillId="0" borderId="273" xfId="40" applyFont="1" applyBorder="1" applyAlignment="1">
      <alignment horizontal="center" wrapText="1"/>
    </xf>
    <xf numFmtId="0" fontId="97" fillId="0" borderId="274" xfId="40" applyFont="1" applyBorder="1" applyAlignment="1">
      <alignment horizontal="center" wrapText="1"/>
    </xf>
    <xf numFmtId="0" fontId="95" fillId="0" borderId="275" xfId="39" applyFont="1" applyBorder="1"/>
    <xf numFmtId="0" fontId="97" fillId="0" borderId="276" xfId="40" applyFont="1" applyBorder="1" applyAlignment="1">
      <alignment horizontal="left"/>
    </xf>
    <xf numFmtId="0" fontId="100" fillId="0" borderId="276" xfId="40" applyFont="1" applyBorder="1" applyAlignment="1">
      <alignment horizontal="left"/>
    </xf>
    <xf numFmtId="0" fontId="101" fillId="0" borderId="277" xfId="41" applyFont="1" applyBorder="1" applyAlignment="1">
      <alignment horizontal="center"/>
    </xf>
    <xf numFmtId="0" fontId="101" fillId="0" borderId="278" xfId="41" applyFont="1" applyBorder="1" applyAlignment="1">
      <alignment horizontal="center"/>
    </xf>
    <xf numFmtId="0" fontId="101" fillId="0" borderId="279" xfId="41" applyFont="1" applyBorder="1" applyAlignment="1">
      <alignment horizontal="center"/>
    </xf>
    <xf numFmtId="0" fontId="95" fillId="0" borderId="280" xfId="39" applyFont="1" applyBorder="1"/>
    <xf numFmtId="0" fontId="95" fillId="0" borderId="207" xfId="41" applyFont="1" applyBorder="1" applyAlignment="1">
      <alignment horizontal="center"/>
    </xf>
    <xf numFmtId="0" fontId="95" fillId="0" borderId="281" xfId="41" applyFont="1" applyBorder="1" applyAlignment="1">
      <alignment horizontal="center"/>
    </xf>
    <xf numFmtId="0" fontId="95" fillId="22" borderId="158" xfId="39" applyFont="1" applyFill="1"/>
    <xf numFmtId="0" fontId="95" fillId="22" borderId="280" xfId="39" applyFont="1" applyFill="1" applyBorder="1"/>
    <xf numFmtId="0" fontId="95" fillId="25" borderId="233" xfId="39" applyFont="1" applyFill="1" applyBorder="1" applyAlignment="1">
      <alignment horizontal="left" wrapText="1"/>
    </xf>
    <xf numFmtId="0" fontId="95" fillId="25" borderId="215" xfId="39" applyFont="1" applyFill="1" applyBorder="1" applyAlignment="1">
      <alignment horizontal="left" wrapText="1"/>
    </xf>
    <xf numFmtId="0" fontId="95" fillId="25" borderId="227" xfId="39" applyFont="1" applyFill="1" applyBorder="1" applyAlignment="1">
      <alignment horizontal="left" wrapText="1"/>
    </xf>
    <xf numFmtId="0" fontId="95" fillId="22" borderId="275" xfId="39" applyFont="1" applyFill="1" applyBorder="1"/>
    <xf numFmtId="0" fontId="99" fillId="22" borderId="158" xfId="39" applyFont="1" applyFill="1"/>
    <xf numFmtId="0" fontId="95" fillId="21" borderId="249" xfId="39" applyFont="1" applyFill="1" applyBorder="1" applyAlignment="1">
      <alignment horizontal="center" wrapText="1"/>
    </xf>
    <xf numFmtId="0" fontId="95" fillId="21" borderId="210" xfId="39" applyFont="1" applyFill="1" applyBorder="1" applyAlignment="1">
      <alignment horizontal="center" wrapText="1"/>
    </xf>
    <xf numFmtId="0" fontId="95" fillId="21" borderId="238" xfId="39" applyFont="1" applyFill="1" applyBorder="1" applyAlignment="1">
      <alignment horizontal="center" wrapText="1"/>
    </xf>
    <xf numFmtId="171" fontId="48" fillId="14" borderId="215" xfId="42" applyNumberFormat="1" applyFont="1" applyFill="1" applyBorder="1" applyAlignment="1">
      <alignment horizontal="center" vertical="center"/>
    </xf>
    <xf numFmtId="0" fontId="48" fillId="0" borderId="251" xfId="42" applyFont="1" applyBorder="1" applyAlignment="1">
      <alignment horizontal="left" vertical="center" wrapText="1"/>
    </xf>
    <xf numFmtId="0" fontId="48" fillId="0" borderId="259" xfId="42" applyFont="1" applyBorder="1" applyAlignment="1">
      <alignment horizontal="left" vertical="center" wrapText="1"/>
    </xf>
    <xf numFmtId="0" fontId="48" fillId="0" borderId="242" xfId="42" applyFont="1" applyBorder="1" applyAlignment="1">
      <alignment horizontal="left" vertical="center" wrapText="1"/>
    </xf>
    <xf numFmtId="0" fontId="48" fillId="0" borderId="215" xfId="42" applyFont="1" applyBorder="1" applyAlignment="1">
      <alignment horizontal="left" vertical="center" wrapText="1"/>
    </xf>
    <xf numFmtId="4" fontId="99" fillId="0" borderId="158" xfId="39" applyNumberFormat="1" applyFont="1"/>
    <xf numFmtId="0" fontId="48" fillId="0" borderId="215" xfId="42" applyFont="1" applyBorder="1" applyAlignment="1">
      <alignment horizontal="justify" vertical="center" wrapText="1"/>
    </xf>
    <xf numFmtId="0" fontId="99" fillId="0" borderId="271" xfId="39" applyFont="1" applyBorder="1"/>
    <xf numFmtId="0" fontId="99" fillId="0" borderId="275" xfId="39" applyFont="1" applyBorder="1"/>
    <xf numFmtId="0" fontId="95" fillId="0" borderId="222" xfId="39" applyFont="1" applyBorder="1"/>
    <xf numFmtId="0" fontId="95" fillId="0" borderId="222" xfId="39" applyFont="1" applyBorder="1" applyAlignment="1">
      <alignment horizontal="center"/>
    </xf>
    <xf numFmtId="0" fontId="95" fillId="21" borderId="233" xfId="41" applyFont="1" applyFill="1" applyBorder="1" applyAlignment="1">
      <alignment vertical="center" wrapText="1"/>
    </xf>
    <xf numFmtId="0" fontId="95" fillId="21" borderId="215" xfId="41" applyFont="1" applyFill="1" applyBorder="1" applyAlignment="1">
      <alignment vertical="center" wrapText="1"/>
    </xf>
    <xf numFmtId="3" fontId="101" fillId="21" borderId="217" xfId="41" applyNumberFormat="1" applyFont="1" applyFill="1" applyBorder="1" applyAlignment="1">
      <alignment horizontal="center" vertical="center" wrapText="1"/>
    </xf>
    <xf numFmtId="3" fontId="101" fillId="21" borderId="215" xfId="41" applyNumberFormat="1" applyFont="1" applyFill="1" applyBorder="1" applyAlignment="1">
      <alignment horizontal="center" vertical="center"/>
    </xf>
    <xf numFmtId="0" fontId="101" fillId="21" borderId="215" xfId="41" applyFont="1" applyFill="1" applyBorder="1" applyAlignment="1">
      <alignment horizontal="center" vertical="center" wrapText="1"/>
    </xf>
    <xf numFmtId="0" fontId="101" fillId="21" borderId="215" xfId="41" applyFont="1" applyFill="1" applyBorder="1" applyAlignment="1">
      <alignment horizontal="center" vertical="center"/>
    </xf>
    <xf numFmtId="0" fontId="95" fillId="0" borderId="236" xfId="40" applyFont="1" applyBorder="1" applyAlignment="1">
      <alignment horizontal="center" vertical="center" wrapText="1"/>
    </xf>
    <xf numFmtId="0" fontId="95" fillId="0" borderId="204" xfId="40" applyFont="1" applyBorder="1" applyAlignment="1">
      <alignment horizontal="center" vertical="center" wrapText="1"/>
    </xf>
    <xf numFmtId="0" fontId="95" fillId="0" borderId="205" xfId="40" applyFont="1" applyBorder="1" applyAlignment="1">
      <alignment horizontal="center" vertical="center" wrapText="1"/>
    </xf>
    <xf numFmtId="3" fontId="101" fillId="21" borderId="215" xfId="41" applyNumberFormat="1" applyFont="1" applyFill="1" applyBorder="1" applyAlignment="1">
      <alignment horizontal="center" vertical="center" wrapText="1"/>
    </xf>
    <xf numFmtId="0" fontId="95" fillId="0" borderId="224" xfId="40" applyFont="1" applyBorder="1" applyAlignment="1">
      <alignment horizontal="center" vertical="center" wrapText="1"/>
    </xf>
    <xf numFmtId="0" fontId="95" fillId="0" borderId="158" xfId="40" applyFont="1" applyAlignment="1">
      <alignment horizontal="center" vertical="center" wrapText="1"/>
    </xf>
    <xf numFmtId="0" fontId="95" fillId="0" borderId="214" xfId="40" applyFont="1" applyBorder="1" applyAlignment="1">
      <alignment horizontal="center" vertical="center" wrapText="1"/>
    </xf>
    <xf numFmtId="0" fontId="95" fillId="0" borderId="221" xfId="40" applyFont="1" applyBorder="1" applyAlignment="1">
      <alignment horizontal="center" vertical="center" wrapText="1"/>
    </xf>
    <xf numFmtId="0" fontId="95" fillId="0" borderId="222" xfId="40" applyFont="1" applyBorder="1" applyAlignment="1">
      <alignment horizontal="center" vertical="center" wrapText="1"/>
    </xf>
    <xf numFmtId="0" fontId="95" fillId="0" borderId="282" xfId="40" applyFont="1" applyBorder="1" applyAlignment="1">
      <alignment horizontal="center" vertical="center" wrapText="1"/>
    </xf>
    <xf numFmtId="0" fontId="95" fillId="22" borderId="230" xfId="41" applyFont="1" applyFill="1" applyBorder="1" applyAlignment="1">
      <alignment horizontal="center" vertical="center" wrapText="1"/>
    </xf>
    <xf numFmtId="0" fontId="95" fillId="22" borderId="231" xfId="41" applyFont="1" applyFill="1" applyBorder="1" applyAlignment="1">
      <alignment horizontal="center" vertical="center" wrapText="1"/>
    </xf>
    <xf numFmtId="0" fontId="95" fillId="0" borderId="285" xfId="39" applyFont="1" applyBorder="1"/>
    <xf numFmtId="0" fontId="95" fillId="0" borderId="285" xfId="39" applyFont="1" applyBorder="1" applyAlignment="1">
      <alignment horizontal="center"/>
    </xf>
    <xf numFmtId="0" fontId="95" fillId="0" borderId="266" xfId="39" applyFont="1" applyBorder="1"/>
    <xf numFmtId="0" fontId="95" fillId="0" borderId="158" xfId="39" applyFont="1" applyAlignment="1">
      <alignment horizontal="center"/>
    </xf>
    <xf numFmtId="0" fontId="99" fillId="0" borderId="158" xfId="39" applyFont="1" applyAlignment="1">
      <alignment horizontal="center"/>
    </xf>
    <xf numFmtId="0" fontId="95" fillId="0" borderId="158" xfId="41" applyFont="1"/>
    <xf numFmtId="0" fontId="99" fillId="0" borderId="158" xfId="41" applyFont="1"/>
    <xf numFmtId="0" fontId="95" fillId="0" borderId="269" xfId="41" applyFont="1" applyBorder="1" applyAlignment="1">
      <alignment horizontal="center"/>
    </xf>
    <xf numFmtId="0" fontId="95" fillId="0" borderId="270" xfId="41" applyFont="1" applyBorder="1" applyAlignment="1">
      <alignment horizontal="center"/>
    </xf>
    <xf numFmtId="0" fontId="95" fillId="0" borderId="265" xfId="41" applyFont="1" applyBorder="1" applyAlignment="1">
      <alignment horizontal="center"/>
    </xf>
    <xf numFmtId="0" fontId="95" fillId="0" borderId="271" xfId="41" applyFont="1" applyBorder="1"/>
    <xf numFmtId="0" fontId="95" fillId="0" borderId="275" xfId="41" applyFont="1" applyBorder="1"/>
    <xf numFmtId="0" fontId="101" fillId="0" borderId="254" xfId="41" applyFont="1" applyBorder="1" applyAlignment="1">
      <alignment horizontal="center"/>
    </xf>
    <xf numFmtId="0" fontId="101" fillId="0" borderId="219" xfId="41" applyFont="1" applyBorder="1" applyAlignment="1">
      <alignment horizontal="center"/>
    </xf>
    <xf numFmtId="0" fontId="101" fillId="0" borderId="250" xfId="41" applyFont="1" applyBorder="1" applyAlignment="1">
      <alignment horizontal="center"/>
    </xf>
    <xf numFmtId="0" fontId="101" fillId="0" borderId="224" xfId="41" applyFont="1" applyBorder="1" applyAlignment="1">
      <alignment horizontal="center"/>
    </xf>
    <xf numFmtId="0" fontId="101" fillId="0" borderId="158" xfId="41" applyFont="1" applyAlignment="1">
      <alignment horizontal="center"/>
    </xf>
    <xf numFmtId="0" fontId="101" fillId="0" borderId="220" xfId="41" applyFont="1" applyBorder="1" applyAlignment="1">
      <alignment horizontal="center"/>
    </xf>
    <xf numFmtId="0" fontId="95" fillId="22" borderId="158" xfId="41" applyFont="1" applyFill="1"/>
    <xf numFmtId="0" fontId="95" fillId="22" borderId="271" xfId="41" applyFont="1" applyFill="1" applyBorder="1"/>
    <xf numFmtId="0" fontId="99" fillId="25" borderId="215" xfId="41" applyFont="1" applyFill="1" applyBorder="1" applyAlignment="1">
      <alignment horizontal="left" vertical="center" wrapText="1"/>
    </xf>
    <xf numFmtId="0" fontId="95" fillId="22" borderId="275" xfId="41" applyFont="1" applyFill="1" applyBorder="1"/>
    <xf numFmtId="0" fontId="99" fillId="22" borderId="158" xfId="41" applyFont="1" applyFill="1"/>
    <xf numFmtId="0" fontId="99" fillId="21" borderId="209" xfId="41" applyFont="1" applyFill="1" applyBorder="1" applyAlignment="1">
      <alignment horizontal="center" wrapText="1"/>
    </xf>
    <xf numFmtId="0" fontId="99" fillId="21" borderId="210" xfId="41" applyFont="1" applyFill="1" applyBorder="1" applyAlignment="1">
      <alignment horizontal="center" wrapText="1"/>
    </xf>
    <xf numFmtId="0" fontId="99" fillId="21" borderId="211" xfId="41" applyFont="1" applyFill="1" applyBorder="1" applyAlignment="1">
      <alignment horizontal="center" wrapText="1"/>
    </xf>
    <xf numFmtId="171" fontId="75" fillId="14" borderId="215" xfId="42" applyNumberFormat="1" applyFont="1" applyFill="1" applyBorder="1" applyAlignment="1">
      <alignment horizontal="center" vertical="center"/>
    </xf>
    <xf numFmtId="0" fontId="75" fillId="0" borderId="251" xfId="42" applyFont="1" applyBorder="1" applyAlignment="1">
      <alignment horizontal="left" vertical="center" wrapText="1"/>
    </xf>
    <xf numFmtId="0" fontId="75" fillId="0" borderId="259" xfId="42" applyFont="1" applyBorder="1" applyAlignment="1">
      <alignment horizontal="left" vertical="center" wrapText="1"/>
    </xf>
    <xf numFmtId="0" fontId="75" fillId="0" borderId="242" xfId="42" applyFont="1" applyBorder="1" applyAlignment="1">
      <alignment horizontal="left" vertical="center" wrapText="1"/>
    </xf>
    <xf numFmtId="4" fontId="99" fillId="0" borderId="158" xfId="41" applyNumberFormat="1" applyFont="1"/>
    <xf numFmtId="0" fontId="95" fillId="22" borderId="158" xfId="41" applyFont="1" applyFill="1" applyAlignment="1">
      <alignment horizontal="center" vertical="center" wrapText="1"/>
    </xf>
    <xf numFmtId="0" fontId="101" fillId="22" borderId="204" xfId="41" applyFont="1" applyFill="1" applyBorder="1" applyAlignment="1">
      <alignment horizontal="center" vertical="center" wrapText="1"/>
    </xf>
    <xf numFmtId="0" fontId="95" fillId="0" borderId="285" xfId="41" applyFont="1" applyBorder="1"/>
    <xf numFmtId="0" fontId="95" fillId="0" borderId="285" xfId="41" applyFont="1" applyBorder="1" applyAlignment="1">
      <alignment horizontal="center"/>
    </xf>
    <xf numFmtId="0" fontId="95" fillId="0" borderId="266" xfId="41" applyFont="1" applyBorder="1"/>
    <xf numFmtId="0" fontId="95" fillId="0" borderId="158" xfId="41" applyFont="1" applyAlignment="1">
      <alignment horizontal="center"/>
    </xf>
    <xf numFmtId="0" fontId="99" fillId="0" borderId="158" xfId="41" applyFont="1" applyAlignment="1">
      <alignment horizontal="center"/>
    </xf>
  </cellXfs>
  <cellStyles count="43">
    <cellStyle name="Hipervínculo" xfId="37" builtinId="8"/>
    <cellStyle name="Millares" xfId="2" builtinId="3"/>
    <cellStyle name="Millares 10" xfId="5" xr:uid="{5512E243-3C54-443A-BBF1-1FAB3A4C9170}"/>
    <cellStyle name="Millares 2" xfId="19" xr:uid="{172E43D7-AAB2-4520-8673-2B0C7748C380}"/>
    <cellStyle name="Millares 2 2" xfId="29" xr:uid="{1860FCB7-7448-4CB1-99B9-0FE52B851AF5}"/>
    <cellStyle name="Millares 2 5" xfId="6" xr:uid="{1F4EC68A-02AF-417C-B0B1-39B541176C21}"/>
    <cellStyle name="Millares 2 5 2" xfId="8" xr:uid="{133365E3-033C-4F1A-8B6F-B777E509DCB1}"/>
    <cellStyle name="Millares 5 2 4" xfId="16" xr:uid="{29904064-A2E4-4B70-9913-88D1CC3F14E6}"/>
    <cellStyle name="Millares_FORMULARIO 4 - M-OFERENTE PPTA ECONOMICA" xfId="35" xr:uid="{B16FC726-E975-42EC-BAC0-69199D312616}"/>
    <cellStyle name="Millares_PPTO OFICIAL LP-SGT-SRN-001-2009" xfId="15" xr:uid="{3B775B37-C3C5-489E-BE2D-A1E85D73BF9A}"/>
    <cellStyle name="Moneda" xfId="1" builtinId="4"/>
    <cellStyle name="Moneda [0] 2" xfId="20" xr:uid="{C1A793AA-6926-4532-8D6B-22001F468E3C}"/>
    <cellStyle name="Moneda 10 2" xfId="4" xr:uid="{D9741190-9360-45CE-91ED-9971B61907B4}"/>
    <cellStyle name="Moneda 2" xfId="17" xr:uid="{37C09039-8093-400B-AA5D-8FECF173C113}"/>
    <cellStyle name="Moneda 2 2" xfId="30" xr:uid="{D1E9BEFC-6349-4E3A-BD36-ADF49CCB4F65}"/>
    <cellStyle name="Moneda 2 2 2 2 2" xfId="34" xr:uid="{FD373375-033C-45C6-87FF-CEBDE625FD5B}"/>
    <cellStyle name="Normal" xfId="0" builtinId="0"/>
    <cellStyle name="Normal 14" xfId="12" xr:uid="{CCBC2FCD-0175-489C-8A2F-C54CA5DBCBC0}"/>
    <cellStyle name="Normal 2" xfId="3" xr:uid="{48EAA3E0-60A8-4D0F-ADB3-ABCA782E795C}"/>
    <cellStyle name="Normal 2 10 2 2" xfId="31" xr:uid="{2660AB98-D18A-4FB3-A8AD-5E9BE9F3D6A0}"/>
    <cellStyle name="Normal 2 10 2 4" xfId="13" xr:uid="{138CE91C-54F1-4307-B539-2D14AA0E12C9}"/>
    <cellStyle name="Normal 2 10 3" xfId="28" xr:uid="{7B34FADC-E957-4477-977D-4C3E3D792DE0}"/>
    <cellStyle name="Normal 2 2" xfId="10" xr:uid="{F78E3D54-AAE4-43F7-9313-10F7512CCA40}"/>
    <cellStyle name="Normal 2 3" xfId="21" xr:uid="{9DBCDFE8-C43B-486D-B793-F5D84D9A48B3}"/>
    <cellStyle name="Normal 2 3 2" xfId="23" xr:uid="{C70E8BB3-7E2E-4F60-A40B-76874F8A857A}"/>
    <cellStyle name="Normal 3" xfId="14" xr:uid="{21073E0B-03F3-4014-91F9-4E4AEBC879D8}"/>
    <cellStyle name="Normal 3 11" xfId="27" xr:uid="{0464A51B-9B26-4520-BB49-7C5CD0E16617}"/>
    <cellStyle name="Normal 3 11 2" xfId="41" xr:uid="{EBC43ED6-6EDC-4078-B207-88497F76756D}"/>
    <cellStyle name="Normal 3 2" xfId="25" xr:uid="{2D6770AC-C700-48E4-AB75-7CDBAF28036D}"/>
    <cellStyle name="Normal 3 2 2" xfId="32" xr:uid="{21C3EC77-127F-4474-8B54-7B67B24608D1}"/>
    <cellStyle name="Normal 3 2 3" xfId="39" xr:uid="{C5EF61AB-69AD-4428-AD37-D50A9B854AC0}"/>
    <cellStyle name="Normal 4" xfId="22" xr:uid="{0F30B2CD-F005-4006-AC7B-918D74BA0C8D}"/>
    <cellStyle name="Normal 5" xfId="24" xr:uid="{9EFCD306-D461-4452-A659-4AB993FA6CD5}"/>
    <cellStyle name="Normal 6" xfId="26" xr:uid="{2DCDFD69-1557-48B6-AE7C-C5DAAA9CF2F1}"/>
    <cellStyle name="Normal 6 2" xfId="40" xr:uid="{7962AB44-D7D7-43F2-BC7D-03DBCEB6C8CE}"/>
    <cellStyle name="Normal 7" xfId="42" xr:uid="{2BCEB49D-1887-4ED2-B98F-F17F0341AB09}"/>
    <cellStyle name="Normal_modelo ACTA OBRA y MODIFICACION" xfId="38" xr:uid="{2C61BC7B-F3D4-4374-8353-13144C5F2099}"/>
    <cellStyle name="Normal_PTO OFICIAL PREPLIEGO (CORREGIDO) 2" xfId="33" xr:uid="{57B384C1-2B7E-410A-A420-BA09DE4FD0E2}"/>
    <cellStyle name="Porcentaje" xfId="11" builtinId="5"/>
    <cellStyle name="Porcentaje 2" xfId="9" xr:uid="{1A44862D-ABEA-4746-831F-598FBEEB9A5B}"/>
    <cellStyle name="Porcentaje 3" xfId="18" xr:uid="{D0CEA998-F867-4001-9B11-D83ED3277455}"/>
    <cellStyle name="Porcentaje 4" xfId="7" xr:uid="{39953A83-2471-418C-9AE5-129A13817F53}"/>
    <cellStyle name="Porcentaje 5" xfId="36" xr:uid="{B308D56B-549A-4386-8358-4BB5B62D0010}"/>
  </cellStyles>
  <dxfs count="0"/>
  <tableStyles count="0" defaultTableStyle="TableStyleMedium2" defaultPivotStyle="PivotStyleLight16"/>
  <colors>
    <mruColors>
      <color rgb="FFF244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117" Type="http://schemas.openxmlformats.org/officeDocument/2006/relationships/externalLink" Target="externalLinks/externalLink71.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externalLink" Target="externalLinks/externalLink17.xml"/><Relationship Id="rId84" Type="http://schemas.openxmlformats.org/officeDocument/2006/relationships/externalLink" Target="externalLinks/externalLink38.xml"/><Relationship Id="rId138" Type="http://schemas.openxmlformats.org/officeDocument/2006/relationships/externalLink" Target="externalLinks/externalLink92.xml"/><Relationship Id="rId159" Type="http://schemas.openxmlformats.org/officeDocument/2006/relationships/externalLink" Target="externalLinks/externalLink113.xml"/><Relationship Id="rId170" Type="http://schemas.openxmlformats.org/officeDocument/2006/relationships/externalLink" Target="externalLinks/externalLink124.xml"/><Relationship Id="rId191" Type="http://schemas.openxmlformats.org/officeDocument/2006/relationships/styles" Target="styles.xml"/><Relationship Id="rId107" Type="http://schemas.openxmlformats.org/officeDocument/2006/relationships/externalLink" Target="externalLinks/externalLink61.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7.xml"/><Relationship Id="rId74" Type="http://schemas.openxmlformats.org/officeDocument/2006/relationships/externalLink" Target="externalLinks/externalLink28.xml"/><Relationship Id="rId128" Type="http://schemas.openxmlformats.org/officeDocument/2006/relationships/externalLink" Target="externalLinks/externalLink82.xml"/><Relationship Id="rId149" Type="http://schemas.openxmlformats.org/officeDocument/2006/relationships/externalLink" Target="externalLinks/externalLink103.xml"/><Relationship Id="rId5" Type="http://schemas.openxmlformats.org/officeDocument/2006/relationships/worksheet" Target="worksheets/sheet5.xml"/><Relationship Id="rId95" Type="http://schemas.openxmlformats.org/officeDocument/2006/relationships/externalLink" Target="externalLinks/externalLink49.xml"/><Relationship Id="rId160" Type="http://schemas.openxmlformats.org/officeDocument/2006/relationships/externalLink" Target="externalLinks/externalLink114.xml"/><Relationship Id="rId181" Type="http://schemas.openxmlformats.org/officeDocument/2006/relationships/externalLink" Target="externalLinks/externalLink135.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externalLink" Target="externalLinks/externalLink18.xml"/><Relationship Id="rId118" Type="http://schemas.openxmlformats.org/officeDocument/2006/relationships/externalLink" Target="externalLinks/externalLink72.xml"/><Relationship Id="rId139" Type="http://schemas.openxmlformats.org/officeDocument/2006/relationships/externalLink" Target="externalLinks/externalLink93.xml"/><Relationship Id="rId85" Type="http://schemas.openxmlformats.org/officeDocument/2006/relationships/externalLink" Target="externalLinks/externalLink39.xml"/><Relationship Id="rId150" Type="http://schemas.openxmlformats.org/officeDocument/2006/relationships/externalLink" Target="externalLinks/externalLink104.xml"/><Relationship Id="rId171" Type="http://schemas.openxmlformats.org/officeDocument/2006/relationships/externalLink" Target="externalLinks/externalLink125.xml"/><Relationship Id="rId192" Type="http://schemas.openxmlformats.org/officeDocument/2006/relationships/sharedStrings" Target="sharedStrings.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62.xml"/><Relationship Id="rId129" Type="http://schemas.openxmlformats.org/officeDocument/2006/relationships/externalLink" Target="externalLinks/externalLink83.xml"/><Relationship Id="rId54" Type="http://schemas.openxmlformats.org/officeDocument/2006/relationships/externalLink" Target="externalLinks/externalLink8.xml"/><Relationship Id="rId75" Type="http://schemas.openxmlformats.org/officeDocument/2006/relationships/externalLink" Target="externalLinks/externalLink29.xml"/><Relationship Id="rId96" Type="http://schemas.openxmlformats.org/officeDocument/2006/relationships/externalLink" Target="externalLinks/externalLink50.xml"/><Relationship Id="rId140" Type="http://schemas.openxmlformats.org/officeDocument/2006/relationships/externalLink" Target="externalLinks/externalLink94.xml"/><Relationship Id="rId161" Type="http://schemas.openxmlformats.org/officeDocument/2006/relationships/externalLink" Target="externalLinks/externalLink115.xml"/><Relationship Id="rId182" Type="http://schemas.openxmlformats.org/officeDocument/2006/relationships/externalLink" Target="externalLinks/externalLink136.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73.xml"/><Relationship Id="rId44" Type="http://schemas.openxmlformats.org/officeDocument/2006/relationships/worksheet" Target="worksheets/sheet44.xml"/><Relationship Id="rId65" Type="http://schemas.openxmlformats.org/officeDocument/2006/relationships/externalLink" Target="externalLinks/externalLink19.xml"/><Relationship Id="rId86" Type="http://schemas.openxmlformats.org/officeDocument/2006/relationships/externalLink" Target="externalLinks/externalLink40.xml"/><Relationship Id="rId130" Type="http://schemas.openxmlformats.org/officeDocument/2006/relationships/externalLink" Target="externalLinks/externalLink84.xml"/><Relationship Id="rId151" Type="http://schemas.openxmlformats.org/officeDocument/2006/relationships/externalLink" Target="externalLinks/externalLink105.xml"/><Relationship Id="rId172" Type="http://schemas.openxmlformats.org/officeDocument/2006/relationships/externalLink" Target="externalLinks/externalLink126.xml"/><Relationship Id="rId193" Type="http://schemas.openxmlformats.org/officeDocument/2006/relationships/calcChain" Target="calcChain.xml"/><Relationship Id="rId13" Type="http://schemas.openxmlformats.org/officeDocument/2006/relationships/worksheet" Target="worksheets/sheet13.xml"/><Relationship Id="rId109" Type="http://schemas.openxmlformats.org/officeDocument/2006/relationships/externalLink" Target="externalLinks/externalLink63.xml"/><Relationship Id="rId34" Type="http://schemas.openxmlformats.org/officeDocument/2006/relationships/worksheet" Target="worksheets/sheet34.xml"/><Relationship Id="rId50" Type="http://schemas.openxmlformats.org/officeDocument/2006/relationships/externalLink" Target="externalLinks/externalLink4.xml"/><Relationship Id="rId55" Type="http://schemas.openxmlformats.org/officeDocument/2006/relationships/externalLink" Target="externalLinks/externalLink9.xml"/><Relationship Id="rId76" Type="http://schemas.openxmlformats.org/officeDocument/2006/relationships/externalLink" Target="externalLinks/externalLink30.xml"/><Relationship Id="rId97" Type="http://schemas.openxmlformats.org/officeDocument/2006/relationships/externalLink" Target="externalLinks/externalLink51.xml"/><Relationship Id="rId104" Type="http://schemas.openxmlformats.org/officeDocument/2006/relationships/externalLink" Target="externalLinks/externalLink58.xml"/><Relationship Id="rId120" Type="http://schemas.openxmlformats.org/officeDocument/2006/relationships/externalLink" Target="externalLinks/externalLink74.xml"/><Relationship Id="rId125" Type="http://schemas.openxmlformats.org/officeDocument/2006/relationships/externalLink" Target="externalLinks/externalLink79.xml"/><Relationship Id="rId141" Type="http://schemas.openxmlformats.org/officeDocument/2006/relationships/externalLink" Target="externalLinks/externalLink95.xml"/><Relationship Id="rId146" Type="http://schemas.openxmlformats.org/officeDocument/2006/relationships/externalLink" Target="externalLinks/externalLink100.xml"/><Relationship Id="rId167" Type="http://schemas.openxmlformats.org/officeDocument/2006/relationships/externalLink" Target="externalLinks/externalLink121.xml"/><Relationship Id="rId188" Type="http://schemas.openxmlformats.org/officeDocument/2006/relationships/externalLink" Target="externalLinks/externalLink142.xml"/><Relationship Id="rId7" Type="http://schemas.openxmlformats.org/officeDocument/2006/relationships/worksheet" Target="worksheets/sheet7.xml"/><Relationship Id="rId71" Type="http://schemas.openxmlformats.org/officeDocument/2006/relationships/externalLink" Target="externalLinks/externalLink25.xml"/><Relationship Id="rId92" Type="http://schemas.openxmlformats.org/officeDocument/2006/relationships/externalLink" Target="externalLinks/externalLink46.xml"/><Relationship Id="rId162" Type="http://schemas.openxmlformats.org/officeDocument/2006/relationships/externalLink" Target="externalLinks/externalLink116.xml"/><Relationship Id="rId183" Type="http://schemas.openxmlformats.org/officeDocument/2006/relationships/externalLink" Target="externalLinks/externalLink137.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20.xml"/><Relationship Id="rId87" Type="http://schemas.openxmlformats.org/officeDocument/2006/relationships/externalLink" Target="externalLinks/externalLink41.xml"/><Relationship Id="rId110" Type="http://schemas.openxmlformats.org/officeDocument/2006/relationships/externalLink" Target="externalLinks/externalLink64.xml"/><Relationship Id="rId115" Type="http://schemas.openxmlformats.org/officeDocument/2006/relationships/externalLink" Target="externalLinks/externalLink69.xml"/><Relationship Id="rId131" Type="http://schemas.openxmlformats.org/officeDocument/2006/relationships/externalLink" Target="externalLinks/externalLink85.xml"/><Relationship Id="rId136" Type="http://schemas.openxmlformats.org/officeDocument/2006/relationships/externalLink" Target="externalLinks/externalLink90.xml"/><Relationship Id="rId157" Type="http://schemas.openxmlformats.org/officeDocument/2006/relationships/externalLink" Target="externalLinks/externalLink111.xml"/><Relationship Id="rId178" Type="http://schemas.openxmlformats.org/officeDocument/2006/relationships/externalLink" Target="externalLinks/externalLink132.xml"/><Relationship Id="rId61" Type="http://schemas.openxmlformats.org/officeDocument/2006/relationships/externalLink" Target="externalLinks/externalLink15.xml"/><Relationship Id="rId82" Type="http://schemas.openxmlformats.org/officeDocument/2006/relationships/externalLink" Target="externalLinks/externalLink36.xml"/><Relationship Id="rId152" Type="http://schemas.openxmlformats.org/officeDocument/2006/relationships/externalLink" Target="externalLinks/externalLink106.xml"/><Relationship Id="rId173" Type="http://schemas.openxmlformats.org/officeDocument/2006/relationships/externalLink" Target="externalLinks/externalLink127.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10.xml"/><Relationship Id="rId77" Type="http://schemas.openxmlformats.org/officeDocument/2006/relationships/externalLink" Target="externalLinks/externalLink31.xml"/><Relationship Id="rId100" Type="http://schemas.openxmlformats.org/officeDocument/2006/relationships/externalLink" Target="externalLinks/externalLink54.xml"/><Relationship Id="rId105" Type="http://schemas.openxmlformats.org/officeDocument/2006/relationships/externalLink" Target="externalLinks/externalLink59.xml"/><Relationship Id="rId126" Type="http://schemas.openxmlformats.org/officeDocument/2006/relationships/externalLink" Target="externalLinks/externalLink80.xml"/><Relationship Id="rId147" Type="http://schemas.openxmlformats.org/officeDocument/2006/relationships/externalLink" Target="externalLinks/externalLink101.xml"/><Relationship Id="rId168" Type="http://schemas.openxmlformats.org/officeDocument/2006/relationships/externalLink" Target="externalLinks/externalLink122.xml"/><Relationship Id="rId8" Type="http://schemas.openxmlformats.org/officeDocument/2006/relationships/worksheet" Target="worksheets/sheet8.xml"/><Relationship Id="rId51" Type="http://schemas.openxmlformats.org/officeDocument/2006/relationships/externalLink" Target="externalLinks/externalLink5.xml"/><Relationship Id="rId72" Type="http://schemas.openxmlformats.org/officeDocument/2006/relationships/externalLink" Target="externalLinks/externalLink26.xml"/><Relationship Id="rId93" Type="http://schemas.openxmlformats.org/officeDocument/2006/relationships/externalLink" Target="externalLinks/externalLink47.xml"/><Relationship Id="rId98" Type="http://schemas.openxmlformats.org/officeDocument/2006/relationships/externalLink" Target="externalLinks/externalLink52.xml"/><Relationship Id="rId121" Type="http://schemas.openxmlformats.org/officeDocument/2006/relationships/externalLink" Target="externalLinks/externalLink75.xml"/><Relationship Id="rId142" Type="http://schemas.openxmlformats.org/officeDocument/2006/relationships/externalLink" Target="externalLinks/externalLink96.xml"/><Relationship Id="rId163" Type="http://schemas.openxmlformats.org/officeDocument/2006/relationships/externalLink" Target="externalLinks/externalLink117.xml"/><Relationship Id="rId184" Type="http://schemas.openxmlformats.org/officeDocument/2006/relationships/externalLink" Target="externalLinks/externalLink138.xml"/><Relationship Id="rId189" Type="http://customschemas.google.com/relationships/workbookmetadata" Target="metadata"/><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externalLink" Target="externalLinks/externalLink21.xml"/><Relationship Id="rId116" Type="http://schemas.openxmlformats.org/officeDocument/2006/relationships/externalLink" Target="externalLinks/externalLink70.xml"/><Relationship Id="rId137" Type="http://schemas.openxmlformats.org/officeDocument/2006/relationships/externalLink" Target="externalLinks/externalLink91.xml"/><Relationship Id="rId158" Type="http://schemas.openxmlformats.org/officeDocument/2006/relationships/externalLink" Target="externalLinks/externalLink112.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16.xml"/><Relationship Id="rId83" Type="http://schemas.openxmlformats.org/officeDocument/2006/relationships/externalLink" Target="externalLinks/externalLink37.xml"/><Relationship Id="rId88" Type="http://schemas.openxmlformats.org/officeDocument/2006/relationships/externalLink" Target="externalLinks/externalLink42.xml"/><Relationship Id="rId111" Type="http://schemas.openxmlformats.org/officeDocument/2006/relationships/externalLink" Target="externalLinks/externalLink65.xml"/><Relationship Id="rId132" Type="http://schemas.openxmlformats.org/officeDocument/2006/relationships/externalLink" Target="externalLinks/externalLink86.xml"/><Relationship Id="rId153" Type="http://schemas.openxmlformats.org/officeDocument/2006/relationships/externalLink" Target="externalLinks/externalLink107.xml"/><Relationship Id="rId174" Type="http://schemas.openxmlformats.org/officeDocument/2006/relationships/externalLink" Target="externalLinks/externalLink128.xml"/><Relationship Id="rId179" Type="http://schemas.openxmlformats.org/officeDocument/2006/relationships/externalLink" Target="externalLinks/externalLink133.xml"/><Relationship Id="rId190" Type="http://schemas.openxmlformats.org/officeDocument/2006/relationships/theme" Target="theme/theme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11.xml"/><Relationship Id="rId106" Type="http://schemas.openxmlformats.org/officeDocument/2006/relationships/externalLink" Target="externalLinks/externalLink60.xml"/><Relationship Id="rId127" Type="http://schemas.openxmlformats.org/officeDocument/2006/relationships/externalLink" Target="externalLinks/externalLink81.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6.xml"/><Relationship Id="rId73" Type="http://schemas.openxmlformats.org/officeDocument/2006/relationships/externalLink" Target="externalLinks/externalLink27.xml"/><Relationship Id="rId78" Type="http://schemas.openxmlformats.org/officeDocument/2006/relationships/externalLink" Target="externalLinks/externalLink32.xml"/><Relationship Id="rId94" Type="http://schemas.openxmlformats.org/officeDocument/2006/relationships/externalLink" Target="externalLinks/externalLink48.xml"/><Relationship Id="rId99" Type="http://schemas.openxmlformats.org/officeDocument/2006/relationships/externalLink" Target="externalLinks/externalLink53.xml"/><Relationship Id="rId101" Type="http://schemas.openxmlformats.org/officeDocument/2006/relationships/externalLink" Target="externalLinks/externalLink55.xml"/><Relationship Id="rId122" Type="http://schemas.openxmlformats.org/officeDocument/2006/relationships/externalLink" Target="externalLinks/externalLink76.xml"/><Relationship Id="rId143" Type="http://schemas.openxmlformats.org/officeDocument/2006/relationships/externalLink" Target="externalLinks/externalLink97.xml"/><Relationship Id="rId148" Type="http://schemas.openxmlformats.org/officeDocument/2006/relationships/externalLink" Target="externalLinks/externalLink102.xml"/><Relationship Id="rId164" Type="http://schemas.openxmlformats.org/officeDocument/2006/relationships/externalLink" Target="externalLinks/externalLink118.xml"/><Relationship Id="rId169" Type="http://schemas.openxmlformats.org/officeDocument/2006/relationships/externalLink" Target="externalLinks/externalLink123.xml"/><Relationship Id="rId185" Type="http://schemas.openxmlformats.org/officeDocument/2006/relationships/externalLink" Target="externalLinks/externalLink139.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34.xml"/><Relationship Id="rId26" Type="http://schemas.openxmlformats.org/officeDocument/2006/relationships/worksheet" Target="worksheets/sheet26.xml"/><Relationship Id="rId47" Type="http://schemas.openxmlformats.org/officeDocument/2006/relationships/externalLink" Target="externalLinks/externalLink1.xml"/><Relationship Id="rId68" Type="http://schemas.openxmlformats.org/officeDocument/2006/relationships/externalLink" Target="externalLinks/externalLink22.xml"/><Relationship Id="rId89" Type="http://schemas.openxmlformats.org/officeDocument/2006/relationships/externalLink" Target="externalLinks/externalLink43.xml"/><Relationship Id="rId112" Type="http://schemas.openxmlformats.org/officeDocument/2006/relationships/externalLink" Target="externalLinks/externalLink66.xml"/><Relationship Id="rId133" Type="http://schemas.openxmlformats.org/officeDocument/2006/relationships/externalLink" Target="externalLinks/externalLink87.xml"/><Relationship Id="rId154" Type="http://schemas.openxmlformats.org/officeDocument/2006/relationships/externalLink" Target="externalLinks/externalLink108.xml"/><Relationship Id="rId175" Type="http://schemas.openxmlformats.org/officeDocument/2006/relationships/externalLink" Target="externalLinks/externalLink129.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externalLink" Target="externalLinks/externalLink12.xml"/><Relationship Id="rId79" Type="http://schemas.openxmlformats.org/officeDocument/2006/relationships/externalLink" Target="externalLinks/externalLink33.xml"/><Relationship Id="rId102" Type="http://schemas.openxmlformats.org/officeDocument/2006/relationships/externalLink" Target="externalLinks/externalLink56.xml"/><Relationship Id="rId123" Type="http://schemas.openxmlformats.org/officeDocument/2006/relationships/externalLink" Target="externalLinks/externalLink77.xml"/><Relationship Id="rId144" Type="http://schemas.openxmlformats.org/officeDocument/2006/relationships/externalLink" Target="externalLinks/externalLink98.xml"/><Relationship Id="rId90" Type="http://schemas.openxmlformats.org/officeDocument/2006/relationships/externalLink" Target="externalLinks/externalLink44.xml"/><Relationship Id="rId165" Type="http://schemas.openxmlformats.org/officeDocument/2006/relationships/externalLink" Target="externalLinks/externalLink119.xml"/><Relationship Id="rId186" Type="http://schemas.openxmlformats.org/officeDocument/2006/relationships/externalLink" Target="externalLinks/externalLink140.xml"/><Relationship Id="rId27" Type="http://schemas.openxmlformats.org/officeDocument/2006/relationships/worksheet" Target="worksheets/sheet27.xml"/><Relationship Id="rId48" Type="http://schemas.openxmlformats.org/officeDocument/2006/relationships/externalLink" Target="externalLinks/externalLink2.xml"/><Relationship Id="rId69" Type="http://schemas.openxmlformats.org/officeDocument/2006/relationships/externalLink" Target="externalLinks/externalLink23.xml"/><Relationship Id="rId113" Type="http://schemas.openxmlformats.org/officeDocument/2006/relationships/externalLink" Target="externalLinks/externalLink67.xml"/><Relationship Id="rId134" Type="http://schemas.openxmlformats.org/officeDocument/2006/relationships/externalLink" Target="externalLinks/externalLink88.xml"/><Relationship Id="rId80" Type="http://schemas.openxmlformats.org/officeDocument/2006/relationships/externalLink" Target="externalLinks/externalLink34.xml"/><Relationship Id="rId155" Type="http://schemas.openxmlformats.org/officeDocument/2006/relationships/externalLink" Target="externalLinks/externalLink109.xml"/><Relationship Id="rId176" Type="http://schemas.openxmlformats.org/officeDocument/2006/relationships/externalLink" Target="externalLinks/externalLink130.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externalLink" Target="externalLinks/externalLink13.xml"/><Relationship Id="rId103" Type="http://schemas.openxmlformats.org/officeDocument/2006/relationships/externalLink" Target="externalLinks/externalLink57.xml"/><Relationship Id="rId124" Type="http://schemas.openxmlformats.org/officeDocument/2006/relationships/externalLink" Target="externalLinks/externalLink78.xml"/><Relationship Id="rId70" Type="http://schemas.openxmlformats.org/officeDocument/2006/relationships/externalLink" Target="externalLinks/externalLink24.xml"/><Relationship Id="rId91" Type="http://schemas.openxmlformats.org/officeDocument/2006/relationships/externalLink" Target="externalLinks/externalLink45.xml"/><Relationship Id="rId145" Type="http://schemas.openxmlformats.org/officeDocument/2006/relationships/externalLink" Target="externalLinks/externalLink99.xml"/><Relationship Id="rId166" Type="http://schemas.openxmlformats.org/officeDocument/2006/relationships/externalLink" Target="externalLinks/externalLink120.xml"/><Relationship Id="rId187" Type="http://schemas.openxmlformats.org/officeDocument/2006/relationships/externalLink" Target="externalLinks/externalLink141.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externalLink" Target="externalLinks/externalLink3.xml"/><Relationship Id="rId114" Type="http://schemas.openxmlformats.org/officeDocument/2006/relationships/externalLink" Target="externalLinks/externalLink68.xml"/><Relationship Id="rId60" Type="http://schemas.openxmlformats.org/officeDocument/2006/relationships/externalLink" Target="externalLinks/externalLink14.xml"/><Relationship Id="rId81" Type="http://schemas.openxmlformats.org/officeDocument/2006/relationships/externalLink" Target="externalLinks/externalLink35.xml"/><Relationship Id="rId135" Type="http://schemas.openxmlformats.org/officeDocument/2006/relationships/externalLink" Target="externalLinks/externalLink89.xml"/><Relationship Id="rId156" Type="http://schemas.openxmlformats.org/officeDocument/2006/relationships/externalLink" Target="externalLinks/externalLink110.xml"/><Relationship Id="rId177" Type="http://schemas.openxmlformats.org/officeDocument/2006/relationships/externalLink" Target="externalLinks/externalLink131.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2.jpg"/></Relationships>
</file>

<file path=xl/drawings/_rels/drawing5.xml.rels><?xml version="1.0" encoding="UTF-8" standalone="yes"?>
<Relationships xmlns="http://schemas.openxmlformats.org/package/2006/relationships"><Relationship Id="rId1" Type="http://schemas.openxmlformats.org/officeDocument/2006/relationships/image" Target="../media/image2.jpg"/></Relationships>
</file>

<file path=xl/drawings/_rels/drawing6.xml.rels><?xml version="1.0" encoding="UTF-8" standalone="yes"?>
<Relationships xmlns="http://schemas.openxmlformats.org/package/2006/relationships"><Relationship Id="rId1" Type="http://schemas.openxmlformats.org/officeDocument/2006/relationships/image" Target="../media/image2.jpg"/></Relationships>
</file>

<file path=xl/drawings/_rels/drawing7.xml.rels><?xml version="1.0" encoding="UTF-8" standalone="yes"?>
<Relationships xmlns="http://schemas.openxmlformats.org/package/2006/relationships"><Relationship Id="rId1" Type="http://schemas.openxmlformats.org/officeDocument/2006/relationships/image" Target="../media/image2.jpg"/></Relationships>
</file>

<file path=xl/drawings/_rels/drawing8.xml.rels><?xml version="1.0" encoding="UTF-8" standalone="yes"?>
<Relationships xmlns="http://schemas.openxmlformats.org/package/2006/relationships"><Relationship Id="rId1" Type="http://schemas.openxmlformats.org/officeDocument/2006/relationships/image" Target="../media/image3.jpg"/></Relationships>
</file>

<file path=xl/drawings/_rels/drawing9.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5" Type="http://schemas.openxmlformats.org/officeDocument/2006/relationships/image" Target="../media/image8.png"/><Relationship Id="rId4"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g"/></Relationships>
</file>

<file path=xl/drawings/_rels/drawing11.xml.rels><?xml version="1.0" encoding="UTF-8" standalone="yes"?>
<Relationships xmlns="http://schemas.openxmlformats.org/package/2006/relationships"><Relationship Id="rId3" Type="http://schemas.openxmlformats.org/officeDocument/2006/relationships/hyperlink" Target="#'LISTADO%20EQUIPOS'!A1"/><Relationship Id="rId2" Type="http://schemas.openxmlformats.org/officeDocument/2006/relationships/hyperlink" Target="#'LISTADO%20MATERIALES'!A1"/><Relationship Id="rId1" Type="http://schemas.openxmlformats.org/officeDocument/2006/relationships/hyperlink" Target="#ROTULOS!A1"/><Relationship Id="rId5" Type="http://schemas.openxmlformats.org/officeDocument/2006/relationships/image" Target="../media/image9.jpg"/><Relationship Id="rId4" Type="http://schemas.openxmlformats.org/officeDocument/2006/relationships/hyperlink" Target="#'ANALISIS%20BASICOS'!A1"/></Relationships>
</file>

<file path=xl/drawings/_rels/drawing12.xml.rels><?xml version="1.0" encoding="UTF-8" standalone="yes"?>
<Relationships xmlns="http://schemas.openxmlformats.org/package/2006/relationships"><Relationship Id="rId3" Type="http://schemas.openxmlformats.org/officeDocument/2006/relationships/hyperlink" Target="#'LISTADO%20EQUIPOS'!A1"/><Relationship Id="rId2" Type="http://schemas.openxmlformats.org/officeDocument/2006/relationships/hyperlink" Target="#'LISTADO%20MATERIALES'!A1"/><Relationship Id="rId1" Type="http://schemas.openxmlformats.org/officeDocument/2006/relationships/hyperlink" Target="#ROTULOS!A1"/><Relationship Id="rId5" Type="http://schemas.openxmlformats.org/officeDocument/2006/relationships/image" Target="../media/image10.jpg"/><Relationship Id="rId4" Type="http://schemas.openxmlformats.org/officeDocument/2006/relationships/hyperlink" Target="#'ANALISIS%20BASICOS'!A1"/></Relationships>
</file>

<file path=xl/drawings/_rels/drawing13.xml.rels><?xml version="1.0" encoding="UTF-8" standalone="yes"?>
<Relationships xmlns="http://schemas.openxmlformats.org/package/2006/relationships"><Relationship Id="rId3" Type="http://schemas.openxmlformats.org/officeDocument/2006/relationships/hyperlink" Target="#'LISTADO%20EQUIPOS'!A1"/><Relationship Id="rId2" Type="http://schemas.openxmlformats.org/officeDocument/2006/relationships/hyperlink" Target="#'LISTADO%20MATERIALES'!A1"/><Relationship Id="rId1" Type="http://schemas.openxmlformats.org/officeDocument/2006/relationships/hyperlink" Target="#ROTULOS!A1"/><Relationship Id="rId6" Type="http://schemas.openxmlformats.org/officeDocument/2006/relationships/image" Target="../media/image11.png"/><Relationship Id="rId5" Type="http://schemas.openxmlformats.org/officeDocument/2006/relationships/image" Target="../media/image9.jpg"/><Relationship Id="rId4" Type="http://schemas.openxmlformats.org/officeDocument/2006/relationships/hyperlink" Target="#'ANALISIS%20BASICOS'!A1"/></Relationships>
</file>

<file path=xl/drawings/_rels/drawing14.xml.rels><?xml version="1.0" encoding="UTF-8" standalone="yes"?>
<Relationships xmlns="http://schemas.openxmlformats.org/package/2006/relationships"><Relationship Id="rId3" Type="http://schemas.openxmlformats.org/officeDocument/2006/relationships/hyperlink" Target="#'LISTADO%20EQUIPOS'!A1"/><Relationship Id="rId2" Type="http://schemas.openxmlformats.org/officeDocument/2006/relationships/hyperlink" Target="#'LISTADO%20MATERIALES'!A1"/><Relationship Id="rId1" Type="http://schemas.openxmlformats.org/officeDocument/2006/relationships/hyperlink" Target="#ROTULOS!A1"/><Relationship Id="rId6" Type="http://schemas.openxmlformats.org/officeDocument/2006/relationships/image" Target="../media/image10.jpg"/><Relationship Id="rId5" Type="http://schemas.openxmlformats.org/officeDocument/2006/relationships/image" Target="../media/image9.jpg"/><Relationship Id="rId4" Type="http://schemas.openxmlformats.org/officeDocument/2006/relationships/hyperlink" Target="#'ANALISIS%20BASICOS'!A1"/></Relationships>
</file>

<file path=xl/drawings/_rels/drawing15.xml.rels><?xml version="1.0" encoding="UTF-8" standalone="yes"?>
<Relationships xmlns="http://schemas.openxmlformats.org/package/2006/relationships"><Relationship Id="rId3" Type="http://schemas.openxmlformats.org/officeDocument/2006/relationships/hyperlink" Target="#'LISTADO%20EQUIPOS'!A1"/><Relationship Id="rId2" Type="http://schemas.openxmlformats.org/officeDocument/2006/relationships/hyperlink" Target="#'LISTADO%20MATERIALES'!A1"/><Relationship Id="rId1" Type="http://schemas.openxmlformats.org/officeDocument/2006/relationships/hyperlink" Target="#ROTULOS!A1"/><Relationship Id="rId6" Type="http://schemas.openxmlformats.org/officeDocument/2006/relationships/image" Target="../media/image10.jpg"/><Relationship Id="rId5" Type="http://schemas.openxmlformats.org/officeDocument/2006/relationships/image" Target="../media/image9.jpg"/><Relationship Id="rId4" Type="http://schemas.openxmlformats.org/officeDocument/2006/relationships/hyperlink" Target="#'ANALISIS%20BASICOS'!A1"/></Relationships>
</file>

<file path=xl/drawings/_rels/drawing16.xml.rels><?xml version="1.0" encoding="UTF-8" standalone="yes"?>
<Relationships xmlns="http://schemas.openxmlformats.org/package/2006/relationships"><Relationship Id="rId3" Type="http://schemas.openxmlformats.org/officeDocument/2006/relationships/image" Target="../media/image12.jpg"/><Relationship Id="rId2" Type="http://schemas.openxmlformats.org/officeDocument/2006/relationships/image" Target="../media/image10.jpg"/><Relationship Id="rId1" Type="http://schemas.openxmlformats.org/officeDocument/2006/relationships/hyperlink" Target="#ROTULOS!A1"/></Relationships>
</file>

<file path=xl/drawings/_rels/drawing17.xml.rels><?xml version="1.0" encoding="UTF-8" standalone="yes"?>
<Relationships xmlns="http://schemas.openxmlformats.org/package/2006/relationships"><Relationship Id="rId1" Type="http://schemas.openxmlformats.org/officeDocument/2006/relationships/image" Target="../media/image10.jpg"/></Relationships>
</file>

<file path=xl/drawings/_rels/drawing18.xml.rels><?xml version="1.0" encoding="UTF-8" standalone="yes"?>
<Relationships xmlns="http://schemas.openxmlformats.org/package/2006/relationships"><Relationship Id="rId3" Type="http://schemas.openxmlformats.org/officeDocument/2006/relationships/hyperlink" Target="#'LISTADO%20EQUIPOS'!A1"/><Relationship Id="rId7" Type="http://schemas.openxmlformats.org/officeDocument/2006/relationships/image" Target="../media/image13.jpg"/><Relationship Id="rId2" Type="http://schemas.openxmlformats.org/officeDocument/2006/relationships/hyperlink" Target="#'LISTADO%20MATERIALES'!A1"/><Relationship Id="rId1" Type="http://schemas.openxmlformats.org/officeDocument/2006/relationships/hyperlink" Target="#ROTULOS!A1"/><Relationship Id="rId6" Type="http://schemas.openxmlformats.org/officeDocument/2006/relationships/image" Target="../media/image10.jpg"/><Relationship Id="rId5" Type="http://schemas.openxmlformats.org/officeDocument/2006/relationships/image" Target="../media/image9.jpg"/><Relationship Id="rId4" Type="http://schemas.openxmlformats.org/officeDocument/2006/relationships/hyperlink" Target="#'ANALISIS%20BASICOS'!A1"/></Relationships>
</file>

<file path=xl/drawings/_rels/drawing19.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hyperlink" Target="#'LISTADO%20EQUIPOS'!A1"/><Relationship Id="rId7" Type="http://schemas.openxmlformats.org/officeDocument/2006/relationships/image" Target="../media/image10.jpg"/><Relationship Id="rId2" Type="http://schemas.openxmlformats.org/officeDocument/2006/relationships/hyperlink" Target="#'LISTADO%20MATERIALES'!A1"/><Relationship Id="rId1" Type="http://schemas.openxmlformats.org/officeDocument/2006/relationships/hyperlink" Target="#ROTULOS!A1"/><Relationship Id="rId6" Type="http://schemas.openxmlformats.org/officeDocument/2006/relationships/image" Target="../media/image14.jpg"/><Relationship Id="rId5" Type="http://schemas.openxmlformats.org/officeDocument/2006/relationships/image" Target="../media/image9.jpg"/><Relationship Id="rId4" Type="http://schemas.openxmlformats.org/officeDocument/2006/relationships/hyperlink" Target="#'ANALISIS%20BASICOS'!A1"/></Relationships>
</file>

<file path=xl/drawings/_rels/drawing20.xml.rels><?xml version="1.0" encoding="UTF-8" standalone="yes"?>
<Relationships xmlns="http://schemas.openxmlformats.org/package/2006/relationships"><Relationship Id="rId3" Type="http://schemas.openxmlformats.org/officeDocument/2006/relationships/hyperlink" Target="#'LISTADO%20EQUIPOS'!A1"/><Relationship Id="rId2" Type="http://schemas.openxmlformats.org/officeDocument/2006/relationships/hyperlink" Target="#'LISTADO%20MATERIALES'!A1"/><Relationship Id="rId1" Type="http://schemas.openxmlformats.org/officeDocument/2006/relationships/hyperlink" Target="#ROTULOS!A1"/><Relationship Id="rId5" Type="http://schemas.openxmlformats.org/officeDocument/2006/relationships/image" Target="../media/image9.jpg"/><Relationship Id="rId4" Type="http://schemas.openxmlformats.org/officeDocument/2006/relationships/hyperlink" Target="#'ANALISIS%20BASICOS'!A1"/></Relationships>
</file>

<file path=xl/drawings/_rels/drawing21.xml.rels><?xml version="1.0" encoding="UTF-8" standalone="yes"?>
<Relationships xmlns="http://schemas.openxmlformats.org/package/2006/relationships"><Relationship Id="rId3" Type="http://schemas.openxmlformats.org/officeDocument/2006/relationships/hyperlink" Target="#'LISTADO%20EQUIPOS'!A1"/><Relationship Id="rId2" Type="http://schemas.openxmlformats.org/officeDocument/2006/relationships/hyperlink" Target="#'LISTADO%20MATERIALES'!A1"/><Relationship Id="rId1" Type="http://schemas.openxmlformats.org/officeDocument/2006/relationships/hyperlink" Target="#ROTULOS!A1"/><Relationship Id="rId4" Type="http://schemas.openxmlformats.org/officeDocument/2006/relationships/hyperlink" Target="#'ANALISIS%20BASICOS'!A1"/></Relationships>
</file>

<file path=xl/drawings/_rels/drawing22.xml.rels><?xml version="1.0" encoding="UTF-8" standalone="yes"?>
<Relationships xmlns="http://schemas.openxmlformats.org/package/2006/relationships"><Relationship Id="rId3" Type="http://schemas.openxmlformats.org/officeDocument/2006/relationships/image" Target="../media/image16.png"/><Relationship Id="rId2" Type="http://schemas.openxmlformats.org/officeDocument/2006/relationships/image" Target="../media/image15.emf"/><Relationship Id="rId1" Type="http://schemas.openxmlformats.org/officeDocument/2006/relationships/image" Target="../media/image1.jpg"/><Relationship Id="rId4" Type="http://schemas.microsoft.com/office/2007/relationships/hdphoto" Target="../media/hdphoto1.wdp"/></Relationships>
</file>

<file path=xl/drawings/_rels/drawing23.xml.rels><?xml version="1.0" encoding="UTF-8" standalone="yes"?>
<Relationships xmlns="http://schemas.openxmlformats.org/package/2006/relationships"><Relationship Id="rId1" Type="http://schemas.openxmlformats.org/officeDocument/2006/relationships/image" Target="../media/image1.jpg"/></Relationships>
</file>

<file path=xl/drawings/_rels/drawing24.xml.rels><?xml version="1.0" encoding="UTF-8" standalone="yes"?>
<Relationships xmlns="http://schemas.openxmlformats.org/package/2006/relationships"><Relationship Id="rId3" Type="http://schemas.openxmlformats.org/officeDocument/2006/relationships/hyperlink" Target="#'LISTADO%20EQUIPOS'!A1"/><Relationship Id="rId2" Type="http://schemas.openxmlformats.org/officeDocument/2006/relationships/hyperlink" Target="#'LISTADO%20MATERIALES'!A1"/><Relationship Id="rId1" Type="http://schemas.openxmlformats.org/officeDocument/2006/relationships/hyperlink" Target="#ROTULOS!A1"/><Relationship Id="rId4" Type="http://schemas.openxmlformats.org/officeDocument/2006/relationships/hyperlink" Target="#'ANALISIS%20BASICOS'!A1"/></Relationships>
</file>

<file path=xl/drawings/_rels/drawing25.xml.rels><?xml version="1.0" encoding="UTF-8" standalone="yes"?>
<Relationships xmlns="http://schemas.openxmlformats.org/package/2006/relationships"><Relationship Id="rId1" Type="http://schemas.openxmlformats.org/officeDocument/2006/relationships/hyperlink" Target="#ROTULOS!A1"/></Relationships>
</file>

<file path=xl/drawings/_rels/drawing26.xml.rels><?xml version="1.0" encoding="UTF-8" standalone="yes"?>
<Relationships xmlns="http://schemas.openxmlformats.org/package/2006/relationships"><Relationship Id="rId1" Type="http://schemas.openxmlformats.org/officeDocument/2006/relationships/hyperlink" Target="#ROTULOS!A1"/></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9525</xdr:rowOff>
    </xdr:from>
    <xdr:ext cx="723900" cy="781050"/>
    <xdr:pic>
      <xdr:nvPicPr>
        <xdr:cNvPr id="2" name="image1.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CFF90A1-3575-4D09-AC6C-15A02E2284AC}"/>
            </a:ext>
          </a:extLst>
        </xdr:cNvPr>
        <xdr:cNvSpPr/>
      </xdr:nvSpPr>
      <xdr:spPr bwMode="auto">
        <a:xfrm>
          <a:off x="422148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7750A45-2521-44B8-9A57-91F72981EF51}"/>
            </a:ext>
          </a:extLst>
        </xdr:cNvPr>
        <xdr:cNvSpPr/>
      </xdr:nvSpPr>
      <xdr:spPr bwMode="auto">
        <a:xfrm>
          <a:off x="73609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123825</xdr:colOff>
      <xdr:row>0</xdr:row>
      <xdr:rowOff>0</xdr:rowOff>
    </xdr:from>
    <xdr:ext cx="723900" cy="781050"/>
    <xdr:pic>
      <xdr:nvPicPr>
        <xdr:cNvPr id="2" name="image1.jpg">
          <a:extLst>
            <a:ext uri="{FF2B5EF4-FFF2-40B4-BE49-F238E27FC236}">
              <a16:creationId xmlns:a16="http://schemas.microsoft.com/office/drawing/2014/main" id="{00000000-0008-0000-1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123825</xdr:colOff>
      <xdr:row>0</xdr:row>
      <xdr:rowOff>0</xdr:rowOff>
    </xdr:from>
    <xdr:ext cx="723900" cy="781050"/>
    <xdr:pic>
      <xdr:nvPicPr>
        <xdr:cNvPr id="3" name="image1.jpg">
          <a:extLst>
            <a:ext uri="{FF2B5EF4-FFF2-40B4-BE49-F238E27FC236}">
              <a16:creationId xmlns:a16="http://schemas.microsoft.com/office/drawing/2014/main" id="{A191D5F1-D31D-4E02-9A4D-70334BAFB29C}"/>
            </a:ext>
          </a:extLst>
        </xdr:cNvPr>
        <xdr:cNvPicPr preferRelativeResize="0"/>
      </xdr:nvPicPr>
      <xdr:blipFill>
        <a:blip xmlns:r="http://schemas.openxmlformats.org/officeDocument/2006/relationships" r:embed="rId1" cstate="print"/>
        <a:stretch>
          <a:fillRect/>
        </a:stretch>
      </xdr:blipFill>
      <xdr:spPr>
        <a:xfrm>
          <a:off x="123825" y="0"/>
          <a:ext cx="723900" cy="781050"/>
        </a:xfrm>
        <a:prstGeom prst="rect">
          <a:avLst/>
        </a:prstGeom>
        <a:noFill/>
      </xdr:spPr>
    </xdr:pic>
    <xdr:clientData fLocksWithSheet="0"/>
  </xdr:oneCellAnchor>
  <xdr:oneCellAnchor>
    <xdr:from>
      <xdr:col>0</xdr:col>
      <xdr:colOff>123825</xdr:colOff>
      <xdr:row>0</xdr:row>
      <xdr:rowOff>9525</xdr:rowOff>
    </xdr:from>
    <xdr:ext cx="723900" cy="781050"/>
    <xdr:pic>
      <xdr:nvPicPr>
        <xdr:cNvPr id="4" name="image1.jpg">
          <a:extLst>
            <a:ext uri="{FF2B5EF4-FFF2-40B4-BE49-F238E27FC236}">
              <a16:creationId xmlns:a16="http://schemas.microsoft.com/office/drawing/2014/main" id="{D164D967-05BD-4EC5-8E26-A2AD27085C3B}"/>
            </a:ext>
          </a:extLst>
        </xdr:cNvPr>
        <xdr:cNvPicPr preferRelativeResize="0"/>
      </xdr:nvPicPr>
      <xdr:blipFill>
        <a:blip xmlns:r="http://schemas.openxmlformats.org/officeDocument/2006/relationships" r:embed="rId1" cstate="print"/>
        <a:stretch>
          <a:fillRect/>
        </a:stretch>
      </xdr:blipFill>
      <xdr:spPr>
        <a:xfrm>
          <a:off x="123825" y="9525"/>
          <a:ext cx="723900" cy="7810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38100</xdr:colOff>
      <xdr:row>2</xdr:row>
      <xdr:rowOff>19050</xdr:rowOff>
    </xdr:from>
    <xdr:ext cx="1390650" cy="390525"/>
    <xdr:pic>
      <xdr:nvPicPr>
        <xdr:cNvPr id="2" name="image2.jp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38100</xdr:colOff>
      <xdr:row>2</xdr:row>
      <xdr:rowOff>19050</xdr:rowOff>
    </xdr:from>
    <xdr:ext cx="1390650" cy="390525"/>
    <xdr:pic>
      <xdr:nvPicPr>
        <xdr:cNvPr id="2" name="image2.jp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38100</xdr:colOff>
      <xdr:row>2</xdr:row>
      <xdr:rowOff>19050</xdr:rowOff>
    </xdr:from>
    <xdr:ext cx="1390650" cy="390525"/>
    <xdr:pic>
      <xdr:nvPicPr>
        <xdr:cNvPr id="2" name="image2.jpg">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38100</xdr:colOff>
      <xdr:row>2</xdr:row>
      <xdr:rowOff>19050</xdr:rowOff>
    </xdr:from>
    <xdr:ext cx="1390650" cy="390525"/>
    <xdr:pic>
      <xdr:nvPicPr>
        <xdr:cNvPr id="2" name="image2.jpg">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11</xdr:col>
      <xdr:colOff>285750</xdr:colOff>
      <xdr:row>3</xdr:row>
      <xdr:rowOff>41911</xdr:rowOff>
    </xdr:from>
    <xdr:ext cx="2257425" cy="1497330"/>
    <xdr:pic>
      <xdr:nvPicPr>
        <xdr:cNvPr id="2" name="image5.jpg" descr="Medidas de varillas de acero - ¿Cual Necesito? - Construrama ...">
          <a:extLst>
            <a:ext uri="{FF2B5EF4-FFF2-40B4-BE49-F238E27FC236}">
              <a16:creationId xmlns:a16="http://schemas.microsoft.com/office/drawing/2014/main" id="{00000000-0008-0000-0D00-000002000000}"/>
            </a:ext>
          </a:extLst>
        </xdr:cNvPr>
        <xdr:cNvPicPr preferRelativeResize="0"/>
      </xdr:nvPicPr>
      <xdr:blipFill>
        <a:blip xmlns:r="http://schemas.openxmlformats.org/officeDocument/2006/relationships" r:embed="rId1" cstate="print"/>
        <a:stretch>
          <a:fillRect/>
        </a:stretch>
      </xdr:blipFill>
      <xdr:spPr>
        <a:xfrm>
          <a:off x="8332470" y="681991"/>
          <a:ext cx="2257425" cy="1497330"/>
        </a:xfrm>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7</xdr:col>
      <xdr:colOff>219075</xdr:colOff>
      <xdr:row>6</xdr:row>
      <xdr:rowOff>38100</xdr:rowOff>
    </xdr:from>
    <xdr:ext cx="5181600" cy="6943725"/>
    <xdr:pic>
      <xdr:nvPicPr>
        <xdr:cNvPr id="2" name="image6.png">
          <a:extLst>
            <a:ext uri="{FF2B5EF4-FFF2-40B4-BE49-F238E27FC236}">
              <a16:creationId xmlns:a16="http://schemas.microsoft.com/office/drawing/2014/main" id="{00000000-0008-0000-1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619125</xdr:colOff>
      <xdr:row>53</xdr:row>
      <xdr:rowOff>142875</xdr:rowOff>
    </xdr:from>
    <xdr:ext cx="4133850" cy="6743700"/>
    <xdr:pic>
      <xdr:nvPicPr>
        <xdr:cNvPr id="3" name="image10.png">
          <a:extLst>
            <a:ext uri="{FF2B5EF4-FFF2-40B4-BE49-F238E27FC236}">
              <a16:creationId xmlns:a16="http://schemas.microsoft.com/office/drawing/2014/main" id="{00000000-0008-0000-1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8</xdr:col>
      <xdr:colOff>266700</xdr:colOff>
      <xdr:row>98</xdr:row>
      <xdr:rowOff>38100</xdr:rowOff>
    </xdr:from>
    <xdr:ext cx="3800475" cy="3486150"/>
    <xdr:pic>
      <xdr:nvPicPr>
        <xdr:cNvPr id="4" name="image7.png">
          <a:extLst>
            <a:ext uri="{FF2B5EF4-FFF2-40B4-BE49-F238E27FC236}">
              <a16:creationId xmlns:a16="http://schemas.microsoft.com/office/drawing/2014/main" id="{00000000-0008-0000-14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16</xdr:col>
      <xdr:colOff>409575</xdr:colOff>
      <xdr:row>6</xdr:row>
      <xdr:rowOff>66675</xdr:rowOff>
    </xdr:from>
    <xdr:ext cx="4886325" cy="6657975"/>
    <xdr:pic>
      <xdr:nvPicPr>
        <xdr:cNvPr id="5" name="image9.png">
          <a:extLst>
            <a:ext uri="{FF2B5EF4-FFF2-40B4-BE49-F238E27FC236}">
              <a16:creationId xmlns:a16="http://schemas.microsoft.com/office/drawing/2014/main" id="{00000000-0008-0000-14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16</xdr:col>
      <xdr:colOff>571500</xdr:colOff>
      <xdr:row>52</xdr:row>
      <xdr:rowOff>142875</xdr:rowOff>
    </xdr:from>
    <xdr:ext cx="4667250" cy="7219950"/>
    <xdr:pic>
      <xdr:nvPicPr>
        <xdr:cNvPr id="6" name="image8.png">
          <a:extLst>
            <a:ext uri="{FF2B5EF4-FFF2-40B4-BE49-F238E27FC236}">
              <a16:creationId xmlns:a16="http://schemas.microsoft.com/office/drawing/2014/main" id="{00000000-0008-0000-14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0</xdr:col>
      <xdr:colOff>123825</xdr:colOff>
      <xdr:row>0</xdr:row>
      <xdr:rowOff>9525</xdr:rowOff>
    </xdr:from>
    <xdr:ext cx="723900" cy="781050"/>
    <xdr:pic>
      <xdr:nvPicPr>
        <xdr:cNvPr id="2" name="image1.jpg">
          <a:extLst>
            <a:ext uri="{FF2B5EF4-FFF2-40B4-BE49-F238E27FC236}">
              <a16:creationId xmlns:a16="http://schemas.microsoft.com/office/drawing/2014/main" id="{00000000-0008-0000-1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0</xdr:col>
      <xdr:colOff>66675</xdr:colOff>
      <xdr:row>0</xdr:row>
      <xdr:rowOff>28575</xdr:rowOff>
    </xdr:from>
    <xdr:ext cx="800100" cy="714375"/>
    <xdr:sp macro="" textlink="">
      <xdr:nvSpPr>
        <xdr:cNvPr id="3" name="Shape 3">
          <a:hlinkClick xmlns:r="http://schemas.openxmlformats.org/officeDocument/2006/relationships" r:id="rId1"/>
          <a:extLst>
            <a:ext uri="{FF2B5EF4-FFF2-40B4-BE49-F238E27FC236}">
              <a16:creationId xmlns:a16="http://schemas.microsoft.com/office/drawing/2014/main" id="{00000000-0008-0000-1E00-000003000000}"/>
            </a:ext>
          </a:extLst>
        </xdr:cNvPr>
        <xdr:cNvSpPr/>
      </xdr:nvSpPr>
      <xdr:spPr>
        <a:xfrm>
          <a:off x="4960238" y="3437100"/>
          <a:ext cx="771525" cy="685800"/>
        </a:xfrm>
        <a:prstGeom prst="leftArrow">
          <a:avLst>
            <a:gd name="adj1" fmla="val 50000"/>
            <a:gd name="adj2" fmla="val 50000"/>
          </a:avLst>
        </a:prstGeom>
        <a:solidFill>
          <a:schemeClr val="accent1"/>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VOLVER</a:t>
          </a:r>
          <a:endParaRPr sz="1400"/>
        </a:p>
      </xdr:txBody>
    </xdr:sp>
    <xdr:clientData fLocksWithSheet="0"/>
  </xdr:oneCellAnchor>
  <xdr:oneCellAnchor>
    <xdr:from>
      <xdr:col>5</xdr:col>
      <xdr:colOff>0</xdr:colOff>
      <xdr:row>0</xdr:row>
      <xdr:rowOff>28575</xdr:rowOff>
    </xdr:from>
    <xdr:ext cx="1381125" cy="781050"/>
    <xdr:sp macro="" textlink="">
      <xdr:nvSpPr>
        <xdr:cNvPr id="4" name="Shape 4">
          <a:hlinkClick xmlns:r="http://schemas.openxmlformats.org/officeDocument/2006/relationships" r:id="rId2"/>
          <a:extLst>
            <a:ext uri="{FF2B5EF4-FFF2-40B4-BE49-F238E27FC236}">
              <a16:creationId xmlns:a16="http://schemas.microsoft.com/office/drawing/2014/main" id="{00000000-0008-0000-1E00-000004000000}"/>
            </a:ext>
          </a:extLst>
        </xdr:cNvPr>
        <xdr:cNvSpPr/>
      </xdr:nvSpPr>
      <xdr:spPr>
        <a:xfrm>
          <a:off x="4664963" y="3403763"/>
          <a:ext cx="1362075" cy="752475"/>
        </a:xfrm>
        <a:prstGeom prst="rightArrow">
          <a:avLst>
            <a:gd name="adj1" fmla="val 50000"/>
            <a:gd name="adj2" fmla="val 50000"/>
          </a:avLst>
        </a:prstGeom>
        <a:solidFill>
          <a:srgbClr val="92D050"/>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MATERIALES</a:t>
          </a:r>
          <a:endParaRPr sz="1400"/>
        </a:p>
      </xdr:txBody>
    </xdr:sp>
    <xdr:clientData fLocksWithSheet="0"/>
  </xdr:oneCellAnchor>
  <xdr:oneCellAnchor>
    <xdr:from>
      <xdr:col>3</xdr:col>
      <xdr:colOff>85725</xdr:colOff>
      <xdr:row>0</xdr:row>
      <xdr:rowOff>28575</xdr:rowOff>
    </xdr:from>
    <xdr:ext cx="1352550" cy="742950"/>
    <xdr:sp macro="" textlink="">
      <xdr:nvSpPr>
        <xdr:cNvPr id="5" name="Shape 5">
          <a:hlinkClick xmlns:r="http://schemas.openxmlformats.org/officeDocument/2006/relationships" r:id="rId3"/>
          <a:extLst>
            <a:ext uri="{FF2B5EF4-FFF2-40B4-BE49-F238E27FC236}">
              <a16:creationId xmlns:a16="http://schemas.microsoft.com/office/drawing/2014/main" id="{00000000-0008-0000-1E00-000005000000}"/>
            </a:ext>
          </a:extLst>
        </xdr:cNvPr>
        <xdr:cNvSpPr/>
      </xdr:nvSpPr>
      <xdr:spPr>
        <a:xfrm>
          <a:off x="4684013" y="3418050"/>
          <a:ext cx="1323975" cy="723900"/>
        </a:xfrm>
        <a:prstGeom prst="rightArrow">
          <a:avLst>
            <a:gd name="adj1" fmla="val 50000"/>
            <a:gd name="adj2" fmla="val 50000"/>
          </a:avLst>
        </a:prstGeom>
        <a:solidFill>
          <a:schemeClr val="accent2"/>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EQUIPOS</a:t>
          </a:r>
          <a:endParaRPr sz="1400" b="1"/>
        </a:p>
      </xdr:txBody>
    </xdr:sp>
    <xdr:clientData fLocksWithSheet="0"/>
  </xdr:oneCellAnchor>
  <xdr:oneCellAnchor>
    <xdr:from>
      <xdr:col>1</xdr:col>
      <xdr:colOff>0</xdr:colOff>
      <xdr:row>0</xdr:row>
      <xdr:rowOff>19050</xdr:rowOff>
    </xdr:from>
    <xdr:ext cx="1371600" cy="723900"/>
    <xdr:sp macro="" textlink="">
      <xdr:nvSpPr>
        <xdr:cNvPr id="6" name="Shape 6">
          <a:hlinkClick xmlns:r="http://schemas.openxmlformats.org/officeDocument/2006/relationships" r:id="rId4"/>
          <a:extLst>
            <a:ext uri="{FF2B5EF4-FFF2-40B4-BE49-F238E27FC236}">
              <a16:creationId xmlns:a16="http://schemas.microsoft.com/office/drawing/2014/main" id="{00000000-0008-0000-1E00-000006000000}"/>
            </a:ext>
          </a:extLst>
        </xdr:cNvPr>
        <xdr:cNvSpPr/>
      </xdr:nvSpPr>
      <xdr:spPr>
        <a:xfrm>
          <a:off x="4674488" y="3432338"/>
          <a:ext cx="1343025" cy="695325"/>
        </a:xfrm>
        <a:prstGeom prst="leftArrow">
          <a:avLst>
            <a:gd name="adj1" fmla="val 50000"/>
            <a:gd name="adj2" fmla="val 50000"/>
          </a:avLst>
        </a:prstGeom>
        <a:solidFill>
          <a:srgbClr val="B7CCE4"/>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300" b="1">
              <a:solidFill>
                <a:schemeClr val="lt1"/>
              </a:solidFill>
              <a:latin typeface="Calibri"/>
              <a:ea typeface="Calibri"/>
              <a:cs typeface="Calibri"/>
              <a:sym typeface="Calibri"/>
            </a:rPr>
            <a:t>Analisis Basi.</a:t>
          </a:r>
          <a:endParaRPr sz="1400"/>
        </a:p>
      </xdr:txBody>
    </xdr:sp>
    <xdr:clientData fLocksWithSheet="0"/>
  </xdr:oneCellAnchor>
  <xdr:oneCellAnchor>
    <xdr:from>
      <xdr:col>3</xdr:col>
      <xdr:colOff>828675</xdr:colOff>
      <xdr:row>40</xdr:row>
      <xdr:rowOff>38100</xdr:rowOff>
    </xdr:from>
    <xdr:ext cx="1847850" cy="590550"/>
    <xdr:pic>
      <xdr:nvPicPr>
        <xdr:cNvPr id="2" name="image12.jpg" descr="NEIVA UNIDA">
          <a:extLst>
            <a:ext uri="{FF2B5EF4-FFF2-40B4-BE49-F238E27FC236}">
              <a16:creationId xmlns:a16="http://schemas.microsoft.com/office/drawing/2014/main" id="{00000000-0008-0000-1E00-000002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428625</xdr:colOff>
      <xdr:row>105</xdr:row>
      <xdr:rowOff>38100</xdr:rowOff>
    </xdr:from>
    <xdr:ext cx="1838325" cy="447675"/>
    <xdr:pic>
      <xdr:nvPicPr>
        <xdr:cNvPr id="7" name="image12.jpg" descr="NEIVA UNIDA">
          <a:extLst>
            <a:ext uri="{FF2B5EF4-FFF2-40B4-BE49-F238E27FC236}">
              <a16:creationId xmlns:a16="http://schemas.microsoft.com/office/drawing/2014/main" id="{00000000-0008-0000-1E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838200</xdr:colOff>
      <xdr:row>175</xdr:row>
      <xdr:rowOff>76200</xdr:rowOff>
    </xdr:from>
    <xdr:ext cx="1924050" cy="523875"/>
    <xdr:pic>
      <xdr:nvPicPr>
        <xdr:cNvPr id="8" name="image12.jpg" descr="NEIVA UNIDA">
          <a:extLst>
            <a:ext uri="{FF2B5EF4-FFF2-40B4-BE49-F238E27FC236}">
              <a16:creationId xmlns:a16="http://schemas.microsoft.com/office/drawing/2014/main" id="{00000000-0008-0000-1E00-000008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828675</xdr:colOff>
      <xdr:row>140</xdr:row>
      <xdr:rowOff>76200</xdr:rowOff>
    </xdr:from>
    <xdr:ext cx="1847850" cy="504825"/>
    <xdr:pic>
      <xdr:nvPicPr>
        <xdr:cNvPr id="9" name="image12.jpg" descr="NEIVA UNIDA">
          <a:extLst>
            <a:ext uri="{FF2B5EF4-FFF2-40B4-BE49-F238E27FC236}">
              <a16:creationId xmlns:a16="http://schemas.microsoft.com/office/drawing/2014/main" id="{00000000-0008-0000-1E00-000009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85725</xdr:colOff>
      <xdr:row>207</xdr:row>
      <xdr:rowOff>123825</xdr:rowOff>
    </xdr:from>
    <xdr:ext cx="1838325" cy="371475"/>
    <xdr:pic>
      <xdr:nvPicPr>
        <xdr:cNvPr id="10" name="image12.jpg" descr="NEIVA UNIDA">
          <a:extLst>
            <a:ext uri="{FF2B5EF4-FFF2-40B4-BE49-F238E27FC236}">
              <a16:creationId xmlns:a16="http://schemas.microsoft.com/office/drawing/2014/main" id="{00000000-0008-0000-1E00-00000A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9525</xdr:colOff>
      <xdr:row>239</xdr:row>
      <xdr:rowOff>104775</xdr:rowOff>
    </xdr:from>
    <xdr:ext cx="1914525" cy="600075"/>
    <xdr:pic>
      <xdr:nvPicPr>
        <xdr:cNvPr id="11" name="image12.jpg" descr="NEIVA UNIDA">
          <a:extLst>
            <a:ext uri="{FF2B5EF4-FFF2-40B4-BE49-F238E27FC236}">
              <a16:creationId xmlns:a16="http://schemas.microsoft.com/office/drawing/2014/main" id="{00000000-0008-0000-1E00-00000B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47625</xdr:colOff>
      <xdr:row>73</xdr:row>
      <xdr:rowOff>95250</xdr:rowOff>
    </xdr:from>
    <xdr:ext cx="1914525" cy="457200"/>
    <xdr:pic>
      <xdr:nvPicPr>
        <xdr:cNvPr id="12" name="image12.jpg" descr="NEIVA UNIDA">
          <a:extLst>
            <a:ext uri="{FF2B5EF4-FFF2-40B4-BE49-F238E27FC236}">
              <a16:creationId xmlns:a16="http://schemas.microsoft.com/office/drawing/2014/main" id="{00000000-0008-0000-1E00-00000C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0</xdr:col>
      <xdr:colOff>66675</xdr:colOff>
      <xdr:row>0</xdr:row>
      <xdr:rowOff>38100</xdr:rowOff>
    </xdr:from>
    <xdr:ext cx="1247775" cy="666750"/>
    <xdr:sp macro="" textlink="">
      <xdr:nvSpPr>
        <xdr:cNvPr id="7" name="Shape 7">
          <a:hlinkClick xmlns:r="http://schemas.openxmlformats.org/officeDocument/2006/relationships" r:id="rId1"/>
          <a:extLst>
            <a:ext uri="{FF2B5EF4-FFF2-40B4-BE49-F238E27FC236}">
              <a16:creationId xmlns:a16="http://schemas.microsoft.com/office/drawing/2014/main" id="{00000000-0008-0000-1F00-000007000000}"/>
            </a:ext>
          </a:extLst>
        </xdr:cNvPr>
        <xdr:cNvSpPr/>
      </xdr:nvSpPr>
      <xdr:spPr>
        <a:xfrm>
          <a:off x="4736400" y="3460913"/>
          <a:ext cx="1219200" cy="638175"/>
        </a:xfrm>
        <a:prstGeom prst="leftArrow">
          <a:avLst>
            <a:gd name="adj1" fmla="val 50000"/>
            <a:gd name="adj2" fmla="val 50000"/>
          </a:avLst>
        </a:prstGeom>
        <a:solidFill>
          <a:schemeClr val="accent1"/>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VOLVER</a:t>
          </a:r>
          <a:endParaRPr sz="1400"/>
        </a:p>
      </xdr:txBody>
    </xdr:sp>
    <xdr:clientData fLocksWithSheet="0"/>
  </xdr:oneCellAnchor>
  <xdr:oneCellAnchor>
    <xdr:from>
      <xdr:col>5</xdr:col>
      <xdr:colOff>0</xdr:colOff>
      <xdr:row>0</xdr:row>
      <xdr:rowOff>28575</xdr:rowOff>
    </xdr:from>
    <xdr:ext cx="1209675" cy="742950"/>
    <xdr:sp macro="" textlink="">
      <xdr:nvSpPr>
        <xdr:cNvPr id="8" name="Shape 8">
          <a:hlinkClick xmlns:r="http://schemas.openxmlformats.org/officeDocument/2006/relationships" r:id="rId2"/>
          <a:extLst>
            <a:ext uri="{FF2B5EF4-FFF2-40B4-BE49-F238E27FC236}">
              <a16:creationId xmlns:a16="http://schemas.microsoft.com/office/drawing/2014/main" id="{00000000-0008-0000-1F00-000008000000}"/>
            </a:ext>
          </a:extLst>
        </xdr:cNvPr>
        <xdr:cNvSpPr/>
      </xdr:nvSpPr>
      <xdr:spPr>
        <a:xfrm>
          <a:off x="4755450" y="3422813"/>
          <a:ext cx="1181100" cy="714375"/>
        </a:xfrm>
        <a:prstGeom prst="rightArrow">
          <a:avLst>
            <a:gd name="adj1" fmla="val 50000"/>
            <a:gd name="adj2" fmla="val 50000"/>
          </a:avLst>
        </a:prstGeom>
        <a:solidFill>
          <a:srgbClr val="92D050"/>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MATERIALES</a:t>
          </a:r>
          <a:endParaRPr sz="1400"/>
        </a:p>
      </xdr:txBody>
    </xdr:sp>
    <xdr:clientData fLocksWithSheet="0"/>
  </xdr:oneCellAnchor>
  <xdr:oneCellAnchor>
    <xdr:from>
      <xdr:col>3</xdr:col>
      <xdr:colOff>85725</xdr:colOff>
      <xdr:row>0</xdr:row>
      <xdr:rowOff>38100</xdr:rowOff>
    </xdr:from>
    <xdr:ext cx="1266825" cy="704850"/>
    <xdr:sp macro="" textlink="">
      <xdr:nvSpPr>
        <xdr:cNvPr id="9" name="Shape 9">
          <a:hlinkClick xmlns:r="http://schemas.openxmlformats.org/officeDocument/2006/relationships" r:id="rId3"/>
          <a:extLst>
            <a:ext uri="{FF2B5EF4-FFF2-40B4-BE49-F238E27FC236}">
              <a16:creationId xmlns:a16="http://schemas.microsoft.com/office/drawing/2014/main" id="{00000000-0008-0000-1F00-000009000000}"/>
            </a:ext>
          </a:extLst>
        </xdr:cNvPr>
        <xdr:cNvSpPr/>
      </xdr:nvSpPr>
      <xdr:spPr>
        <a:xfrm>
          <a:off x="4726875" y="3437100"/>
          <a:ext cx="1238250" cy="685800"/>
        </a:xfrm>
        <a:prstGeom prst="rightArrow">
          <a:avLst>
            <a:gd name="adj1" fmla="val 50000"/>
            <a:gd name="adj2" fmla="val 50000"/>
          </a:avLst>
        </a:prstGeom>
        <a:solidFill>
          <a:schemeClr val="accent2"/>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EQUIPOS</a:t>
          </a:r>
          <a:endParaRPr sz="1400" b="1"/>
        </a:p>
      </xdr:txBody>
    </xdr:sp>
    <xdr:clientData fLocksWithSheet="0"/>
  </xdr:oneCellAnchor>
  <xdr:oneCellAnchor>
    <xdr:from>
      <xdr:col>1</xdr:col>
      <xdr:colOff>0</xdr:colOff>
      <xdr:row>0</xdr:row>
      <xdr:rowOff>19050</xdr:rowOff>
    </xdr:from>
    <xdr:ext cx="1200150" cy="685800"/>
    <xdr:sp macro="" textlink="">
      <xdr:nvSpPr>
        <xdr:cNvPr id="10" name="Shape 10">
          <a:hlinkClick xmlns:r="http://schemas.openxmlformats.org/officeDocument/2006/relationships" r:id="rId4"/>
          <a:extLst>
            <a:ext uri="{FF2B5EF4-FFF2-40B4-BE49-F238E27FC236}">
              <a16:creationId xmlns:a16="http://schemas.microsoft.com/office/drawing/2014/main" id="{00000000-0008-0000-1F00-00000A000000}"/>
            </a:ext>
          </a:extLst>
        </xdr:cNvPr>
        <xdr:cNvSpPr/>
      </xdr:nvSpPr>
      <xdr:spPr>
        <a:xfrm>
          <a:off x="4760213" y="3451388"/>
          <a:ext cx="1171575" cy="657225"/>
        </a:xfrm>
        <a:prstGeom prst="leftArrow">
          <a:avLst>
            <a:gd name="adj1" fmla="val 50000"/>
            <a:gd name="adj2" fmla="val 50000"/>
          </a:avLst>
        </a:prstGeom>
        <a:solidFill>
          <a:srgbClr val="B7CCE4"/>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300" b="1">
              <a:solidFill>
                <a:schemeClr val="lt1"/>
              </a:solidFill>
              <a:latin typeface="Calibri"/>
              <a:ea typeface="Calibri"/>
              <a:cs typeface="Calibri"/>
              <a:sym typeface="Calibri"/>
            </a:rPr>
            <a:t>Analisis Basi.</a:t>
          </a:r>
          <a:endParaRPr sz="1400"/>
        </a:p>
      </xdr:txBody>
    </xdr:sp>
    <xdr:clientData fLocksWithSheet="0"/>
  </xdr:oneCellAnchor>
  <xdr:oneCellAnchor>
    <xdr:from>
      <xdr:col>3</xdr:col>
      <xdr:colOff>647700</xdr:colOff>
      <xdr:row>6</xdr:row>
      <xdr:rowOff>95250</xdr:rowOff>
    </xdr:from>
    <xdr:ext cx="1781175" cy="600075"/>
    <xdr:pic>
      <xdr:nvPicPr>
        <xdr:cNvPr id="2" name="image11.jpg">
          <a:extLst>
            <a:ext uri="{FF2B5EF4-FFF2-40B4-BE49-F238E27FC236}">
              <a16:creationId xmlns:a16="http://schemas.microsoft.com/office/drawing/2014/main" id="{00000000-0008-0000-1F00-000002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752475</xdr:colOff>
      <xdr:row>38</xdr:row>
      <xdr:rowOff>85725</xdr:rowOff>
    </xdr:from>
    <xdr:ext cx="1781175" cy="600075"/>
    <xdr:pic>
      <xdr:nvPicPr>
        <xdr:cNvPr id="3" name="image11.jpg">
          <a:extLst>
            <a:ext uri="{FF2B5EF4-FFF2-40B4-BE49-F238E27FC236}">
              <a16:creationId xmlns:a16="http://schemas.microsoft.com/office/drawing/2014/main" id="{00000000-0008-0000-1F00-000003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0</xdr:colOff>
      <xdr:row>102</xdr:row>
      <xdr:rowOff>28575</xdr:rowOff>
    </xdr:from>
    <xdr:ext cx="1781175" cy="600075"/>
    <xdr:pic>
      <xdr:nvPicPr>
        <xdr:cNvPr id="4" name="image11.jpg">
          <a:extLst>
            <a:ext uri="{FF2B5EF4-FFF2-40B4-BE49-F238E27FC236}">
              <a16:creationId xmlns:a16="http://schemas.microsoft.com/office/drawing/2014/main" id="{00000000-0008-0000-1F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0</xdr:colOff>
      <xdr:row>327</xdr:row>
      <xdr:rowOff>38100</xdr:rowOff>
    </xdr:from>
    <xdr:ext cx="1704975" cy="571500"/>
    <xdr:pic>
      <xdr:nvPicPr>
        <xdr:cNvPr id="5" name="image11.jpg">
          <a:extLst>
            <a:ext uri="{FF2B5EF4-FFF2-40B4-BE49-F238E27FC236}">
              <a16:creationId xmlns:a16="http://schemas.microsoft.com/office/drawing/2014/main" id="{00000000-0008-0000-1F00-000005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dr:oneCellAnchor>
    <xdr:from>
      <xdr:col>0</xdr:col>
      <xdr:colOff>66675</xdr:colOff>
      <xdr:row>0</xdr:row>
      <xdr:rowOff>38100</xdr:rowOff>
    </xdr:from>
    <xdr:ext cx="1247775" cy="704850"/>
    <xdr:sp macro="" textlink="">
      <xdr:nvSpPr>
        <xdr:cNvPr id="19" name="Shape 19">
          <a:hlinkClick xmlns:r="http://schemas.openxmlformats.org/officeDocument/2006/relationships" r:id="rId1"/>
          <a:extLst>
            <a:ext uri="{FF2B5EF4-FFF2-40B4-BE49-F238E27FC236}">
              <a16:creationId xmlns:a16="http://schemas.microsoft.com/office/drawing/2014/main" id="{00000000-0008-0000-2200-000013000000}"/>
            </a:ext>
          </a:extLst>
        </xdr:cNvPr>
        <xdr:cNvSpPr/>
      </xdr:nvSpPr>
      <xdr:spPr>
        <a:xfrm>
          <a:off x="4736400" y="3441863"/>
          <a:ext cx="1219200" cy="676275"/>
        </a:xfrm>
        <a:prstGeom prst="leftArrow">
          <a:avLst>
            <a:gd name="adj1" fmla="val 50000"/>
            <a:gd name="adj2" fmla="val 50000"/>
          </a:avLst>
        </a:prstGeom>
        <a:solidFill>
          <a:schemeClr val="accent1"/>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VOLVER</a:t>
          </a:r>
          <a:endParaRPr sz="1400"/>
        </a:p>
      </xdr:txBody>
    </xdr:sp>
    <xdr:clientData fLocksWithSheet="0"/>
  </xdr:oneCellAnchor>
  <xdr:oneCellAnchor>
    <xdr:from>
      <xdr:col>5</xdr:col>
      <xdr:colOff>0</xdr:colOff>
      <xdr:row>0</xdr:row>
      <xdr:rowOff>28575</xdr:rowOff>
    </xdr:from>
    <xdr:ext cx="1285875" cy="781050"/>
    <xdr:sp macro="" textlink="">
      <xdr:nvSpPr>
        <xdr:cNvPr id="20" name="Shape 20">
          <a:hlinkClick xmlns:r="http://schemas.openxmlformats.org/officeDocument/2006/relationships" r:id="rId2"/>
          <a:extLst>
            <a:ext uri="{FF2B5EF4-FFF2-40B4-BE49-F238E27FC236}">
              <a16:creationId xmlns:a16="http://schemas.microsoft.com/office/drawing/2014/main" id="{00000000-0008-0000-2200-000014000000}"/>
            </a:ext>
          </a:extLst>
        </xdr:cNvPr>
        <xdr:cNvSpPr/>
      </xdr:nvSpPr>
      <xdr:spPr>
        <a:xfrm>
          <a:off x="4717350" y="3403763"/>
          <a:ext cx="1257300" cy="752475"/>
        </a:xfrm>
        <a:prstGeom prst="rightArrow">
          <a:avLst>
            <a:gd name="adj1" fmla="val 50000"/>
            <a:gd name="adj2" fmla="val 50000"/>
          </a:avLst>
        </a:prstGeom>
        <a:solidFill>
          <a:srgbClr val="92D050"/>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MATERIALES</a:t>
          </a:r>
          <a:endParaRPr sz="1400"/>
        </a:p>
      </xdr:txBody>
    </xdr:sp>
    <xdr:clientData fLocksWithSheet="0"/>
  </xdr:oneCellAnchor>
  <xdr:oneCellAnchor>
    <xdr:from>
      <xdr:col>3</xdr:col>
      <xdr:colOff>85725</xdr:colOff>
      <xdr:row>0</xdr:row>
      <xdr:rowOff>38100</xdr:rowOff>
    </xdr:from>
    <xdr:ext cx="1276350" cy="742950"/>
    <xdr:sp macro="" textlink="">
      <xdr:nvSpPr>
        <xdr:cNvPr id="21" name="Shape 21">
          <a:hlinkClick xmlns:r="http://schemas.openxmlformats.org/officeDocument/2006/relationships" r:id="rId3"/>
          <a:extLst>
            <a:ext uri="{FF2B5EF4-FFF2-40B4-BE49-F238E27FC236}">
              <a16:creationId xmlns:a16="http://schemas.microsoft.com/office/drawing/2014/main" id="{00000000-0008-0000-2200-000015000000}"/>
            </a:ext>
          </a:extLst>
        </xdr:cNvPr>
        <xdr:cNvSpPr/>
      </xdr:nvSpPr>
      <xdr:spPr>
        <a:xfrm>
          <a:off x="4722113" y="3418050"/>
          <a:ext cx="1247775" cy="723900"/>
        </a:xfrm>
        <a:prstGeom prst="rightArrow">
          <a:avLst>
            <a:gd name="adj1" fmla="val 50000"/>
            <a:gd name="adj2" fmla="val 50000"/>
          </a:avLst>
        </a:prstGeom>
        <a:solidFill>
          <a:schemeClr val="accent2"/>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EQUIPOS</a:t>
          </a:r>
          <a:endParaRPr sz="1400" b="1"/>
        </a:p>
      </xdr:txBody>
    </xdr:sp>
    <xdr:clientData fLocksWithSheet="0"/>
  </xdr:oneCellAnchor>
  <xdr:oneCellAnchor>
    <xdr:from>
      <xdr:col>1</xdr:col>
      <xdr:colOff>0</xdr:colOff>
      <xdr:row>0</xdr:row>
      <xdr:rowOff>19050</xdr:rowOff>
    </xdr:from>
    <xdr:ext cx="1238250" cy="723900"/>
    <xdr:sp macro="" textlink="">
      <xdr:nvSpPr>
        <xdr:cNvPr id="22" name="Shape 22">
          <a:hlinkClick xmlns:r="http://schemas.openxmlformats.org/officeDocument/2006/relationships" r:id="rId4"/>
          <a:extLst>
            <a:ext uri="{FF2B5EF4-FFF2-40B4-BE49-F238E27FC236}">
              <a16:creationId xmlns:a16="http://schemas.microsoft.com/office/drawing/2014/main" id="{00000000-0008-0000-2200-000016000000}"/>
            </a:ext>
          </a:extLst>
        </xdr:cNvPr>
        <xdr:cNvSpPr/>
      </xdr:nvSpPr>
      <xdr:spPr>
        <a:xfrm>
          <a:off x="4741163" y="3432338"/>
          <a:ext cx="1209675" cy="695325"/>
        </a:xfrm>
        <a:prstGeom prst="leftArrow">
          <a:avLst>
            <a:gd name="adj1" fmla="val 50000"/>
            <a:gd name="adj2" fmla="val 50000"/>
          </a:avLst>
        </a:prstGeom>
        <a:solidFill>
          <a:srgbClr val="B7CCE4"/>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300" b="1">
              <a:solidFill>
                <a:schemeClr val="lt1"/>
              </a:solidFill>
              <a:latin typeface="Calibri"/>
              <a:ea typeface="Calibri"/>
              <a:cs typeface="Calibri"/>
              <a:sym typeface="Calibri"/>
            </a:rPr>
            <a:t>Analisis Basi.</a:t>
          </a:r>
          <a:endParaRPr sz="1400"/>
        </a:p>
      </xdr:txBody>
    </xdr:sp>
    <xdr:clientData fLocksWithSheet="0"/>
  </xdr:oneCellAnchor>
  <xdr:oneCellAnchor>
    <xdr:from>
      <xdr:col>10</xdr:col>
      <xdr:colOff>0</xdr:colOff>
      <xdr:row>42</xdr:row>
      <xdr:rowOff>0</xdr:rowOff>
    </xdr:from>
    <xdr:ext cx="304800" cy="304800"/>
    <xdr:sp macro="" textlink="">
      <xdr:nvSpPr>
        <xdr:cNvPr id="23" name="Shape 23">
          <a:extLst>
            <a:ext uri="{FF2B5EF4-FFF2-40B4-BE49-F238E27FC236}">
              <a16:creationId xmlns:a16="http://schemas.microsoft.com/office/drawing/2014/main" id="{00000000-0008-0000-2200-000017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466725</xdr:colOff>
      <xdr:row>111</xdr:row>
      <xdr:rowOff>76200</xdr:rowOff>
    </xdr:from>
    <xdr:ext cx="1781175" cy="485775"/>
    <xdr:pic>
      <xdr:nvPicPr>
        <xdr:cNvPr id="2" name="image12.jpg" descr="NEIVA UNIDA">
          <a:extLst>
            <a:ext uri="{FF2B5EF4-FFF2-40B4-BE49-F238E27FC236}">
              <a16:creationId xmlns:a16="http://schemas.microsoft.com/office/drawing/2014/main" id="{00000000-0008-0000-2200-000002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533400</xdr:colOff>
      <xdr:row>143</xdr:row>
      <xdr:rowOff>76200</xdr:rowOff>
    </xdr:from>
    <xdr:ext cx="1781175" cy="466725"/>
    <xdr:pic>
      <xdr:nvPicPr>
        <xdr:cNvPr id="3" name="image12.jpg" descr="NEIVA UNIDA">
          <a:extLst>
            <a:ext uri="{FF2B5EF4-FFF2-40B4-BE49-F238E27FC236}">
              <a16:creationId xmlns:a16="http://schemas.microsoft.com/office/drawing/2014/main" id="{00000000-0008-0000-2200-000003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133350</xdr:colOff>
      <xdr:row>175</xdr:row>
      <xdr:rowOff>123825</xdr:rowOff>
    </xdr:from>
    <xdr:ext cx="1781175" cy="400050"/>
    <xdr:pic>
      <xdr:nvPicPr>
        <xdr:cNvPr id="4" name="image12.jpg" descr="NEIVA UNIDA">
          <a:extLst>
            <a:ext uri="{FF2B5EF4-FFF2-40B4-BE49-F238E27FC236}">
              <a16:creationId xmlns:a16="http://schemas.microsoft.com/office/drawing/2014/main" id="{00000000-0008-0000-22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152400</xdr:colOff>
      <xdr:row>207</xdr:row>
      <xdr:rowOff>85725</xdr:rowOff>
    </xdr:from>
    <xdr:ext cx="1781175" cy="476250"/>
    <xdr:pic>
      <xdr:nvPicPr>
        <xdr:cNvPr id="5" name="image12.jpg" descr="NEIVA UNIDA">
          <a:extLst>
            <a:ext uri="{FF2B5EF4-FFF2-40B4-BE49-F238E27FC236}">
              <a16:creationId xmlns:a16="http://schemas.microsoft.com/office/drawing/2014/main" id="{00000000-0008-0000-2200-000005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238125</xdr:colOff>
      <xdr:row>239</xdr:row>
      <xdr:rowOff>114300</xdr:rowOff>
    </xdr:from>
    <xdr:ext cx="1781175" cy="466725"/>
    <xdr:pic>
      <xdr:nvPicPr>
        <xdr:cNvPr id="6" name="image12.jpg" descr="NEIVA UNIDA">
          <a:extLst>
            <a:ext uri="{FF2B5EF4-FFF2-40B4-BE49-F238E27FC236}">
              <a16:creationId xmlns:a16="http://schemas.microsoft.com/office/drawing/2014/main" id="{00000000-0008-0000-22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381000</xdr:colOff>
      <xdr:row>336</xdr:row>
      <xdr:rowOff>76200</xdr:rowOff>
    </xdr:from>
    <xdr:ext cx="1781175" cy="476250"/>
    <xdr:pic>
      <xdr:nvPicPr>
        <xdr:cNvPr id="7" name="image12.jpg" descr="NEIVA UNIDA">
          <a:extLst>
            <a:ext uri="{FF2B5EF4-FFF2-40B4-BE49-F238E27FC236}">
              <a16:creationId xmlns:a16="http://schemas.microsoft.com/office/drawing/2014/main" id="{00000000-0008-0000-22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200025</xdr:colOff>
      <xdr:row>368</xdr:row>
      <xdr:rowOff>76200</xdr:rowOff>
    </xdr:from>
    <xdr:ext cx="1781175" cy="495300"/>
    <xdr:pic>
      <xdr:nvPicPr>
        <xdr:cNvPr id="8" name="image12.jpg" descr="NEIVA UNIDA">
          <a:extLst>
            <a:ext uri="{FF2B5EF4-FFF2-40B4-BE49-F238E27FC236}">
              <a16:creationId xmlns:a16="http://schemas.microsoft.com/office/drawing/2014/main" id="{00000000-0008-0000-2200-000008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390525</xdr:colOff>
      <xdr:row>432</xdr:row>
      <xdr:rowOff>133350</xdr:rowOff>
    </xdr:from>
    <xdr:ext cx="1781175" cy="457200"/>
    <xdr:pic>
      <xdr:nvPicPr>
        <xdr:cNvPr id="9" name="image12.jpg" descr="NEIVA UNIDA">
          <a:extLst>
            <a:ext uri="{FF2B5EF4-FFF2-40B4-BE49-F238E27FC236}">
              <a16:creationId xmlns:a16="http://schemas.microsoft.com/office/drawing/2014/main" id="{00000000-0008-0000-2200-000009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247650</xdr:colOff>
      <xdr:row>400</xdr:row>
      <xdr:rowOff>95250</xdr:rowOff>
    </xdr:from>
    <xdr:ext cx="1781175" cy="447675"/>
    <xdr:pic>
      <xdr:nvPicPr>
        <xdr:cNvPr id="10" name="image12.jpg" descr="NEIVA UNIDA">
          <a:extLst>
            <a:ext uri="{FF2B5EF4-FFF2-40B4-BE49-F238E27FC236}">
              <a16:creationId xmlns:a16="http://schemas.microsoft.com/office/drawing/2014/main" id="{00000000-0008-0000-2200-00000A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276225</xdr:colOff>
      <xdr:row>495</xdr:row>
      <xdr:rowOff>95250</xdr:rowOff>
    </xdr:from>
    <xdr:ext cx="1781175" cy="495300"/>
    <xdr:pic>
      <xdr:nvPicPr>
        <xdr:cNvPr id="11" name="image12.jpg" descr="NEIVA UNIDA">
          <a:extLst>
            <a:ext uri="{FF2B5EF4-FFF2-40B4-BE49-F238E27FC236}">
              <a16:creationId xmlns:a16="http://schemas.microsoft.com/office/drawing/2014/main" id="{00000000-0008-0000-2200-00000B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247650</xdr:colOff>
      <xdr:row>527</xdr:row>
      <xdr:rowOff>19050</xdr:rowOff>
    </xdr:from>
    <xdr:ext cx="1781175" cy="504825"/>
    <xdr:pic>
      <xdr:nvPicPr>
        <xdr:cNvPr id="12" name="image12.jpg" descr="NEIVA UNIDA">
          <a:extLst>
            <a:ext uri="{FF2B5EF4-FFF2-40B4-BE49-F238E27FC236}">
              <a16:creationId xmlns:a16="http://schemas.microsoft.com/office/drawing/2014/main" id="{00000000-0008-0000-2200-00000C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238125</xdr:colOff>
      <xdr:row>558</xdr:row>
      <xdr:rowOff>57150</xdr:rowOff>
    </xdr:from>
    <xdr:ext cx="1781175" cy="552450"/>
    <xdr:pic>
      <xdr:nvPicPr>
        <xdr:cNvPr id="13" name="image12.jpg" descr="NEIVA UNIDA">
          <a:extLst>
            <a:ext uri="{FF2B5EF4-FFF2-40B4-BE49-F238E27FC236}">
              <a16:creationId xmlns:a16="http://schemas.microsoft.com/office/drawing/2014/main" id="{00000000-0008-0000-2200-00000D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7</xdr:col>
      <xdr:colOff>299085</xdr:colOff>
      <xdr:row>0</xdr:row>
      <xdr:rowOff>129540</xdr:rowOff>
    </xdr:from>
    <xdr:ext cx="1781175" cy="542925"/>
    <xdr:pic>
      <xdr:nvPicPr>
        <xdr:cNvPr id="14" name="image12.jpg" descr="NEIVA UNIDA">
          <a:extLst>
            <a:ext uri="{FF2B5EF4-FFF2-40B4-BE49-F238E27FC236}">
              <a16:creationId xmlns:a16="http://schemas.microsoft.com/office/drawing/2014/main" id="{00000000-0008-0000-2200-00000E000000}"/>
            </a:ext>
          </a:extLst>
        </xdr:cNvPr>
        <xdr:cNvPicPr preferRelativeResize="0"/>
      </xdr:nvPicPr>
      <xdr:blipFill>
        <a:blip xmlns:r="http://schemas.openxmlformats.org/officeDocument/2006/relationships" r:embed="rId5" cstate="print"/>
        <a:stretch>
          <a:fillRect/>
        </a:stretch>
      </xdr:blipFill>
      <xdr:spPr>
        <a:xfrm>
          <a:off x="6517005" y="129540"/>
          <a:ext cx="1781175" cy="542925"/>
        </a:xfrm>
        <a:prstGeom prst="rect">
          <a:avLst/>
        </a:prstGeom>
        <a:noFill/>
      </xdr:spPr>
    </xdr:pic>
    <xdr:clientData fLocksWithSheet="0"/>
  </xdr:oneCellAnchor>
  <xdr:oneCellAnchor>
    <xdr:from>
      <xdr:col>9</xdr:col>
      <xdr:colOff>142875</xdr:colOff>
      <xdr:row>39</xdr:row>
      <xdr:rowOff>209550</xdr:rowOff>
    </xdr:from>
    <xdr:ext cx="4352925" cy="2981325"/>
    <xdr:pic>
      <xdr:nvPicPr>
        <xdr:cNvPr id="15" name="image13.png">
          <a:extLst>
            <a:ext uri="{FF2B5EF4-FFF2-40B4-BE49-F238E27FC236}">
              <a16:creationId xmlns:a16="http://schemas.microsoft.com/office/drawing/2014/main" id="{00000000-0008-0000-2200-00000F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dr:oneCellAnchor>
    <xdr:from>
      <xdr:col>0</xdr:col>
      <xdr:colOff>66675</xdr:colOff>
      <xdr:row>0</xdr:row>
      <xdr:rowOff>38100</xdr:rowOff>
    </xdr:from>
    <xdr:ext cx="1247775" cy="666750"/>
    <xdr:sp macro="" textlink="">
      <xdr:nvSpPr>
        <xdr:cNvPr id="28" name="Shape 28">
          <a:hlinkClick xmlns:r="http://schemas.openxmlformats.org/officeDocument/2006/relationships" r:id="rId1"/>
          <a:extLst>
            <a:ext uri="{FF2B5EF4-FFF2-40B4-BE49-F238E27FC236}">
              <a16:creationId xmlns:a16="http://schemas.microsoft.com/office/drawing/2014/main" id="{00000000-0008-0000-2400-00001C000000}"/>
            </a:ext>
          </a:extLst>
        </xdr:cNvPr>
        <xdr:cNvSpPr/>
      </xdr:nvSpPr>
      <xdr:spPr>
        <a:xfrm>
          <a:off x="4736400" y="3460913"/>
          <a:ext cx="1219200" cy="638175"/>
        </a:xfrm>
        <a:prstGeom prst="leftArrow">
          <a:avLst>
            <a:gd name="adj1" fmla="val 50000"/>
            <a:gd name="adj2" fmla="val 50000"/>
          </a:avLst>
        </a:prstGeom>
        <a:solidFill>
          <a:schemeClr val="accent1"/>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VOLVER</a:t>
          </a:r>
          <a:endParaRPr sz="1400"/>
        </a:p>
      </xdr:txBody>
    </xdr:sp>
    <xdr:clientData fLocksWithSheet="0"/>
  </xdr:oneCellAnchor>
  <xdr:oneCellAnchor>
    <xdr:from>
      <xdr:col>5</xdr:col>
      <xdr:colOff>0</xdr:colOff>
      <xdr:row>0</xdr:row>
      <xdr:rowOff>28575</xdr:rowOff>
    </xdr:from>
    <xdr:ext cx="1257300" cy="742950"/>
    <xdr:sp macro="" textlink="">
      <xdr:nvSpPr>
        <xdr:cNvPr id="29" name="Shape 29">
          <a:hlinkClick xmlns:r="http://schemas.openxmlformats.org/officeDocument/2006/relationships" r:id="rId2"/>
          <a:extLst>
            <a:ext uri="{FF2B5EF4-FFF2-40B4-BE49-F238E27FC236}">
              <a16:creationId xmlns:a16="http://schemas.microsoft.com/office/drawing/2014/main" id="{00000000-0008-0000-2400-00001D000000}"/>
            </a:ext>
          </a:extLst>
        </xdr:cNvPr>
        <xdr:cNvSpPr/>
      </xdr:nvSpPr>
      <xdr:spPr>
        <a:xfrm>
          <a:off x="4726875" y="3422813"/>
          <a:ext cx="1238250" cy="714375"/>
        </a:xfrm>
        <a:prstGeom prst="rightArrow">
          <a:avLst>
            <a:gd name="adj1" fmla="val 50000"/>
            <a:gd name="adj2" fmla="val 50000"/>
          </a:avLst>
        </a:prstGeom>
        <a:solidFill>
          <a:srgbClr val="92D050"/>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MATERIALES</a:t>
          </a:r>
          <a:endParaRPr sz="1400"/>
        </a:p>
      </xdr:txBody>
    </xdr:sp>
    <xdr:clientData fLocksWithSheet="0"/>
  </xdr:oneCellAnchor>
  <xdr:oneCellAnchor>
    <xdr:from>
      <xdr:col>3</xdr:col>
      <xdr:colOff>85725</xdr:colOff>
      <xdr:row>0</xdr:row>
      <xdr:rowOff>38100</xdr:rowOff>
    </xdr:from>
    <xdr:ext cx="1276350" cy="704850"/>
    <xdr:sp macro="" textlink="">
      <xdr:nvSpPr>
        <xdr:cNvPr id="30" name="Shape 30">
          <a:hlinkClick xmlns:r="http://schemas.openxmlformats.org/officeDocument/2006/relationships" r:id="rId3"/>
          <a:extLst>
            <a:ext uri="{FF2B5EF4-FFF2-40B4-BE49-F238E27FC236}">
              <a16:creationId xmlns:a16="http://schemas.microsoft.com/office/drawing/2014/main" id="{00000000-0008-0000-2400-00001E000000}"/>
            </a:ext>
          </a:extLst>
        </xdr:cNvPr>
        <xdr:cNvSpPr/>
      </xdr:nvSpPr>
      <xdr:spPr>
        <a:xfrm>
          <a:off x="4722113" y="3437100"/>
          <a:ext cx="1247775" cy="685800"/>
        </a:xfrm>
        <a:prstGeom prst="rightArrow">
          <a:avLst>
            <a:gd name="adj1" fmla="val 50000"/>
            <a:gd name="adj2" fmla="val 50000"/>
          </a:avLst>
        </a:prstGeom>
        <a:solidFill>
          <a:schemeClr val="accent2"/>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EQUIPOS</a:t>
          </a:r>
          <a:endParaRPr sz="1400" b="1"/>
        </a:p>
      </xdr:txBody>
    </xdr:sp>
    <xdr:clientData fLocksWithSheet="0"/>
  </xdr:oneCellAnchor>
  <xdr:oneCellAnchor>
    <xdr:from>
      <xdr:col>1</xdr:col>
      <xdr:colOff>0</xdr:colOff>
      <xdr:row>0</xdr:row>
      <xdr:rowOff>19050</xdr:rowOff>
    </xdr:from>
    <xdr:ext cx="1238250" cy="685800"/>
    <xdr:sp macro="" textlink="">
      <xdr:nvSpPr>
        <xdr:cNvPr id="31" name="Shape 31">
          <a:hlinkClick xmlns:r="http://schemas.openxmlformats.org/officeDocument/2006/relationships" r:id="rId4"/>
          <a:extLst>
            <a:ext uri="{FF2B5EF4-FFF2-40B4-BE49-F238E27FC236}">
              <a16:creationId xmlns:a16="http://schemas.microsoft.com/office/drawing/2014/main" id="{00000000-0008-0000-2400-00001F000000}"/>
            </a:ext>
          </a:extLst>
        </xdr:cNvPr>
        <xdr:cNvSpPr/>
      </xdr:nvSpPr>
      <xdr:spPr>
        <a:xfrm>
          <a:off x="4741163" y="3451388"/>
          <a:ext cx="1209675" cy="657225"/>
        </a:xfrm>
        <a:prstGeom prst="leftArrow">
          <a:avLst>
            <a:gd name="adj1" fmla="val 50000"/>
            <a:gd name="adj2" fmla="val 50000"/>
          </a:avLst>
        </a:prstGeom>
        <a:solidFill>
          <a:srgbClr val="B7CCE4"/>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300" b="1">
              <a:solidFill>
                <a:schemeClr val="lt1"/>
              </a:solidFill>
              <a:latin typeface="Calibri"/>
              <a:ea typeface="Calibri"/>
              <a:cs typeface="Calibri"/>
              <a:sym typeface="Calibri"/>
            </a:rPr>
            <a:t>Analisis Basi.</a:t>
          </a:r>
          <a:endParaRPr sz="1400"/>
        </a:p>
      </xdr:txBody>
    </xdr:sp>
    <xdr:clientData fLocksWithSheet="0"/>
  </xdr:oneCellAnchor>
  <xdr:oneCellAnchor>
    <xdr:from>
      <xdr:col>4</xdr:col>
      <xdr:colOff>638175</xdr:colOff>
      <xdr:row>6</xdr:row>
      <xdr:rowOff>47625</xdr:rowOff>
    </xdr:from>
    <xdr:ext cx="1752600" cy="571500"/>
    <xdr:pic>
      <xdr:nvPicPr>
        <xdr:cNvPr id="2" name="image12.jpg" descr="NEIVA UNIDA">
          <a:extLst>
            <a:ext uri="{FF2B5EF4-FFF2-40B4-BE49-F238E27FC236}">
              <a16:creationId xmlns:a16="http://schemas.microsoft.com/office/drawing/2014/main" id="{00000000-0008-0000-2400-000002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514350</xdr:colOff>
      <xdr:row>70</xdr:row>
      <xdr:rowOff>38100</xdr:rowOff>
    </xdr:from>
    <xdr:ext cx="1752600" cy="561975"/>
    <xdr:pic>
      <xdr:nvPicPr>
        <xdr:cNvPr id="3" name="image12.jpg" descr="NEIVA UNIDA">
          <a:extLst>
            <a:ext uri="{FF2B5EF4-FFF2-40B4-BE49-F238E27FC236}">
              <a16:creationId xmlns:a16="http://schemas.microsoft.com/office/drawing/2014/main" id="{00000000-0008-0000-2400-000003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361950</xdr:colOff>
      <xdr:row>102</xdr:row>
      <xdr:rowOff>38100</xdr:rowOff>
    </xdr:from>
    <xdr:ext cx="1752600" cy="533400"/>
    <xdr:pic>
      <xdr:nvPicPr>
        <xdr:cNvPr id="4" name="image12.jpg" descr="NEIVA UNIDA">
          <a:extLst>
            <a:ext uri="{FF2B5EF4-FFF2-40B4-BE49-F238E27FC236}">
              <a16:creationId xmlns:a16="http://schemas.microsoft.com/office/drawing/2014/main" id="{00000000-0008-0000-24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533400</xdr:colOff>
      <xdr:row>134</xdr:row>
      <xdr:rowOff>47625</xdr:rowOff>
    </xdr:from>
    <xdr:ext cx="1752600" cy="581025"/>
    <xdr:pic>
      <xdr:nvPicPr>
        <xdr:cNvPr id="5" name="image12.jpg" descr="NEIVA UNIDA">
          <a:extLst>
            <a:ext uri="{FF2B5EF4-FFF2-40B4-BE49-F238E27FC236}">
              <a16:creationId xmlns:a16="http://schemas.microsoft.com/office/drawing/2014/main" id="{00000000-0008-0000-2400-000005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390525</xdr:colOff>
      <xdr:row>230</xdr:row>
      <xdr:rowOff>28575</xdr:rowOff>
    </xdr:from>
    <xdr:ext cx="1752600" cy="571500"/>
    <xdr:pic>
      <xdr:nvPicPr>
        <xdr:cNvPr id="6" name="image12.jpg" descr="NEIVA UNIDA">
          <a:extLst>
            <a:ext uri="{FF2B5EF4-FFF2-40B4-BE49-F238E27FC236}">
              <a16:creationId xmlns:a16="http://schemas.microsoft.com/office/drawing/2014/main" id="{00000000-0008-0000-24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666750</xdr:colOff>
      <xdr:row>294</xdr:row>
      <xdr:rowOff>47625</xdr:rowOff>
    </xdr:from>
    <xdr:ext cx="1752600" cy="533400"/>
    <xdr:pic>
      <xdr:nvPicPr>
        <xdr:cNvPr id="7" name="image12.jpg" descr="NEIVA UNIDA">
          <a:extLst>
            <a:ext uri="{FF2B5EF4-FFF2-40B4-BE49-F238E27FC236}">
              <a16:creationId xmlns:a16="http://schemas.microsoft.com/office/drawing/2014/main" id="{00000000-0008-0000-24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438150</xdr:colOff>
      <xdr:row>166</xdr:row>
      <xdr:rowOff>66675</xdr:rowOff>
    </xdr:from>
    <xdr:ext cx="1819275" cy="542925"/>
    <xdr:pic>
      <xdr:nvPicPr>
        <xdr:cNvPr id="8" name="image12.jpg" descr="NEIVA UNIDA">
          <a:extLst>
            <a:ext uri="{FF2B5EF4-FFF2-40B4-BE49-F238E27FC236}">
              <a16:creationId xmlns:a16="http://schemas.microsoft.com/office/drawing/2014/main" id="{00000000-0008-0000-2400-000008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609600</xdr:colOff>
      <xdr:row>358</xdr:row>
      <xdr:rowOff>47625</xdr:rowOff>
    </xdr:from>
    <xdr:ext cx="1752600" cy="552450"/>
    <xdr:pic>
      <xdr:nvPicPr>
        <xdr:cNvPr id="9" name="image12.jpg" descr="NEIVA UNIDA">
          <a:extLst>
            <a:ext uri="{FF2B5EF4-FFF2-40B4-BE49-F238E27FC236}">
              <a16:creationId xmlns:a16="http://schemas.microsoft.com/office/drawing/2014/main" id="{00000000-0008-0000-2400-000009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552450</xdr:colOff>
      <xdr:row>262</xdr:row>
      <xdr:rowOff>38100</xdr:rowOff>
    </xdr:from>
    <xdr:ext cx="1752600" cy="552450"/>
    <xdr:pic>
      <xdr:nvPicPr>
        <xdr:cNvPr id="10" name="image12.jpg" descr="NEIVA UNIDA">
          <a:extLst>
            <a:ext uri="{FF2B5EF4-FFF2-40B4-BE49-F238E27FC236}">
              <a16:creationId xmlns:a16="http://schemas.microsoft.com/office/drawing/2014/main" id="{00000000-0008-0000-2400-00000A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485775</xdr:colOff>
      <xdr:row>390</xdr:row>
      <xdr:rowOff>9525</xdr:rowOff>
    </xdr:from>
    <xdr:ext cx="1743075" cy="542925"/>
    <xdr:pic>
      <xdr:nvPicPr>
        <xdr:cNvPr id="11" name="image12.jpg" descr="NEIVA UNIDA">
          <a:extLst>
            <a:ext uri="{FF2B5EF4-FFF2-40B4-BE49-F238E27FC236}">
              <a16:creationId xmlns:a16="http://schemas.microsoft.com/office/drawing/2014/main" id="{00000000-0008-0000-2400-00000B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714375</xdr:colOff>
      <xdr:row>38</xdr:row>
      <xdr:rowOff>28575</xdr:rowOff>
    </xdr:from>
    <xdr:ext cx="1828800" cy="600075"/>
    <xdr:pic>
      <xdr:nvPicPr>
        <xdr:cNvPr id="12" name="image11.jpg">
          <a:extLst>
            <a:ext uri="{FF2B5EF4-FFF2-40B4-BE49-F238E27FC236}">
              <a16:creationId xmlns:a16="http://schemas.microsoft.com/office/drawing/2014/main" id="{00000000-0008-0000-2400-00000C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704850</xdr:colOff>
      <xdr:row>198</xdr:row>
      <xdr:rowOff>28575</xdr:rowOff>
    </xdr:from>
    <xdr:ext cx="1828800" cy="600075"/>
    <xdr:pic>
      <xdr:nvPicPr>
        <xdr:cNvPr id="13" name="image11.jpg">
          <a:extLst>
            <a:ext uri="{FF2B5EF4-FFF2-40B4-BE49-F238E27FC236}">
              <a16:creationId xmlns:a16="http://schemas.microsoft.com/office/drawing/2014/main" id="{00000000-0008-0000-2400-00000D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704850</xdr:colOff>
      <xdr:row>326</xdr:row>
      <xdr:rowOff>66675</xdr:rowOff>
    </xdr:from>
    <xdr:ext cx="1828800" cy="600075"/>
    <xdr:pic>
      <xdr:nvPicPr>
        <xdr:cNvPr id="14" name="image11.jpg">
          <a:extLst>
            <a:ext uri="{FF2B5EF4-FFF2-40B4-BE49-F238E27FC236}">
              <a16:creationId xmlns:a16="http://schemas.microsoft.com/office/drawing/2014/main" id="{00000000-0008-0000-2400-00000E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714375</xdr:colOff>
      <xdr:row>462</xdr:row>
      <xdr:rowOff>19050</xdr:rowOff>
    </xdr:from>
    <xdr:ext cx="1800225" cy="590550"/>
    <xdr:pic>
      <xdr:nvPicPr>
        <xdr:cNvPr id="15" name="image11.jpg">
          <a:extLst>
            <a:ext uri="{FF2B5EF4-FFF2-40B4-BE49-F238E27FC236}">
              <a16:creationId xmlns:a16="http://schemas.microsoft.com/office/drawing/2014/main" id="{00000000-0008-0000-2400-00000F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dr:oneCellAnchor>
    <xdr:from>
      <xdr:col>0</xdr:col>
      <xdr:colOff>66675</xdr:colOff>
      <xdr:row>0</xdr:row>
      <xdr:rowOff>38100</xdr:rowOff>
    </xdr:from>
    <xdr:ext cx="1257300" cy="704850"/>
    <xdr:sp macro="" textlink="">
      <xdr:nvSpPr>
        <xdr:cNvPr id="32" name="Shape 32">
          <a:hlinkClick xmlns:r="http://schemas.openxmlformats.org/officeDocument/2006/relationships" r:id="rId1"/>
          <a:extLst>
            <a:ext uri="{FF2B5EF4-FFF2-40B4-BE49-F238E27FC236}">
              <a16:creationId xmlns:a16="http://schemas.microsoft.com/office/drawing/2014/main" id="{00000000-0008-0000-2500-000020000000}"/>
            </a:ext>
          </a:extLst>
        </xdr:cNvPr>
        <xdr:cNvSpPr/>
      </xdr:nvSpPr>
      <xdr:spPr>
        <a:xfrm>
          <a:off x="4726875" y="3441863"/>
          <a:ext cx="1238250" cy="676275"/>
        </a:xfrm>
        <a:prstGeom prst="leftArrow">
          <a:avLst>
            <a:gd name="adj1" fmla="val 50000"/>
            <a:gd name="adj2" fmla="val 50000"/>
          </a:avLst>
        </a:prstGeom>
        <a:solidFill>
          <a:schemeClr val="accent1"/>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VOLVER</a:t>
          </a:r>
          <a:endParaRPr sz="1400"/>
        </a:p>
      </xdr:txBody>
    </xdr:sp>
    <xdr:clientData fLocksWithSheet="0"/>
  </xdr:oneCellAnchor>
  <xdr:oneCellAnchor>
    <xdr:from>
      <xdr:col>5</xdr:col>
      <xdr:colOff>0</xdr:colOff>
      <xdr:row>0</xdr:row>
      <xdr:rowOff>28575</xdr:rowOff>
    </xdr:from>
    <xdr:ext cx="1209675" cy="781050"/>
    <xdr:sp macro="" textlink="">
      <xdr:nvSpPr>
        <xdr:cNvPr id="33" name="Shape 33">
          <a:hlinkClick xmlns:r="http://schemas.openxmlformats.org/officeDocument/2006/relationships" r:id="rId2"/>
          <a:extLst>
            <a:ext uri="{FF2B5EF4-FFF2-40B4-BE49-F238E27FC236}">
              <a16:creationId xmlns:a16="http://schemas.microsoft.com/office/drawing/2014/main" id="{00000000-0008-0000-2500-000021000000}"/>
            </a:ext>
          </a:extLst>
        </xdr:cNvPr>
        <xdr:cNvSpPr/>
      </xdr:nvSpPr>
      <xdr:spPr>
        <a:xfrm>
          <a:off x="4750688" y="3403763"/>
          <a:ext cx="1190625" cy="752475"/>
        </a:xfrm>
        <a:prstGeom prst="rightArrow">
          <a:avLst>
            <a:gd name="adj1" fmla="val 50000"/>
            <a:gd name="adj2" fmla="val 50000"/>
          </a:avLst>
        </a:prstGeom>
        <a:solidFill>
          <a:srgbClr val="92D050"/>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MATERIALES</a:t>
          </a:r>
          <a:endParaRPr sz="1400"/>
        </a:p>
      </xdr:txBody>
    </xdr:sp>
    <xdr:clientData fLocksWithSheet="0"/>
  </xdr:oneCellAnchor>
  <xdr:oneCellAnchor>
    <xdr:from>
      <xdr:col>3</xdr:col>
      <xdr:colOff>85725</xdr:colOff>
      <xdr:row>0</xdr:row>
      <xdr:rowOff>38100</xdr:rowOff>
    </xdr:from>
    <xdr:ext cx="1285875" cy="742950"/>
    <xdr:sp macro="" textlink="">
      <xdr:nvSpPr>
        <xdr:cNvPr id="34" name="Shape 34">
          <a:hlinkClick xmlns:r="http://schemas.openxmlformats.org/officeDocument/2006/relationships" r:id="rId3"/>
          <a:extLst>
            <a:ext uri="{FF2B5EF4-FFF2-40B4-BE49-F238E27FC236}">
              <a16:creationId xmlns:a16="http://schemas.microsoft.com/office/drawing/2014/main" id="{00000000-0008-0000-2500-000022000000}"/>
            </a:ext>
          </a:extLst>
        </xdr:cNvPr>
        <xdr:cNvSpPr/>
      </xdr:nvSpPr>
      <xdr:spPr>
        <a:xfrm>
          <a:off x="4717350" y="3418050"/>
          <a:ext cx="1257300" cy="723900"/>
        </a:xfrm>
        <a:prstGeom prst="rightArrow">
          <a:avLst>
            <a:gd name="adj1" fmla="val 50000"/>
            <a:gd name="adj2" fmla="val 50000"/>
          </a:avLst>
        </a:prstGeom>
        <a:solidFill>
          <a:schemeClr val="accent2"/>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EQUIPOS</a:t>
          </a:r>
          <a:endParaRPr sz="1400" b="1"/>
        </a:p>
      </xdr:txBody>
    </xdr:sp>
    <xdr:clientData fLocksWithSheet="0"/>
  </xdr:oneCellAnchor>
  <xdr:oneCellAnchor>
    <xdr:from>
      <xdr:col>1</xdr:col>
      <xdr:colOff>0</xdr:colOff>
      <xdr:row>0</xdr:row>
      <xdr:rowOff>19050</xdr:rowOff>
    </xdr:from>
    <xdr:ext cx="1304925" cy="723900"/>
    <xdr:sp macro="" textlink="">
      <xdr:nvSpPr>
        <xdr:cNvPr id="35" name="Shape 35">
          <a:hlinkClick xmlns:r="http://schemas.openxmlformats.org/officeDocument/2006/relationships" r:id="rId4"/>
          <a:extLst>
            <a:ext uri="{FF2B5EF4-FFF2-40B4-BE49-F238E27FC236}">
              <a16:creationId xmlns:a16="http://schemas.microsoft.com/office/drawing/2014/main" id="{00000000-0008-0000-2500-000023000000}"/>
            </a:ext>
          </a:extLst>
        </xdr:cNvPr>
        <xdr:cNvSpPr/>
      </xdr:nvSpPr>
      <xdr:spPr>
        <a:xfrm>
          <a:off x="4707825" y="3432338"/>
          <a:ext cx="1276350" cy="695325"/>
        </a:xfrm>
        <a:prstGeom prst="leftArrow">
          <a:avLst>
            <a:gd name="adj1" fmla="val 50000"/>
            <a:gd name="adj2" fmla="val 50000"/>
          </a:avLst>
        </a:prstGeom>
        <a:solidFill>
          <a:srgbClr val="B7CCE4"/>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300" b="1">
              <a:solidFill>
                <a:schemeClr val="lt1"/>
              </a:solidFill>
              <a:latin typeface="Calibri"/>
              <a:ea typeface="Calibri"/>
              <a:cs typeface="Calibri"/>
              <a:sym typeface="Calibri"/>
            </a:rPr>
            <a:t>Analisis Basi.</a:t>
          </a:r>
          <a:endParaRPr sz="1400"/>
        </a:p>
      </xdr:txBody>
    </xdr:sp>
    <xdr:clientData fLocksWithSheet="0"/>
  </xdr:oneCellAnchor>
  <xdr:oneCellAnchor>
    <xdr:from>
      <xdr:col>4</xdr:col>
      <xdr:colOff>523875</xdr:colOff>
      <xdr:row>6</xdr:row>
      <xdr:rowOff>9525</xdr:rowOff>
    </xdr:from>
    <xdr:ext cx="1514475" cy="619125"/>
    <xdr:pic>
      <xdr:nvPicPr>
        <xdr:cNvPr id="2" name="image12.jpg" descr="NEIVA UNIDA">
          <a:extLst>
            <a:ext uri="{FF2B5EF4-FFF2-40B4-BE49-F238E27FC236}">
              <a16:creationId xmlns:a16="http://schemas.microsoft.com/office/drawing/2014/main" id="{00000000-0008-0000-2500-000002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523875</xdr:colOff>
      <xdr:row>70</xdr:row>
      <xdr:rowOff>9525</xdr:rowOff>
    </xdr:from>
    <xdr:ext cx="1514475" cy="619125"/>
    <xdr:pic>
      <xdr:nvPicPr>
        <xdr:cNvPr id="3" name="image12.jpg" descr="NEIVA UNIDA">
          <a:extLst>
            <a:ext uri="{FF2B5EF4-FFF2-40B4-BE49-F238E27FC236}">
              <a16:creationId xmlns:a16="http://schemas.microsoft.com/office/drawing/2014/main" id="{00000000-0008-0000-2500-000003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523875</xdr:colOff>
      <xdr:row>38</xdr:row>
      <xdr:rowOff>9525</xdr:rowOff>
    </xdr:from>
    <xdr:ext cx="1514475" cy="619125"/>
    <xdr:pic>
      <xdr:nvPicPr>
        <xdr:cNvPr id="4" name="image12.jpg" descr="NEIVA UNIDA">
          <a:extLst>
            <a:ext uri="{FF2B5EF4-FFF2-40B4-BE49-F238E27FC236}">
              <a16:creationId xmlns:a16="http://schemas.microsoft.com/office/drawing/2014/main" id="{00000000-0008-0000-25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628650</xdr:colOff>
      <xdr:row>166</xdr:row>
      <xdr:rowOff>114300</xdr:rowOff>
    </xdr:from>
    <xdr:ext cx="1866900" cy="600075"/>
    <xdr:pic>
      <xdr:nvPicPr>
        <xdr:cNvPr id="5" name="image11.jpg">
          <a:extLst>
            <a:ext uri="{FF2B5EF4-FFF2-40B4-BE49-F238E27FC236}">
              <a16:creationId xmlns:a16="http://schemas.microsoft.com/office/drawing/2014/main" id="{00000000-0008-0000-2500-000005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590550</xdr:colOff>
      <xdr:row>134</xdr:row>
      <xdr:rowOff>133350</xdr:rowOff>
    </xdr:from>
    <xdr:ext cx="1866900" cy="600075"/>
    <xdr:pic>
      <xdr:nvPicPr>
        <xdr:cNvPr id="6" name="image11.jpg">
          <a:extLst>
            <a:ext uri="{FF2B5EF4-FFF2-40B4-BE49-F238E27FC236}">
              <a16:creationId xmlns:a16="http://schemas.microsoft.com/office/drawing/2014/main" id="{00000000-0008-0000-2500-000006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533400</xdr:colOff>
      <xdr:row>102</xdr:row>
      <xdr:rowOff>114300</xdr:rowOff>
    </xdr:from>
    <xdr:ext cx="1866900" cy="600075"/>
    <xdr:pic>
      <xdr:nvPicPr>
        <xdr:cNvPr id="7" name="image11.jpg">
          <a:extLst>
            <a:ext uri="{FF2B5EF4-FFF2-40B4-BE49-F238E27FC236}">
              <a16:creationId xmlns:a16="http://schemas.microsoft.com/office/drawing/2014/main" id="{00000000-0008-0000-2500-00000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wsDr>
</file>

<file path=xl/drawings/drawing16.xml><?xml version="1.0" encoding="utf-8"?>
<xdr:wsDr xmlns:xdr="http://schemas.openxmlformats.org/drawingml/2006/spreadsheetDrawing" xmlns:a="http://schemas.openxmlformats.org/drawingml/2006/main">
  <xdr:oneCellAnchor>
    <xdr:from>
      <xdr:col>7</xdr:col>
      <xdr:colOff>228600</xdr:colOff>
      <xdr:row>0</xdr:row>
      <xdr:rowOff>-19050</xdr:rowOff>
    </xdr:from>
    <xdr:ext cx="1228725" cy="38100"/>
    <xdr:sp macro="" textlink="">
      <xdr:nvSpPr>
        <xdr:cNvPr id="36" name="Shape 36">
          <a:hlinkClick xmlns:r="http://schemas.openxmlformats.org/officeDocument/2006/relationships" r:id="rId1"/>
          <a:extLst>
            <a:ext uri="{FF2B5EF4-FFF2-40B4-BE49-F238E27FC236}">
              <a16:creationId xmlns:a16="http://schemas.microsoft.com/office/drawing/2014/main" id="{00000000-0008-0000-2600-000024000000}"/>
            </a:ext>
          </a:extLst>
        </xdr:cNvPr>
        <xdr:cNvSpPr/>
      </xdr:nvSpPr>
      <xdr:spPr>
        <a:xfrm>
          <a:off x="4731638" y="3780000"/>
          <a:ext cx="1228725" cy="0"/>
        </a:xfrm>
        <a:prstGeom prst="leftArrow">
          <a:avLst>
            <a:gd name="adj1" fmla="val 50000"/>
            <a:gd name="adj2" fmla="val 50000"/>
          </a:avLst>
        </a:prstGeom>
        <a:solidFill>
          <a:schemeClr val="accent1"/>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VOLVER</a:t>
          </a:r>
          <a:endParaRPr sz="1400"/>
        </a:p>
      </xdr:txBody>
    </xdr:sp>
    <xdr:clientData fLocksWithSheet="0"/>
  </xdr:oneCellAnchor>
  <xdr:oneCellAnchor>
    <xdr:from>
      <xdr:col>3</xdr:col>
      <xdr:colOff>581025</xdr:colOff>
      <xdr:row>33</xdr:row>
      <xdr:rowOff>47625</xdr:rowOff>
    </xdr:from>
    <xdr:ext cx="1743075" cy="600075"/>
    <xdr:pic>
      <xdr:nvPicPr>
        <xdr:cNvPr id="2" name="image11.jpg">
          <a:extLst>
            <a:ext uri="{FF2B5EF4-FFF2-40B4-BE49-F238E27FC236}">
              <a16:creationId xmlns:a16="http://schemas.microsoft.com/office/drawing/2014/main" id="{00000000-0008-0000-2600-00000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523875</xdr:colOff>
      <xdr:row>66</xdr:row>
      <xdr:rowOff>95250</xdr:rowOff>
    </xdr:from>
    <xdr:ext cx="1743075" cy="600075"/>
    <xdr:pic>
      <xdr:nvPicPr>
        <xdr:cNvPr id="3" name="image11.jpg">
          <a:extLst>
            <a:ext uri="{FF2B5EF4-FFF2-40B4-BE49-F238E27FC236}">
              <a16:creationId xmlns:a16="http://schemas.microsoft.com/office/drawing/2014/main" id="{00000000-0008-0000-26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581025</xdr:colOff>
      <xdr:row>98</xdr:row>
      <xdr:rowOff>47625</xdr:rowOff>
    </xdr:from>
    <xdr:ext cx="1743075" cy="600075"/>
    <xdr:pic>
      <xdr:nvPicPr>
        <xdr:cNvPr id="4" name="image11.jpg">
          <a:extLst>
            <a:ext uri="{FF2B5EF4-FFF2-40B4-BE49-F238E27FC236}">
              <a16:creationId xmlns:a16="http://schemas.microsoft.com/office/drawing/2014/main" id="{00000000-0008-0000-26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590550</xdr:colOff>
      <xdr:row>130</xdr:row>
      <xdr:rowOff>66675</xdr:rowOff>
    </xdr:from>
    <xdr:ext cx="1743075" cy="600075"/>
    <xdr:pic>
      <xdr:nvPicPr>
        <xdr:cNvPr id="5" name="image11.jpg">
          <a:extLst>
            <a:ext uri="{FF2B5EF4-FFF2-40B4-BE49-F238E27FC236}">
              <a16:creationId xmlns:a16="http://schemas.microsoft.com/office/drawing/2014/main" id="{00000000-0008-0000-26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561975</xdr:colOff>
      <xdr:row>162</xdr:row>
      <xdr:rowOff>66675</xdr:rowOff>
    </xdr:from>
    <xdr:ext cx="1743075" cy="600075"/>
    <xdr:pic>
      <xdr:nvPicPr>
        <xdr:cNvPr id="6" name="image11.jpg">
          <a:extLst>
            <a:ext uri="{FF2B5EF4-FFF2-40B4-BE49-F238E27FC236}">
              <a16:creationId xmlns:a16="http://schemas.microsoft.com/office/drawing/2014/main" id="{00000000-0008-0000-2600-00000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552450</xdr:colOff>
      <xdr:row>194</xdr:row>
      <xdr:rowOff>38100</xdr:rowOff>
    </xdr:from>
    <xdr:ext cx="1743075" cy="600075"/>
    <xdr:pic>
      <xdr:nvPicPr>
        <xdr:cNvPr id="7" name="image11.jpg">
          <a:extLst>
            <a:ext uri="{FF2B5EF4-FFF2-40B4-BE49-F238E27FC236}">
              <a16:creationId xmlns:a16="http://schemas.microsoft.com/office/drawing/2014/main" id="{00000000-0008-0000-2600-00000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552450</xdr:colOff>
      <xdr:row>258</xdr:row>
      <xdr:rowOff>38100</xdr:rowOff>
    </xdr:from>
    <xdr:ext cx="1524000" cy="371475"/>
    <xdr:pic>
      <xdr:nvPicPr>
        <xdr:cNvPr id="8" name="image14.jpg">
          <a:extLst>
            <a:ext uri="{FF2B5EF4-FFF2-40B4-BE49-F238E27FC236}">
              <a16:creationId xmlns:a16="http://schemas.microsoft.com/office/drawing/2014/main" id="{00000000-0008-0000-2600-000008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3</xdr:col>
      <xdr:colOff>552450</xdr:colOff>
      <xdr:row>226</xdr:row>
      <xdr:rowOff>38100</xdr:rowOff>
    </xdr:from>
    <xdr:ext cx="1743075" cy="600075"/>
    <xdr:pic>
      <xdr:nvPicPr>
        <xdr:cNvPr id="9" name="image11.jpg">
          <a:extLst>
            <a:ext uri="{FF2B5EF4-FFF2-40B4-BE49-F238E27FC236}">
              <a16:creationId xmlns:a16="http://schemas.microsoft.com/office/drawing/2014/main" id="{00000000-0008-0000-2600-00000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581025</xdr:colOff>
      <xdr:row>1</xdr:row>
      <xdr:rowOff>47625</xdr:rowOff>
    </xdr:from>
    <xdr:ext cx="1743075" cy="771525"/>
    <xdr:pic>
      <xdr:nvPicPr>
        <xdr:cNvPr id="10" name="image11.jpg">
          <a:extLst>
            <a:ext uri="{FF2B5EF4-FFF2-40B4-BE49-F238E27FC236}">
              <a16:creationId xmlns:a16="http://schemas.microsoft.com/office/drawing/2014/main" id="{00000000-0008-0000-2600-00000A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7.xml><?xml version="1.0" encoding="utf-8"?>
<xdr:wsDr xmlns:xdr="http://schemas.openxmlformats.org/drawingml/2006/spreadsheetDrawing" xmlns:a="http://schemas.openxmlformats.org/drawingml/2006/main">
  <xdr:oneCellAnchor>
    <xdr:from>
      <xdr:col>3</xdr:col>
      <xdr:colOff>723900</xdr:colOff>
      <xdr:row>148</xdr:row>
      <xdr:rowOff>57150</xdr:rowOff>
    </xdr:from>
    <xdr:ext cx="1695450" cy="600075"/>
    <xdr:pic>
      <xdr:nvPicPr>
        <xdr:cNvPr id="2" name="image11.jpg">
          <a:extLst>
            <a:ext uri="{FF2B5EF4-FFF2-40B4-BE49-F238E27FC236}">
              <a16:creationId xmlns:a16="http://schemas.microsoft.com/office/drawing/2014/main" id="{00000000-0008-0000-2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723900</xdr:colOff>
      <xdr:row>182</xdr:row>
      <xdr:rowOff>85725</xdr:rowOff>
    </xdr:from>
    <xdr:ext cx="1695450" cy="600075"/>
    <xdr:pic>
      <xdr:nvPicPr>
        <xdr:cNvPr id="3" name="image11.jpg">
          <a:extLst>
            <a:ext uri="{FF2B5EF4-FFF2-40B4-BE49-F238E27FC236}">
              <a16:creationId xmlns:a16="http://schemas.microsoft.com/office/drawing/2014/main" id="{00000000-0008-0000-28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733425</xdr:colOff>
      <xdr:row>368</xdr:row>
      <xdr:rowOff>47625</xdr:rowOff>
    </xdr:from>
    <xdr:ext cx="1695450" cy="600075"/>
    <xdr:pic>
      <xdr:nvPicPr>
        <xdr:cNvPr id="4" name="image11.jpg">
          <a:extLst>
            <a:ext uri="{FF2B5EF4-FFF2-40B4-BE49-F238E27FC236}">
              <a16:creationId xmlns:a16="http://schemas.microsoft.com/office/drawing/2014/main" id="{00000000-0008-0000-28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733425</xdr:colOff>
      <xdr:row>402</xdr:row>
      <xdr:rowOff>19050</xdr:rowOff>
    </xdr:from>
    <xdr:ext cx="1695450" cy="600075"/>
    <xdr:pic>
      <xdr:nvPicPr>
        <xdr:cNvPr id="5" name="image11.jpg">
          <a:extLst>
            <a:ext uri="{FF2B5EF4-FFF2-40B4-BE49-F238E27FC236}">
              <a16:creationId xmlns:a16="http://schemas.microsoft.com/office/drawing/2014/main" id="{00000000-0008-0000-2800-00000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733425</xdr:colOff>
      <xdr:row>436</xdr:row>
      <xdr:rowOff>38100</xdr:rowOff>
    </xdr:from>
    <xdr:ext cx="1695450" cy="600075"/>
    <xdr:pic>
      <xdr:nvPicPr>
        <xdr:cNvPr id="6" name="image11.jpg">
          <a:extLst>
            <a:ext uri="{FF2B5EF4-FFF2-40B4-BE49-F238E27FC236}">
              <a16:creationId xmlns:a16="http://schemas.microsoft.com/office/drawing/2014/main" id="{00000000-0008-0000-2800-00000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714375</xdr:colOff>
      <xdr:row>470</xdr:row>
      <xdr:rowOff>47625</xdr:rowOff>
    </xdr:from>
    <xdr:ext cx="1695450" cy="600075"/>
    <xdr:pic>
      <xdr:nvPicPr>
        <xdr:cNvPr id="7" name="image11.jpg">
          <a:extLst>
            <a:ext uri="{FF2B5EF4-FFF2-40B4-BE49-F238E27FC236}">
              <a16:creationId xmlns:a16="http://schemas.microsoft.com/office/drawing/2014/main" id="{00000000-0008-0000-2800-00000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714375</xdr:colOff>
      <xdr:row>504</xdr:row>
      <xdr:rowOff>19050</xdr:rowOff>
    </xdr:from>
    <xdr:ext cx="1695450" cy="600075"/>
    <xdr:pic>
      <xdr:nvPicPr>
        <xdr:cNvPr id="8" name="image11.jpg">
          <a:extLst>
            <a:ext uri="{FF2B5EF4-FFF2-40B4-BE49-F238E27FC236}">
              <a16:creationId xmlns:a16="http://schemas.microsoft.com/office/drawing/2014/main" id="{00000000-0008-0000-2800-00000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704850</xdr:colOff>
      <xdr:row>569</xdr:row>
      <xdr:rowOff>47625</xdr:rowOff>
    </xdr:from>
    <xdr:ext cx="1695450" cy="600075"/>
    <xdr:pic>
      <xdr:nvPicPr>
        <xdr:cNvPr id="9" name="image11.jpg">
          <a:extLst>
            <a:ext uri="{FF2B5EF4-FFF2-40B4-BE49-F238E27FC236}">
              <a16:creationId xmlns:a16="http://schemas.microsoft.com/office/drawing/2014/main" id="{00000000-0008-0000-2800-00000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733425</xdr:colOff>
      <xdr:row>641</xdr:row>
      <xdr:rowOff>57150</xdr:rowOff>
    </xdr:from>
    <xdr:ext cx="1695450" cy="600075"/>
    <xdr:pic>
      <xdr:nvPicPr>
        <xdr:cNvPr id="10" name="image11.jpg">
          <a:extLst>
            <a:ext uri="{FF2B5EF4-FFF2-40B4-BE49-F238E27FC236}">
              <a16:creationId xmlns:a16="http://schemas.microsoft.com/office/drawing/2014/main" id="{00000000-0008-0000-2800-00000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657225</xdr:colOff>
      <xdr:row>710</xdr:row>
      <xdr:rowOff>57150</xdr:rowOff>
    </xdr:from>
    <xdr:ext cx="1695450" cy="600075"/>
    <xdr:pic>
      <xdr:nvPicPr>
        <xdr:cNvPr id="11" name="image11.jpg">
          <a:extLst>
            <a:ext uri="{FF2B5EF4-FFF2-40B4-BE49-F238E27FC236}">
              <a16:creationId xmlns:a16="http://schemas.microsoft.com/office/drawing/2014/main" id="{00000000-0008-0000-2800-00000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733425</xdr:colOff>
      <xdr:row>780</xdr:row>
      <xdr:rowOff>66675</xdr:rowOff>
    </xdr:from>
    <xdr:ext cx="1695450" cy="600075"/>
    <xdr:pic>
      <xdr:nvPicPr>
        <xdr:cNvPr id="12" name="image11.jpg">
          <a:extLst>
            <a:ext uri="{FF2B5EF4-FFF2-40B4-BE49-F238E27FC236}">
              <a16:creationId xmlns:a16="http://schemas.microsoft.com/office/drawing/2014/main" id="{00000000-0008-0000-2800-00000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714375</xdr:colOff>
      <xdr:row>817</xdr:row>
      <xdr:rowOff>38100</xdr:rowOff>
    </xdr:from>
    <xdr:ext cx="1695450" cy="600075"/>
    <xdr:pic>
      <xdr:nvPicPr>
        <xdr:cNvPr id="13" name="image11.jpg">
          <a:extLst>
            <a:ext uri="{FF2B5EF4-FFF2-40B4-BE49-F238E27FC236}">
              <a16:creationId xmlns:a16="http://schemas.microsoft.com/office/drawing/2014/main" id="{00000000-0008-0000-2800-00000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714375</xdr:colOff>
      <xdr:row>1107</xdr:row>
      <xdr:rowOff>38100</xdr:rowOff>
    </xdr:from>
    <xdr:ext cx="1695450" cy="600075"/>
    <xdr:pic>
      <xdr:nvPicPr>
        <xdr:cNvPr id="14" name="image11.jpg">
          <a:extLst>
            <a:ext uri="{FF2B5EF4-FFF2-40B4-BE49-F238E27FC236}">
              <a16:creationId xmlns:a16="http://schemas.microsoft.com/office/drawing/2014/main" id="{00000000-0008-0000-2800-00000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714375</xdr:colOff>
      <xdr:row>1143</xdr:row>
      <xdr:rowOff>66675</xdr:rowOff>
    </xdr:from>
    <xdr:ext cx="1695450" cy="600075"/>
    <xdr:pic>
      <xdr:nvPicPr>
        <xdr:cNvPr id="15" name="image11.jpg">
          <a:extLst>
            <a:ext uri="{FF2B5EF4-FFF2-40B4-BE49-F238E27FC236}">
              <a16:creationId xmlns:a16="http://schemas.microsoft.com/office/drawing/2014/main" id="{00000000-0008-0000-2800-00000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704850</xdr:colOff>
      <xdr:row>1178</xdr:row>
      <xdr:rowOff>76200</xdr:rowOff>
    </xdr:from>
    <xdr:ext cx="1695450" cy="600075"/>
    <xdr:pic>
      <xdr:nvPicPr>
        <xdr:cNvPr id="16" name="image11.jpg">
          <a:extLst>
            <a:ext uri="{FF2B5EF4-FFF2-40B4-BE49-F238E27FC236}">
              <a16:creationId xmlns:a16="http://schemas.microsoft.com/office/drawing/2014/main" id="{00000000-0008-0000-2800-00001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714375</xdr:colOff>
      <xdr:row>1213</xdr:row>
      <xdr:rowOff>28575</xdr:rowOff>
    </xdr:from>
    <xdr:ext cx="1695450" cy="600075"/>
    <xdr:pic>
      <xdr:nvPicPr>
        <xdr:cNvPr id="17" name="image11.jpg">
          <a:extLst>
            <a:ext uri="{FF2B5EF4-FFF2-40B4-BE49-F238E27FC236}">
              <a16:creationId xmlns:a16="http://schemas.microsoft.com/office/drawing/2014/main" id="{00000000-0008-0000-2800-00001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714375</xdr:colOff>
      <xdr:row>1347</xdr:row>
      <xdr:rowOff>66675</xdr:rowOff>
    </xdr:from>
    <xdr:ext cx="1695450" cy="600075"/>
    <xdr:pic>
      <xdr:nvPicPr>
        <xdr:cNvPr id="18" name="image11.jpg">
          <a:extLst>
            <a:ext uri="{FF2B5EF4-FFF2-40B4-BE49-F238E27FC236}">
              <a16:creationId xmlns:a16="http://schemas.microsoft.com/office/drawing/2014/main" id="{00000000-0008-0000-2800-00001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714375</xdr:colOff>
      <xdr:row>536</xdr:row>
      <xdr:rowOff>19050</xdr:rowOff>
    </xdr:from>
    <xdr:ext cx="1695450" cy="600075"/>
    <xdr:pic>
      <xdr:nvPicPr>
        <xdr:cNvPr id="19" name="image11.jpg">
          <a:extLst>
            <a:ext uri="{FF2B5EF4-FFF2-40B4-BE49-F238E27FC236}">
              <a16:creationId xmlns:a16="http://schemas.microsoft.com/office/drawing/2014/main" id="{00000000-0008-0000-2800-00001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8.xml><?xml version="1.0" encoding="utf-8"?>
<xdr:wsDr xmlns:xdr="http://schemas.openxmlformats.org/drawingml/2006/spreadsheetDrawing" xmlns:a="http://schemas.openxmlformats.org/drawingml/2006/main">
  <xdr:oneCellAnchor>
    <xdr:from>
      <xdr:col>0</xdr:col>
      <xdr:colOff>66675</xdr:colOff>
      <xdr:row>0</xdr:row>
      <xdr:rowOff>38100</xdr:rowOff>
    </xdr:from>
    <xdr:ext cx="1247775" cy="666750"/>
    <xdr:sp macro="" textlink="">
      <xdr:nvSpPr>
        <xdr:cNvPr id="37" name="Shape 37">
          <a:hlinkClick xmlns:r="http://schemas.openxmlformats.org/officeDocument/2006/relationships" r:id="rId1"/>
          <a:extLst>
            <a:ext uri="{FF2B5EF4-FFF2-40B4-BE49-F238E27FC236}">
              <a16:creationId xmlns:a16="http://schemas.microsoft.com/office/drawing/2014/main" id="{00000000-0008-0000-2900-000025000000}"/>
            </a:ext>
          </a:extLst>
        </xdr:cNvPr>
        <xdr:cNvSpPr/>
      </xdr:nvSpPr>
      <xdr:spPr>
        <a:xfrm>
          <a:off x="4736400" y="3460913"/>
          <a:ext cx="1219200" cy="638175"/>
        </a:xfrm>
        <a:prstGeom prst="leftArrow">
          <a:avLst>
            <a:gd name="adj1" fmla="val 50000"/>
            <a:gd name="adj2" fmla="val 50000"/>
          </a:avLst>
        </a:prstGeom>
        <a:solidFill>
          <a:schemeClr val="accent1"/>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VOLVER</a:t>
          </a:r>
          <a:endParaRPr sz="1400"/>
        </a:p>
      </xdr:txBody>
    </xdr:sp>
    <xdr:clientData fLocksWithSheet="0"/>
  </xdr:oneCellAnchor>
  <xdr:oneCellAnchor>
    <xdr:from>
      <xdr:col>5</xdr:col>
      <xdr:colOff>0</xdr:colOff>
      <xdr:row>0</xdr:row>
      <xdr:rowOff>28575</xdr:rowOff>
    </xdr:from>
    <xdr:ext cx="1257300" cy="742950"/>
    <xdr:sp macro="" textlink="">
      <xdr:nvSpPr>
        <xdr:cNvPr id="38" name="Shape 38">
          <a:hlinkClick xmlns:r="http://schemas.openxmlformats.org/officeDocument/2006/relationships" r:id="rId2"/>
          <a:extLst>
            <a:ext uri="{FF2B5EF4-FFF2-40B4-BE49-F238E27FC236}">
              <a16:creationId xmlns:a16="http://schemas.microsoft.com/office/drawing/2014/main" id="{00000000-0008-0000-2900-000026000000}"/>
            </a:ext>
          </a:extLst>
        </xdr:cNvPr>
        <xdr:cNvSpPr/>
      </xdr:nvSpPr>
      <xdr:spPr>
        <a:xfrm>
          <a:off x="4731638" y="3422813"/>
          <a:ext cx="1228725" cy="714375"/>
        </a:xfrm>
        <a:prstGeom prst="rightArrow">
          <a:avLst>
            <a:gd name="adj1" fmla="val 50000"/>
            <a:gd name="adj2" fmla="val 50000"/>
          </a:avLst>
        </a:prstGeom>
        <a:solidFill>
          <a:srgbClr val="92D050"/>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MATERIALES</a:t>
          </a:r>
          <a:endParaRPr sz="1400"/>
        </a:p>
      </xdr:txBody>
    </xdr:sp>
    <xdr:clientData fLocksWithSheet="0"/>
  </xdr:oneCellAnchor>
  <xdr:oneCellAnchor>
    <xdr:from>
      <xdr:col>3</xdr:col>
      <xdr:colOff>85725</xdr:colOff>
      <xdr:row>0</xdr:row>
      <xdr:rowOff>38100</xdr:rowOff>
    </xdr:from>
    <xdr:ext cx="1276350" cy="704850"/>
    <xdr:sp macro="" textlink="">
      <xdr:nvSpPr>
        <xdr:cNvPr id="39" name="Shape 39">
          <a:hlinkClick xmlns:r="http://schemas.openxmlformats.org/officeDocument/2006/relationships" r:id="rId3"/>
          <a:extLst>
            <a:ext uri="{FF2B5EF4-FFF2-40B4-BE49-F238E27FC236}">
              <a16:creationId xmlns:a16="http://schemas.microsoft.com/office/drawing/2014/main" id="{00000000-0008-0000-2900-000027000000}"/>
            </a:ext>
          </a:extLst>
        </xdr:cNvPr>
        <xdr:cNvSpPr/>
      </xdr:nvSpPr>
      <xdr:spPr>
        <a:xfrm>
          <a:off x="4722113" y="3437100"/>
          <a:ext cx="1247775" cy="685800"/>
        </a:xfrm>
        <a:prstGeom prst="rightArrow">
          <a:avLst>
            <a:gd name="adj1" fmla="val 50000"/>
            <a:gd name="adj2" fmla="val 50000"/>
          </a:avLst>
        </a:prstGeom>
        <a:solidFill>
          <a:schemeClr val="accent2"/>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EQUIPOS</a:t>
          </a:r>
          <a:endParaRPr sz="1400" b="1"/>
        </a:p>
      </xdr:txBody>
    </xdr:sp>
    <xdr:clientData fLocksWithSheet="0"/>
  </xdr:oneCellAnchor>
  <xdr:oneCellAnchor>
    <xdr:from>
      <xdr:col>1</xdr:col>
      <xdr:colOff>0</xdr:colOff>
      <xdr:row>0</xdr:row>
      <xdr:rowOff>19050</xdr:rowOff>
    </xdr:from>
    <xdr:ext cx="1238250" cy="685800"/>
    <xdr:sp macro="" textlink="">
      <xdr:nvSpPr>
        <xdr:cNvPr id="40" name="Shape 40">
          <a:hlinkClick xmlns:r="http://schemas.openxmlformats.org/officeDocument/2006/relationships" r:id="rId4"/>
          <a:extLst>
            <a:ext uri="{FF2B5EF4-FFF2-40B4-BE49-F238E27FC236}">
              <a16:creationId xmlns:a16="http://schemas.microsoft.com/office/drawing/2014/main" id="{00000000-0008-0000-2900-000028000000}"/>
            </a:ext>
          </a:extLst>
        </xdr:cNvPr>
        <xdr:cNvSpPr/>
      </xdr:nvSpPr>
      <xdr:spPr>
        <a:xfrm>
          <a:off x="4741163" y="3451388"/>
          <a:ext cx="1209675" cy="657225"/>
        </a:xfrm>
        <a:prstGeom prst="leftArrow">
          <a:avLst>
            <a:gd name="adj1" fmla="val 50000"/>
            <a:gd name="adj2" fmla="val 50000"/>
          </a:avLst>
        </a:prstGeom>
        <a:solidFill>
          <a:srgbClr val="B7CCE4"/>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300" b="1">
              <a:solidFill>
                <a:schemeClr val="lt1"/>
              </a:solidFill>
              <a:latin typeface="Calibri"/>
              <a:ea typeface="Calibri"/>
              <a:cs typeface="Calibri"/>
              <a:sym typeface="Calibri"/>
            </a:rPr>
            <a:t>Analisis Basi.</a:t>
          </a:r>
          <a:endParaRPr sz="1400"/>
        </a:p>
      </xdr:txBody>
    </xdr:sp>
    <xdr:clientData fLocksWithSheet="0"/>
  </xdr:oneCellAnchor>
  <xdr:oneCellAnchor>
    <xdr:from>
      <xdr:col>4</xdr:col>
      <xdr:colOff>638175</xdr:colOff>
      <xdr:row>6</xdr:row>
      <xdr:rowOff>47625</xdr:rowOff>
    </xdr:from>
    <xdr:ext cx="1752600" cy="571500"/>
    <xdr:pic>
      <xdr:nvPicPr>
        <xdr:cNvPr id="2" name="image12.jpg" descr="NEIVA UNIDA">
          <a:extLst>
            <a:ext uri="{FF2B5EF4-FFF2-40B4-BE49-F238E27FC236}">
              <a16:creationId xmlns:a16="http://schemas.microsoft.com/office/drawing/2014/main" id="{00000000-0008-0000-2900-000002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514350</xdr:colOff>
      <xdr:row>90</xdr:row>
      <xdr:rowOff>38100</xdr:rowOff>
    </xdr:from>
    <xdr:ext cx="1752600" cy="561975"/>
    <xdr:pic>
      <xdr:nvPicPr>
        <xdr:cNvPr id="3" name="image12.jpg" descr="NEIVA UNIDA">
          <a:extLst>
            <a:ext uri="{FF2B5EF4-FFF2-40B4-BE49-F238E27FC236}">
              <a16:creationId xmlns:a16="http://schemas.microsoft.com/office/drawing/2014/main" id="{00000000-0008-0000-2900-000003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361950</xdr:colOff>
      <xdr:row>122</xdr:row>
      <xdr:rowOff>38100</xdr:rowOff>
    </xdr:from>
    <xdr:ext cx="1752600" cy="533400"/>
    <xdr:pic>
      <xdr:nvPicPr>
        <xdr:cNvPr id="4" name="image12.jpg" descr="NEIVA UNIDA">
          <a:extLst>
            <a:ext uri="{FF2B5EF4-FFF2-40B4-BE49-F238E27FC236}">
              <a16:creationId xmlns:a16="http://schemas.microsoft.com/office/drawing/2014/main" id="{00000000-0008-0000-29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533400</xdr:colOff>
      <xdr:row>154</xdr:row>
      <xdr:rowOff>47625</xdr:rowOff>
    </xdr:from>
    <xdr:ext cx="1752600" cy="581025"/>
    <xdr:pic>
      <xdr:nvPicPr>
        <xdr:cNvPr id="5" name="image12.jpg" descr="NEIVA UNIDA">
          <a:extLst>
            <a:ext uri="{FF2B5EF4-FFF2-40B4-BE49-F238E27FC236}">
              <a16:creationId xmlns:a16="http://schemas.microsoft.com/office/drawing/2014/main" id="{00000000-0008-0000-2900-000005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390525</xdr:colOff>
      <xdr:row>250</xdr:row>
      <xdr:rowOff>28575</xdr:rowOff>
    </xdr:from>
    <xdr:ext cx="1752600" cy="571500"/>
    <xdr:pic>
      <xdr:nvPicPr>
        <xdr:cNvPr id="6" name="image12.jpg" descr="NEIVA UNIDA">
          <a:extLst>
            <a:ext uri="{FF2B5EF4-FFF2-40B4-BE49-F238E27FC236}">
              <a16:creationId xmlns:a16="http://schemas.microsoft.com/office/drawing/2014/main" id="{00000000-0008-0000-29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666750</xdr:colOff>
      <xdr:row>314</xdr:row>
      <xdr:rowOff>47625</xdr:rowOff>
    </xdr:from>
    <xdr:ext cx="1752600" cy="533400"/>
    <xdr:pic>
      <xdr:nvPicPr>
        <xdr:cNvPr id="7" name="image12.jpg" descr="NEIVA UNIDA">
          <a:extLst>
            <a:ext uri="{FF2B5EF4-FFF2-40B4-BE49-F238E27FC236}">
              <a16:creationId xmlns:a16="http://schemas.microsoft.com/office/drawing/2014/main" id="{00000000-0008-0000-29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438150</xdr:colOff>
      <xdr:row>186</xdr:row>
      <xdr:rowOff>66675</xdr:rowOff>
    </xdr:from>
    <xdr:ext cx="1819275" cy="542925"/>
    <xdr:pic>
      <xdr:nvPicPr>
        <xdr:cNvPr id="8" name="image12.jpg" descr="NEIVA UNIDA">
          <a:extLst>
            <a:ext uri="{FF2B5EF4-FFF2-40B4-BE49-F238E27FC236}">
              <a16:creationId xmlns:a16="http://schemas.microsoft.com/office/drawing/2014/main" id="{00000000-0008-0000-2900-000008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609600</xdr:colOff>
      <xdr:row>378</xdr:row>
      <xdr:rowOff>47625</xdr:rowOff>
    </xdr:from>
    <xdr:ext cx="1752600" cy="552450"/>
    <xdr:pic>
      <xdr:nvPicPr>
        <xdr:cNvPr id="9" name="image12.jpg" descr="NEIVA UNIDA">
          <a:extLst>
            <a:ext uri="{FF2B5EF4-FFF2-40B4-BE49-F238E27FC236}">
              <a16:creationId xmlns:a16="http://schemas.microsoft.com/office/drawing/2014/main" id="{00000000-0008-0000-2900-000009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552450</xdr:colOff>
      <xdr:row>282</xdr:row>
      <xdr:rowOff>38100</xdr:rowOff>
    </xdr:from>
    <xdr:ext cx="1752600" cy="552450"/>
    <xdr:pic>
      <xdr:nvPicPr>
        <xdr:cNvPr id="10" name="image12.jpg" descr="NEIVA UNIDA">
          <a:extLst>
            <a:ext uri="{FF2B5EF4-FFF2-40B4-BE49-F238E27FC236}">
              <a16:creationId xmlns:a16="http://schemas.microsoft.com/office/drawing/2014/main" id="{00000000-0008-0000-2900-00000A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485775</xdr:colOff>
      <xdr:row>410</xdr:row>
      <xdr:rowOff>9525</xdr:rowOff>
    </xdr:from>
    <xdr:ext cx="1743075" cy="542925"/>
    <xdr:pic>
      <xdr:nvPicPr>
        <xdr:cNvPr id="11" name="image12.jpg" descr="NEIVA UNIDA">
          <a:extLst>
            <a:ext uri="{FF2B5EF4-FFF2-40B4-BE49-F238E27FC236}">
              <a16:creationId xmlns:a16="http://schemas.microsoft.com/office/drawing/2014/main" id="{00000000-0008-0000-2900-00000B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714375</xdr:colOff>
      <xdr:row>38</xdr:row>
      <xdr:rowOff>28575</xdr:rowOff>
    </xdr:from>
    <xdr:ext cx="1828800" cy="600075"/>
    <xdr:pic>
      <xdr:nvPicPr>
        <xdr:cNvPr id="12" name="image11.jpg">
          <a:extLst>
            <a:ext uri="{FF2B5EF4-FFF2-40B4-BE49-F238E27FC236}">
              <a16:creationId xmlns:a16="http://schemas.microsoft.com/office/drawing/2014/main" id="{00000000-0008-0000-2900-00000C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704850</xdr:colOff>
      <xdr:row>218</xdr:row>
      <xdr:rowOff>28575</xdr:rowOff>
    </xdr:from>
    <xdr:ext cx="1828800" cy="600075"/>
    <xdr:pic>
      <xdr:nvPicPr>
        <xdr:cNvPr id="13" name="image11.jpg">
          <a:extLst>
            <a:ext uri="{FF2B5EF4-FFF2-40B4-BE49-F238E27FC236}">
              <a16:creationId xmlns:a16="http://schemas.microsoft.com/office/drawing/2014/main" id="{00000000-0008-0000-2900-00000D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704850</xdr:colOff>
      <xdr:row>346</xdr:row>
      <xdr:rowOff>66675</xdr:rowOff>
    </xdr:from>
    <xdr:ext cx="1828800" cy="600075"/>
    <xdr:pic>
      <xdr:nvPicPr>
        <xdr:cNvPr id="14" name="image11.jpg">
          <a:extLst>
            <a:ext uri="{FF2B5EF4-FFF2-40B4-BE49-F238E27FC236}">
              <a16:creationId xmlns:a16="http://schemas.microsoft.com/office/drawing/2014/main" id="{00000000-0008-0000-2900-00000E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695325</xdr:colOff>
      <xdr:row>446</xdr:row>
      <xdr:rowOff>38100</xdr:rowOff>
    </xdr:from>
    <xdr:ext cx="1828800" cy="600075"/>
    <xdr:pic>
      <xdr:nvPicPr>
        <xdr:cNvPr id="15" name="image11.jpg">
          <a:extLst>
            <a:ext uri="{FF2B5EF4-FFF2-40B4-BE49-F238E27FC236}">
              <a16:creationId xmlns:a16="http://schemas.microsoft.com/office/drawing/2014/main" id="{00000000-0008-0000-2900-00000F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714375</xdr:colOff>
      <xdr:row>479</xdr:row>
      <xdr:rowOff>19050</xdr:rowOff>
    </xdr:from>
    <xdr:ext cx="1800225" cy="590550"/>
    <xdr:pic>
      <xdr:nvPicPr>
        <xdr:cNvPr id="16" name="image15.jpg">
          <a:extLst>
            <a:ext uri="{FF2B5EF4-FFF2-40B4-BE49-F238E27FC236}">
              <a16:creationId xmlns:a16="http://schemas.microsoft.com/office/drawing/2014/main" id="{00000000-0008-0000-2900-000010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3</xdr:col>
      <xdr:colOff>723900</xdr:colOff>
      <xdr:row>515</xdr:row>
      <xdr:rowOff>28575</xdr:rowOff>
    </xdr:from>
    <xdr:ext cx="1800225" cy="590550"/>
    <xdr:pic>
      <xdr:nvPicPr>
        <xdr:cNvPr id="17" name="image11.jpg">
          <a:extLst>
            <a:ext uri="{FF2B5EF4-FFF2-40B4-BE49-F238E27FC236}">
              <a16:creationId xmlns:a16="http://schemas.microsoft.com/office/drawing/2014/main" id="{00000000-0008-0000-2900-000011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723900</xdr:colOff>
      <xdr:row>548</xdr:row>
      <xdr:rowOff>28575</xdr:rowOff>
    </xdr:from>
    <xdr:ext cx="1800225" cy="590550"/>
    <xdr:pic>
      <xdr:nvPicPr>
        <xdr:cNvPr id="18" name="image11.jpg">
          <a:extLst>
            <a:ext uri="{FF2B5EF4-FFF2-40B4-BE49-F238E27FC236}">
              <a16:creationId xmlns:a16="http://schemas.microsoft.com/office/drawing/2014/main" id="{00000000-0008-0000-2900-000012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723900</xdr:colOff>
      <xdr:row>581</xdr:row>
      <xdr:rowOff>28575</xdr:rowOff>
    </xdr:from>
    <xdr:ext cx="1800225" cy="590550"/>
    <xdr:pic>
      <xdr:nvPicPr>
        <xdr:cNvPr id="19" name="image11.jpg">
          <a:extLst>
            <a:ext uri="{FF2B5EF4-FFF2-40B4-BE49-F238E27FC236}">
              <a16:creationId xmlns:a16="http://schemas.microsoft.com/office/drawing/2014/main" id="{00000000-0008-0000-2900-000013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723900</xdr:colOff>
      <xdr:row>613</xdr:row>
      <xdr:rowOff>28575</xdr:rowOff>
    </xdr:from>
    <xdr:ext cx="1800225" cy="590550"/>
    <xdr:pic>
      <xdr:nvPicPr>
        <xdr:cNvPr id="20" name="image11.jpg">
          <a:extLst>
            <a:ext uri="{FF2B5EF4-FFF2-40B4-BE49-F238E27FC236}">
              <a16:creationId xmlns:a16="http://schemas.microsoft.com/office/drawing/2014/main" id="{00000000-0008-0000-2900-000014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723900</xdr:colOff>
      <xdr:row>645</xdr:row>
      <xdr:rowOff>28575</xdr:rowOff>
    </xdr:from>
    <xdr:ext cx="1800225" cy="590550"/>
    <xdr:pic>
      <xdr:nvPicPr>
        <xdr:cNvPr id="21" name="image11.jpg">
          <a:extLst>
            <a:ext uri="{FF2B5EF4-FFF2-40B4-BE49-F238E27FC236}">
              <a16:creationId xmlns:a16="http://schemas.microsoft.com/office/drawing/2014/main" id="{00000000-0008-0000-2900-000015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wsDr>
</file>

<file path=xl/drawings/drawing19.xml><?xml version="1.0" encoding="utf-8"?>
<xdr:wsDr xmlns:xdr="http://schemas.openxmlformats.org/drawingml/2006/spreadsheetDrawing" xmlns:a="http://schemas.openxmlformats.org/drawingml/2006/main">
  <xdr:oneCellAnchor>
    <xdr:from>
      <xdr:col>0</xdr:col>
      <xdr:colOff>66675</xdr:colOff>
      <xdr:row>0</xdr:row>
      <xdr:rowOff>38100</xdr:rowOff>
    </xdr:from>
    <xdr:ext cx="1247775" cy="666750"/>
    <xdr:sp macro="" textlink="">
      <xdr:nvSpPr>
        <xdr:cNvPr id="41" name="Shape 41">
          <a:hlinkClick xmlns:r="http://schemas.openxmlformats.org/officeDocument/2006/relationships" r:id="rId1"/>
          <a:extLst>
            <a:ext uri="{FF2B5EF4-FFF2-40B4-BE49-F238E27FC236}">
              <a16:creationId xmlns:a16="http://schemas.microsoft.com/office/drawing/2014/main" id="{00000000-0008-0000-2B00-000029000000}"/>
            </a:ext>
          </a:extLst>
        </xdr:cNvPr>
        <xdr:cNvSpPr/>
      </xdr:nvSpPr>
      <xdr:spPr>
        <a:xfrm>
          <a:off x="4736400" y="3460913"/>
          <a:ext cx="1219200" cy="638175"/>
        </a:xfrm>
        <a:prstGeom prst="leftArrow">
          <a:avLst>
            <a:gd name="adj1" fmla="val 50000"/>
            <a:gd name="adj2" fmla="val 50000"/>
          </a:avLst>
        </a:prstGeom>
        <a:solidFill>
          <a:schemeClr val="accent1"/>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VOLVER</a:t>
          </a:r>
          <a:endParaRPr sz="1400"/>
        </a:p>
      </xdr:txBody>
    </xdr:sp>
    <xdr:clientData fLocksWithSheet="0"/>
  </xdr:oneCellAnchor>
  <xdr:oneCellAnchor>
    <xdr:from>
      <xdr:col>5</xdr:col>
      <xdr:colOff>0</xdr:colOff>
      <xdr:row>0</xdr:row>
      <xdr:rowOff>28575</xdr:rowOff>
    </xdr:from>
    <xdr:ext cx="1171575" cy="742950"/>
    <xdr:sp macro="" textlink="">
      <xdr:nvSpPr>
        <xdr:cNvPr id="42" name="Shape 42">
          <a:hlinkClick xmlns:r="http://schemas.openxmlformats.org/officeDocument/2006/relationships" r:id="rId2"/>
          <a:extLst>
            <a:ext uri="{FF2B5EF4-FFF2-40B4-BE49-F238E27FC236}">
              <a16:creationId xmlns:a16="http://schemas.microsoft.com/office/drawing/2014/main" id="{00000000-0008-0000-2B00-00002A000000}"/>
            </a:ext>
          </a:extLst>
        </xdr:cNvPr>
        <xdr:cNvSpPr/>
      </xdr:nvSpPr>
      <xdr:spPr>
        <a:xfrm>
          <a:off x="4769738" y="3422813"/>
          <a:ext cx="1152525" cy="714375"/>
        </a:xfrm>
        <a:prstGeom prst="rightArrow">
          <a:avLst>
            <a:gd name="adj1" fmla="val 50000"/>
            <a:gd name="adj2" fmla="val 50000"/>
          </a:avLst>
        </a:prstGeom>
        <a:solidFill>
          <a:srgbClr val="92D050"/>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MATERIALES</a:t>
          </a:r>
          <a:endParaRPr sz="1400"/>
        </a:p>
      </xdr:txBody>
    </xdr:sp>
    <xdr:clientData fLocksWithSheet="0"/>
  </xdr:oneCellAnchor>
  <xdr:oneCellAnchor>
    <xdr:from>
      <xdr:col>3</xdr:col>
      <xdr:colOff>85725</xdr:colOff>
      <xdr:row>0</xdr:row>
      <xdr:rowOff>38100</xdr:rowOff>
    </xdr:from>
    <xdr:ext cx="1266825" cy="704850"/>
    <xdr:sp macro="" textlink="">
      <xdr:nvSpPr>
        <xdr:cNvPr id="43" name="Shape 43">
          <a:hlinkClick xmlns:r="http://schemas.openxmlformats.org/officeDocument/2006/relationships" r:id="rId3"/>
          <a:extLst>
            <a:ext uri="{FF2B5EF4-FFF2-40B4-BE49-F238E27FC236}">
              <a16:creationId xmlns:a16="http://schemas.microsoft.com/office/drawing/2014/main" id="{00000000-0008-0000-2B00-00002B000000}"/>
            </a:ext>
          </a:extLst>
        </xdr:cNvPr>
        <xdr:cNvSpPr/>
      </xdr:nvSpPr>
      <xdr:spPr>
        <a:xfrm>
          <a:off x="4726875" y="3437100"/>
          <a:ext cx="1238250" cy="685800"/>
        </a:xfrm>
        <a:prstGeom prst="rightArrow">
          <a:avLst>
            <a:gd name="adj1" fmla="val 50000"/>
            <a:gd name="adj2" fmla="val 50000"/>
          </a:avLst>
        </a:prstGeom>
        <a:solidFill>
          <a:schemeClr val="accent2"/>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EQUIPOS</a:t>
          </a:r>
          <a:endParaRPr sz="1400" b="1"/>
        </a:p>
      </xdr:txBody>
    </xdr:sp>
    <xdr:clientData fLocksWithSheet="0"/>
  </xdr:oneCellAnchor>
  <xdr:oneCellAnchor>
    <xdr:from>
      <xdr:col>1</xdr:col>
      <xdr:colOff>0</xdr:colOff>
      <xdr:row>0</xdr:row>
      <xdr:rowOff>19050</xdr:rowOff>
    </xdr:from>
    <xdr:ext cx="1238250" cy="685800"/>
    <xdr:sp macro="" textlink="">
      <xdr:nvSpPr>
        <xdr:cNvPr id="44" name="Shape 44">
          <a:hlinkClick xmlns:r="http://schemas.openxmlformats.org/officeDocument/2006/relationships" r:id="rId4"/>
          <a:extLst>
            <a:ext uri="{FF2B5EF4-FFF2-40B4-BE49-F238E27FC236}">
              <a16:creationId xmlns:a16="http://schemas.microsoft.com/office/drawing/2014/main" id="{00000000-0008-0000-2B00-00002C000000}"/>
            </a:ext>
          </a:extLst>
        </xdr:cNvPr>
        <xdr:cNvSpPr/>
      </xdr:nvSpPr>
      <xdr:spPr>
        <a:xfrm>
          <a:off x="4741163" y="3451388"/>
          <a:ext cx="1209675" cy="657225"/>
        </a:xfrm>
        <a:prstGeom prst="leftArrow">
          <a:avLst>
            <a:gd name="adj1" fmla="val 50000"/>
            <a:gd name="adj2" fmla="val 50000"/>
          </a:avLst>
        </a:prstGeom>
        <a:solidFill>
          <a:srgbClr val="B7CCE4"/>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300" b="1">
              <a:solidFill>
                <a:schemeClr val="lt1"/>
              </a:solidFill>
              <a:latin typeface="Calibri"/>
              <a:ea typeface="Calibri"/>
              <a:cs typeface="Calibri"/>
              <a:sym typeface="Calibri"/>
            </a:rPr>
            <a:t>Analisis Basi.</a:t>
          </a:r>
          <a:endParaRPr sz="1400"/>
        </a:p>
      </xdr:txBody>
    </xdr:sp>
    <xdr:clientData fLocksWithSheet="0"/>
  </xdr:oneCellAnchor>
  <xdr:oneCellAnchor>
    <xdr:from>
      <xdr:col>4</xdr:col>
      <xdr:colOff>523875</xdr:colOff>
      <xdr:row>102</xdr:row>
      <xdr:rowOff>9525</xdr:rowOff>
    </xdr:from>
    <xdr:ext cx="1476375" cy="619125"/>
    <xdr:pic>
      <xdr:nvPicPr>
        <xdr:cNvPr id="2" name="image12.jpg" descr="NEIVA UNIDA">
          <a:extLst>
            <a:ext uri="{FF2B5EF4-FFF2-40B4-BE49-F238E27FC236}">
              <a16:creationId xmlns:a16="http://schemas.microsoft.com/office/drawing/2014/main" id="{00000000-0008-0000-2B00-000002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102</xdr:row>
      <xdr:rowOff>28575</xdr:rowOff>
    </xdr:from>
    <xdr:ext cx="1181100" cy="600075"/>
    <xdr:pic>
      <xdr:nvPicPr>
        <xdr:cNvPr id="3" name="image16.jpg" descr="44 AÑOS">
          <a:extLst>
            <a:ext uri="{FF2B5EF4-FFF2-40B4-BE49-F238E27FC236}">
              <a16:creationId xmlns:a16="http://schemas.microsoft.com/office/drawing/2014/main" id="{00000000-0008-0000-2B00-000003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134</xdr:row>
      <xdr:rowOff>9525</xdr:rowOff>
    </xdr:from>
    <xdr:ext cx="1476375" cy="619125"/>
    <xdr:pic>
      <xdr:nvPicPr>
        <xdr:cNvPr id="4" name="image12.jpg" descr="NEIVA UNIDA">
          <a:extLst>
            <a:ext uri="{FF2B5EF4-FFF2-40B4-BE49-F238E27FC236}">
              <a16:creationId xmlns:a16="http://schemas.microsoft.com/office/drawing/2014/main" id="{00000000-0008-0000-2B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134</xdr:row>
      <xdr:rowOff>28575</xdr:rowOff>
    </xdr:from>
    <xdr:ext cx="1181100" cy="600075"/>
    <xdr:pic>
      <xdr:nvPicPr>
        <xdr:cNvPr id="5" name="image16.jpg" descr="44 AÑOS">
          <a:extLst>
            <a:ext uri="{FF2B5EF4-FFF2-40B4-BE49-F238E27FC236}">
              <a16:creationId xmlns:a16="http://schemas.microsoft.com/office/drawing/2014/main" id="{00000000-0008-0000-2B00-000005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166</xdr:row>
      <xdr:rowOff>9525</xdr:rowOff>
    </xdr:from>
    <xdr:ext cx="1476375" cy="619125"/>
    <xdr:pic>
      <xdr:nvPicPr>
        <xdr:cNvPr id="6" name="image12.jpg" descr="NEIVA UNIDA">
          <a:extLst>
            <a:ext uri="{FF2B5EF4-FFF2-40B4-BE49-F238E27FC236}">
              <a16:creationId xmlns:a16="http://schemas.microsoft.com/office/drawing/2014/main" id="{00000000-0008-0000-2B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523875</xdr:colOff>
      <xdr:row>198</xdr:row>
      <xdr:rowOff>9525</xdr:rowOff>
    </xdr:from>
    <xdr:ext cx="1476375" cy="619125"/>
    <xdr:pic>
      <xdr:nvPicPr>
        <xdr:cNvPr id="7" name="image12.jpg" descr="NEIVA UNIDA">
          <a:extLst>
            <a:ext uri="{FF2B5EF4-FFF2-40B4-BE49-F238E27FC236}">
              <a16:creationId xmlns:a16="http://schemas.microsoft.com/office/drawing/2014/main" id="{00000000-0008-0000-2B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198</xdr:row>
      <xdr:rowOff>28575</xdr:rowOff>
    </xdr:from>
    <xdr:ext cx="1181100" cy="600075"/>
    <xdr:pic>
      <xdr:nvPicPr>
        <xdr:cNvPr id="8" name="image16.jpg" descr="44 AÑOS">
          <a:extLst>
            <a:ext uri="{FF2B5EF4-FFF2-40B4-BE49-F238E27FC236}">
              <a16:creationId xmlns:a16="http://schemas.microsoft.com/office/drawing/2014/main" id="{00000000-0008-0000-2B00-000008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338</xdr:row>
      <xdr:rowOff>9525</xdr:rowOff>
    </xdr:from>
    <xdr:ext cx="1476375" cy="619125"/>
    <xdr:pic>
      <xdr:nvPicPr>
        <xdr:cNvPr id="9" name="image12.jpg" descr="NEIVA UNIDA">
          <a:extLst>
            <a:ext uri="{FF2B5EF4-FFF2-40B4-BE49-F238E27FC236}">
              <a16:creationId xmlns:a16="http://schemas.microsoft.com/office/drawing/2014/main" id="{00000000-0008-0000-2B00-000009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338</xdr:row>
      <xdr:rowOff>28575</xdr:rowOff>
    </xdr:from>
    <xdr:ext cx="1181100" cy="600075"/>
    <xdr:pic>
      <xdr:nvPicPr>
        <xdr:cNvPr id="10" name="image16.jpg" descr="44 AÑOS">
          <a:extLst>
            <a:ext uri="{FF2B5EF4-FFF2-40B4-BE49-F238E27FC236}">
              <a16:creationId xmlns:a16="http://schemas.microsoft.com/office/drawing/2014/main" id="{00000000-0008-0000-2B00-00000A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402</xdr:row>
      <xdr:rowOff>9525</xdr:rowOff>
    </xdr:from>
    <xdr:ext cx="1476375" cy="619125"/>
    <xdr:pic>
      <xdr:nvPicPr>
        <xdr:cNvPr id="11" name="image12.jpg" descr="NEIVA UNIDA">
          <a:extLst>
            <a:ext uri="{FF2B5EF4-FFF2-40B4-BE49-F238E27FC236}">
              <a16:creationId xmlns:a16="http://schemas.microsoft.com/office/drawing/2014/main" id="{00000000-0008-0000-2B00-00000B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402</xdr:row>
      <xdr:rowOff>28575</xdr:rowOff>
    </xdr:from>
    <xdr:ext cx="1181100" cy="600075"/>
    <xdr:pic>
      <xdr:nvPicPr>
        <xdr:cNvPr id="12" name="image16.jpg" descr="44 AÑOS">
          <a:extLst>
            <a:ext uri="{FF2B5EF4-FFF2-40B4-BE49-F238E27FC236}">
              <a16:creationId xmlns:a16="http://schemas.microsoft.com/office/drawing/2014/main" id="{00000000-0008-0000-2B00-00000C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434</xdr:row>
      <xdr:rowOff>9525</xdr:rowOff>
    </xdr:from>
    <xdr:ext cx="1476375" cy="619125"/>
    <xdr:pic>
      <xdr:nvPicPr>
        <xdr:cNvPr id="13" name="image12.jpg" descr="NEIVA UNIDA">
          <a:extLst>
            <a:ext uri="{FF2B5EF4-FFF2-40B4-BE49-F238E27FC236}">
              <a16:creationId xmlns:a16="http://schemas.microsoft.com/office/drawing/2014/main" id="{00000000-0008-0000-2B00-00000D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434</xdr:row>
      <xdr:rowOff>28575</xdr:rowOff>
    </xdr:from>
    <xdr:ext cx="1181100" cy="600075"/>
    <xdr:pic>
      <xdr:nvPicPr>
        <xdr:cNvPr id="14" name="image16.jpg" descr="44 AÑOS">
          <a:extLst>
            <a:ext uri="{FF2B5EF4-FFF2-40B4-BE49-F238E27FC236}">
              <a16:creationId xmlns:a16="http://schemas.microsoft.com/office/drawing/2014/main" id="{00000000-0008-0000-2B00-00000E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270</xdr:row>
      <xdr:rowOff>9525</xdr:rowOff>
    </xdr:from>
    <xdr:ext cx="1476375" cy="619125"/>
    <xdr:pic>
      <xdr:nvPicPr>
        <xdr:cNvPr id="15" name="image12.jpg" descr="NEIVA UNIDA">
          <a:extLst>
            <a:ext uri="{FF2B5EF4-FFF2-40B4-BE49-F238E27FC236}">
              <a16:creationId xmlns:a16="http://schemas.microsoft.com/office/drawing/2014/main" id="{00000000-0008-0000-2B00-00000F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270</xdr:row>
      <xdr:rowOff>28575</xdr:rowOff>
    </xdr:from>
    <xdr:ext cx="1181100" cy="600075"/>
    <xdr:pic>
      <xdr:nvPicPr>
        <xdr:cNvPr id="16" name="image16.jpg" descr="44 AÑOS">
          <a:extLst>
            <a:ext uri="{FF2B5EF4-FFF2-40B4-BE49-F238E27FC236}">
              <a16:creationId xmlns:a16="http://schemas.microsoft.com/office/drawing/2014/main" id="{00000000-0008-0000-2B00-000010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370</xdr:row>
      <xdr:rowOff>9525</xdr:rowOff>
    </xdr:from>
    <xdr:ext cx="1476375" cy="619125"/>
    <xdr:pic>
      <xdr:nvPicPr>
        <xdr:cNvPr id="17" name="image12.jpg" descr="NEIVA UNIDA">
          <a:extLst>
            <a:ext uri="{FF2B5EF4-FFF2-40B4-BE49-F238E27FC236}">
              <a16:creationId xmlns:a16="http://schemas.microsoft.com/office/drawing/2014/main" id="{00000000-0008-0000-2B00-000011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370</xdr:row>
      <xdr:rowOff>28575</xdr:rowOff>
    </xdr:from>
    <xdr:ext cx="1181100" cy="600075"/>
    <xdr:pic>
      <xdr:nvPicPr>
        <xdr:cNvPr id="18" name="image16.jpg" descr="44 AÑOS">
          <a:extLst>
            <a:ext uri="{FF2B5EF4-FFF2-40B4-BE49-F238E27FC236}">
              <a16:creationId xmlns:a16="http://schemas.microsoft.com/office/drawing/2014/main" id="{00000000-0008-0000-2B00-000012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466</xdr:row>
      <xdr:rowOff>9525</xdr:rowOff>
    </xdr:from>
    <xdr:ext cx="1476375" cy="619125"/>
    <xdr:pic>
      <xdr:nvPicPr>
        <xdr:cNvPr id="19" name="image12.jpg" descr="NEIVA UNIDA">
          <a:extLst>
            <a:ext uri="{FF2B5EF4-FFF2-40B4-BE49-F238E27FC236}">
              <a16:creationId xmlns:a16="http://schemas.microsoft.com/office/drawing/2014/main" id="{00000000-0008-0000-2B00-000013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466</xdr:row>
      <xdr:rowOff>28575</xdr:rowOff>
    </xdr:from>
    <xdr:ext cx="1181100" cy="600075"/>
    <xdr:pic>
      <xdr:nvPicPr>
        <xdr:cNvPr id="20" name="image16.jpg" descr="44 AÑOS">
          <a:extLst>
            <a:ext uri="{FF2B5EF4-FFF2-40B4-BE49-F238E27FC236}">
              <a16:creationId xmlns:a16="http://schemas.microsoft.com/office/drawing/2014/main" id="{00000000-0008-0000-2B00-000014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564</xdr:row>
      <xdr:rowOff>9525</xdr:rowOff>
    </xdr:from>
    <xdr:ext cx="1476375" cy="619125"/>
    <xdr:pic>
      <xdr:nvPicPr>
        <xdr:cNvPr id="21" name="image12.jpg" descr="NEIVA UNIDA">
          <a:extLst>
            <a:ext uri="{FF2B5EF4-FFF2-40B4-BE49-F238E27FC236}">
              <a16:creationId xmlns:a16="http://schemas.microsoft.com/office/drawing/2014/main" id="{00000000-0008-0000-2B00-000015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523875</xdr:colOff>
      <xdr:row>530</xdr:row>
      <xdr:rowOff>9525</xdr:rowOff>
    </xdr:from>
    <xdr:ext cx="1476375" cy="619125"/>
    <xdr:pic>
      <xdr:nvPicPr>
        <xdr:cNvPr id="22" name="image12.jpg" descr="NEIVA UNIDA">
          <a:extLst>
            <a:ext uri="{FF2B5EF4-FFF2-40B4-BE49-F238E27FC236}">
              <a16:creationId xmlns:a16="http://schemas.microsoft.com/office/drawing/2014/main" id="{00000000-0008-0000-2B00-00001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523875</xdr:colOff>
      <xdr:row>600</xdr:row>
      <xdr:rowOff>9525</xdr:rowOff>
    </xdr:from>
    <xdr:ext cx="1476375" cy="619125"/>
    <xdr:pic>
      <xdr:nvPicPr>
        <xdr:cNvPr id="23" name="image12.jpg" descr="NEIVA UNIDA">
          <a:extLst>
            <a:ext uri="{FF2B5EF4-FFF2-40B4-BE49-F238E27FC236}">
              <a16:creationId xmlns:a16="http://schemas.microsoft.com/office/drawing/2014/main" id="{00000000-0008-0000-2B00-00001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600</xdr:row>
      <xdr:rowOff>28575</xdr:rowOff>
    </xdr:from>
    <xdr:ext cx="1181100" cy="600075"/>
    <xdr:pic>
      <xdr:nvPicPr>
        <xdr:cNvPr id="24" name="image16.jpg" descr="44 AÑOS">
          <a:extLst>
            <a:ext uri="{FF2B5EF4-FFF2-40B4-BE49-F238E27FC236}">
              <a16:creationId xmlns:a16="http://schemas.microsoft.com/office/drawing/2014/main" id="{00000000-0008-0000-2B00-000018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634</xdr:row>
      <xdr:rowOff>9525</xdr:rowOff>
    </xdr:from>
    <xdr:ext cx="1476375" cy="619125"/>
    <xdr:pic>
      <xdr:nvPicPr>
        <xdr:cNvPr id="25" name="image12.jpg" descr="NEIVA UNIDA">
          <a:extLst>
            <a:ext uri="{FF2B5EF4-FFF2-40B4-BE49-F238E27FC236}">
              <a16:creationId xmlns:a16="http://schemas.microsoft.com/office/drawing/2014/main" id="{00000000-0008-0000-2B00-000019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634</xdr:row>
      <xdr:rowOff>28575</xdr:rowOff>
    </xdr:from>
    <xdr:ext cx="1181100" cy="600075"/>
    <xdr:pic>
      <xdr:nvPicPr>
        <xdr:cNvPr id="26" name="image16.jpg" descr="44 AÑOS">
          <a:extLst>
            <a:ext uri="{FF2B5EF4-FFF2-40B4-BE49-F238E27FC236}">
              <a16:creationId xmlns:a16="http://schemas.microsoft.com/office/drawing/2014/main" id="{00000000-0008-0000-2B00-00001A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38</xdr:row>
      <xdr:rowOff>9525</xdr:rowOff>
    </xdr:from>
    <xdr:ext cx="1476375" cy="619125"/>
    <xdr:pic>
      <xdr:nvPicPr>
        <xdr:cNvPr id="27" name="image12.jpg" descr="NEIVA UNIDA">
          <a:extLst>
            <a:ext uri="{FF2B5EF4-FFF2-40B4-BE49-F238E27FC236}">
              <a16:creationId xmlns:a16="http://schemas.microsoft.com/office/drawing/2014/main" id="{00000000-0008-0000-2B00-00001B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523875</xdr:colOff>
      <xdr:row>302</xdr:row>
      <xdr:rowOff>9525</xdr:rowOff>
    </xdr:from>
    <xdr:ext cx="1476375" cy="619125"/>
    <xdr:pic>
      <xdr:nvPicPr>
        <xdr:cNvPr id="28" name="image12.jpg" descr="NEIVA UNIDA">
          <a:extLst>
            <a:ext uri="{FF2B5EF4-FFF2-40B4-BE49-F238E27FC236}">
              <a16:creationId xmlns:a16="http://schemas.microsoft.com/office/drawing/2014/main" id="{00000000-0008-0000-2B00-00001C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302</xdr:row>
      <xdr:rowOff>28575</xdr:rowOff>
    </xdr:from>
    <xdr:ext cx="1181100" cy="600075"/>
    <xdr:pic>
      <xdr:nvPicPr>
        <xdr:cNvPr id="29" name="image16.jpg" descr="44 AÑOS">
          <a:extLst>
            <a:ext uri="{FF2B5EF4-FFF2-40B4-BE49-F238E27FC236}">
              <a16:creationId xmlns:a16="http://schemas.microsoft.com/office/drawing/2014/main" id="{00000000-0008-0000-2B00-00001D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667</xdr:row>
      <xdr:rowOff>9525</xdr:rowOff>
    </xdr:from>
    <xdr:ext cx="1476375" cy="619125"/>
    <xdr:pic>
      <xdr:nvPicPr>
        <xdr:cNvPr id="30" name="image12.jpg" descr="NEIVA UNIDA">
          <a:extLst>
            <a:ext uri="{FF2B5EF4-FFF2-40B4-BE49-F238E27FC236}">
              <a16:creationId xmlns:a16="http://schemas.microsoft.com/office/drawing/2014/main" id="{00000000-0008-0000-2B00-00001E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667</xdr:row>
      <xdr:rowOff>28575</xdr:rowOff>
    </xdr:from>
    <xdr:ext cx="1181100" cy="600075"/>
    <xdr:pic>
      <xdr:nvPicPr>
        <xdr:cNvPr id="31" name="image16.jpg" descr="44 AÑOS">
          <a:extLst>
            <a:ext uri="{FF2B5EF4-FFF2-40B4-BE49-F238E27FC236}">
              <a16:creationId xmlns:a16="http://schemas.microsoft.com/office/drawing/2014/main" id="{00000000-0008-0000-2B00-00001F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701</xdr:row>
      <xdr:rowOff>9525</xdr:rowOff>
    </xdr:from>
    <xdr:ext cx="1476375" cy="619125"/>
    <xdr:pic>
      <xdr:nvPicPr>
        <xdr:cNvPr id="32" name="image12.jpg" descr="NEIVA UNIDA">
          <a:extLst>
            <a:ext uri="{FF2B5EF4-FFF2-40B4-BE49-F238E27FC236}">
              <a16:creationId xmlns:a16="http://schemas.microsoft.com/office/drawing/2014/main" id="{00000000-0008-0000-2B00-000020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701</xdr:row>
      <xdr:rowOff>28575</xdr:rowOff>
    </xdr:from>
    <xdr:ext cx="1181100" cy="600075"/>
    <xdr:pic>
      <xdr:nvPicPr>
        <xdr:cNvPr id="33" name="image16.jpg" descr="44 AÑOS">
          <a:extLst>
            <a:ext uri="{FF2B5EF4-FFF2-40B4-BE49-F238E27FC236}">
              <a16:creationId xmlns:a16="http://schemas.microsoft.com/office/drawing/2014/main" id="{00000000-0008-0000-2B00-000021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734</xdr:row>
      <xdr:rowOff>9525</xdr:rowOff>
    </xdr:from>
    <xdr:ext cx="1476375" cy="619125"/>
    <xdr:pic>
      <xdr:nvPicPr>
        <xdr:cNvPr id="34" name="image12.jpg" descr="NEIVA UNIDA">
          <a:extLst>
            <a:ext uri="{FF2B5EF4-FFF2-40B4-BE49-F238E27FC236}">
              <a16:creationId xmlns:a16="http://schemas.microsoft.com/office/drawing/2014/main" id="{00000000-0008-0000-2B00-000022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734</xdr:row>
      <xdr:rowOff>28575</xdr:rowOff>
    </xdr:from>
    <xdr:ext cx="1181100" cy="600075"/>
    <xdr:pic>
      <xdr:nvPicPr>
        <xdr:cNvPr id="35" name="image16.jpg" descr="44 AÑOS">
          <a:extLst>
            <a:ext uri="{FF2B5EF4-FFF2-40B4-BE49-F238E27FC236}">
              <a16:creationId xmlns:a16="http://schemas.microsoft.com/office/drawing/2014/main" id="{00000000-0008-0000-2B00-000023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766</xdr:row>
      <xdr:rowOff>9525</xdr:rowOff>
    </xdr:from>
    <xdr:ext cx="1476375" cy="619125"/>
    <xdr:pic>
      <xdr:nvPicPr>
        <xdr:cNvPr id="36" name="image12.jpg" descr="NEIVA UNIDA">
          <a:extLst>
            <a:ext uri="{FF2B5EF4-FFF2-40B4-BE49-F238E27FC236}">
              <a16:creationId xmlns:a16="http://schemas.microsoft.com/office/drawing/2014/main" id="{00000000-0008-0000-2B00-00002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766</xdr:row>
      <xdr:rowOff>28575</xdr:rowOff>
    </xdr:from>
    <xdr:ext cx="1181100" cy="600075"/>
    <xdr:pic>
      <xdr:nvPicPr>
        <xdr:cNvPr id="37" name="image16.jpg" descr="44 AÑOS">
          <a:extLst>
            <a:ext uri="{FF2B5EF4-FFF2-40B4-BE49-F238E27FC236}">
              <a16:creationId xmlns:a16="http://schemas.microsoft.com/office/drawing/2014/main" id="{00000000-0008-0000-2B00-000025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835</xdr:row>
      <xdr:rowOff>9525</xdr:rowOff>
    </xdr:from>
    <xdr:ext cx="1476375" cy="619125"/>
    <xdr:pic>
      <xdr:nvPicPr>
        <xdr:cNvPr id="38" name="image12.jpg" descr="NEIVA UNIDA">
          <a:extLst>
            <a:ext uri="{FF2B5EF4-FFF2-40B4-BE49-F238E27FC236}">
              <a16:creationId xmlns:a16="http://schemas.microsoft.com/office/drawing/2014/main" id="{00000000-0008-0000-2B00-00002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835</xdr:row>
      <xdr:rowOff>28575</xdr:rowOff>
    </xdr:from>
    <xdr:ext cx="1181100" cy="600075"/>
    <xdr:pic>
      <xdr:nvPicPr>
        <xdr:cNvPr id="39" name="image16.jpg" descr="44 AÑOS">
          <a:extLst>
            <a:ext uri="{FF2B5EF4-FFF2-40B4-BE49-F238E27FC236}">
              <a16:creationId xmlns:a16="http://schemas.microsoft.com/office/drawing/2014/main" id="{00000000-0008-0000-2B00-00002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869</xdr:row>
      <xdr:rowOff>9525</xdr:rowOff>
    </xdr:from>
    <xdr:ext cx="1476375" cy="619125"/>
    <xdr:pic>
      <xdr:nvPicPr>
        <xdr:cNvPr id="40" name="image12.jpg" descr="NEIVA UNIDA">
          <a:extLst>
            <a:ext uri="{FF2B5EF4-FFF2-40B4-BE49-F238E27FC236}">
              <a16:creationId xmlns:a16="http://schemas.microsoft.com/office/drawing/2014/main" id="{00000000-0008-0000-2B00-000028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869</xdr:row>
      <xdr:rowOff>28575</xdr:rowOff>
    </xdr:from>
    <xdr:ext cx="1181100" cy="600075"/>
    <xdr:pic>
      <xdr:nvPicPr>
        <xdr:cNvPr id="45" name="image16.jpg" descr="44 AÑOS">
          <a:extLst>
            <a:ext uri="{FF2B5EF4-FFF2-40B4-BE49-F238E27FC236}">
              <a16:creationId xmlns:a16="http://schemas.microsoft.com/office/drawing/2014/main" id="{00000000-0008-0000-2B00-00002D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901</xdr:row>
      <xdr:rowOff>9525</xdr:rowOff>
    </xdr:from>
    <xdr:ext cx="1476375" cy="619125"/>
    <xdr:pic>
      <xdr:nvPicPr>
        <xdr:cNvPr id="46" name="image12.jpg" descr="NEIVA UNIDA">
          <a:extLst>
            <a:ext uri="{FF2B5EF4-FFF2-40B4-BE49-F238E27FC236}">
              <a16:creationId xmlns:a16="http://schemas.microsoft.com/office/drawing/2014/main" id="{00000000-0008-0000-2B00-00002E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901</xdr:row>
      <xdr:rowOff>28575</xdr:rowOff>
    </xdr:from>
    <xdr:ext cx="1181100" cy="600075"/>
    <xdr:pic>
      <xdr:nvPicPr>
        <xdr:cNvPr id="47" name="image16.jpg" descr="44 AÑOS">
          <a:extLst>
            <a:ext uri="{FF2B5EF4-FFF2-40B4-BE49-F238E27FC236}">
              <a16:creationId xmlns:a16="http://schemas.microsoft.com/office/drawing/2014/main" id="{00000000-0008-0000-2B00-00002F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934</xdr:row>
      <xdr:rowOff>9525</xdr:rowOff>
    </xdr:from>
    <xdr:ext cx="1476375" cy="619125"/>
    <xdr:pic>
      <xdr:nvPicPr>
        <xdr:cNvPr id="48" name="image12.jpg" descr="NEIVA UNIDA">
          <a:extLst>
            <a:ext uri="{FF2B5EF4-FFF2-40B4-BE49-F238E27FC236}">
              <a16:creationId xmlns:a16="http://schemas.microsoft.com/office/drawing/2014/main" id="{00000000-0008-0000-2B00-000030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934</xdr:row>
      <xdr:rowOff>28575</xdr:rowOff>
    </xdr:from>
    <xdr:ext cx="1181100" cy="600075"/>
    <xdr:pic>
      <xdr:nvPicPr>
        <xdr:cNvPr id="49" name="image16.jpg" descr="44 AÑOS">
          <a:extLst>
            <a:ext uri="{FF2B5EF4-FFF2-40B4-BE49-F238E27FC236}">
              <a16:creationId xmlns:a16="http://schemas.microsoft.com/office/drawing/2014/main" id="{00000000-0008-0000-2B00-000031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967</xdr:row>
      <xdr:rowOff>9525</xdr:rowOff>
    </xdr:from>
    <xdr:ext cx="1476375" cy="619125"/>
    <xdr:pic>
      <xdr:nvPicPr>
        <xdr:cNvPr id="50" name="image12.jpg" descr="NEIVA UNIDA">
          <a:extLst>
            <a:ext uri="{FF2B5EF4-FFF2-40B4-BE49-F238E27FC236}">
              <a16:creationId xmlns:a16="http://schemas.microsoft.com/office/drawing/2014/main" id="{00000000-0008-0000-2B00-000032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967</xdr:row>
      <xdr:rowOff>28575</xdr:rowOff>
    </xdr:from>
    <xdr:ext cx="1181100" cy="600075"/>
    <xdr:pic>
      <xdr:nvPicPr>
        <xdr:cNvPr id="51" name="image16.jpg" descr="44 AÑOS">
          <a:extLst>
            <a:ext uri="{FF2B5EF4-FFF2-40B4-BE49-F238E27FC236}">
              <a16:creationId xmlns:a16="http://schemas.microsoft.com/office/drawing/2014/main" id="{00000000-0008-0000-2B00-000033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999</xdr:row>
      <xdr:rowOff>9525</xdr:rowOff>
    </xdr:from>
    <xdr:ext cx="1476375" cy="619125"/>
    <xdr:pic>
      <xdr:nvPicPr>
        <xdr:cNvPr id="52" name="image12.jpg" descr="NEIVA UNIDA">
          <a:extLst>
            <a:ext uri="{FF2B5EF4-FFF2-40B4-BE49-F238E27FC236}">
              <a16:creationId xmlns:a16="http://schemas.microsoft.com/office/drawing/2014/main" id="{00000000-0008-0000-2B00-00003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999</xdr:row>
      <xdr:rowOff>28575</xdr:rowOff>
    </xdr:from>
    <xdr:ext cx="1181100" cy="600075"/>
    <xdr:pic>
      <xdr:nvPicPr>
        <xdr:cNvPr id="53" name="image16.jpg" descr="44 AÑOS">
          <a:extLst>
            <a:ext uri="{FF2B5EF4-FFF2-40B4-BE49-F238E27FC236}">
              <a16:creationId xmlns:a16="http://schemas.microsoft.com/office/drawing/2014/main" id="{00000000-0008-0000-2B00-000035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1031</xdr:row>
      <xdr:rowOff>9525</xdr:rowOff>
    </xdr:from>
    <xdr:ext cx="1476375" cy="619125"/>
    <xdr:pic>
      <xdr:nvPicPr>
        <xdr:cNvPr id="54" name="image12.jpg" descr="NEIVA UNIDA">
          <a:extLst>
            <a:ext uri="{FF2B5EF4-FFF2-40B4-BE49-F238E27FC236}">
              <a16:creationId xmlns:a16="http://schemas.microsoft.com/office/drawing/2014/main" id="{00000000-0008-0000-2B00-00003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1031</xdr:row>
      <xdr:rowOff>28575</xdr:rowOff>
    </xdr:from>
    <xdr:ext cx="1181100" cy="600075"/>
    <xdr:pic>
      <xdr:nvPicPr>
        <xdr:cNvPr id="55" name="image16.jpg" descr="44 AÑOS">
          <a:extLst>
            <a:ext uri="{FF2B5EF4-FFF2-40B4-BE49-F238E27FC236}">
              <a16:creationId xmlns:a16="http://schemas.microsoft.com/office/drawing/2014/main" id="{00000000-0008-0000-2B00-00003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523875</xdr:colOff>
      <xdr:row>1062</xdr:row>
      <xdr:rowOff>9525</xdr:rowOff>
    </xdr:from>
    <xdr:ext cx="1476375" cy="619125"/>
    <xdr:pic>
      <xdr:nvPicPr>
        <xdr:cNvPr id="56" name="image12.jpg" descr="NEIVA UNIDA">
          <a:extLst>
            <a:ext uri="{FF2B5EF4-FFF2-40B4-BE49-F238E27FC236}">
              <a16:creationId xmlns:a16="http://schemas.microsoft.com/office/drawing/2014/main" id="{00000000-0008-0000-2B00-000038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85725</xdr:colOff>
      <xdr:row>1062</xdr:row>
      <xdr:rowOff>28575</xdr:rowOff>
    </xdr:from>
    <xdr:ext cx="1181100" cy="600075"/>
    <xdr:pic>
      <xdr:nvPicPr>
        <xdr:cNvPr id="57" name="image16.jpg" descr="44 AÑOS">
          <a:extLst>
            <a:ext uri="{FF2B5EF4-FFF2-40B4-BE49-F238E27FC236}">
              <a16:creationId xmlns:a16="http://schemas.microsoft.com/office/drawing/2014/main" id="{00000000-0008-0000-2B00-000039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333375</xdr:colOff>
      <xdr:row>1255</xdr:row>
      <xdr:rowOff>28575</xdr:rowOff>
    </xdr:from>
    <xdr:ext cx="1476375" cy="495300"/>
    <xdr:pic>
      <xdr:nvPicPr>
        <xdr:cNvPr id="58" name="image12.jpg" descr="NEIVA UNIDA">
          <a:extLst>
            <a:ext uri="{FF2B5EF4-FFF2-40B4-BE49-F238E27FC236}">
              <a16:creationId xmlns:a16="http://schemas.microsoft.com/office/drawing/2014/main" id="{00000000-0008-0000-2B00-00003A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85725</xdr:colOff>
      <xdr:row>1287</xdr:row>
      <xdr:rowOff>114300</xdr:rowOff>
    </xdr:from>
    <xdr:ext cx="1476375" cy="447675"/>
    <xdr:pic>
      <xdr:nvPicPr>
        <xdr:cNvPr id="59" name="image12.jpg" descr="NEIVA UNIDA">
          <a:extLst>
            <a:ext uri="{FF2B5EF4-FFF2-40B4-BE49-F238E27FC236}">
              <a16:creationId xmlns:a16="http://schemas.microsoft.com/office/drawing/2014/main" id="{00000000-0008-0000-2B00-00003B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180975</xdr:colOff>
      <xdr:row>1319</xdr:row>
      <xdr:rowOff>85725</xdr:rowOff>
    </xdr:from>
    <xdr:ext cx="1476375" cy="447675"/>
    <xdr:pic>
      <xdr:nvPicPr>
        <xdr:cNvPr id="60" name="image12.jpg" descr="NEIVA UNIDA">
          <a:extLst>
            <a:ext uri="{FF2B5EF4-FFF2-40B4-BE49-F238E27FC236}">
              <a16:creationId xmlns:a16="http://schemas.microsoft.com/office/drawing/2014/main" id="{00000000-0008-0000-2B00-00003C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247650</xdr:colOff>
      <xdr:row>1351</xdr:row>
      <xdr:rowOff>123825</xdr:rowOff>
    </xdr:from>
    <xdr:ext cx="1476375" cy="447675"/>
    <xdr:pic>
      <xdr:nvPicPr>
        <xdr:cNvPr id="61" name="image12.jpg" descr="NEIVA UNIDA">
          <a:extLst>
            <a:ext uri="{FF2B5EF4-FFF2-40B4-BE49-F238E27FC236}">
              <a16:creationId xmlns:a16="http://schemas.microsoft.com/office/drawing/2014/main" id="{00000000-0008-0000-2B00-00003D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276225</xdr:colOff>
      <xdr:row>1383</xdr:row>
      <xdr:rowOff>66675</xdr:rowOff>
    </xdr:from>
    <xdr:ext cx="1476375" cy="447675"/>
    <xdr:pic>
      <xdr:nvPicPr>
        <xdr:cNvPr id="62" name="image12.jpg" descr="NEIVA UNIDA">
          <a:extLst>
            <a:ext uri="{FF2B5EF4-FFF2-40B4-BE49-F238E27FC236}">
              <a16:creationId xmlns:a16="http://schemas.microsoft.com/office/drawing/2014/main" id="{00000000-0008-0000-2B00-00003E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314325</xdr:colOff>
      <xdr:row>1547</xdr:row>
      <xdr:rowOff>123825</xdr:rowOff>
    </xdr:from>
    <xdr:ext cx="1257300" cy="342900"/>
    <xdr:pic>
      <xdr:nvPicPr>
        <xdr:cNvPr id="63" name="image12.jpg" descr="NEIVA UNIDA">
          <a:extLst>
            <a:ext uri="{FF2B5EF4-FFF2-40B4-BE49-F238E27FC236}">
              <a16:creationId xmlns:a16="http://schemas.microsoft.com/office/drawing/2014/main" id="{00000000-0008-0000-2B00-00003F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466725</xdr:colOff>
      <xdr:row>1580</xdr:row>
      <xdr:rowOff>66675</xdr:rowOff>
    </xdr:from>
    <xdr:ext cx="1600200" cy="447675"/>
    <xdr:pic>
      <xdr:nvPicPr>
        <xdr:cNvPr id="64" name="image12.jpg" descr="NEIVA UNIDA">
          <a:extLst>
            <a:ext uri="{FF2B5EF4-FFF2-40B4-BE49-F238E27FC236}">
              <a16:creationId xmlns:a16="http://schemas.microsoft.com/office/drawing/2014/main" id="{00000000-0008-0000-2B00-000040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495300</xdr:colOff>
      <xdr:row>1613</xdr:row>
      <xdr:rowOff>66675</xdr:rowOff>
    </xdr:from>
    <xdr:ext cx="1600200" cy="447675"/>
    <xdr:pic>
      <xdr:nvPicPr>
        <xdr:cNvPr id="65" name="image12.jpg" descr="NEIVA UNIDA">
          <a:extLst>
            <a:ext uri="{FF2B5EF4-FFF2-40B4-BE49-F238E27FC236}">
              <a16:creationId xmlns:a16="http://schemas.microsoft.com/office/drawing/2014/main" id="{00000000-0008-0000-2B00-000041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552450</xdr:colOff>
      <xdr:row>1646</xdr:row>
      <xdr:rowOff>38100</xdr:rowOff>
    </xdr:from>
    <xdr:ext cx="1590675" cy="466725"/>
    <xdr:pic>
      <xdr:nvPicPr>
        <xdr:cNvPr id="66" name="image12.jpg" descr="NEIVA UNIDA">
          <a:extLst>
            <a:ext uri="{FF2B5EF4-FFF2-40B4-BE49-F238E27FC236}">
              <a16:creationId xmlns:a16="http://schemas.microsoft.com/office/drawing/2014/main" id="{00000000-0008-0000-2B00-000042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619125</xdr:colOff>
      <xdr:row>1679</xdr:row>
      <xdr:rowOff>104775</xdr:rowOff>
    </xdr:from>
    <xdr:ext cx="1600200" cy="285750"/>
    <xdr:pic>
      <xdr:nvPicPr>
        <xdr:cNvPr id="67" name="image12.jpg" descr="NEIVA UNIDA">
          <a:extLst>
            <a:ext uri="{FF2B5EF4-FFF2-40B4-BE49-F238E27FC236}">
              <a16:creationId xmlns:a16="http://schemas.microsoft.com/office/drawing/2014/main" id="{00000000-0008-0000-2B00-000043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638175</xdr:colOff>
      <xdr:row>1714</xdr:row>
      <xdr:rowOff>38100</xdr:rowOff>
    </xdr:from>
    <xdr:ext cx="1466850" cy="266700"/>
    <xdr:pic>
      <xdr:nvPicPr>
        <xdr:cNvPr id="68" name="image12.jpg" descr="NEIVA UNIDA">
          <a:extLst>
            <a:ext uri="{FF2B5EF4-FFF2-40B4-BE49-F238E27FC236}">
              <a16:creationId xmlns:a16="http://schemas.microsoft.com/office/drawing/2014/main" id="{00000000-0008-0000-2B00-00004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361950</xdr:colOff>
      <xdr:row>1809</xdr:row>
      <xdr:rowOff>133350</xdr:rowOff>
    </xdr:from>
    <xdr:ext cx="1476375" cy="447675"/>
    <xdr:pic>
      <xdr:nvPicPr>
        <xdr:cNvPr id="69" name="image12.jpg" descr="NEIVA UNIDA">
          <a:extLst>
            <a:ext uri="{FF2B5EF4-FFF2-40B4-BE49-F238E27FC236}">
              <a16:creationId xmlns:a16="http://schemas.microsoft.com/office/drawing/2014/main" id="{00000000-0008-0000-2B00-000045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647700</xdr:colOff>
      <xdr:row>1843</xdr:row>
      <xdr:rowOff>28575</xdr:rowOff>
    </xdr:from>
    <xdr:ext cx="1466850" cy="533400"/>
    <xdr:pic>
      <xdr:nvPicPr>
        <xdr:cNvPr id="70" name="image12.jpg" descr="NEIVA UNIDA">
          <a:extLst>
            <a:ext uri="{FF2B5EF4-FFF2-40B4-BE49-F238E27FC236}">
              <a16:creationId xmlns:a16="http://schemas.microsoft.com/office/drawing/2014/main" id="{00000000-0008-0000-2B00-00004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723900</xdr:colOff>
      <xdr:row>1876</xdr:row>
      <xdr:rowOff>57150</xdr:rowOff>
    </xdr:from>
    <xdr:ext cx="1466850" cy="447675"/>
    <xdr:pic>
      <xdr:nvPicPr>
        <xdr:cNvPr id="71" name="image12.jpg" descr="NEIVA UNIDA">
          <a:extLst>
            <a:ext uri="{FF2B5EF4-FFF2-40B4-BE49-F238E27FC236}">
              <a16:creationId xmlns:a16="http://schemas.microsoft.com/office/drawing/2014/main" id="{00000000-0008-0000-2B00-00004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647700</xdr:colOff>
      <xdr:row>1908</xdr:row>
      <xdr:rowOff>28575</xdr:rowOff>
    </xdr:from>
    <xdr:ext cx="1466850" cy="514350"/>
    <xdr:pic>
      <xdr:nvPicPr>
        <xdr:cNvPr id="72" name="image12.jpg" descr="NEIVA UNIDA">
          <a:extLst>
            <a:ext uri="{FF2B5EF4-FFF2-40B4-BE49-F238E27FC236}">
              <a16:creationId xmlns:a16="http://schemas.microsoft.com/office/drawing/2014/main" id="{00000000-0008-0000-2B00-000048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390525</xdr:colOff>
      <xdr:row>6</xdr:row>
      <xdr:rowOff>19050</xdr:rowOff>
    </xdr:from>
    <xdr:ext cx="2009775" cy="600075"/>
    <xdr:pic>
      <xdr:nvPicPr>
        <xdr:cNvPr id="73" name="image11.jpg">
          <a:extLst>
            <a:ext uri="{FF2B5EF4-FFF2-40B4-BE49-F238E27FC236}">
              <a16:creationId xmlns:a16="http://schemas.microsoft.com/office/drawing/2014/main" id="{00000000-0008-0000-2B00-000049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3</xdr:col>
      <xdr:colOff>361950</xdr:colOff>
      <xdr:row>70</xdr:row>
      <xdr:rowOff>19050</xdr:rowOff>
    </xdr:from>
    <xdr:ext cx="2009775" cy="600075"/>
    <xdr:pic>
      <xdr:nvPicPr>
        <xdr:cNvPr id="74" name="image11.jpg">
          <a:extLst>
            <a:ext uri="{FF2B5EF4-FFF2-40B4-BE49-F238E27FC236}">
              <a16:creationId xmlns:a16="http://schemas.microsoft.com/office/drawing/2014/main" id="{00000000-0008-0000-2B00-00004A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3</xdr:col>
      <xdr:colOff>361950</xdr:colOff>
      <xdr:row>498</xdr:row>
      <xdr:rowOff>28575</xdr:rowOff>
    </xdr:from>
    <xdr:ext cx="2009775" cy="600075"/>
    <xdr:pic>
      <xdr:nvPicPr>
        <xdr:cNvPr id="75" name="image11.jpg">
          <a:extLst>
            <a:ext uri="{FF2B5EF4-FFF2-40B4-BE49-F238E27FC236}">
              <a16:creationId xmlns:a16="http://schemas.microsoft.com/office/drawing/2014/main" id="{00000000-0008-0000-2B00-00004B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3</xdr:col>
      <xdr:colOff>371475</xdr:colOff>
      <xdr:row>803</xdr:row>
      <xdr:rowOff>38100</xdr:rowOff>
    </xdr:from>
    <xdr:ext cx="2009775" cy="600075"/>
    <xdr:pic>
      <xdr:nvPicPr>
        <xdr:cNvPr id="76" name="image11.jpg">
          <a:extLst>
            <a:ext uri="{FF2B5EF4-FFF2-40B4-BE49-F238E27FC236}">
              <a16:creationId xmlns:a16="http://schemas.microsoft.com/office/drawing/2014/main" id="{00000000-0008-0000-2B00-00004C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3</xdr:col>
      <xdr:colOff>371475</xdr:colOff>
      <xdr:row>1127</xdr:row>
      <xdr:rowOff>47625</xdr:rowOff>
    </xdr:from>
    <xdr:ext cx="2009775" cy="600075"/>
    <xdr:pic>
      <xdr:nvPicPr>
        <xdr:cNvPr id="77" name="image11.jpg">
          <a:extLst>
            <a:ext uri="{FF2B5EF4-FFF2-40B4-BE49-F238E27FC236}">
              <a16:creationId xmlns:a16="http://schemas.microsoft.com/office/drawing/2014/main" id="{00000000-0008-0000-2B00-00004D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3</xdr:col>
      <xdr:colOff>381000</xdr:colOff>
      <xdr:row>1973</xdr:row>
      <xdr:rowOff>28575</xdr:rowOff>
    </xdr:from>
    <xdr:ext cx="2009775" cy="600075"/>
    <xdr:pic>
      <xdr:nvPicPr>
        <xdr:cNvPr id="78" name="image11.jpg">
          <a:extLst>
            <a:ext uri="{FF2B5EF4-FFF2-40B4-BE49-F238E27FC236}">
              <a16:creationId xmlns:a16="http://schemas.microsoft.com/office/drawing/2014/main" id="{00000000-0008-0000-2B00-00004E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9</xdr:col>
      <xdr:colOff>628650</xdr:colOff>
      <xdr:row>235</xdr:row>
      <xdr:rowOff>95250</xdr:rowOff>
    </xdr:from>
    <xdr:ext cx="5381625" cy="3048000"/>
    <xdr:pic>
      <xdr:nvPicPr>
        <xdr:cNvPr id="79" name="image13.png">
          <a:extLst>
            <a:ext uri="{FF2B5EF4-FFF2-40B4-BE49-F238E27FC236}">
              <a16:creationId xmlns:a16="http://schemas.microsoft.com/office/drawing/2014/main" id="{00000000-0008-0000-2B00-00004F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wsDr>
</file>

<file path=xl/drawings/drawing20.xml><?xml version="1.0" encoding="utf-8"?>
<xdr:wsDr xmlns:xdr="http://schemas.openxmlformats.org/drawingml/2006/spreadsheetDrawing" xmlns:a="http://schemas.openxmlformats.org/drawingml/2006/main">
  <xdr:oneCellAnchor>
    <xdr:from>
      <xdr:col>0</xdr:col>
      <xdr:colOff>66675</xdr:colOff>
      <xdr:row>1</xdr:row>
      <xdr:rowOff>38100</xdr:rowOff>
    </xdr:from>
    <xdr:ext cx="1247775" cy="704850"/>
    <xdr:sp macro="" textlink="">
      <xdr:nvSpPr>
        <xdr:cNvPr id="45" name="Shape 45">
          <a:hlinkClick xmlns:r="http://schemas.openxmlformats.org/officeDocument/2006/relationships" r:id="rId1"/>
          <a:extLst>
            <a:ext uri="{FF2B5EF4-FFF2-40B4-BE49-F238E27FC236}">
              <a16:creationId xmlns:a16="http://schemas.microsoft.com/office/drawing/2014/main" id="{00000000-0008-0000-2C00-00002D000000}"/>
            </a:ext>
          </a:extLst>
        </xdr:cNvPr>
        <xdr:cNvSpPr/>
      </xdr:nvSpPr>
      <xdr:spPr>
        <a:xfrm>
          <a:off x="4736400" y="3441863"/>
          <a:ext cx="1219200" cy="676275"/>
        </a:xfrm>
        <a:prstGeom prst="leftArrow">
          <a:avLst>
            <a:gd name="adj1" fmla="val 50000"/>
            <a:gd name="adj2" fmla="val 50000"/>
          </a:avLst>
        </a:prstGeom>
        <a:solidFill>
          <a:schemeClr val="accent1"/>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VOLVER</a:t>
          </a:r>
          <a:endParaRPr sz="1400"/>
        </a:p>
      </xdr:txBody>
    </xdr:sp>
    <xdr:clientData fLocksWithSheet="0"/>
  </xdr:oneCellAnchor>
  <xdr:oneCellAnchor>
    <xdr:from>
      <xdr:col>5</xdr:col>
      <xdr:colOff>0</xdr:colOff>
      <xdr:row>1</xdr:row>
      <xdr:rowOff>28575</xdr:rowOff>
    </xdr:from>
    <xdr:ext cx="1200150" cy="781050"/>
    <xdr:sp macro="" textlink="">
      <xdr:nvSpPr>
        <xdr:cNvPr id="46" name="Shape 46">
          <a:hlinkClick xmlns:r="http://schemas.openxmlformats.org/officeDocument/2006/relationships" r:id="rId2"/>
          <a:extLst>
            <a:ext uri="{FF2B5EF4-FFF2-40B4-BE49-F238E27FC236}">
              <a16:creationId xmlns:a16="http://schemas.microsoft.com/office/drawing/2014/main" id="{00000000-0008-0000-2C00-00002E000000}"/>
            </a:ext>
          </a:extLst>
        </xdr:cNvPr>
        <xdr:cNvSpPr/>
      </xdr:nvSpPr>
      <xdr:spPr>
        <a:xfrm>
          <a:off x="4755450" y="3403763"/>
          <a:ext cx="1181100" cy="752475"/>
        </a:xfrm>
        <a:prstGeom prst="rightArrow">
          <a:avLst>
            <a:gd name="adj1" fmla="val 50000"/>
            <a:gd name="adj2" fmla="val 50000"/>
          </a:avLst>
        </a:prstGeom>
        <a:solidFill>
          <a:srgbClr val="92D050"/>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MATERIALES</a:t>
          </a:r>
          <a:endParaRPr sz="1400"/>
        </a:p>
      </xdr:txBody>
    </xdr:sp>
    <xdr:clientData fLocksWithSheet="0"/>
  </xdr:oneCellAnchor>
  <xdr:oneCellAnchor>
    <xdr:from>
      <xdr:col>3</xdr:col>
      <xdr:colOff>85725</xdr:colOff>
      <xdr:row>1</xdr:row>
      <xdr:rowOff>38100</xdr:rowOff>
    </xdr:from>
    <xdr:ext cx="1276350" cy="742950"/>
    <xdr:sp macro="" textlink="">
      <xdr:nvSpPr>
        <xdr:cNvPr id="47" name="Shape 47">
          <a:hlinkClick xmlns:r="http://schemas.openxmlformats.org/officeDocument/2006/relationships" r:id="rId3"/>
          <a:extLst>
            <a:ext uri="{FF2B5EF4-FFF2-40B4-BE49-F238E27FC236}">
              <a16:creationId xmlns:a16="http://schemas.microsoft.com/office/drawing/2014/main" id="{00000000-0008-0000-2C00-00002F000000}"/>
            </a:ext>
          </a:extLst>
        </xdr:cNvPr>
        <xdr:cNvSpPr/>
      </xdr:nvSpPr>
      <xdr:spPr>
        <a:xfrm>
          <a:off x="4722113" y="3418050"/>
          <a:ext cx="1247775" cy="723900"/>
        </a:xfrm>
        <a:prstGeom prst="rightArrow">
          <a:avLst>
            <a:gd name="adj1" fmla="val 50000"/>
            <a:gd name="adj2" fmla="val 50000"/>
          </a:avLst>
        </a:prstGeom>
        <a:solidFill>
          <a:schemeClr val="accent2"/>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EQUIPOS</a:t>
          </a:r>
          <a:endParaRPr sz="1400" b="1"/>
        </a:p>
      </xdr:txBody>
    </xdr:sp>
    <xdr:clientData fLocksWithSheet="0"/>
  </xdr:oneCellAnchor>
  <xdr:oneCellAnchor>
    <xdr:from>
      <xdr:col>1</xdr:col>
      <xdr:colOff>0</xdr:colOff>
      <xdr:row>1</xdr:row>
      <xdr:rowOff>19050</xdr:rowOff>
    </xdr:from>
    <xdr:ext cx="1238250" cy="723900"/>
    <xdr:sp macro="" textlink="">
      <xdr:nvSpPr>
        <xdr:cNvPr id="48" name="Shape 48">
          <a:hlinkClick xmlns:r="http://schemas.openxmlformats.org/officeDocument/2006/relationships" r:id="rId4"/>
          <a:extLst>
            <a:ext uri="{FF2B5EF4-FFF2-40B4-BE49-F238E27FC236}">
              <a16:creationId xmlns:a16="http://schemas.microsoft.com/office/drawing/2014/main" id="{00000000-0008-0000-2C00-000030000000}"/>
            </a:ext>
          </a:extLst>
        </xdr:cNvPr>
        <xdr:cNvSpPr/>
      </xdr:nvSpPr>
      <xdr:spPr>
        <a:xfrm>
          <a:off x="4741163" y="3432338"/>
          <a:ext cx="1209675" cy="695325"/>
        </a:xfrm>
        <a:prstGeom prst="leftArrow">
          <a:avLst>
            <a:gd name="adj1" fmla="val 50000"/>
            <a:gd name="adj2" fmla="val 50000"/>
          </a:avLst>
        </a:prstGeom>
        <a:solidFill>
          <a:srgbClr val="B7CCE4"/>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300" b="1">
              <a:solidFill>
                <a:schemeClr val="lt1"/>
              </a:solidFill>
              <a:latin typeface="Calibri"/>
              <a:ea typeface="Calibri"/>
              <a:cs typeface="Calibri"/>
              <a:sym typeface="Calibri"/>
            </a:rPr>
            <a:t>Analisis Basi.</a:t>
          </a:r>
          <a:endParaRPr sz="1400"/>
        </a:p>
      </xdr:txBody>
    </xdr:sp>
    <xdr:clientData fLocksWithSheet="0"/>
  </xdr:oneCellAnchor>
  <xdr:oneCellAnchor>
    <xdr:from>
      <xdr:col>4</xdr:col>
      <xdr:colOff>552450</xdr:colOff>
      <xdr:row>178</xdr:row>
      <xdr:rowOff>190500</xdr:rowOff>
    </xdr:from>
    <xdr:ext cx="1695450" cy="609600"/>
    <xdr:pic>
      <xdr:nvPicPr>
        <xdr:cNvPr id="2" name="image12.jpg" descr="NEIVA UNIDA">
          <a:extLst>
            <a:ext uri="{FF2B5EF4-FFF2-40B4-BE49-F238E27FC236}">
              <a16:creationId xmlns:a16="http://schemas.microsoft.com/office/drawing/2014/main" id="{00000000-0008-0000-2C00-000002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523875</xdr:colOff>
      <xdr:row>211</xdr:row>
      <xdr:rowOff>9525</xdr:rowOff>
    </xdr:from>
    <xdr:ext cx="1695450" cy="619125"/>
    <xdr:pic>
      <xdr:nvPicPr>
        <xdr:cNvPr id="3" name="image12.jpg" descr="NEIVA UNIDA">
          <a:extLst>
            <a:ext uri="{FF2B5EF4-FFF2-40B4-BE49-F238E27FC236}">
              <a16:creationId xmlns:a16="http://schemas.microsoft.com/office/drawing/2014/main" id="{00000000-0008-0000-2C00-000003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523875</xdr:colOff>
      <xdr:row>243</xdr:row>
      <xdr:rowOff>9525</xdr:rowOff>
    </xdr:from>
    <xdr:ext cx="1695450" cy="619125"/>
    <xdr:pic>
      <xdr:nvPicPr>
        <xdr:cNvPr id="4" name="image12.jpg" descr="NEIVA UNIDA">
          <a:extLst>
            <a:ext uri="{FF2B5EF4-FFF2-40B4-BE49-F238E27FC236}">
              <a16:creationId xmlns:a16="http://schemas.microsoft.com/office/drawing/2014/main" id="{00000000-0008-0000-2C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523875</xdr:colOff>
      <xdr:row>147</xdr:row>
      <xdr:rowOff>9525</xdr:rowOff>
    </xdr:from>
    <xdr:ext cx="1695450" cy="619125"/>
    <xdr:pic>
      <xdr:nvPicPr>
        <xdr:cNvPr id="5" name="image12.jpg" descr="NEIVA UNIDA">
          <a:extLst>
            <a:ext uri="{FF2B5EF4-FFF2-40B4-BE49-F238E27FC236}">
              <a16:creationId xmlns:a16="http://schemas.microsoft.com/office/drawing/2014/main" id="{00000000-0008-0000-2C00-000005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523875</xdr:colOff>
      <xdr:row>467</xdr:row>
      <xdr:rowOff>9525</xdr:rowOff>
    </xdr:from>
    <xdr:ext cx="1695450" cy="619125"/>
    <xdr:pic>
      <xdr:nvPicPr>
        <xdr:cNvPr id="6" name="image12.jpg" descr="NEIVA UNIDA">
          <a:extLst>
            <a:ext uri="{FF2B5EF4-FFF2-40B4-BE49-F238E27FC236}">
              <a16:creationId xmlns:a16="http://schemas.microsoft.com/office/drawing/2014/main" id="{00000000-0008-0000-2C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523875</xdr:colOff>
      <xdr:row>307</xdr:row>
      <xdr:rowOff>66675</xdr:rowOff>
    </xdr:from>
    <xdr:ext cx="1695450" cy="504825"/>
    <xdr:pic>
      <xdr:nvPicPr>
        <xdr:cNvPr id="7" name="image12.jpg" descr="NEIVA UNIDA">
          <a:extLst>
            <a:ext uri="{FF2B5EF4-FFF2-40B4-BE49-F238E27FC236}">
              <a16:creationId xmlns:a16="http://schemas.microsoft.com/office/drawing/2014/main" id="{00000000-0008-0000-2C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523875</xdr:colOff>
      <xdr:row>499</xdr:row>
      <xdr:rowOff>9525</xdr:rowOff>
    </xdr:from>
    <xdr:ext cx="1695450" cy="619125"/>
    <xdr:pic>
      <xdr:nvPicPr>
        <xdr:cNvPr id="8" name="image12.jpg" descr="NEIVA UNIDA">
          <a:extLst>
            <a:ext uri="{FF2B5EF4-FFF2-40B4-BE49-F238E27FC236}">
              <a16:creationId xmlns:a16="http://schemas.microsoft.com/office/drawing/2014/main" id="{00000000-0008-0000-2C00-000008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523875</xdr:colOff>
      <xdr:row>339</xdr:row>
      <xdr:rowOff>9525</xdr:rowOff>
    </xdr:from>
    <xdr:ext cx="1695450" cy="619125"/>
    <xdr:pic>
      <xdr:nvPicPr>
        <xdr:cNvPr id="9" name="image12.jpg" descr="NEIVA UNIDA">
          <a:extLst>
            <a:ext uri="{FF2B5EF4-FFF2-40B4-BE49-F238E27FC236}">
              <a16:creationId xmlns:a16="http://schemas.microsoft.com/office/drawing/2014/main" id="{00000000-0008-0000-2C00-000009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523875</xdr:colOff>
      <xdr:row>435</xdr:row>
      <xdr:rowOff>57150</xdr:rowOff>
    </xdr:from>
    <xdr:ext cx="1695450" cy="533400"/>
    <xdr:pic>
      <xdr:nvPicPr>
        <xdr:cNvPr id="10" name="image12.jpg" descr="NEIVA UNIDA">
          <a:extLst>
            <a:ext uri="{FF2B5EF4-FFF2-40B4-BE49-F238E27FC236}">
              <a16:creationId xmlns:a16="http://schemas.microsoft.com/office/drawing/2014/main" id="{00000000-0008-0000-2C00-00000A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523875</xdr:colOff>
      <xdr:row>563</xdr:row>
      <xdr:rowOff>9525</xdr:rowOff>
    </xdr:from>
    <xdr:ext cx="1695450" cy="619125"/>
    <xdr:pic>
      <xdr:nvPicPr>
        <xdr:cNvPr id="11" name="image12.jpg" descr="NEIVA UNIDA">
          <a:extLst>
            <a:ext uri="{FF2B5EF4-FFF2-40B4-BE49-F238E27FC236}">
              <a16:creationId xmlns:a16="http://schemas.microsoft.com/office/drawing/2014/main" id="{00000000-0008-0000-2C00-00000B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523875</xdr:colOff>
      <xdr:row>595</xdr:row>
      <xdr:rowOff>9525</xdr:rowOff>
    </xdr:from>
    <xdr:ext cx="1695450" cy="619125"/>
    <xdr:pic>
      <xdr:nvPicPr>
        <xdr:cNvPr id="12" name="image12.jpg" descr="NEIVA UNIDA">
          <a:extLst>
            <a:ext uri="{FF2B5EF4-FFF2-40B4-BE49-F238E27FC236}">
              <a16:creationId xmlns:a16="http://schemas.microsoft.com/office/drawing/2014/main" id="{00000000-0008-0000-2C00-00000C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523875</xdr:colOff>
      <xdr:row>371</xdr:row>
      <xdr:rowOff>9525</xdr:rowOff>
    </xdr:from>
    <xdr:ext cx="1695450" cy="619125"/>
    <xdr:pic>
      <xdr:nvPicPr>
        <xdr:cNvPr id="13" name="image12.jpg" descr="NEIVA UNIDA">
          <a:extLst>
            <a:ext uri="{FF2B5EF4-FFF2-40B4-BE49-F238E27FC236}">
              <a16:creationId xmlns:a16="http://schemas.microsoft.com/office/drawing/2014/main" id="{00000000-0008-0000-2C00-00000D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523875</xdr:colOff>
      <xdr:row>627</xdr:row>
      <xdr:rowOff>9525</xdr:rowOff>
    </xdr:from>
    <xdr:ext cx="1695450" cy="533400"/>
    <xdr:pic>
      <xdr:nvPicPr>
        <xdr:cNvPr id="14" name="image12.jpg" descr="NEIVA UNIDA">
          <a:extLst>
            <a:ext uri="{FF2B5EF4-FFF2-40B4-BE49-F238E27FC236}">
              <a16:creationId xmlns:a16="http://schemas.microsoft.com/office/drawing/2014/main" id="{00000000-0008-0000-2C00-00000E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561975</xdr:colOff>
      <xdr:row>659</xdr:row>
      <xdr:rowOff>19050</xdr:rowOff>
    </xdr:from>
    <xdr:ext cx="1695450" cy="590550"/>
    <xdr:pic>
      <xdr:nvPicPr>
        <xdr:cNvPr id="15" name="image12.jpg" descr="NEIVA UNIDA">
          <a:extLst>
            <a:ext uri="{FF2B5EF4-FFF2-40B4-BE49-F238E27FC236}">
              <a16:creationId xmlns:a16="http://schemas.microsoft.com/office/drawing/2014/main" id="{00000000-0008-0000-2C00-00000F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21.xml><?xml version="1.0" encoding="utf-8"?>
<xdr:wsDr xmlns:xdr="http://schemas.openxmlformats.org/drawingml/2006/spreadsheetDrawing" xmlns:a="http://schemas.openxmlformats.org/drawingml/2006/main">
  <xdr:oneCellAnchor>
    <xdr:from>
      <xdr:col>0</xdr:col>
      <xdr:colOff>66675</xdr:colOff>
      <xdr:row>0</xdr:row>
      <xdr:rowOff>38100</xdr:rowOff>
    </xdr:from>
    <xdr:ext cx="1257300" cy="657225"/>
    <xdr:sp macro="" textlink="">
      <xdr:nvSpPr>
        <xdr:cNvPr id="49" name="Shape 49">
          <a:hlinkClick xmlns:r="http://schemas.openxmlformats.org/officeDocument/2006/relationships" r:id="rId1"/>
          <a:extLst>
            <a:ext uri="{FF2B5EF4-FFF2-40B4-BE49-F238E27FC236}">
              <a16:creationId xmlns:a16="http://schemas.microsoft.com/office/drawing/2014/main" id="{00000000-0008-0000-2E00-000031000000}"/>
            </a:ext>
          </a:extLst>
        </xdr:cNvPr>
        <xdr:cNvSpPr/>
      </xdr:nvSpPr>
      <xdr:spPr>
        <a:xfrm>
          <a:off x="4731638" y="3460913"/>
          <a:ext cx="1228725" cy="638175"/>
        </a:xfrm>
        <a:prstGeom prst="leftArrow">
          <a:avLst>
            <a:gd name="adj1" fmla="val 50000"/>
            <a:gd name="adj2" fmla="val 50000"/>
          </a:avLst>
        </a:prstGeom>
        <a:solidFill>
          <a:schemeClr val="accent1"/>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VOLVER</a:t>
          </a:r>
          <a:endParaRPr sz="1400"/>
        </a:p>
      </xdr:txBody>
    </xdr:sp>
    <xdr:clientData fLocksWithSheet="0"/>
  </xdr:oneCellAnchor>
  <xdr:oneCellAnchor>
    <xdr:from>
      <xdr:col>3</xdr:col>
      <xdr:colOff>828675</xdr:colOff>
      <xdr:row>0</xdr:row>
      <xdr:rowOff>19050</xdr:rowOff>
    </xdr:from>
    <xdr:ext cx="1333500" cy="762000"/>
    <xdr:sp macro="" textlink="">
      <xdr:nvSpPr>
        <xdr:cNvPr id="50" name="Shape 50">
          <a:hlinkClick xmlns:r="http://schemas.openxmlformats.org/officeDocument/2006/relationships" r:id="rId2"/>
          <a:extLst>
            <a:ext uri="{FF2B5EF4-FFF2-40B4-BE49-F238E27FC236}">
              <a16:creationId xmlns:a16="http://schemas.microsoft.com/office/drawing/2014/main" id="{00000000-0008-0000-2E00-000032000000}"/>
            </a:ext>
          </a:extLst>
        </xdr:cNvPr>
        <xdr:cNvSpPr/>
      </xdr:nvSpPr>
      <xdr:spPr>
        <a:xfrm>
          <a:off x="4693538" y="3408525"/>
          <a:ext cx="1304925" cy="742950"/>
        </a:xfrm>
        <a:prstGeom prst="rightArrow">
          <a:avLst>
            <a:gd name="adj1" fmla="val 50000"/>
            <a:gd name="adj2" fmla="val 50000"/>
          </a:avLst>
        </a:prstGeom>
        <a:solidFill>
          <a:srgbClr val="92D050"/>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MATERIALES</a:t>
          </a:r>
          <a:endParaRPr sz="1400"/>
        </a:p>
      </xdr:txBody>
    </xdr:sp>
    <xdr:clientData fLocksWithSheet="0"/>
  </xdr:oneCellAnchor>
  <xdr:oneCellAnchor>
    <xdr:from>
      <xdr:col>1</xdr:col>
      <xdr:colOff>476250</xdr:colOff>
      <xdr:row>0</xdr:row>
      <xdr:rowOff>38100</xdr:rowOff>
    </xdr:from>
    <xdr:ext cx="1181100" cy="704850"/>
    <xdr:sp macro="" textlink="">
      <xdr:nvSpPr>
        <xdr:cNvPr id="51" name="Shape 51">
          <a:hlinkClick xmlns:r="http://schemas.openxmlformats.org/officeDocument/2006/relationships" r:id="rId3"/>
          <a:extLst>
            <a:ext uri="{FF2B5EF4-FFF2-40B4-BE49-F238E27FC236}">
              <a16:creationId xmlns:a16="http://schemas.microsoft.com/office/drawing/2014/main" id="{00000000-0008-0000-2E00-000033000000}"/>
            </a:ext>
          </a:extLst>
        </xdr:cNvPr>
        <xdr:cNvSpPr/>
      </xdr:nvSpPr>
      <xdr:spPr>
        <a:xfrm>
          <a:off x="4764975" y="3437100"/>
          <a:ext cx="1162050" cy="685800"/>
        </a:xfrm>
        <a:prstGeom prst="rightArrow">
          <a:avLst>
            <a:gd name="adj1" fmla="val 50000"/>
            <a:gd name="adj2" fmla="val 50000"/>
          </a:avLst>
        </a:prstGeom>
        <a:solidFill>
          <a:schemeClr val="accent2"/>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EQUIPOS</a:t>
          </a:r>
          <a:endParaRPr sz="1400" b="1"/>
        </a:p>
      </xdr:txBody>
    </xdr:sp>
    <xdr:clientData fLocksWithSheet="0"/>
  </xdr:oneCellAnchor>
  <xdr:oneCellAnchor>
    <xdr:from>
      <xdr:col>0</xdr:col>
      <xdr:colOff>1571625</xdr:colOff>
      <xdr:row>0</xdr:row>
      <xdr:rowOff>19050</xdr:rowOff>
    </xdr:from>
    <xdr:ext cx="1333500" cy="685800"/>
    <xdr:sp macro="" textlink="">
      <xdr:nvSpPr>
        <xdr:cNvPr id="52" name="Shape 52">
          <a:hlinkClick xmlns:r="http://schemas.openxmlformats.org/officeDocument/2006/relationships" r:id="rId4"/>
          <a:extLst>
            <a:ext uri="{FF2B5EF4-FFF2-40B4-BE49-F238E27FC236}">
              <a16:creationId xmlns:a16="http://schemas.microsoft.com/office/drawing/2014/main" id="{00000000-0008-0000-2E00-000034000000}"/>
            </a:ext>
          </a:extLst>
        </xdr:cNvPr>
        <xdr:cNvSpPr/>
      </xdr:nvSpPr>
      <xdr:spPr>
        <a:xfrm>
          <a:off x="4693538" y="3451388"/>
          <a:ext cx="1304925" cy="657225"/>
        </a:xfrm>
        <a:prstGeom prst="leftArrow">
          <a:avLst>
            <a:gd name="adj1" fmla="val 50000"/>
            <a:gd name="adj2" fmla="val 50000"/>
          </a:avLst>
        </a:prstGeom>
        <a:solidFill>
          <a:srgbClr val="B7CCE4"/>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300" b="1">
              <a:solidFill>
                <a:schemeClr val="lt1"/>
              </a:solidFill>
              <a:latin typeface="Calibri"/>
              <a:ea typeface="Calibri"/>
              <a:cs typeface="Calibri"/>
              <a:sym typeface="Calibri"/>
            </a:rPr>
            <a:t>Analisis Basi.</a:t>
          </a:r>
          <a:endParaRPr sz="1400"/>
        </a:p>
      </xdr:txBody>
    </xdr:sp>
    <xdr:clientData fLocksWithSheet="0"/>
  </xdr:oneCellAnchor>
</xdr:wsDr>
</file>

<file path=xl/drawings/drawing22.xml><?xml version="1.0" encoding="utf-8"?>
<xdr:wsDr xmlns:xdr="http://schemas.openxmlformats.org/drawingml/2006/spreadsheetDrawing" xmlns:a="http://schemas.openxmlformats.org/drawingml/2006/main">
  <xdr:oneCellAnchor>
    <xdr:from>
      <xdr:col>1</xdr:col>
      <xdr:colOff>525780</xdr:colOff>
      <xdr:row>0</xdr:row>
      <xdr:rowOff>114300</xdr:rowOff>
    </xdr:from>
    <xdr:ext cx="1516380" cy="1409700"/>
    <xdr:pic>
      <xdr:nvPicPr>
        <xdr:cNvPr id="4" name="image1.jpg">
          <a:extLst>
            <a:ext uri="{FF2B5EF4-FFF2-40B4-BE49-F238E27FC236}">
              <a16:creationId xmlns:a16="http://schemas.microsoft.com/office/drawing/2014/main" id="{954D9D8A-DB72-42E0-8464-28AAD072BD9A}"/>
            </a:ext>
          </a:extLst>
        </xdr:cNvPr>
        <xdr:cNvPicPr preferRelativeResize="0"/>
      </xdr:nvPicPr>
      <xdr:blipFill>
        <a:blip xmlns:r="http://schemas.openxmlformats.org/officeDocument/2006/relationships" r:embed="rId1" cstate="print"/>
        <a:stretch>
          <a:fillRect/>
        </a:stretch>
      </xdr:blipFill>
      <xdr:spPr>
        <a:xfrm>
          <a:off x="1028700" y="114300"/>
          <a:ext cx="1516380" cy="1409700"/>
        </a:xfrm>
        <a:prstGeom prst="rect">
          <a:avLst/>
        </a:prstGeom>
        <a:noFill/>
      </xdr:spPr>
    </xdr:pic>
    <xdr:clientData fLocksWithSheet="0"/>
  </xdr:oneCellAnchor>
  <xdr:twoCellAnchor editAs="oneCell">
    <xdr:from>
      <xdr:col>18</xdr:col>
      <xdr:colOff>0</xdr:colOff>
      <xdr:row>7</xdr:row>
      <xdr:rowOff>0</xdr:rowOff>
    </xdr:from>
    <xdr:to>
      <xdr:col>35</xdr:col>
      <xdr:colOff>388620</xdr:colOff>
      <xdr:row>103</xdr:row>
      <xdr:rowOff>0</xdr:rowOff>
    </xdr:to>
    <xdr:pic>
      <xdr:nvPicPr>
        <xdr:cNvPr id="2" name="Imagen 1">
          <a:extLst>
            <a:ext uri="{FF2B5EF4-FFF2-40B4-BE49-F238E27FC236}">
              <a16:creationId xmlns:a16="http://schemas.microsoft.com/office/drawing/2014/main" id="{A995E108-413E-E3E3-E9A4-7C31F8A1F82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749260" y="1577340"/>
          <a:ext cx="18745200" cy="244449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736600</xdr:colOff>
      <xdr:row>107</xdr:row>
      <xdr:rowOff>76200</xdr:rowOff>
    </xdr:from>
    <xdr:to>
      <xdr:col>1</xdr:col>
      <xdr:colOff>1405469</xdr:colOff>
      <xdr:row>109</xdr:row>
      <xdr:rowOff>112738</xdr:rowOff>
    </xdr:to>
    <xdr:pic>
      <xdr:nvPicPr>
        <xdr:cNvPr id="3" name="Imagen 2">
          <a:extLst>
            <a:ext uri="{FF2B5EF4-FFF2-40B4-BE49-F238E27FC236}">
              <a16:creationId xmlns:a16="http://schemas.microsoft.com/office/drawing/2014/main" id="{50E85A8C-12D5-4D47-A13F-ADDF034B4BE7}"/>
            </a:ext>
          </a:extLst>
        </xdr:cNvPr>
        <xdr:cNvPicPr>
          <a:picLocks noChangeAspect="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brightnessContrast bright="20000" contrast="-40000"/>
                  </a14:imgEffect>
                </a14:imgLayer>
              </a14:imgProps>
            </a:ext>
            <a:ext uri="{28A0092B-C50C-407E-A947-70E740481C1C}">
              <a14:useLocalDpi xmlns:a14="http://schemas.microsoft.com/office/drawing/2010/main" val="0"/>
            </a:ext>
          </a:extLst>
        </a:blip>
        <a:stretch>
          <a:fillRect/>
        </a:stretch>
      </xdr:blipFill>
      <xdr:spPr>
        <a:xfrm>
          <a:off x="1244600" y="26327100"/>
          <a:ext cx="668869" cy="51913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oneCellAnchor>
    <xdr:from>
      <xdr:col>4</xdr:col>
      <xdr:colOff>742950</xdr:colOff>
      <xdr:row>0</xdr:row>
      <xdr:rowOff>38100</xdr:rowOff>
    </xdr:from>
    <xdr:ext cx="714375" cy="752475"/>
    <xdr:pic>
      <xdr:nvPicPr>
        <xdr:cNvPr id="2" name="image1.jpg">
          <a:extLst>
            <a:ext uri="{FF2B5EF4-FFF2-40B4-BE49-F238E27FC236}">
              <a16:creationId xmlns:a16="http://schemas.microsoft.com/office/drawing/2014/main" id="{00000000-0008-0000-1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4.xml><?xml version="1.0" encoding="utf-8"?>
<xdr:wsDr xmlns:xdr="http://schemas.openxmlformats.org/drawingml/2006/spreadsheetDrawing" xmlns:a="http://schemas.openxmlformats.org/drawingml/2006/main">
  <xdr:oneCellAnchor>
    <xdr:from>
      <xdr:col>0</xdr:col>
      <xdr:colOff>66675</xdr:colOff>
      <xdr:row>0</xdr:row>
      <xdr:rowOff>38100</xdr:rowOff>
    </xdr:from>
    <xdr:ext cx="1247775" cy="666750"/>
    <xdr:sp macro="" textlink="">
      <xdr:nvSpPr>
        <xdr:cNvPr id="53" name="Shape 53">
          <a:hlinkClick xmlns:r="http://schemas.openxmlformats.org/officeDocument/2006/relationships" r:id="rId1"/>
          <a:extLst>
            <a:ext uri="{FF2B5EF4-FFF2-40B4-BE49-F238E27FC236}">
              <a16:creationId xmlns:a16="http://schemas.microsoft.com/office/drawing/2014/main" id="{00000000-0008-0000-3300-000035000000}"/>
            </a:ext>
          </a:extLst>
        </xdr:cNvPr>
        <xdr:cNvSpPr/>
      </xdr:nvSpPr>
      <xdr:spPr>
        <a:xfrm>
          <a:off x="4736400" y="3460913"/>
          <a:ext cx="1219200" cy="638175"/>
        </a:xfrm>
        <a:prstGeom prst="leftArrow">
          <a:avLst>
            <a:gd name="adj1" fmla="val 50000"/>
            <a:gd name="adj2" fmla="val 50000"/>
          </a:avLst>
        </a:prstGeom>
        <a:solidFill>
          <a:schemeClr val="accent1"/>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VOLVER</a:t>
          </a:r>
          <a:endParaRPr sz="1400"/>
        </a:p>
      </xdr:txBody>
    </xdr:sp>
    <xdr:clientData fLocksWithSheet="0"/>
  </xdr:oneCellAnchor>
  <xdr:oneCellAnchor>
    <xdr:from>
      <xdr:col>5</xdr:col>
      <xdr:colOff>228600</xdr:colOff>
      <xdr:row>0</xdr:row>
      <xdr:rowOff>57150</xdr:rowOff>
    </xdr:from>
    <xdr:ext cx="1428750" cy="762000"/>
    <xdr:sp macro="" textlink="">
      <xdr:nvSpPr>
        <xdr:cNvPr id="54" name="Shape 54">
          <a:hlinkClick xmlns:r="http://schemas.openxmlformats.org/officeDocument/2006/relationships" r:id="rId2"/>
          <a:extLst>
            <a:ext uri="{FF2B5EF4-FFF2-40B4-BE49-F238E27FC236}">
              <a16:creationId xmlns:a16="http://schemas.microsoft.com/office/drawing/2014/main" id="{00000000-0008-0000-3300-000036000000}"/>
            </a:ext>
          </a:extLst>
        </xdr:cNvPr>
        <xdr:cNvSpPr/>
      </xdr:nvSpPr>
      <xdr:spPr>
        <a:xfrm>
          <a:off x="4645913" y="3408525"/>
          <a:ext cx="1400175" cy="742950"/>
        </a:xfrm>
        <a:prstGeom prst="rightArrow">
          <a:avLst>
            <a:gd name="adj1" fmla="val 50000"/>
            <a:gd name="adj2" fmla="val 50000"/>
          </a:avLst>
        </a:prstGeom>
        <a:solidFill>
          <a:srgbClr val="92D050"/>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MATERIALES</a:t>
          </a:r>
          <a:endParaRPr sz="1400"/>
        </a:p>
      </xdr:txBody>
    </xdr:sp>
    <xdr:clientData fLocksWithSheet="0"/>
  </xdr:oneCellAnchor>
  <xdr:oneCellAnchor>
    <xdr:from>
      <xdr:col>3</xdr:col>
      <xdr:colOff>419100</xdr:colOff>
      <xdr:row>0</xdr:row>
      <xdr:rowOff>38100</xdr:rowOff>
    </xdr:from>
    <xdr:ext cx="1143000" cy="704850"/>
    <xdr:sp macro="" textlink="">
      <xdr:nvSpPr>
        <xdr:cNvPr id="55" name="Shape 55">
          <a:hlinkClick xmlns:r="http://schemas.openxmlformats.org/officeDocument/2006/relationships" r:id="rId3"/>
          <a:extLst>
            <a:ext uri="{FF2B5EF4-FFF2-40B4-BE49-F238E27FC236}">
              <a16:creationId xmlns:a16="http://schemas.microsoft.com/office/drawing/2014/main" id="{00000000-0008-0000-3300-000037000000}"/>
            </a:ext>
          </a:extLst>
        </xdr:cNvPr>
        <xdr:cNvSpPr/>
      </xdr:nvSpPr>
      <xdr:spPr>
        <a:xfrm>
          <a:off x="4788788" y="3437100"/>
          <a:ext cx="1114425" cy="685800"/>
        </a:xfrm>
        <a:prstGeom prst="rightArrow">
          <a:avLst>
            <a:gd name="adj1" fmla="val 50000"/>
            <a:gd name="adj2" fmla="val 50000"/>
          </a:avLst>
        </a:prstGeom>
        <a:solidFill>
          <a:schemeClr val="accent2"/>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EQUIPOS</a:t>
          </a:r>
          <a:endParaRPr sz="1400" b="1"/>
        </a:p>
      </xdr:txBody>
    </xdr:sp>
    <xdr:clientData fLocksWithSheet="0"/>
  </xdr:oneCellAnchor>
  <xdr:oneCellAnchor>
    <xdr:from>
      <xdr:col>1</xdr:col>
      <xdr:colOff>-9525</xdr:colOff>
      <xdr:row>0</xdr:row>
      <xdr:rowOff>19050</xdr:rowOff>
    </xdr:from>
    <xdr:ext cx="1400175" cy="733425"/>
    <xdr:sp macro="" textlink="">
      <xdr:nvSpPr>
        <xdr:cNvPr id="56" name="Shape 56">
          <a:hlinkClick xmlns:r="http://schemas.openxmlformats.org/officeDocument/2006/relationships" r:id="rId4"/>
          <a:extLst>
            <a:ext uri="{FF2B5EF4-FFF2-40B4-BE49-F238E27FC236}">
              <a16:creationId xmlns:a16="http://schemas.microsoft.com/office/drawing/2014/main" id="{00000000-0008-0000-3300-000038000000}"/>
            </a:ext>
          </a:extLst>
        </xdr:cNvPr>
        <xdr:cNvSpPr/>
      </xdr:nvSpPr>
      <xdr:spPr>
        <a:xfrm>
          <a:off x="4660200" y="3427575"/>
          <a:ext cx="1371600" cy="704850"/>
        </a:xfrm>
        <a:prstGeom prst="leftArrow">
          <a:avLst>
            <a:gd name="adj1" fmla="val 50000"/>
            <a:gd name="adj2" fmla="val 50000"/>
          </a:avLst>
        </a:prstGeom>
        <a:solidFill>
          <a:srgbClr val="B7CCE4"/>
        </a:solidFill>
        <a:ln w="25400" cap="flat" cmpd="sng">
          <a:solidFill>
            <a:srgbClr val="395E89"/>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300" b="1">
              <a:solidFill>
                <a:schemeClr val="lt1"/>
              </a:solidFill>
              <a:latin typeface="Calibri"/>
              <a:ea typeface="Calibri"/>
              <a:cs typeface="Calibri"/>
              <a:sym typeface="Calibri"/>
            </a:rPr>
            <a:t>Analisis Basi.</a:t>
          </a:r>
          <a:endParaRPr sz="1400"/>
        </a:p>
      </xdr:txBody>
    </xdr:sp>
    <xdr:clientData fLocksWithSheet="0"/>
  </xdr:oneCellAnchor>
</xdr:wsDr>
</file>

<file path=xl/drawings/drawing25.xml><?xml version="1.0" encoding="utf-8"?>
<xdr:wsDr xmlns:xdr="http://schemas.openxmlformats.org/drawingml/2006/spreadsheetDrawing" xmlns:a="http://schemas.openxmlformats.org/drawingml/2006/main">
  <xdr:oneCellAnchor>
    <xdr:from>
      <xdr:col>6</xdr:col>
      <xdr:colOff>-9525</xdr:colOff>
      <xdr:row>1</xdr:row>
      <xdr:rowOff>-9525</xdr:rowOff>
    </xdr:from>
    <xdr:ext cx="1257300" cy="657225"/>
    <xdr:sp macro="" textlink="">
      <xdr:nvSpPr>
        <xdr:cNvPr id="57" name="Shape 57">
          <a:hlinkClick xmlns:r="http://schemas.openxmlformats.org/officeDocument/2006/relationships" r:id="rId1"/>
          <a:extLst>
            <a:ext uri="{FF2B5EF4-FFF2-40B4-BE49-F238E27FC236}">
              <a16:creationId xmlns:a16="http://schemas.microsoft.com/office/drawing/2014/main" id="{00000000-0008-0000-3400-000039000000}"/>
            </a:ext>
          </a:extLst>
        </xdr:cNvPr>
        <xdr:cNvSpPr/>
      </xdr:nvSpPr>
      <xdr:spPr>
        <a:xfrm>
          <a:off x="4731638" y="3460913"/>
          <a:ext cx="1228725" cy="638175"/>
        </a:xfrm>
        <a:prstGeom prst="leftArrow">
          <a:avLst>
            <a:gd name="adj1" fmla="val 50000"/>
            <a:gd name="adj2" fmla="val 50000"/>
          </a:avLst>
        </a:prstGeom>
        <a:solidFill>
          <a:schemeClr val="accent1"/>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VOLVER</a:t>
          </a:r>
          <a:endParaRPr sz="1400"/>
        </a:p>
      </xdr:txBody>
    </xdr:sp>
    <xdr:clientData fLocksWithSheet="0"/>
  </xdr:oneCellAnchor>
</xdr:wsDr>
</file>

<file path=xl/drawings/drawing26.xml><?xml version="1.0" encoding="utf-8"?>
<xdr:wsDr xmlns:xdr="http://schemas.openxmlformats.org/drawingml/2006/spreadsheetDrawing" xmlns:a="http://schemas.openxmlformats.org/drawingml/2006/main">
  <xdr:oneCellAnchor>
    <xdr:from>
      <xdr:col>6</xdr:col>
      <xdr:colOff>-9525</xdr:colOff>
      <xdr:row>4</xdr:row>
      <xdr:rowOff>0</xdr:rowOff>
    </xdr:from>
    <xdr:ext cx="1247775" cy="666750"/>
    <xdr:sp macro="" textlink="">
      <xdr:nvSpPr>
        <xdr:cNvPr id="58" name="Shape 58">
          <a:hlinkClick xmlns:r="http://schemas.openxmlformats.org/officeDocument/2006/relationships" r:id="rId1"/>
          <a:extLst>
            <a:ext uri="{FF2B5EF4-FFF2-40B4-BE49-F238E27FC236}">
              <a16:creationId xmlns:a16="http://schemas.microsoft.com/office/drawing/2014/main" id="{00000000-0008-0000-3500-00003A000000}"/>
            </a:ext>
          </a:extLst>
        </xdr:cNvPr>
        <xdr:cNvSpPr/>
      </xdr:nvSpPr>
      <xdr:spPr>
        <a:xfrm>
          <a:off x="4736400" y="3460913"/>
          <a:ext cx="1219200" cy="638175"/>
        </a:xfrm>
        <a:prstGeom prst="leftArrow">
          <a:avLst>
            <a:gd name="adj1" fmla="val 50000"/>
            <a:gd name="adj2" fmla="val 50000"/>
          </a:avLst>
        </a:prstGeom>
        <a:solidFill>
          <a:schemeClr val="accent1"/>
        </a:solidFill>
        <a:ln w="25400" cap="flat" cmpd="sng">
          <a:solidFill>
            <a:srgbClr val="395E89"/>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600" b="1">
              <a:solidFill>
                <a:schemeClr val="lt1"/>
              </a:solidFill>
              <a:latin typeface="Calibri"/>
              <a:ea typeface="Calibri"/>
              <a:cs typeface="Calibri"/>
              <a:sym typeface="Calibri"/>
            </a:rPr>
            <a:t>VOLVER</a:t>
          </a:r>
          <a:endParaRPr sz="1400"/>
        </a:p>
      </xdr:txBody>
    </xdr: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G\LICITACIONES\2017\PLACA%20HUELLA%20NATAGAIMA\Presupuesto%20Construcci&#243;n%20Puente%20Peatonal%20Manita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Informe%20Semanal%20Interventoria%20No.%2001,%20corte%20a%2028-FEB-07,%20contrato%20520233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71E8A032\a%20%20aaInformaci&#243;n%20GRUPO"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Users/luisaugustovenegas/Desktop/SEBASTOPOL%20TIERRA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Users/luisaugustovenegas/Desktop/BASE%20NOMINA%201500%20OCT13.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Users/luisaugustovenegas/Desktop/Rio%20C.%20Parte%202.xls" TargetMode="External"/></Relationships>
</file>

<file path=xl/externalLinks/_rels/externalLink60.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BASE%20DE%20DATOS%20PRESUPUESTO.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4.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luisaugustovenegas/Desktop/iNFORME%20SEMANAL%20TELMACOM%20S_R2.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luisaugustovenegas/Desktop/CUADRO%20CONTROL%20C_ESTE_1%20R2.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orlandoarana\Desktop\OBRAS%202016\ALC%20CASABIANCA\D:\Users\orlandoarana\Desktop\OBRAS%202016\MELGAR%20GUARAPERIA\PARCIALES\PARCIAL%202\PC-6\Maicao\Proyectos%202003\Maicao\T&#233;cnico\SewCAD\Cuenca5E\Area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Documents\Documents\CONSORCIO%20INFRAESTRUCTURA%20EDUCATIVA%202016\FASE%202\CONTROL\4.%20CONTROL%20DE%20COSTOS%20Y%20PRESUPUESTOS\CONTROL%20DE%20COSTOS\I.E.%20GALLARDO\Plantilla%20Presupuestos%20Circulaciones%20OK%20APRO%20I.E.%20GALLARDO.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G\Polideportivos%20madrid\Presupuesto%20herramientas%20de%20calculo\MATRIZ%20PARA%20EL%20CALCULO%20DEL%20AIU%202009.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G\Users\jmperez\Documents\TECNICA\DEPORTE%20Y%20RECREACION\02%20ESTANDARIZADO%20POLIDEPORTIVO\05%20HOJA%20CALCULO%20ESTANDARIZADO\PRESUPUESTO%20DEL%20POLIDEPORTIVO%20COMPLETO.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92.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13.%20Abril%2024%20-%20Informe%20Semanal%20Consultor&#237;a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ADM%20VIAL%2003%20-%20CORDOBA\ESTADO%20DE%20RED\2103mar%2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E:\TRABAJO%20EN%20DESARROLLO\HOSPITAL_ANIMALES\PRESUPUESTO%20ADECUACI&#211;N%20DEL%20TERRENO-2.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E:\G\Users\jhairrodolfogonzalezvelasquez\Downloads\MESING\Carlos%20(C)\00-2004\Frigosin&#250;\Bombeo-Frigosinu.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0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AMV-02-BOL\EST.V&#205;A%20CRIT.TECNICO%20AMB-BOL-02\DICIEMBRE-2008\EST.V&#205;A%20CRITERIO%20TECNICO%2090BLB.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E:\EST.V&#205;A%20CRITERIO%20TECNIC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E:\G\Users\jhairrodolfogonzalezvelasquez\Downloads\MESING\Unidad%20C\00-2004\San%20Pedro\Lagunas\Linea%20de%20Impulsion.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Users/luisaugustovenegas/Desktop/INFORME%20SEMANAL%20etsa%20concol%20ECO%2002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Users/Monica%20F/Documents/CONSORCIO%20INFRAESTRUCTURA%20EDUCATIVA%202016/FASE%202/4.%20CONTROL%20DE%20COSTOS%20Y%20PRESUPUESTOS/CONTROL%20DE%20COSTOS/I.E.%20PROMOCION%20SOCIAL/PPTO.%20I.E.%20PROMOCION%20SOCIAL%20-%2012%20Jun%202017.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1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15.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E:\TRABAJO%20EN%20DESARROLLO\1GIMNASIO_BOXEO_UDP\PRESUPESTO%20ESCENARIO%20BOXEO.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24.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26.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D:\datos\Dropbox\ALCALDIA%20PURIFICACION\Alcaldia%20Purificaci&#243;n\Programas%20Purificacion\SAGUT%202013.2-S\PROGRAMA\BASE%20DE%20DATOS%20PARA%20PRESUPUESTO.xlsm"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Pcvb/andres/Users/jmperez/Downloads/Users/ING~1.OSC/AppData/Local/Temp/Rar$DI01.853/Cantidades_750%20_Alta_Suelo%20AB.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pavimentacion%20vias%20urban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st y Dis"/>
      <sheetName val="Fondo Ensayos"/>
      <sheetName val="Obra puente"/>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row r="105">
          <cell r="J105">
            <v>0.2394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Hoja1 (2)"/>
      <sheetName val="Hoja1 (3)"/>
      <sheetName val="precios-básicos2002"/>
      <sheetName val="APUs"/>
      <sheetName val="LISTADO "/>
      <sheetName val="M.O."/>
      <sheetName val="#REF"/>
      <sheetName val="EQUIPOS"/>
      <sheetName val="MANO DE OBRA"/>
      <sheetName val="TRANSPORTE"/>
      <sheetName val="_aCCIDENTES_DE_1995___1996_xl_4"/>
      <sheetName val="//ccefici"/>
      <sheetName val="//d.docs.live.net/a  aaInformac"/>
      <sheetName val="_aCCIDENTES_DE_1995___1996_xl_3"/>
      <sheetName val="_aCCIDENTES_DE_1995___1996_xl_2"/>
      <sheetName val="_aCCIDENTES_DE_1995___1996_xl_5"/>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Hoja2"/>
      <sheetName val="MATERIAL"/>
      <sheetName val="ESTADO VÍA-CRIT.TECNICO"/>
      <sheetName val="CANT OBRA"/>
      <sheetName val="\Users\ANDRES FELIPE MUÑOZ\Down"/>
      <sheetName val="BASE"/>
      <sheetName val="aactividad"/>
      <sheetName val="HISTORICOS FUEL OIL EXP"/>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Nuevos APU Córdoba\a  aaInform"/>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Tabla CONPES 3714"/>
      <sheetName val="COSTOS UNITARIOS"/>
      <sheetName val="CA-2909"/>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C2-AG96"/>
      <sheetName val=" ACTA FINAL + MODIFICATORIA "/>
      <sheetName val="ACTA No.1 "/>
      <sheetName val="G.G"/>
      <sheetName val="DUB-823"/>
      <sheetName val="GPI 526"/>
      <sheetName val="SKJ452"/>
      <sheetName val="ITA878"/>
      <sheetName val="AEA-944"/>
      <sheetName val="XXJ617"/>
      <sheetName val="SNG_855"/>
      <sheetName val="VEA 374"/>
      <sheetName val="HFB024"/>
      <sheetName val="PAJ82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6"/>
      <sheetName val="_aCCIDENTES_DE_1995___1996_xl_7"/>
      <sheetName val="ANALISIS RESUMIDOS"/>
      <sheetName val="INDICE"/>
      <sheetName val="_aCCIDENTES_DE_1995___1996_x_11"/>
      <sheetName val="_aCCIDENTES_DE_1995___1996_xl_9"/>
      <sheetName val="_aCCIDENTES_DE_1995___1996_x_10"/>
      <sheetName val="Progra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refreshError="1"/>
      <sheetData sheetId="284"/>
      <sheetData sheetId="285"/>
      <sheetData sheetId="286" refreshError="1"/>
      <sheetData sheetId="287" refreshError="1"/>
      <sheetData sheetId="288" refreshError="1"/>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sheetData sheetId="301" refreshError="1"/>
      <sheetData sheetId="302"/>
      <sheetData sheetId="303" refreshError="1"/>
      <sheetData sheetId="304" refreshError="1"/>
      <sheetData sheetId="305" refreshError="1"/>
      <sheetData sheetId="306" refreshError="1"/>
      <sheetData sheetId="307" refreshError="1"/>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refreshError="1"/>
      <sheetData sheetId="496" refreshError="1"/>
      <sheetData sheetId="497" refreshError="1"/>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refreshError="1"/>
      <sheetData sheetId="563" refreshError="1"/>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refreshError="1"/>
      <sheetData sheetId="780" refreshError="1"/>
      <sheetData sheetId="781"/>
      <sheetData sheetId="782"/>
      <sheetData sheetId="783"/>
      <sheetData sheetId="784"/>
      <sheetData sheetId="785" refreshError="1"/>
      <sheetData sheetId="786"/>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refreshError="1"/>
      <sheetData sheetId="814"/>
      <sheetData sheetId="815" refreshError="1"/>
      <sheetData sheetId="816"/>
      <sheetData sheetId="817" refreshError="1"/>
      <sheetData sheetId="818" refreshError="1"/>
      <sheetData sheetId="819"/>
      <sheetData sheetId="820"/>
      <sheetData sheetId="821" refreshError="1"/>
      <sheetData sheetId="822" refreshError="1"/>
      <sheetData sheetId="823" refreshError="1"/>
      <sheetData sheetId="824" refreshError="1"/>
      <sheetData sheetId="825" refreshError="1"/>
      <sheetData sheetId="826"/>
      <sheetData sheetId="827"/>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refreshError="1"/>
      <sheetData sheetId="956" refreshError="1"/>
      <sheetData sheetId="957" refreshError="1"/>
      <sheetData sheetId="958" refreshError="1"/>
      <sheetData sheetId="959" refreshError="1"/>
      <sheetData sheetId="960"/>
      <sheetData sheetId="961"/>
      <sheetData sheetId="962"/>
      <sheetData sheetId="963" refreshError="1"/>
      <sheetData sheetId="964" refreshError="1"/>
      <sheetData sheetId="965" refreshError="1"/>
      <sheetData sheetId="966" refreshError="1"/>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NF-SEM-INT"/>
      <sheetName val="DATOS SEMANALES"/>
      <sheetName val="CONTRATO EST_TEC"/>
      <sheetName val="Fortalecillas"/>
    </sheetNames>
    <sheetDataSet>
      <sheetData sheetId="0" refreshError="1"/>
      <sheetData sheetId="1" refreshError="1"/>
      <sheetData sheetId="2">
        <row r="4">
          <cell r="F4">
            <v>7</v>
          </cell>
          <cell r="G4">
            <v>7</v>
          </cell>
          <cell r="H4">
            <v>7</v>
          </cell>
          <cell r="I4">
            <v>7</v>
          </cell>
          <cell r="J4">
            <v>7</v>
          </cell>
          <cell r="K4">
            <v>7</v>
          </cell>
          <cell r="L4">
            <v>7</v>
          </cell>
          <cell r="M4">
            <v>7</v>
          </cell>
          <cell r="N4">
            <v>7</v>
          </cell>
          <cell r="O4">
            <v>7</v>
          </cell>
          <cell r="P4">
            <v>7</v>
          </cell>
          <cell r="Q4">
            <v>7</v>
          </cell>
          <cell r="R4">
            <v>7</v>
          </cell>
          <cell r="S4">
            <v>7</v>
          </cell>
          <cell r="T4">
            <v>7</v>
          </cell>
          <cell r="U4">
            <v>7</v>
          </cell>
          <cell r="V4">
            <v>7</v>
          </cell>
          <cell r="W4">
            <v>7</v>
          </cell>
          <cell r="X4">
            <v>7</v>
          </cell>
          <cell r="Y4">
            <v>7</v>
          </cell>
        </row>
        <row r="5">
          <cell r="F5" t="e">
            <v>#REF!</v>
          </cell>
          <cell r="G5" t="e">
            <v>#REF!</v>
          </cell>
          <cell r="H5" t="e">
            <v>#REF!</v>
          </cell>
          <cell r="I5" t="e">
            <v>#REF!</v>
          </cell>
          <cell r="J5" t="e">
            <v>#REF!</v>
          </cell>
          <cell r="K5" t="e">
            <v>#REF!</v>
          </cell>
          <cell r="L5" t="e">
            <v>#REF!</v>
          </cell>
          <cell r="M5" t="e">
            <v>#REF!</v>
          </cell>
          <cell r="N5" t="e">
            <v>#REF!</v>
          </cell>
          <cell r="O5" t="e">
            <v>#REF!</v>
          </cell>
          <cell r="P5" t="e">
            <v>#REF!</v>
          </cell>
          <cell r="Q5" t="e">
            <v>#REF!</v>
          </cell>
          <cell r="R5" t="e">
            <v>#REF!</v>
          </cell>
          <cell r="S5" t="e">
            <v>#REF!</v>
          </cell>
          <cell r="T5" t="e">
            <v>#REF!</v>
          </cell>
          <cell r="U5" t="e">
            <v>#REF!</v>
          </cell>
          <cell r="V5" t="e">
            <v>#REF!</v>
          </cell>
          <cell r="W5" t="e">
            <v>#REF!</v>
          </cell>
          <cell r="X5" t="e">
            <v>#REF!</v>
          </cell>
          <cell r="Y5" t="e">
            <v>#REF!</v>
          </cell>
        </row>
        <row r="6">
          <cell r="F6" t="e">
            <v>#REF!</v>
          </cell>
          <cell r="G6" t="e">
            <v>#REF!</v>
          </cell>
          <cell r="H6" t="e">
            <v>#REF!</v>
          </cell>
          <cell r="I6" t="e">
            <v>#REF!</v>
          </cell>
          <cell r="J6" t="e">
            <v>#REF!</v>
          </cell>
          <cell r="K6" t="e">
            <v>#REF!</v>
          </cell>
          <cell r="L6" t="e">
            <v>#REF!</v>
          </cell>
          <cell r="M6" t="e">
            <v>#REF!</v>
          </cell>
          <cell r="N6" t="e">
            <v>#REF!</v>
          </cell>
          <cell r="O6" t="e">
            <v>#REF!</v>
          </cell>
          <cell r="P6" t="e">
            <v>#REF!</v>
          </cell>
          <cell r="Q6" t="e">
            <v>#REF!</v>
          </cell>
          <cell r="R6" t="e">
            <v>#REF!</v>
          </cell>
          <cell r="S6" t="e">
            <v>#REF!</v>
          </cell>
          <cell r="T6" t="e">
            <v>#REF!</v>
          </cell>
          <cell r="U6" t="e">
            <v>#REF!</v>
          </cell>
          <cell r="V6" t="e">
            <v>#REF!</v>
          </cell>
          <cell r="W6" t="e">
            <v>#REF!</v>
          </cell>
          <cell r="X6" t="e">
            <v>#REF!</v>
          </cell>
          <cell r="Y6" t="e">
            <v>#REF!</v>
          </cell>
        </row>
        <row r="7">
          <cell r="F7">
            <v>7</v>
          </cell>
          <cell r="G7">
            <v>7</v>
          </cell>
          <cell r="H7">
            <v>7</v>
          </cell>
          <cell r="I7">
            <v>7</v>
          </cell>
          <cell r="J7">
            <v>7</v>
          </cell>
          <cell r="K7">
            <v>7</v>
          </cell>
          <cell r="L7">
            <v>7</v>
          </cell>
          <cell r="M7">
            <v>7</v>
          </cell>
          <cell r="N7">
            <v>7</v>
          </cell>
          <cell r="O7">
            <v>7</v>
          </cell>
          <cell r="P7">
            <v>7</v>
          </cell>
          <cell r="Q7">
            <v>7</v>
          </cell>
          <cell r="R7">
            <v>7</v>
          </cell>
          <cell r="S7">
            <v>7</v>
          </cell>
          <cell r="T7">
            <v>7</v>
          </cell>
          <cell r="U7">
            <v>7</v>
          </cell>
          <cell r="V7">
            <v>7</v>
          </cell>
          <cell r="W7">
            <v>7</v>
          </cell>
          <cell r="X7">
            <v>7</v>
          </cell>
          <cell r="Y7">
            <v>0</v>
          </cell>
        </row>
        <row r="8">
          <cell r="F8">
            <v>7</v>
          </cell>
          <cell r="G8">
            <v>7</v>
          </cell>
          <cell r="H8">
            <v>7</v>
          </cell>
          <cell r="I8">
            <v>7</v>
          </cell>
          <cell r="J8">
            <v>7</v>
          </cell>
          <cell r="K8">
            <v>7</v>
          </cell>
          <cell r="L8">
            <v>7</v>
          </cell>
          <cell r="M8">
            <v>7</v>
          </cell>
          <cell r="N8">
            <v>7</v>
          </cell>
          <cell r="O8">
            <v>7</v>
          </cell>
          <cell r="P8">
            <v>7</v>
          </cell>
          <cell r="Q8">
            <v>7</v>
          </cell>
          <cell r="R8">
            <v>7</v>
          </cell>
          <cell r="S8">
            <v>7</v>
          </cell>
          <cell r="T8">
            <v>7</v>
          </cell>
          <cell r="U8">
            <v>7</v>
          </cell>
          <cell r="V8">
            <v>7</v>
          </cell>
          <cell r="W8">
            <v>7</v>
          </cell>
          <cell r="X8">
            <v>7</v>
          </cell>
          <cell r="Y8">
            <v>0</v>
          </cell>
        </row>
        <row r="9">
          <cell r="F9" t="e">
            <v>#REF!</v>
          </cell>
          <cell r="G9" t="e">
            <v>#REF!</v>
          </cell>
          <cell r="H9" t="e">
            <v>#REF!</v>
          </cell>
          <cell r="I9" t="e">
            <v>#REF!</v>
          </cell>
          <cell r="J9" t="e">
            <v>#REF!</v>
          </cell>
          <cell r="K9" t="e">
            <v>#REF!</v>
          </cell>
          <cell r="L9" t="e">
            <v>#REF!</v>
          </cell>
          <cell r="M9" t="e">
            <v>#REF!</v>
          </cell>
          <cell r="N9" t="e">
            <v>#REF!</v>
          </cell>
          <cell r="O9" t="e">
            <v>#REF!</v>
          </cell>
          <cell r="P9" t="e">
            <v>#REF!</v>
          </cell>
          <cell r="Q9" t="e">
            <v>#REF!</v>
          </cell>
          <cell r="R9" t="e">
            <v>#REF!</v>
          </cell>
          <cell r="S9" t="e">
            <v>#REF!</v>
          </cell>
          <cell r="T9" t="e">
            <v>#REF!</v>
          </cell>
          <cell r="U9" t="e">
            <v>#REF!</v>
          </cell>
          <cell r="V9" t="e">
            <v>#REF!</v>
          </cell>
          <cell r="W9" t="e">
            <v>#REF!</v>
          </cell>
          <cell r="X9" t="e">
            <v>#REF!</v>
          </cell>
          <cell r="Y9" t="e">
            <v>#REF!</v>
          </cell>
        </row>
        <row r="10">
          <cell r="F10" t="e">
            <v>#REF!</v>
          </cell>
          <cell r="G10" t="e">
            <v>#REF!</v>
          </cell>
          <cell r="H10" t="e">
            <v>#REF!</v>
          </cell>
          <cell r="I10" t="e">
            <v>#REF!</v>
          </cell>
          <cell r="J10" t="e">
            <v>#REF!</v>
          </cell>
          <cell r="K10" t="e">
            <v>#REF!</v>
          </cell>
          <cell r="L10" t="e">
            <v>#REF!</v>
          </cell>
          <cell r="M10" t="e">
            <v>#REF!</v>
          </cell>
          <cell r="N10" t="e">
            <v>#REF!</v>
          </cell>
          <cell r="O10" t="e">
            <v>#REF!</v>
          </cell>
          <cell r="P10" t="e">
            <v>#REF!</v>
          </cell>
          <cell r="Q10" t="e">
            <v>#REF!</v>
          </cell>
          <cell r="R10" t="e">
            <v>#REF!</v>
          </cell>
          <cell r="S10" t="e">
            <v>#REF!</v>
          </cell>
          <cell r="T10" t="e">
            <v>#REF!</v>
          </cell>
          <cell r="U10" t="e">
            <v>#REF!</v>
          </cell>
          <cell r="V10" t="e">
            <v>#REF!</v>
          </cell>
          <cell r="W10" t="e">
            <v>#REF!</v>
          </cell>
          <cell r="X10" t="e">
            <v>#REF!</v>
          </cell>
          <cell r="Y10" t="e">
            <v>#REF!</v>
          </cell>
        </row>
        <row r="11">
          <cell r="F11">
            <v>7</v>
          </cell>
          <cell r="G11">
            <v>7</v>
          </cell>
          <cell r="H11">
            <v>7</v>
          </cell>
          <cell r="I11">
            <v>7</v>
          </cell>
          <cell r="J11">
            <v>7</v>
          </cell>
          <cell r="K11">
            <v>7</v>
          </cell>
          <cell r="L11">
            <v>7</v>
          </cell>
          <cell r="M11">
            <v>7</v>
          </cell>
          <cell r="N11">
            <v>7</v>
          </cell>
          <cell r="O11">
            <v>7</v>
          </cell>
          <cell r="P11">
            <v>7</v>
          </cell>
          <cell r="Q11">
            <v>7</v>
          </cell>
          <cell r="R11">
            <v>7</v>
          </cell>
          <cell r="S11">
            <v>7</v>
          </cell>
          <cell r="T11">
            <v>7</v>
          </cell>
          <cell r="U11">
            <v>7</v>
          </cell>
          <cell r="V11">
            <v>7</v>
          </cell>
          <cell r="W11">
            <v>7</v>
          </cell>
          <cell r="X11">
            <v>7</v>
          </cell>
          <cell r="Y11">
            <v>7</v>
          </cell>
        </row>
        <row r="12">
          <cell r="F12" t="e">
            <v>#REF!</v>
          </cell>
          <cell r="G12" t="e">
            <v>#REF!</v>
          </cell>
          <cell r="H12" t="e">
            <v>#REF!</v>
          </cell>
          <cell r="I12" t="e">
            <v>#REF!</v>
          </cell>
          <cell r="J12" t="e">
            <v>#REF!</v>
          </cell>
          <cell r="K12" t="e">
            <v>#REF!</v>
          </cell>
          <cell r="L12" t="e">
            <v>#REF!</v>
          </cell>
          <cell r="M12" t="e">
            <v>#REF!</v>
          </cell>
          <cell r="N12" t="e">
            <v>#REF!</v>
          </cell>
          <cell r="O12" t="e">
            <v>#REF!</v>
          </cell>
          <cell r="P12" t="e">
            <v>#REF!</v>
          </cell>
          <cell r="Q12" t="e">
            <v>#REF!</v>
          </cell>
          <cell r="R12" t="e">
            <v>#REF!</v>
          </cell>
          <cell r="S12" t="e">
            <v>#REF!</v>
          </cell>
          <cell r="T12" t="e">
            <v>#REF!</v>
          </cell>
          <cell r="U12" t="e">
            <v>#REF!</v>
          </cell>
          <cell r="V12" t="e">
            <v>#REF!</v>
          </cell>
          <cell r="W12" t="e">
            <v>#REF!</v>
          </cell>
          <cell r="X12" t="e">
            <v>#REF!</v>
          </cell>
          <cell r="Y12" t="e">
            <v>#REF!</v>
          </cell>
        </row>
        <row r="13">
          <cell r="F13" t="e">
            <v>#REF!</v>
          </cell>
          <cell r="G13" t="e">
            <v>#REF!</v>
          </cell>
          <cell r="H13" t="e">
            <v>#REF!</v>
          </cell>
          <cell r="I13" t="e">
            <v>#REF!</v>
          </cell>
          <cell r="J13" t="e">
            <v>#REF!</v>
          </cell>
          <cell r="K13" t="e">
            <v>#REF!</v>
          </cell>
          <cell r="L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row>
        <row r="14">
          <cell r="F14">
            <v>7</v>
          </cell>
          <cell r="G14">
            <v>3</v>
          </cell>
          <cell r="H14">
            <v>7</v>
          </cell>
          <cell r="I14">
            <v>7</v>
          </cell>
          <cell r="J14">
            <v>7</v>
          </cell>
          <cell r="K14">
            <v>7</v>
          </cell>
          <cell r="L14">
            <v>7</v>
          </cell>
          <cell r="M14">
            <v>7</v>
          </cell>
          <cell r="N14">
            <v>7</v>
          </cell>
          <cell r="O14">
            <v>7</v>
          </cell>
          <cell r="P14">
            <v>7</v>
          </cell>
          <cell r="Q14">
            <v>7</v>
          </cell>
          <cell r="R14">
            <v>7</v>
          </cell>
          <cell r="S14">
            <v>7</v>
          </cell>
          <cell r="T14">
            <v>7</v>
          </cell>
          <cell r="U14">
            <v>7</v>
          </cell>
          <cell r="V14">
            <v>7</v>
          </cell>
          <cell r="W14">
            <v>7</v>
          </cell>
          <cell r="X14">
            <v>7</v>
          </cell>
          <cell r="Y14">
            <v>7</v>
          </cell>
        </row>
        <row r="15">
          <cell r="F15">
            <v>7</v>
          </cell>
          <cell r="G15">
            <v>3</v>
          </cell>
          <cell r="H15">
            <v>7</v>
          </cell>
          <cell r="I15">
            <v>7</v>
          </cell>
          <cell r="J15">
            <v>7</v>
          </cell>
          <cell r="K15">
            <v>7</v>
          </cell>
          <cell r="L15">
            <v>7</v>
          </cell>
          <cell r="M15">
            <v>7</v>
          </cell>
          <cell r="N15">
            <v>7</v>
          </cell>
          <cell r="O15">
            <v>7</v>
          </cell>
          <cell r="P15">
            <v>7</v>
          </cell>
          <cell r="Q15">
            <v>7</v>
          </cell>
          <cell r="R15">
            <v>7</v>
          </cell>
          <cell r="S15">
            <v>7</v>
          </cell>
          <cell r="T15">
            <v>7</v>
          </cell>
          <cell r="U15">
            <v>7</v>
          </cell>
          <cell r="V15">
            <v>7</v>
          </cell>
          <cell r="W15">
            <v>7</v>
          </cell>
          <cell r="X15">
            <v>7</v>
          </cell>
          <cell r="Y15">
            <v>7</v>
          </cell>
        </row>
        <row r="16">
          <cell r="F16" t="e">
            <v>#REF!</v>
          </cell>
          <cell r="G16" t="e">
            <v>#REF!</v>
          </cell>
          <cell r="H16" t="e">
            <v>#REF!</v>
          </cell>
          <cell r="I16" t="e">
            <v>#REF!</v>
          </cell>
          <cell r="J16" t="e">
            <v>#REF!</v>
          </cell>
          <cell r="K16" t="e">
            <v>#REF!</v>
          </cell>
          <cell r="L16" t="e">
            <v>#REF!</v>
          </cell>
          <cell r="M16" t="e">
            <v>#REF!</v>
          </cell>
          <cell r="N16" t="e">
            <v>#REF!</v>
          </cell>
          <cell r="P16" t="e">
            <v>#REF!</v>
          </cell>
          <cell r="Q16" t="e">
            <v>#REF!</v>
          </cell>
          <cell r="R16" t="e">
            <v>#REF!</v>
          </cell>
          <cell r="S16" t="e">
            <v>#REF!</v>
          </cell>
          <cell r="T16" t="e">
            <v>#REF!</v>
          </cell>
          <cell r="U16" t="e">
            <v>#REF!</v>
          </cell>
          <cell r="V16" t="e">
            <v>#REF!</v>
          </cell>
          <cell r="W16" t="e">
            <v>#REF!</v>
          </cell>
          <cell r="X16" t="e">
            <v>#REF!</v>
          </cell>
          <cell r="Y16" t="e">
            <v>#REF!</v>
          </cell>
        </row>
        <row r="17">
          <cell r="F17" t="e">
            <v>#REF!</v>
          </cell>
          <cell r="G17" t="e">
            <v>#REF!</v>
          </cell>
          <cell r="H17" t="e">
            <v>#REF!</v>
          </cell>
          <cell r="I17" t="e">
            <v>#REF!</v>
          </cell>
          <cell r="J17" t="e">
            <v>#REF!</v>
          </cell>
          <cell r="K17" t="e">
            <v>#REF!</v>
          </cell>
          <cell r="L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row>
        <row r="25">
          <cell r="F25">
            <v>7</v>
          </cell>
          <cell r="G25">
            <v>7</v>
          </cell>
          <cell r="H25">
            <v>7</v>
          </cell>
          <cell r="I25">
            <v>7</v>
          </cell>
          <cell r="J25">
            <v>7</v>
          </cell>
          <cell r="K25">
            <v>7</v>
          </cell>
          <cell r="L25">
            <v>7</v>
          </cell>
          <cell r="M25">
            <v>7</v>
          </cell>
          <cell r="N25">
            <v>7</v>
          </cell>
          <cell r="O25">
            <v>7</v>
          </cell>
          <cell r="P25">
            <v>7</v>
          </cell>
          <cell r="Q25">
            <v>7</v>
          </cell>
          <cell r="R25">
            <v>7</v>
          </cell>
          <cell r="S25">
            <v>7</v>
          </cell>
          <cell r="T25">
            <v>7</v>
          </cell>
          <cell r="U25">
            <v>7</v>
          </cell>
          <cell r="V25">
            <v>7</v>
          </cell>
          <cell r="W25">
            <v>7</v>
          </cell>
          <cell r="X25">
            <v>7</v>
          </cell>
          <cell r="Y25">
            <v>7</v>
          </cell>
        </row>
        <row r="26">
          <cell r="F26" t="e">
            <v>#REF!</v>
          </cell>
          <cell r="G26" t="e">
            <v>#REF!</v>
          </cell>
          <cell r="H26" t="e">
            <v>#REF!</v>
          </cell>
          <cell r="I26" t="e">
            <v>#REF!</v>
          </cell>
          <cell r="J26" t="e">
            <v>#REF!</v>
          </cell>
          <cell r="K26" t="e">
            <v>#REF!</v>
          </cell>
          <cell r="L26" t="e">
            <v>#REF!</v>
          </cell>
          <cell r="M26" t="e">
            <v>#REF!</v>
          </cell>
          <cell r="N26" t="e">
            <v>#REF!</v>
          </cell>
          <cell r="O26" t="e">
            <v>#REF!</v>
          </cell>
          <cell r="P26" t="e">
            <v>#REF!</v>
          </cell>
          <cell r="Q26" t="e">
            <v>#REF!</v>
          </cell>
          <cell r="R26" t="e">
            <v>#REF!</v>
          </cell>
          <cell r="S26" t="e">
            <v>#REF!</v>
          </cell>
          <cell r="T26" t="e">
            <v>#REF!</v>
          </cell>
          <cell r="U26" t="e">
            <v>#REF!</v>
          </cell>
          <cell r="V26" t="e">
            <v>#REF!</v>
          </cell>
          <cell r="W26" t="e">
            <v>#REF!</v>
          </cell>
          <cell r="X26" t="e">
            <v>#REF!</v>
          </cell>
          <cell r="Y26" t="e">
            <v>#REF!</v>
          </cell>
        </row>
        <row r="27">
          <cell r="F27" t="e">
            <v>#REF!</v>
          </cell>
          <cell r="G27" t="e">
            <v>#REF!</v>
          </cell>
          <cell r="H27" t="e">
            <v>#REF!</v>
          </cell>
          <cell r="I27" t="e">
            <v>#REF!</v>
          </cell>
          <cell r="J27" t="e">
            <v>#REF!</v>
          </cell>
          <cell r="K27" t="e">
            <v>#REF!</v>
          </cell>
          <cell r="L27" t="e">
            <v>#REF!</v>
          </cell>
          <cell r="M27" t="e">
            <v>#REF!</v>
          </cell>
          <cell r="N27" t="e">
            <v>#REF!</v>
          </cell>
          <cell r="O27" t="e">
            <v>#REF!</v>
          </cell>
          <cell r="P27" t="e">
            <v>#REF!</v>
          </cell>
          <cell r="Q27" t="e">
            <v>#REF!</v>
          </cell>
          <cell r="R27" t="e">
            <v>#REF!</v>
          </cell>
          <cell r="S27" t="e">
            <v>#REF!</v>
          </cell>
          <cell r="T27" t="e">
            <v>#REF!</v>
          </cell>
          <cell r="U27" t="e">
            <v>#REF!</v>
          </cell>
          <cell r="V27" t="e">
            <v>#REF!</v>
          </cell>
          <cell r="W27" t="e">
            <v>#REF!</v>
          </cell>
          <cell r="X27" t="e">
            <v>#REF!</v>
          </cell>
          <cell r="Y27" t="e">
            <v>#REF!</v>
          </cell>
        </row>
        <row r="28">
          <cell r="F28">
            <v>9.23</v>
          </cell>
          <cell r="G28">
            <v>9.23</v>
          </cell>
          <cell r="H28">
            <v>9.23</v>
          </cell>
          <cell r="I28">
            <v>9.23</v>
          </cell>
          <cell r="J28">
            <v>9.23</v>
          </cell>
          <cell r="K28">
            <v>9.23</v>
          </cell>
          <cell r="L28">
            <v>9.23</v>
          </cell>
          <cell r="M28">
            <v>9.23</v>
          </cell>
          <cell r="N28">
            <v>9.23</v>
          </cell>
          <cell r="O28">
            <v>9.23</v>
          </cell>
          <cell r="P28">
            <v>9.23</v>
          </cell>
          <cell r="Q28">
            <v>9.23</v>
          </cell>
          <cell r="R28">
            <v>9.23</v>
          </cell>
          <cell r="S28">
            <v>9.23</v>
          </cell>
          <cell r="T28">
            <v>9.23</v>
          </cell>
          <cell r="U28">
            <v>9.23</v>
          </cell>
          <cell r="V28">
            <v>9.23</v>
          </cell>
          <cell r="W28">
            <v>9.23</v>
          </cell>
          <cell r="X28">
            <v>9.23</v>
          </cell>
          <cell r="Y28">
            <v>9.23</v>
          </cell>
        </row>
        <row r="29">
          <cell r="F29">
            <v>9.23</v>
          </cell>
          <cell r="G29">
            <v>9.23</v>
          </cell>
          <cell r="H29">
            <v>9.23</v>
          </cell>
          <cell r="I29">
            <v>9.23</v>
          </cell>
          <cell r="J29">
            <v>9.23</v>
          </cell>
          <cell r="K29">
            <v>9.23</v>
          </cell>
          <cell r="L29">
            <v>9.23</v>
          </cell>
          <cell r="M29">
            <v>9.23</v>
          </cell>
          <cell r="N29">
            <v>9.23</v>
          </cell>
          <cell r="O29">
            <v>9.23</v>
          </cell>
          <cell r="P29">
            <v>9.23</v>
          </cell>
          <cell r="Q29">
            <v>9.23</v>
          </cell>
          <cell r="R29">
            <v>9.23</v>
          </cell>
          <cell r="S29">
            <v>9.23</v>
          </cell>
          <cell r="T29">
            <v>9.23</v>
          </cell>
          <cell r="U29">
            <v>9.23</v>
          </cell>
          <cell r="V29">
            <v>9.23</v>
          </cell>
          <cell r="W29">
            <v>9.23</v>
          </cell>
          <cell r="X29">
            <v>9.23</v>
          </cell>
          <cell r="Y29">
            <v>9.23</v>
          </cell>
        </row>
        <row r="30">
          <cell r="F30" t="e">
            <v>#REF!</v>
          </cell>
          <cell r="G30" t="e">
            <v>#REF!</v>
          </cell>
          <cell r="H30" t="e">
            <v>#REF!</v>
          </cell>
          <cell r="I30" t="e">
            <v>#REF!</v>
          </cell>
          <cell r="J30" t="e">
            <v>#REF!</v>
          </cell>
          <cell r="K30" t="e">
            <v>#REF!</v>
          </cell>
          <cell r="L30" t="e">
            <v>#REF!</v>
          </cell>
          <cell r="M30" t="e">
            <v>#REF!</v>
          </cell>
          <cell r="N30" t="e">
            <v>#REF!</v>
          </cell>
          <cell r="P30" t="e">
            <v>#REF!</v>
          </cell>
          <cell r="Q30" t="e">
            <v>#REF!</v>
          </cell>
          <cell r="R30" t="e">
            <v>#REF!</v>
          </cell>
          <cell r="S30" t="e">
            <v>#REF!</v>
          </cell>
          <cell r="T30" t="e">
            <v>#REF!</v>
          </cell>
          <cell r="U30" t="e">
            <v>#REF!</v>
          </cell>
          <cell r="V30" t="e">
            <v>#REF!</v>
          </cell>
          <cell r="W30" t="e">
            <v>#REF!</v>
          </cell>
          <cell r="X30" t="e">
            <v>#REF!</v>
          </cell>
          <cell r="Y30" t="e">
            <v>#REF!</v>
          </cell>
        </row>
        <row r="31">
          <cell r="F31" t="e">
            <v>#REF!</v>
          </cell>
          <cell r="G31" t="e">
            <v>#REF!</v>
          </cell>
          <cell r="H31" t="e">
            <v>#REF!</v>
          </cell>
          <cell r="I31" t="e">
            <v>#REF!</v>
          </cell>
          <cell r="J31" t="e">
            <v>#REF!</v>
          </cell>
          <cell r="K31" t="e">
            <v>#REF!</v>
          </cell>
          <cell r="L31" t="e">
            <v>#REF!</v>
          </cell>
          <cell r="M31" t="e">
            <v>#REF!</v>
          </cell>
          <cell r="N31" t="e">
            <v>#REF!</v>
          </cell>
          <cell r="O31" t="e">
            <v>#REF!</v>
          </cell>
          <cell r="P31" t="e">
            <v>#REF!</v>
          </cell>
          <cell r="Q31" t="e">
            <v>#REF!</v>
          </cell>
          <cell r="R31" t="e">
            <v>#REF!</v>
          </cell>
          <cell r="S31" t="e">
            <v>#REF!</v>
          </cell>
          <cell r="T31" t="e">
            <v>#REF!</v>
          </cell>
          <cell r="U31" t="e">
            <v>#REF!</v>
          </cell>
          <cell r="V31" t="e">
            <v>#REF!</v>
          </cell>
          <cell r="W31" t="e">
            <v>#REF!</v>
          </cell>
          <cell r="X31" t="e">
            <v>#REF!</v>
          </cell>
          <cell r="Y31" t="e">
            <v>#REF!</v>
          </cell>
        </row>
        <row r="32">
          <cell r="F32">
            <v>7</v>
          </cell>
          <cell r="G32">
            <v>7</v>
          </cell>
          <cell r="H32">
            <v>7</v>
          </cell>
          <cell r="I32">
            <v>7</v>
          </cell>
          <cell r="J32">
            <v>7</v>
          </cell>
          <cell r="K32">
            <v>7</v>
          </cell>
          <cell r="L32">
            <v>7</v>
          </cell>
          <cell r="M32">
            <v>7</v>
          </cell>
          <cell r="N32">
            <v>7</v>
          </cell>
          <cell r="O32">
            <v>7</v>
          </cell>
          <cell r="P32">
            <v>7</v>
          </cell>
          <cell r="Q32">
            <v>7</v>
          </cell>
          <cell r="R32">
            <v>7</v>
          </cell>
          <cell r="S32">
            <v>7</v>
          </cell>
          <cell r="T32">
            <v>7</v>
          </cell>
          <cell r="U32">
            <v>7</v>
          </cell>
          <cell r="V32">
            <v>7</v>
          </cell>
          <cell r="W32">
            <v>7</v>
          </cell>
          <cell r="X32">
            <v>7</v>
          </cell>
          <cell r="Y32">
            <v>7</v>
          </cell>
        </row>
        <row r="33">
          <cell r="F33" t="e">
            <v>#REF!</v>
          </cell>
          <cell r="G33" t="e">
            <v>#REF!</v>
          </cell>
          <cell r="H33" t="e">
            <v>#REF!</v>
          </cell>
          <cell r="I33" t="e">
            <v>#REF!</v>
          </cell>
          <cell r="J33" t="e">
            <v>#REF!</v>
          </cell>
          <cell r="K33" t="e">
            <v>#REF!</v>
          </cell>
          <cell r="L33" t="e">
            <v>#REF!</v>
          </cell>
          <cell r="M33" t="e">
            <v>#REF!</v>
          </cell>
          <cell r="N33" t="e">
            <v>#REF!</v>
          </cell>
          <cell r="O33" t="e">
            <v>#REF!</v>
          </cell>
          <cell r="P33" t="e">
            <v>#REF!</v>
          </cell>
          <cell r="Q33" t="e">
            <v>#REF!</v>
          </cell>
          <cell r="R33" t="e">
            <v>#REF!</v>
          </cell>
          <cell r="S33" t="e">
            <v>#REF!</v>
          </cell>
          <cell r="T33" t="e">
            <v>#REF!</v>
          </cell>
          <cell r="U33" t="e">
            <v>#REF!</v>
          </cell>
          <cell r="V33" t="e">
            <v>#REF!</v>
          </cell>
          <cell r="W33" t="e">
            <v>#REF!</v>
          </cell>
          <cell r="X33" t="e">
            <v>#REF!</v>
          </cell>
          <cell r="Y33" t="e">
            <v>#REF!</v>
          </cell>
        </row>
        <row r="34">
          <cell r="F34" t="e">
            <v>#REF!</v>
          </cell>
          <cell r="G34" t="e">
            <v>#REF!</v>
          </cell>
          <cell r="H34" t="e">
            <v>#REF!</v>
          </cell>
          <cell r="I34" t="e">
            <v>#REF!</v>
          </cell>
          <cell r="J34" t="e">
            <v>#REF!</v>
          </cell>
          <cell r="K34" t="e">
            <v>#REF!</v>
          </cell>
          <cell r="L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row>
        <row r="35">
          <cell r="F35">
            <v>7</v>
          </cell>
          <cell r="G35">
            <v>7</v>
          </cell>
          <cell r="H35">
            <v>0</v>
          </cell>
          <cell r="I35">
            <v>7</v>
          </cell>
          <cell r="J35">
            <v>7</v>
          </cell>
          <cell r="K35">
            <v>7</v>
          </cell>
          <cell r="L35">
            <v>7</v>
          </cell>
          <cell r="M35">
            <v>7</v>
          </cell>
          <cell r="N35">
            <v>7</v>
          </cell>
          <cell r="O35">
            <v>7</v>
          </cell>
          <cell r="P35">
            <v>7</v>
          </cell>
          <cell r="Q35">
            <v>7</v>
          </cell>
          <cell r="R35">
            <v>7</v>
          </cell>
          <cell r="S35">
            <v>7</v>
          </cell>
          <cell r="T35">
            <v>7</v>
          </cell>
          <cell r="U35">
            <v>7</v>
          </cell>
          <cell r="V35">
            <v>7</v>
          </cell>
          <cell r="W35">
            <v>7</v>
          </cell>
          <cell r="X35">
            <v>7</v>
          </cell>
          <cell r="Y35">
            <v>7</v>
          </cell>
        </row>
        <row r="36">
          <cell r="F36">
            <v>7</v>
          </cell>
          <cell r="G36">
            <v>7</v>
          </cell>
          <cell r="H36">
            <v>0</v>
          </cell>
          <cell r="I36">
            <v>7</v>
          </cell>
          <cell r="J36">
            <v>7</v>
          </cell>
          <cell r="K36">
            <v>7</v>
          </cell>
          <cell r="L36">
            <v>7</v>
          </cell>
          <cell r="M36">
            <v>7</v>
          </cell>
          <cell r="N36">
            <v>7</v>
          </cell>
          <cell r="O36">
            <v>7</v>
          </cell>
          <cell r="P36">
            <v>7</v>
          </cell>
          <cell r="Q36">
            <v>7</v>
          </cell>
          <cell r="R36">
            <v>7</v>
          </cell>
          <cell r="S36">
            <v>7</v>
          </cell>
          <cell r="T36">
            <v>7</v>
          </cell>
          <cell r="U36">
            <v>7</v>
          </cell>
          <cell r="V36">
            <v>7</v>
          </cell>
          <cell r="W36">
            <v>7</v>
          </cell>
          <cell r="X36">
            <v>7</v>
          </cell>
          <cell r="Y36">
            <v>7</v>
          </cell>
        </row>
        <row r="37">
          <cell r="F37" t="e">
            <v>#REF!</v>
          </cell>
          <cell r="G37" t="e">
            <v>#REF!</v>
          </cell>
          <cell r="H37" t="e">
            <v>#REF!</v>
          </cell>
          <cell r="I37" t="e">
            <v>#REF!</v>
          </cell>
          <cell r="J37" t="e">
            <v>#REF!</v>
          </cell>
          <cell r="K37" t="e">
            <v>#REF!</v>
          </cell>
          <cell r="L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row>
        <row r="38">
          <cell r="F38" t="e">
            <v>#REF!</v>
          </cell>
          <cell r="G38" t="e">
            <v>#REF!</v>
          </cell>
          <cell r="H38" t="e">
            <v>#REF!</v>
          </cell>
          <cell r="I38" t="e">
            <v>#REF!</v>
          </cell>
          <cell r="J38" t="e">
            <v>#REF!</v>
          </cell>
          <cell r="K38" t="e">
            <v>#REF!</v>
          </cell>
          <cell r="L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row>
        <row r="39">
          <cell r="F39">
            <v>7</v>
          </cell>
          <cell r="G39">
            <v>7</v>
          </cell>
          <cell r="H39">
            <v>7</v>
          </cell>
          <cell r="I39">
            <v>7</v>
          </cell>
          <cell r="J39">
            <v>7</v>
          </cell>
          <cell r="K39">
            <v>7</v>
          </cell>
          <cell r="L39">
            <v>7</v>
          </cell>
          <cell r="M39">
            <v>7</v>
          </cell>
          <cell r="N39">
            <v>7</v>
          </cell>
          <cell r="O39">
            <v>7</v>
          </cell>
          <cell r="P39">
            <v>7</v>
          </cell>
          <cell r="Q39">
            <v>7</v>
          </cell>
          <cell r="R39">
            <v>7</v>
          </cell>
          <cell r="S39">
            <v>7</v>
          </cell>
          <cell r="T39">
            <v>7</v>
          </cell>
          <cell r="U39">
            <v>7</v>
          </cell>
          <cell r="V39">
            <v>7</v>
          </cell>
          <cell r="W39">
            <v>7</v>
          </cell>
          <cell r="X39">
            <v>7</v>
          </cell>
          <cell r="Y39">
            <v>7</v>
          </cell>
        </row>
        <row r="40">
          <cell r="F40" t="e">
            <v>#REF!</v>
          </cell>
          <cell r="G40" t="e">
            <v>#REF!</v>
          </cell>
          <cell r="H40" t="e">
            <v>#REF!</v>
          </cell>
          <cell r="I40" t="e">
            <v>#REF!</v>
          </cell>
          <cell r="J40" t="e">
            <v>#REF!</v>
          </cell>
          <cell r="K40" t="e">
            <v>#REF!</v>
          </cell>
          <cell r="L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row>
        <row r="41">
          <cell r="F41" t="e">
            <v>#REF!</v>
          </cell>
          <cell r="G41" t="e">
            <v>#REF!</v>
          </cell>
          <cell r="H41" t="e">
            <v>#REF!</v>
          </cell>
          <cell r="I41" t="e">
            <v>#REF!</v>
          </cell>
          <cell r="J41" t="e">
            <v>#REF!</v>
          </cell>
          <cell r="K41" t="e">
            <v>#REF!</v>
          </cell>
          <cell r="L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row>
        <row r="42">
          <cell r="F42">
            <v>7</v>
          </cell>
          <cell r="G42">
            <v>7</v>
          </cell>
          <cell r="H42">
            <v>7</v>
          </cell>
          <cell r="I42">
            <v>7</v>
          </cell>
          <cell r="J42">
            <v>7</v>
          </cell>
          <cell r="K42">
            <v>7</v>
          </cell>
          <cell r="L42">
            <v>7</v>
          </cell>
          <cell r="M42">
            <v>7</v>
          </cell>
          <cell r="N42">
            <v>7</v>
          </cell>
          <cell r="O42">
            <v>7</v>
          </cell>
          <cell r="P42">
            <v>7</v>
          </cell>
          <cell r="Q42">
            <v>7</v>
          </cell>
          <cell r="R42">
            <v>7</v>
          </cell>
          <cell r="S42">
            <v>7</v>
          </cell>
          <cell r="T42">
            <v>7</v>
          </cell>
          <cell r="U42">
            <v>7</v>
          </cell>
          <cell r="V42">
            <v>7</v>
          </cell>
          <cell r="W42">
            <v>7</v>
          </cell>
          <cell r="X42">
            <v>7</v>
          </cell>
          <cell r="Y42">
            <v>7</v>
          </cell>
        </row>
        <row r="43">
          <cell r="F43">
            <v>7</v>
          </cell>
          <cell r="G43">
            <v>7</v>
          </cell>
          <cell r="H43">
            <v>7</v>
          </cell>
          <cell r="I43">
            <v>7</v>
          </cell>
          <cell r="J43">
            <v>7</v>
          </cell>
          <cell r="K43">
            <v>7</v>
          </cell>
          <cell r="L43">
            <v>7</v>
          </cell>
          <cell r="M43">
            <v>7</v>
          </cell>
          <cell r="N43">
            <v>7</v>
          </cell>
          <cell r="O43">
            <v>7</v>
          </cell>
          <cell r="P43">
            <v>7</v>
          </cell>
          <cell r="Q43">
            <v>7</v>
          </cell>
          <cell r="R43">
            <v>7</v>
          </cell>
          <cell r="S43">
            <v>7</v>
          </cell>
          <cell r="T43">
            <v>7</v>
          </cell>
          <cell r="U43">
            <v>7</v>
          </cell>
          <cell r="V43">
            <v>7</v>
          </cell>
          <cell r="W43">
            <v>7</v>
          </cell>
          <cell r="X43">
            <v>7</v>
          </cell>
          <cell r="Y43">
            <v>7</v>
          </cell>
        </row>
        <row r="44">
          <cell r="F44" t="e">
            <v>#REF!</v>
          </cell>
          <cell r="G44" t="e">
            <v>#REF!</v>
          </cell>
          <cell r="H44" t="e">
            <v>#REF!</v>
          </cell>
          <cell r="I44" t="e">
            <v>#REF!</v>
          </cell>
          <cell r="J44" t="e">
            <v>#REF!</v>
          </cell>
          <cell r="K44" t="e">
            <v>#REF!</v>
          </cell>
          <cell r="L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row>
        <row r="45">
          <cell r="F45" t="e">
            <v>#REF!</v>
          </cell>
          <cell r="G45" t="e">
            <v>#REF!</v>
          </cell>
          <cell r="H45" t="e">
            <v>#REF!</v>
          </cell>
          <cell r="I45" t="e">
            <v>#REF!</v>
          </cell>
          <cell r="J45" t="e">
            <v>#REF!</v>
          </cell>
          <cell r="K45" t="e">
            <v>#REF!</v>
          </cell>
          <cell r="L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row>
        <row r="46">
          <cell r="Y46">
            <v>1</v>
          </cell>
        </row>
        <row r="47">
          <cell r="F47" t="e">
            <v>#REF!</v>
          </cell>
          <cell r="G47" t="e">
            <v>#REF!</v>
          </cell>
          <cell r="H47" t="e">
            <v>#REF!</v>
          </cell>
          <cell r="I47" t="e">
            <v>#REF!</v>
          </cell>
          <cell r="J47" t="e">
            <v>#REF!</v>
          </cell>
          <cell r="K47" t="e">
            <v>#REF!</v>
          </cell>
          <cell r="L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row>
        <row r="48">
          <cell r="F48" t="e">
            <v>#REF!</v>
          </cell>
          <cell r="G48" t="e">
            <v>#REF!</v>
          </cell>
          <cell r="H48" t="e">
            <v>#REF!</v>
          </cell>
          <cell r="I48" t="e">
            <v>#REF!</v>
          </cell>
          <cell r="J48" t="e">
            <v>#REF!</v>
          </cell>
          <cell r="K48" t="e">
            <v>#REF!</v>
          </cell>
          <cell r="L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row>
        <row r="49">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7</v>
          </cell>
          <cell r="V49">
            <v>7</v>
          </cell>
          <cell r="W49">
            <v>7</v>
          </cell>
          <cell r="X49">
            <v>7</v>
          </cell>
          <cell r="Y49">
            <v>7</v>
          </cell>
        </row>
        <row r="50">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7</v>
          </cell>
          <cell r="V50">
            <v>7</v>
          </cell>
          <cell r="W50">
            <v>7</v>
          </cell>
          <cell r="X50">
            <v>7</v>
          </cell>
          <cell r="Y50">
            <v>7</v>
          </cell>
        </row>
        <row r="51">
          <cell r="F51" t="e">
            <v>#REF!</v>
          </cell>
          <cell r="G51" t="e">
            <v>#REF!</v>
          </cell>
          <cell r="H51" t="e">
            <v>#REF!</v>
          </cell>
          <cell r="I51" t="e">
            <v>#REF!</v>
          </cell>
          <cell r="J51" t="e">
            <v>#REF!</v>
          </cell>
          <cell r="K51" t="e">
            <v>#REF!</v>
          </cell>
          <cell r="L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row>
        <row r="52">
          <cell r="F52" t="e">
            <v>#REF!</v>
          </cell>
          <cell r="G52" t="e">
            <v>#REF!</v>
          </cell>
          <cell r="H52" t="e">
            <v>#REF!</v>
          </cell>
          <cell r="I52" t="e">
            <v>#REF!</v>
          </cell>
          <cell r="J52" t="e">
            <v>#REF!</v>
          </cell>
          <cell r="K52" t="e">
            <v>#REF!</v>
          </cell>
          <cell r="L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row>
        <row r="53">
          <cell r="F53">
            <v>7</v>
          </cell>
          <cell r="G53">
            <v>7</v>
          </cell>
          <cell r="H53">
            <v>7</v>
          </cell>
          <cell r="I53">
            <v>7</v>
          </cell>
          <cell r="J53">
            <v>7</v>
          </cell>
          <cell r="K53">
            <v>7</v>
          </cell>
          <cell r="L53">
            <v>7</v>
          </cell>
          <cell r="M53">
            <v>7</v>
          </cell>
          <cell r="N53">
            <v>7</v>
          </cell>
          <cell r="O53">
            <v>7</v>
          </cell>
          <cell r="P53">
            <v>7</v>
          </cell>
          <cell r="Q53">
            <v>7</v>
          </cell>
          <cell r="R53">
            <v>7</v>
          </cell>
          <cell r="S53">
            <v>7</v>
          </cell>
          <cell r="T53">
            <v>7</v>
          </cell>
          <cell r="U53">
            <v>7</v>
          </cell>
          <cell r="V53">
            <v>7</v>
          </cell>
          <cell r="W53">
            <v>7</v>
          </cell>
          <cell r="X53">
            <v>7</v>
          </cell>
          <cell r="Y53">
            <v>7</v>
          </cell>
        </row>
        <row r="54">
          <cell r="F54" t="e">
            <v>#REF!</v>
          </cell>
          <cell r="G54" t="e">
            <v>#REF!</v>
          </cell>
          <cell r="H54" t="e">
            <v>#REF!</v>
          </cell>
          <cell r="I54" t="e">
            <v>#REF!</v>
          </cell>
          <cell r="J54" t="e">
            <v>#REF!</v>
          </cell>
          <cell r="K54" t="e">
            <v>#REF!</v>
          </cell>
          <cell r="L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row>
        <row r="55">
          <cell r="F55" t="e">
            <v>#REF!</v>
          </cell>
          <cell r="G55" t="e">
            <v>#REF!</v>
          </cell>
          <cell r="H55" t="e">
            <v>#REF!</v>
          </cell>
          <cell r="I55" t="e">
            <v>#REF!</v>
          </cell>
          <cell r="J55" t="e">
            <v>#REF!</v>
          </cell>
          <cell r="K55" t="e">
            <v>#REF!</v>
          </cell>
          <cell r="L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row>
        <row r="56">
          <cell r="F56">
            <v>7</v>
          </cell>
          <cell r="G56">
            <v>7</v>
          </cell>
          <cell r="H56">
            <v>7</v>
          </cell>
          <cell r="I56">
            <v>7</v>
          </cell>
          <cell r="J56">
            <v>7</v>
          </cell>
          <cell r="K56">
            <v>7</v>
          </cell>
          <cell r="L56">
            <v>7</v>
          </cell>
          <cell r="M56">
            <v>7</v>
          </cell>
          <cell r="N56">
            <v>7</v>
          </cell>
          <cell r="O56">
            <v>7</v>
          </cell>
          <cell r="P56">
            <v>7</v>
          </cell>
          <cell r="Q56">
            <v>7</v>
          </cell>
          <cell r="R56">
            <v>7</v>
          </cell>
          <cell r="S56">
            <v>7</v>
          </cell>
          <cell r="T56">
            <v>7</v>
          </cell>
          <cell r="U56">
            <v>7</v>
          </cell>
          <cell r="V56">
            <v>7</v>
          </cell>
          <cell r="W56">
            <v>7</v>
          </cell>
          <cell r="X56">
            <v>7</v>
          </cell>
          <cell r="Y56">
            <v>7</v>
          </cell>
        </row>
        <row r="57">
          <cell r="F57">
            <v>7</v>
          </cell>
          <cell r="G57">
            <v>7</v>
          </cell>
          <cell r="H57">
            <v>7</v>
          </cell>
          <cell r="I57">
            <v>7</v>
          </cell>
          <cell r="J57">
            <v>7</v>
          </cell>
          <cell r="K57">
            <v>7</v>
          </cell>
          <cell r="L57">
            <v>7</v>
          </cell>
          <cell r="M57">
            <v>7</v>
          </cell>
          <cell r="N57">
            <v>7</v>
          </cell>
          <cell r="O57">
            <v>7</v>
          </cell>
          <cell r="P57">
            <v>7</v>
          </cell>
          <cell r="Q57">
            <v>7</v>
          </cell>
          <cell r="R57">
            <v>7</v>
          </cell>
          <cell r="S57">
            <v>7</v>
          </cell>
          <cell r="T57">
            <v>7</v>
          </cell>
          <cell r="U57">
            <v>7</v>
          </cell>
          <cell r="V57">
            <v>7</v>
          </cell>
          <cell r="W57">
            <v>7</v>
          </cell>
          <cell r="X57">
            <v>7</v>
          </cell>
          <cell r="Y57">
            <v>7</v>
          </cell>
        </row>
        <row r="58">
          <cell r="F58" t="e">
            <v>#REF!</v>
          </cell>
          <cell r="G58" t="e">
            <v>#REF!</v>
          </cell>
          <cell r="H58" t="e">
            <v>#REF!</v>
          </cell>
          <cell r="I58" t="e">
            <v>#REF!</v>
          </cell>
          <cell r="J58" t="e">
            <v>#REF!</v>
          </cell>
          <cell r="K58" t="e">
            <v>#REF!</v>
          </cell>
          <cell r="L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row>
        <row r="59">
          <cell r="F59" t="e">
            <v>#REF!</v>
          </cell>
          <cell r="G59" t="e">
            <v>#REF!</v>
          </cell>
          <cell r="H59" t="e">
            <v>#REF!</v>
          </cell>
          <cell r="I59" t="e">
            <v>#REF!</v>
          </cell>
          <cell r="J59" t="e">
            <v>#REF!</v>
          </cell>
          <cell r="K59" t="e">
            <v>#REF!</v>
          </cell>
          <cell r="L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row>
        <row r="67">
          <cell r="F67">
            <v>0</v>
          </cell>
          <cell r="G67">
            <v>0</v>
          </cell>
          <cell r="H67">
            <v>14</v>
          </cell>
          <cell r="I67">
            <v>14</v>
          </cell>
          <cell r="J67">
            <v>14</v>
          </cell>
          <cell r="K67">
            <v>14</v>
          </cell>
          <cell r="L67">
            <v>14</v>
          </cell>
          <cell r="M67">
            <v>14</v>
          </cell>
          <cell r="N67">
            <v>14</v>
          </cell>
          <cell r="O67">
            <v>14</v>
          </cell>
          <cell r="P67">
            <v>14</v>
          </cell>
          <cell r="Q67">
            <v>14</v>
          </cell>
          <cell r="R67">
            <v>14</v>
          </cell>
          <cell r="S67">
            <v>14</v>
          </cell>
          <cell r="T67">
            <v>14</v>
          </cell>
          <cell r="U67">
            <v>14</v>
          </cell>
          <cell r="V67">
            <v>14</v>
          </cell>
          <cell r="W67">
            <v>14</v>
          </cell>
          <cell r="X67">
            <v>14</v>
          </cell>
          <cell r="Y67">
            <v>14</v>
          </cell>
        </row>
        <row r="68">
          <cell r="F68" t="e">
            <v>#REF!</v>
          </cell>
          <cell r="G68" t="e">
            <v>#REF!</v>
          </cell>
          <cell r="H68" t="e">
            <v>#REF!</v>
          </cell>
          <cell r="I68" t="e">
            <v>#REF!</v>
          </cell>
          <cell r="J68" t="e">
            <v>#REF!</v>
          </cell>
          <cell r="K68" t="e">
            <v>#REF!</v>
          </cell>
          <cell r="L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row>
        <row r="69">
          <cell r="F69" t="e">
            <v>#REF!</v>
          </cell>
          <cell r="G69" t="e">
            <v>#REF!</v>
          </cell>
          <cell r="H69" t="e">
            <v>#REF!</v>
          </cell>
          <cell r="I69" t="e">
            <v>#REF!</v>
          </cell>
          <cell r="J69" t="e">
            <v>#REF!</v>
          </cell>
          <cell r="K69" t="e">
            <v>#REF!</v>
          </cell>
          <cell r="L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row>
        <row r="70">
          <cell r="F70">
            <v>0</v>
          </cell>
          <cell r="G70">
            <v>0</v>
          </cell>
          <cell r="H70">
            <v>7</v>
          </cell>
          <cell r="I70">
            <v>12</v>
          </cell>
          <cell r="J70">
            <v>14</v>
          </cell>
          <cell r="K70">
            <v>14</v>
          </cell>
          <cell r="L70">
            <v>14</v>
          </cell>
          <cell r="M70">
            <v>14</v>
          </cell>
          <cell r="N70">
            <v>14</v>
          </cell>
          <cell r="P70">
            <v>14</v>
          </cell>
          <cell r="Q70">
            <v>14</v>
          </cell>
          <cell r="R70">
            <v>14</v>
          </cell>
          <cell r="S70">
            <v>14</v>
          </cell>
          <cell r="T70">
            <v>14</v>
          </cell>
          <cell r="U70">
            <v>14</v>
          </cell>
          <cell r="V70">
            <v>14</v>
          </cell>
          <cell r="W70">
            <v>14</v>
          </cell>
          <cell r="X70">
            <v>14</v>
          </cell>
          <cell r="Y70">
            <v>14</v>
          </cell>
        </row>
        <row r="71">
          <cell r="F71">
            <v>0</v>
          </cell>
          <cell r="G71">
            <v>0</v>
          </cell>
          <cell r="H71">
            <v>7</v>
          </cell>
          <cell r="I71">
            <v>12</v>
          </cell>
          <cell r="J71">
            <v>14</v>
          </cell>
          <cell r="K71">
            <v>14</v>
          </cell>
          <cell r="L71">
            <v>14</v>
          </cell>
          <cell r="M71">
            <v>14</v>
          </cell>
          <cell r="N71">
            <v>14</v>
          </cell>
          <cell r="O71">
            <v>14</v>
          </cell>
          <cell r="P71">
            <v>14</v>
          </cell>
          <cell r="Q71">
            <v>14</v>
          </cell>
          <cell r="R71">
            <v>14</v>
          </cell>
          <cell r="S71">
            <v>14</v>
          </cell>
          <cell r="T71">
            <v>14</v>
          </cell>
          <cell r="U71">
            <v>14</v>
          </cell>
          <cell r="V71">
            <v>14</v>
          </cell>
          <cell r="W71">
            <v>14</v>
          </cell>
          <cell r="X71">
            <v>14</v>
          </cell>
          <cell r="Y71">
            <v>14</v>
          </cell>
        </row>
        <row r="72">
          <cell r="F72" t="e">
            <v>#REF!</v>
          </cell>
          <cell r="G72" t="e">
            <v>#REF!</v>
          </cell>
          <cell r="H72" t="e">
            <v>#REF!</v>
          </cell>
          <cell r="I72" t="e">
            <v>#REF!</v>
          </cell>
          <cell r="J72" t="e">
            <v>#REF!</v>
          </cell>
          <cell r="K72" t="e">
            <v>#REF!</v>
          </cell>
          <cell r="L72" t="e">
            <v>#REF!</v>
          </cell>
          <cell r="M72" t="e">
            <v>#REF!</v>
          </cell>
          <cell r="N72" t="e">
            <v>#REF!</v>
          </cell>
          <cell r="P72" t="e">
            <v>#REF!</v>
          </cell>
          <cell r="Q72" t="e">
            <v>#REF!</v>
          </cell>
          <cell r="R72" t="e">
            <v>#REF!</v>
          </cell>
          <cell r="S72" t="e">
            <v>#REF!</v>
          </cell>
          <cell r="T72" t="e">
            <v>#REF!</v>
          </cell>
          <cell r="U72" t="e">
            <v>#REF!</v>
          </cell>
          <cell r="V72" t="e">
            <v>#REF!</v>
          </cell>
          <cell r="W72" t="e">
            <v>#REF!</v>
          </cell>
          <cell r="X72" t="e">
            <v>#REF!</v>
          </cell>
          <cell r="Y72" t="e">
            <v>#REF!</v>
          </cell>
        </row>
        <row r="73">
          <cell r="F73" t="e">
            <v>#REF!</v>
          </cell>
          <cell r="G73" t="e">
            <v>#REF!</v>
          </cell>
          <cell r="H73" t="e">
            <v>#REF!</v>
          </cell>
          <cell r="I73" t="e">
            <v>#REF!</v>
          </cell>
          <cell r="J73" t="e">
            <v>#REF!</v>
          </cell>
          <cell r="K73" t="e">
            <v>#REF!</v>
          </cell>
          <cell r="L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row>
        <row r="74">
          <cell r="F74">
            <v>0</v>
          </cell>
          <cell r="G74">
            <v>0</v>
          </cell>
          <cell r="H74">
            <v>14</v>
          </cell>
          <cell r="I74">
            <v>14</v>
          </cell>
          <cell r="J74">
            <v>14</v>
          </cell>
          <cell r="K74">
            <v>14</v>
          </cell>
          <cell r="L74">
            <v>14</v>
          </cell>
          <cell r="M74">
            <v>14</v>
          </cell>
          <cell r="N74">
            <v>14</v>
          </cell>
          <cell r="O74">
            <v>14</v>
          </cell>
          <cell r="P74">
            <v>14</v>
          </cell>
          <cell r="Q74">
            <v>14</v>
          </cell>
          <cell r="R74">
            <v>14</v>
          </cell>
          <cell r="S74">
            <v>14</v>
          </cell>
          <cell r="T74">
            <v>14</v>
          </cell>
          <cell r="U74">
            <v>14</v>
          </cell>
          <cell r="V74">
            <v>14</v>
          </cell>
          <cell r="W74">
            <v>14</v>
          </cell>
          <cell r="X74">
            <v>14</v>
          </cell>
          <cell r="Y74">
            <v>14</v>
          </cell>
        </row>
        <row r="75">
          <cell r="F75" t="e">
            <v>#REF!</v>
          </cell>
          <cell r="G75" t="e">
            <v>#REF!</v>
          </cell>
          <cell r="H75" t="e">
            <v>#REF!</v>
          </cell>
          <cell r="I75" t="e">
            <v>#REF!</v>
          </cell>
          <cell r="J75" t="e">
            <v>#REF!</v>
          </cell>
          <cell r="K75" t="e">
            <v>#REF!</v>
          </cell>
          <cell r="L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row>
        <row r="76">
          <cell r="F76" t="e">
            <v>#REF!</v>
          </cell>
          <cell r="G76" t="e">
            <v>#REF!</v>
          </cell>
          <cell r="H76" t="e">
            <v>#REF!</v>
          </cell>
          <cell r="I76" t="e">
            <v>#REF!</v>
          </cell>
          <cell r="J76" t="e">
            <v>#REF!</v>
          </cell>
          <cell r="K76" t="e">
            <v>#REF!</v>
          </cell>
          <cell r="L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row>
        <row r="77">
          <cell r="F77">
            <v>0</v>
          </cell>
          <cell r="G77">
            <v>0</v>
          </cell>
          <cell r="H77">
            <v>0</v>
          </cell>
          <cell r="I77">
            <v>0</v>
          </cell>
          <cell r="J77">
            <v>0</v>
          </cell>
          <cell r="K77">
            <v>0</v>
          </cell>
          <cell r="L77">
            <v>3</v>
          </cell>
          <cell r="M77">
            <v>7</v>
          </cell>
          <cell r="N77">
            <v>7</v>
          </cell>
          <cell r="O77">
            <v>7</v>
          </cell>
          <cell r="P77">
            <v>7</v>
          </cell>
          <cell r="Q77">
            <v>14</v>
          </cell>
          <cell r="R77">
            <v>14</v>
          </cell>
          <cell r="S77">
            <v>14</v>
          </cell>
          <cell r="T77">
            <v>14</v>
          </cell>
          <cell r="U77">
            <v>14</v>
          </cell>
          <cell r="V77">
            <v>14</v>
          </cell>
          <cell r="W77">
            <v>14</v>
          </cell>
          <cell r="X77">
            <v>14</v>
          </cell>
          <cell r="Y77">
            <v>14</v>
          </cell>
        </row>
        <row r="78">
          <cell r="F78">
            <v>0</v>
          </cell>
          <cell r="G78">
            <v>0</v>
          </cell>
          <cell r="H78">
            <v>0</v>
          </cell>
          <cell r="I78">
            <v>0</v>
          </cell>
          <cell r="J78">
            <v>0</v>
          </cell>
          <cell r="K78">
            <v>0</v>
          </cell>
          <cell r="L78">
            <v>3</v>
          </cell>
          <cell r="M78">
            <v>7</v>
          </cell>
          <cell r="N78">
            <v>7</v>
          </cell>
          <cell r="O78">
            <v>7</v>
          </cell>
          <cell r="P78">
            <v>7</v>
          </cell>
          <cell r="Q78">
            <v>14</v>
          </cell>
          <cell r="R78">
            <v>14</v>
          </cell>
          <cell r="S78">
            <v>14</v>
          </cell>
          <cell r="T78">
            <v>14</v>
          </cell>
          <cell r="U78">
            <v>14</v>
          </cell>
          <cell r="V78">
            <v>14</v>
          </cell>
          <cell r="W78">
            <v>14</v>
          </cell>
          <cell r="X78">
            <v>14</v>
          </cell>
          <cell r="Y78">
            <v>14</v>
          </cell>
        </row>
        <row r="79">
          <cell r="F79" t="e">
            <v>#REF!</v>
          </cell>
          <cell r="G79" t="e">
            <v>#REF!</v>
          </cell>
          <cell r="H79" t="e">
            <v>#REF!</v>
          </cell>
          <cell r="I79" t="e">
            <v>#REF!</v>
          </cell>
          <cell r="J79" t="e">
            <v>#REF!</v>
          </cell>
          <cell r="K79" t="e">
            <v>#REF!</v>
          </cell>
          <cell r="L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row>
        <row r="80">
          <cell r="F80" t="e">
            <v>#REF!</v>
          </cell>
          <cell r="G80" t="e">
            <v>#REF!</v>
          </cell>
          <cell r="H80" t="e">
            <v>#REF!</v>
          </cell>
          <cell r="I80" t="e">
            <v>#REF!</v>
          </cell>
          <cell r="J80" t="e">
            <v>#REF!</v>
          </cell>
          <cell r="K80" t="e">
            <v>#REF!</v>
          </cell>
          <cell r="L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row>
        <row r="81">
          <cell r="H81">
            <v>21</v>
          </cell>
          <cell r="I81">
            <v>15</v>
          </cell>
        </row>
        <row r="82">
          <cell r="F82" t="e">
            <v>#REF!</v>
          </cell>
          <cell r="G82" t="e">
            <v>#REF!</v>
          </cell>
          <cell r="H82" t="e">
            <v>#REF!</v>
          </cell>
          <cell r="I82" t="e">
            <v>#REF!</v>
          </cell>
          <cell r="J82" t="e">
            <v>#REF!</v>
          </cell>
          <cell r="K82" t="e">
            <v>#REF!</v>
          </cell>
          <cell r="L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row>
        <row r="83">
          <cell r="F83" t="e">
            <v>#REF!</v>
          </cell>
          <cell r="G83" t="e">
            <v>#REF!</v>
          </cell>
          <cell r="H83" t="e">
            <v>#REF!</v>
          </cell>
          <cell r="I83" t="e">
            <v>#REF!</v>
          </cell>
          <cell r="J83" t="e">
            <v>#REF!</v>
          </cell>
          <cell r="K83" t="e">
            <v>#REF!</v>
          </cell>
          <cell r="L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row>
        <row r="84">
          <cell r="F84">
            <v>0</v>
          </cell>
          <cell r="G84">
            <v>0</v>
          </cell>
          <cell r="H84">
            <v>0</v>
          </cell>
          <cell r="I84">
            <v>0</v>
          </cell>
          <cell r="J84">
            <v>0</v>
          </cell>
          <cell r="K84">
            <v>3</v>
          </cell>
          <cell r="L84">
            <v>2</v>
          </cell>
          <cell r="M84">
            <v>2</v>
          </cell>
          <cell r="N84">
            <v>0</v>
          </cell>
          <cell r="O84">
            <v>0</v>
          </cell>
          <cell r="P84">
            <v>0</v>
          </cell>
          <cell r="Q84">
            <v>0</v>
          </cell>
          <cell r="R84">
            <v>0</v>
          </cell>
          <cell r="S84">
            <v>0</v>
          </cell>
          <cell r="T84">
            <v>0</v>
          </cell>
          <cell r="U84">
            <v>0</v>
          </cell>
          <cell r="V84">
            <v>0</v>
          </cell>
          <cell r="W84">
            <v>0</v>
          </cell>
          <cell r="X84">
            <v>0</v>
          </cell>
          <cell r="Y84">
            <v>0</v>
          </cell>
        </row>
        <row r="85">
          <cell r="F85">
            <v>0</v>
          </cell>
          <cell r="G85">
            <v>0</v>
          </cell>
          <cell r="H85">
            <v>0</v>
          </cell>
          <cell r="I85">
            <v>0</v>
          </cell>
          <cell r="J85">
            <v>0</v>
          </cell>
          <cell r="K85">
            <v>3</v>
          </cell>
          <cell r="L85">
            <v>2</v>
          </cell>
          <cell r="M85">
            <v>2</v>
          </cell>
          <cell r="N85">
            <v>0</v>
          </cell>
          <cell r="O85">
            <v>0</v>
          </cell>
          <cell r="P85">
            <v>0</v>
          </cell>
          <cell r="Q85">
            <v>0</v>
          </cell>
          <cell r="R85">
            <v>0</v>
          </cell>
          <cell r="S85">
            <v>0</v>
          </cell>
          <cell r="T85">
            <v>0</v>
          </cell>
          <cell r="U85">
            <v>0</v>
          </cell>
          <cell r="V85">
            <v>0</v>
          </cell>
          <cell r="W85">
            <v>0</v>
          </cell>
          <cell r="X85">
            <v>0</v>
          </cell>
          <cell r="Y85">
            <v>0</v>
          </cell>
        </row>
        <row r="86">
          <cell r="F86" t="e">
            <v>#REF!</v>
          </cell>
          <cell r="G86" t="e">
            <v>#REF!</v>
          </cell>
          <cell r="H86" t="e">
            <v>#REF!</v>
          </cell>
          <cell r="I86" t="e">
            <v>#REF!</v>
          </cell>
          <cell r="J86" t="e">
            <v>#REF!</v>
          </cell>
          <cell r="K86" t="e">
            <v>#REF!</v>
          </cell>
          <cell r="L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row>
        <row r="87">
          <cell r="F87" t="e">
            <v>#REF!</v>
          </cell>
          <cell r="G87" t="e">
            <v>#REF!</v>
          </cell>
          <cell r="H87" t="e">
            <v>#REF!</v>
          </cell>
          <cell r="I87" t="e">
            <v>#REF!</v>
          </cell>
          <cell r="J87" t="e">
            <v>#REF!</v>
          </cell>
          <cell r="K87" t="e">
            <v>#REF!</v>
          </cell>
          <cell r="L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row>
        <row r="88">
          <cell r="I88">
            <v>1</v>
          </cell>
          <cell r="J88">
            <v>1</v>
          </cell>
          <cell r="K88">
            <v>1</v>
          </cell>
          <cell r="L88">
            <v>1</v>
          </cell>
          <cell r="M88">
            <v>1</v>
          </cell>
          <cell r="N88">
            <v>1</v>
          </cell>
          <cell r="O88">
            <v>1</v>
          </cell>
          <cell r="P88">
            <v>1</v>
          </cell>
          <cell r="Q88">
            <v>1</v>
          </cell>
          <cell r="R88">
            <v>1</v>
          </cell>
          <cell r="S88">
            <v>1</v>
          </cell>
          <cell r="T88">
            <v>1</v>
          </cell>
          <cell r="U88">
            <v>1</v>
          </cell>
          <cell r="V88">
            <v>1</v>
          </cell>
          <cell r="W88">
            <v>1</v>
          </cell>
          <cell r="X88">
            <v>1</v>
          </cell>
          <cell r="Y88">
            <v>1</v>
          </cell>
        </row>
        <row r="89">
          <cell r="F89" t="e">
            <v>#REF!</v>
          </cell>
          <cell r="G89" t="e">
            <v>#REF!</v>
          </cell>
          <cell r="H89" t="e">
            <v>#REF!</v>
          </cell>
          <cell r="I89" t="e">
            <v>#REF!</v>
          </cell>
          <cell r="J89" t="e">
            <v>#REF!</v>
          </cell>
          <cell r="K89" t="e">
            <v>#REF!</v>
          </cell>
          <cell r="L89" t="e">
            <v>#REF!</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row>
        <row r="90">
          <cell r="F90" t="e">
            <v>#REF!</v>
          </cell>
          <cell r="G90" t="e">
            <v>#REF!</v>
          </cell>
          <cell r="H90" t="e">
            <v>#REF!</v>
          </cell>
          <cell r="I90" t="e">
            <v>#REF!</v>
          </cell>
          <cell r="J90" t="e">
            <v>#REF!</v>
          </cell>
          <cell r="K90" t="e">
            <v>#REF!</v>
          </cell>
          <cell r="L90" t="e">
            <v>#REF!</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row>
        <row r="91">
          <cell r="F91">
            <v>0</v>
          </cell>
          <cell r="G91">
            <v>0</v>
          </cell>
          <cell r="H91">
            <v>0</v>
          </cell>
          <cell r="I91">
            <v>0</v>
          </cell>
          <cell r="J91">
            <v>0</v>
          </cell>
          <cell r="K91">
            <v>0</v>
          </cell>
          <cell r="L91">
            <v>0</v>
          </cell>
          <cell r="M91">
            <v>0</v>
          </cell>
          <cell r="N91">
            <v>0</v>
          </cell>
          <cell r="O91">
            <v>0</v>
          </cell>
          <cell r="P91">
            <v>0</v>
          </cell>
          <cell r="Q91">
            <v>0</v>
          </cell>
          <cell r="R91">
            <v>1</v>
          </cell>
          <cell r="S91">
            <v>1</v>
          </cell>
          <cell r="T91">
            <v>0</v>
          </cell>
          <cell r="U91">
            <v>0</v>
          </cell>
          <cell r="V91">
            <v>0</v>
          </cell>
          <cell r="W91">
            <v>1</v>
          </cell>
          <cell r="X91">
            <v>1</v>
          </cell>
          <cell r="Y91">
            <v>0</v>
          </cell>
        </row>
        <row r="92">
          <cell r="F92">
            <v>0</v>
          </cell>
          <cell r="G92">
            <v>0</v>
          </cell>
          <cell r="H92">
            <v>0</v>
          </cell>
          <cell r="I92">
            <v>0</v>
          </cell>
          <cell r="J92">
            <v>0</v>
          </cell>
          <cell r="K92">
            <v>0</v>
          </cell>
          <cell r="L92">
            <v>0</v>
          </cell>
          <cell r="M92">
            <v>0</v>
          </cell>
          <cell r="N92">
            <v>0</v>
          </cell>
          <cell r="O92">
            <v>0</v>
          </cell>
          <cell r="P92">
            <v>0</v>
          </cell>
          <cell r="Q92">
            <v>0</v>
          </cell>
          <cell r="R92">
            <v>1</v>
          </cell>
          <cell r="S92">
            <v>1</v>
          </cell>
          <cell r="T92">
            <v>0</v>
          </cell>
          <cell r="U92">
            <v>0</v>
          </cell>
          <cell r="V92">
            <v>0</v>
          </cell>
          <cell r="W92">
            <v>1</v>
          </cell>
          <cell r="X92">
            <v>1</v>
          </cell>
          <cell r="Y92">
            <v>0</v>
          </cell>
        </row>
        <row r="93">
          <cell r="F93" t="e">
            <v>#REF!</v>
          </cell>
          <cell r="G93" t="e">
            <v>#REF!</v>
          </cell>
          <cell r="H93" t="e">
            <v>#REF!</v>
          </cell>
          <cell r="I93" t="e">
            <v>#REF!</v>
          </cell>
          <cell r="J93" t="e">
            <v>#REF!</v>
          </cell>
          <cell r="K93" t="e">
            <v>#REF!</v>
          </cell>
          <cell r="L93" t="e">
            <v>#REF!</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row>
        <row r="94">
          <cell r="F94" t="e">
            <v>#REF!</v>
          </cell>
          <cell r="G94" t="e">
            <v>#REF!</v>
          </cell>
          <cell r="H94" t="e">
            <v>#REF!</v>
          </cell>
          <cell r="I94" t="e">
            <v>#REF!</v>
          </cell>
          <cell r="J94" t="e">
            <v>#REF!</v>
          </cell>
          <cell r="K94" t="e">
            <v>#REF!</v>
          </cell>
          <cell r="L94" t="e">
            <v>#REF!</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row>
        <row r="95">
          <cell r="I95">
            <v>3</v>
          </cell>
          <cell r="J95">
            <v>3</v>
          </cell>
          <cell r="K95">
            <v>3</v>
          </cell>
          <cell r="L95">
            <v>3</v>
          </cell>
          <cell r="M95">
            <v>3</v>
          </cell>
          <cell r="N95">
            <v>3</v>
          </cell>
          <cell r="O95">
            <v>3</v>
          </cell>
          <cell r="P95">
            <v>3</v>
          </cell>
          <cell r="Q95">
            <v>3</v>
          </cell>
          <cell r="R95">
            <v>3</v>
          </cell>
          <cell r="S95">
            <v>3</v>
          </cell>
          <cell r="T95">
            <v>3</v>
          </cell>
          <cell r="U95">
            <v>3</v>
          </cell>
          <cell r="V95">
            <v>3</v>
          </cell>
          <cell r="W95">
            <v>3</v>
          </cell>
          <cell r="X95">
            <v>3</v>
          </cell>
          <cell r="Y95">
            <v>3</v>
          </cell>
        </row>
        <row r="96">
          <cell r="F96" t="e">
            <v>#REF!</v>
          </cell>
          <cell r="G96" t="e">
            <v>#REF!</v>
          </cell>
          <cell r="H96" t="e">
            <v>#REF!</v>
          </cell>
          <cell r="I96" t="e">
            <v>#REF!</v>
          </cell>
          <cell r="J96" t="e">
            <v>#REF!</v>
          </cell>
          <cell r="K96" t="e">
            <v>#REF!</v>
          </cell>
          <cell r="L96" t="e">
            <v>#REF!</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row>
        <row r="97">
          <cell r="F97" t="e">
            <v>#REF!</v>
          </cell>
          <cell r="G97" t="e">
            <v>#REF!</v>
          </cell>
          <cell r="H97" t="e">
            <v>#REF!</v>
          </cell>
          <cell r="I97" t="e">
            <v>#REF!</v>
          </cell>
          <cell r="J97" t="e">
            <v>#REF!</v>
          </cell>
          <cell r="K97" t="e">
            <v>#REF!</v>
          </cell>
          <cell r="L97" t="e">
            <v>#REF!</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row>
        <row r="98">
          <cell r="F98">
            <v>0</v>
          </cell>
          <cell r="G98">
            <v>0</v>
          </cell>
          <cell r="H98">
            <v>0</v>
          </cell>
          <cell r="I98">
            <v>1</v>
          </cell>
          <cell r="J98">
            <v>0</v>
          </cell>
          <cell r="K98">
            <v>1</v>
          </cell>
          <cell r="L98">
            <v>1</v>
          </cell>
          <cell r="M98">
            <v>1</v>
          </cell>
          <cell r="N98">
            <v>1</v>
          </cell>
          <cell r="O98">
            <v>1</v>
          </cell>
          <cell r="P98">
            <v>1</v>
          </cell>
          <cell r="Q98">
            <v>0</v>
          </cell>
          <cell r="R98">
            <v>1</v>
          </cell>
          <cell r="S98">
            <v>1</v>
          </cell>
          <cell r="T98">
            <v>1</v>
          </cell>
          <cell r="U98">
            <v>1</v>
          </cell>
          <cell r="V98">
            <v>0</v>
          </cell>
          <cell r="W98">
            <v>0</v>
          </cell>
          <cell r="X98">
            <v>4</v>
          </cell>
          <cell r="Y98">
            <v>4</v>
          </cell>
        </row>
        <row r="99">
          <cell r="F99">
            <v>0</v>
          </cell>
          <cell r="G99">
            <v>0</v>
          </cell>
          <cell r="H99">
            <v>0</v>
          </cell>
          <cell r="I99">
            <v>1</v>
          </cell>
          <cell r="J99">
            <v>0</v>
          </cell>
          <cell r="K99">
            <v>1</v>
          </cell>
          <cell r="L99">
            <v>1</v>
          </cell>
          <cell r="M99">
            <v>1</v>
          </cell>
          <cell r="N99">
            <v>1</v>
          </cell>
          <cell r="O99">
            <v>1</v>
          </cell>
          <cell r="P99">
            <v>1</v>
          </cell>
          <cell r="Q99">
            <v>0</v>
          </cell>
          <cell r="R99">
            <v>1</v>
          </cell>
          <cell r="S99">
            <v>1</v>
          </cell>
          <cell r="T99">
            <v>1</v>
          </cell>
          <cell r="U99">
            <v>1</v>
          </cell>
          <cell r="V99">
            <v>0</v>
          </cell>
          <cell r="W99">
            <v>0</v>
          </cell>
          <cell r="X99">
            <v>4</v>
          </cell>
          <cell r="Y99">
            <v>4</v>
          </cell>
        </row>
        <row r="100">
          <cell r="F100" t="e">
            <v>#REF!</v>
          </cell>
          <cell r="G100" t="e">
            <v>#REF!</v>
          </cell>
          <cell r="H100" t="e">
            <v>#REF!</v>
          </cell>
          <cell r="I100" t="e">
            <v>#REF!</v>
          </cell>
          <cell r="J100" t="e">
            <v>#REF!</v>
          </cell>
          <cell r="K100" t="e">
            <v>#REF!</v>
          </cell>
          <cell r="L100" t="e">
            <v>#REF!</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row>
        <row r="101">
          <cell r="F101" t="e">
            <v>#REF!</v>
          </cell>
          <cell r="G101" t="e">
            <v>#REF!</v>
          </cell>
          <cell r="H101" t="e">
            <v>#REF!</v>
          </cell>
          <cell r="I101" t="e">
            <v>#REF!</v>
          </cell>
          <cell r="J101" t="e">
            <v>#REF!</v>
          </cell>
          <cell r="K101" t="e">
            <v>#REF!</v>
          </cell>
          <cell r="L101" t="e">
            <v>#REF!</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row>
        <row r="102">
          <cell r="H102">
            <v>1</v>
          </cell>
          <cell r="J102">
            <v>1</v>
          </cell>
          <cell r="M102">
            <v>1</v>
          </cell>
          <cell r="O102">
            <v>1</v>
          </cell>
          <cell r="R102">
            <v>1</v>
          </cell>
          <cell r="T102">
            <v>1</v>
          </cell>
          <cell r="W102">
            <v>1</v>
          </cell>
        </row>
        <row r="103">
          <cell r="F103" t="e">
            <v>#REF!</v>
          </cell>
          <cell r="G103" t="e">
            <v>#REF!</v>
          </cell>
          <cell r="H103" t="e">
            <v>#REF!</v>
          </cell>
          <cell r="I103" t="e">
            <v>#REF!</v>
          </cell>
          <cell r="J103" t="e">
            <v>#REF!</v>
          </cell>
          <cell r="K103" t="e">
            <v>#REF!</v>
          </cell>
          <cell r="L103" t="e">
            <v>#REF!</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row>
        <row r="104">
          <cell r="F104" t="e">
            <v>#REF!</v>
          </cell>
          <cell r="G104" t="e">
            <v>#REF!</v>
          </cell>
          <cell r="H104" t="e">
            <v>#REF!</v>
          </cell>
          <cell r="I104" t="e">
            <v>#REF!</v>
          </cell>
          <cell r="J104" t="e">
            <v>#REF!</v>
          </cell>
          <cell r="K104" t="e">
            <v>#REF!</v>
          </cell>
          <cell r="L104" t="e">
            <v>#REF!</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row>
        <row r="105">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row>
        <row r="106">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row>
        <row r="107">
          <cell r="F107" t="e">
            <v>#REF!</v>
          </cell>
          <cell r="G107" t="e">
            <v>#REF!</v>
          </cell>
          <cell r="H107" t="e">
            <v>#REF!</v>
          </cell>
          <cell r="I107" t="e">
            <v>#REF!</v>
          </cell>
          <cell r="J107" t="e">
            <v>#REF!</v>
          </cell>
          <cell r="K107" t="e">
            <v>#REF!</v>
          </cell>
          <cell r="L107" t="e">
            <v>#REF!</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row>
        <row r="108">
          <cell r="F108" t="e">
            <v>#REF!</v>
          </cell>
          <cell r="G108" t="e">
            <v>#REF!</v>
          </cell>
          <cell r="H108" t="e">
            <v>#REF!</v>
          </cell>
          <cell r="I108" t="e">
            <v>#REF!</v>
          </cell>
          <cell r="J108" t="e">
            <v>#REF!</v>
          </cell>
          <cell r="K108" t="e">
            <v>#REF!</v>
          </cell>
          <cell r="L108" t="e">
            <v>#REF!</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row>
        <row r="109">
          <cell r="F109">
            <v>7</v>
          </cell>
          <cell r="G109">
            <v>7</v>
          </cell>
          <cell r="H109">
            <v>7</v>
          </cell>
          <cell r="I109">
            <v>7</v>
          </cell>
          <cell r="J109">
            <v>7</v>
          </cell>
          <cell r="K109">
            <v>7</v>
          </cell>
          <cell r="L109">
            <v>7</v>
          </cell>
          <cell r="M109">
            <v>7</v>
          </cell>
          <cell r="N109">
            <v>7</v>
          </cell>
          <cell r="O109">
            <v>7</v>
          </cell>
          <cell r="P109">
            <v>7</v>
          </cell>
          <cell r="Q109">
            <v>7</v>
          </cell>
          <cell r="R109">
            <v>7</v>
          </cell>
          <cell r="S109">
            <v>7</v>
          </cell>
          <cell r="T109">
            <v>7</v>
          </cell>
          <cell r="U109">
            <v>7</v>
          </cell>
          <cell r="V109">
            <v>7</v>
          </cell>
          <cell r="W109">
            <v>7</v>
          </cell>
          <cell r="X109">
            <v>7</v>
          </cell>
          <cell r="Y109">
            <v>7</v>
          </cell>
        </row>
        <row r="110">
          <cell r="F110" t="e">
            <v>#REF!</v>
          </cell>
          <cell r="G110" t="e">
            <v>#REF!</v>
          </cell>
          <cell r="H110" t="e">
            <v>#REF!</v>
          </cell>
          <cell r="I110" t="e">
            <v>#REF!</v>
          </cell>
          <cell r="J110" t="e">
            <v>#REF!</v>
          </cell>
          <cell r="K110" t="e">
            <v>#REF!</v>
          </cell>
          <cell r="L110" t="e">
            <v>#REF!</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row>
        <row r="111">
          <cell r="F111" t="e">
            <v>#REF!</v>
          </cell>
          <cell r="G111" t="e">
            <v>#REF!</v>
          </cell>
          <cell r="H111" t="e">
            <v>#REF!</v>
          </cell>
          <cell r="I111" t="e">
            <v>#REF!</v>
          </cell>
          <cell r="J111" t="e">
            <v>#REF!</v>
          </cell>
          <cell r="K111" t="e">
            <v>#REF!</v>
          </cell>
          <cell r="L111" t="e">
            <v>#REF!</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row>
        <row r="112">
          <cell r="F112">
            <v>1.1666666666666667</v>
          </cell>
          <cell r="G112">
            <v>7</v>
          </cell>
          <cell r="H112">
            <v>7</v>
          </cell>
          <cell r="I112">
            <v>7</v>
          </cell>
          <cell r="J112">
            <v>7</v>
          </cell>
          <cell r="K112">
            <v>7</v>
          </cell>
          <cell r="L112">
            <v>7</v>
          </cell>
          <cell r="M112">
            <v>7</v>
          </cell>
          <cell r="N112">
            <v>7</v>
          </cell>
          <cell r="O112">
            <v>7</v>
          </cell>
          <cell r="P112">
            <v>7</v>
          </cell>
          <cell r="Q112">
            <v>7</v>
          </cell>
          <cell r="R112">
            <v>7</v>
          </cell>
          <cell r="S112">
            <v>7</v>
          </cell>
          <cell r="T112">
            <v>7</v>
          </cell>
          <cell r="U112">
            <v>7</v>
          </cell>
          <cell r="V112">
            <v>7</v>
          </cell>
          <cell r="W112">
            <v>7</v>
          </cell>
          <cell r="X112">
            <v>7</v>
          </cell>
          <cell r="Y112">
            <v>7</v>
          </cell>
        </row>
        <row r="113">
          <cell r="F113">
            <v>1.1666666666666667</v>
          </cell>
          <cell r="G113">
            <v>7</v>
          </cell>
          <cell r="H113">
            <v>7</v>
          </cell>
          <cell r="I113">
            <v>7</v>
          </cell>
          <cell r="J113">
            <v>7</v>
          </cell>
          <cell r="K113">
            <v>7</v>
          </cell>
          <cell r="L113">
            <v>7</v>
          </cell>
          <cell r="M113">
            <v>7</v>
          </cell>
          <cell r="N113">
            <v>7</v>
          </cell>
          <cell r="O113">
            <v>7</v>
          </cell>
          <cell r="P113">
            <v>7</v>
          </cell>
          <cell r="Q113">
            <v>7</v>
          </cell>
          <cell r="R113">
            <v>7</v>
          </cell>
          <cell r="S113">
            <v>7</v>
          </cell>
          <cell r="T113">
            <v>7</v>
          </cell>
          <cell r="U113">
            <v>7</v>
          </cell>
          <cell r="V113">
            <v>7</v>
          </cell>
          <cell r="W113">
            <v>7</v>
          </cell>
          <cell r="X113">
            <v>7</v>
          </cell>
          <cell r="Y113">
            <v>7</v>
          </cell>
        </row>
        <row r="114">
          <cell r="F114" t="e">
            <v>#REF!</v>
          </cell>
          <cell r="G114" t="e">
            <v>#REF!</v>
          </cell>
          <cell r="H114" t="e">
            <v>#REF!</v>
          </cell>
          <cell r="I114" t="e">
            <v>#REF!</v>
          </cell>
          <cell r="J114" t="e">
            <v>#REF!</v>
          </cell>
          <cell r="K114" t="e">
            <v>#REF!</v>
          </cell>
          <cell r="L114" t="e">
            <v>#REF!</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row>
        <row r="115">
          <cell r="F115" t="e">
            <v>#REF!</v>
          </cell>
          <cell r="G115" t="e">
            <v>#REF!</v>
          </cell>
          <cell r="H115" t="e">
            <v>#REF!</v>
          </cell>
          <cell r="I115" t="e">
            <v>#REF!</v>
          </cell>
          <cell r="J115" t="e">
            <v>#REF!</v>
          </cell>
          <cell r="K115" t="e">
            <v>#REF!</v>
          </cell>
          <cell r="L115" t="e">
            <v>#REF!</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row>
        <row r="116">
          <cell r="F116">
            <v>7</v>
          </cell>
          <cell r="G116">
            <v>7</v>
          </cell>
          <cell r="H116">
            <v>7</v>
          </cell>
          <cell r="I116">
            <v>7</v>
          </cell>
          <cell r="J116">
            <v>7</v>
          </cell>
          <cell r="K116">
            <v>7</v>
          </cell>
          <cell r="L116">
            <v>7</v>
          </cell>
          <cell r="M116">
            <v>7</v>
          </cell>
          <cell r="N116">
            <v>7</v>
          </cell>
          <cell r="O116">
            <v>7</v>
          </cell>
          <cell r="P116">
            <v>7</v>
          </cell>
          <cell r="Q116">
            <v>7</v>
          </cell>
          <cell r="R116">
            <v>7</v>
          </cell>
          <cell r="S116">
            <v>7</v>
          </cell>
          <cell r="T116">
            <v>7</v>
          </cell>
          <cell r="U116">
            <v>7</v>
          </cell>
          <cell r="V116">
            <v>7</v>
          </cell>
          <cell r="W116">
            <v>7</v>
          </cell>
          <cell r="X116">
            <v>7</v>
          </cell>
          <cell r="Y116">
            <v>7</v>
          </cell>
        </row>
        <row r="117">
          <cell r="F117" t="e">
            <v>#REF!</v>
          </cell>
          <cell r="G117" t="e">
            <v>#REF!</v>
          </cell>
          <cell r="H117" t="e">
            <v>#REF!</v>
          </cell>
          <cell r="I117" t="e">
            <v>#REF!</v>
          </cell>
          <cell r="J117" t="e">
            <v>#REF!</v>
          </cell>
          <cell r="K117" t="e">
            <v>#REF!</v>
          </cell>
          <cell r="L117" t="e">
            <v>#REF!</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row>
        <row r="118">
          <cell r="F118" t="e">
            <v>#REF!</v>
          </cell>
          <cell r="G118" t="e">
            <v>#REF!</v>
          </cell>
          <cell r="H118" t="e">
            <v>#REF!</v>
          </cell>
          <cell r="I118" t="e">
            <v>#REF!</v>
          </cell>
          <cell r="J118" t="e">
            <v>#REF!</v>
          </cell>
          <cell r="K118" t="e">
            <v>#REF!</v>
          </cell>
          <cell r="L118" t="e">
            <v>#REF!</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row>
        <row r="119">
          <cell r="F119">
            <v>3.5</v>
          </cell>
          <cell r="G119">
            <v>0</v>
          </cell>
          <cell r="H119">
            <v>7</v>
          </cell>
          <cell r="I119">
            <v>7</v>
          </cell>
          <cell r="J119">
            <v>7</v>
          </cell>
          <cell r="K119">
            <v>7</v>
          </cell>
          <cell r="L119">
            <v>7</v>
          </cell>
          <cell r="M119">
            <v>7</v>
          </cell>
          <cell r="N119">
            <v>7</v>
          </cell>
          <cell r="O119">
            <v>7</v>
          </cell>
          <cell r="P119">
            <v>7</v>
          </cell>
          <cell r="Q119">
            <v>7</v>
          </cell>
          <cell r="R119">
            <v>7</v>
          </cell>
          <cell r="S119">
            <v>7</v>
          </cell>
          <cell r="T119">
            <v>7</v>
          </cell>
          <cell r="U119">
            <v>7</v>
          </cell>
          <cell r="V119">
            <v>7</v>
          </cell>
          <cell r="W119">
            <v>7</v>
          </cell>
          <cell r="X119">
            <v>7</v>
          </cell>
          <cell r="Y119">
            <v>7</v>
          </cell>
        </row>
        <row r="120">
          <cell r="F120">
            <v>3.5</v>
          </cell>
          <cell r="G120">
            <v>0</v>
          </cell>
          <cell r="H120">
            <v>7</v>
          </cell>
          <cell r="I120">
            <v>7</v>
          </cell>
          <cell r="J120">
            <v>7</v>
          </cell>
          <cell r="K120">
            <v>7</v>
          </cell>
          <cell r="L120">
            <v>7</v>
          </cell>
          <cell r="M120">
            <v>7</v>
          </cell>
          <cell r="N120">
            <v>7</v>
          </cell>
          <cell r="O120">
            <v>7</v>
          </cell>
          <cell r="P120">
            <v>7</v>
          </cell>
          <cell r="Q120">
            <v>7</v>
          </cell>
          <cell r="R120">
            <v>7</v>
          </cell>
          <cell r="S120">
            <v>7</v>
          </cell>
          <cell r="T120">
            <v>7</v>
          </cell>
          <cell r="U120">
            <v>7</v>
          </cell>
          <cell r="V120">
            <v>7</v>
          </cell>
          <cell r="W120">
            <v>7</v>
          </cell>
          <cell r="X120">
            <v>7</v>
          </cell>
          <cell r="Y120">
            <v>7</v>
          </cell>
        </row>
        <row r="121">
          <cell r="F121" t="e">
            <v>#REF!</v>
          </cell>
          <cell r="G121" t="e">
            <v>#REF!</v>
          </cell>
          <cell r="H121" t="e">
            <v>#REF!</v>
          </cell>
          <cell r="I121" t="e">
            <v>#REF!</v>
          </cell>
          <cell r="J121" t="e">
            <v>#REF!</v>
          </cell>
          <cell r="K121" t="e">
            <v>#REF!</v>
          </cell>
          <cell r="L121" t="e">
            <v>#REF!</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row>
        <row r="122">
          <cell r="F122" t="e">
            <v>#REF!</v>
          </cell>
          <cell r="G122" t="e">
            <v>#REF!</v>
          </cell>
          <cell r="H122" t="e">
            <v>#REF!</v>
          </cell>
          <cell r="I122" t="e">
            <v>#REF!</v>
          </cell>
          <cell r="J122" t="e">
            <v>#REF!</v>
          </cell>
          <cell r="K122" t="e">
            <v>#REF!</v>
          </cell>
          <cell r="L122" t="e">
            <v>#REF!</v>
          </cell>
          <cell r="M122" t="e">
            <v>#REF!</v>
          </cell>
          <cell r="N122" t="e">
            <v>#REF!</v>
          </cell>
          <cell r="O122" t="e">
            <v>#REF!</v>
          </cell>
          <cell r="P122" t="e">
            <v>#REF!</v>
          </cell>
          <cell r="Q122" t="e">
            <v>#REF!</v>
          </cell>
          <cell r="R122" t="e">
            <v>#REF!</v>
          </cell>
          <cell r="S122" t="e">
            <v>#REF!</v>
          </cell>
          <cell r="T122" t="e">
            <v>#REF!</v>
          </cell>
          <cell r="U122" t="e">
            <v>#REF!</v>
          </cell>
          <cell r="V122" t="e">
            <v>#REF!</v>
          </cell>
          <cell r="W122" t="e">
            <v>#REF!</v>
          </cell>
          <cell r="X122" t="e">
            <v>#REF!</v>
          </cell>
          <cell r="Y122" t="e">
            <v>#REF!</v>
          </cell>
        </row>
        <row r="123">
          <cell r="F123">
            <v>7</v>
          </cell>
          <cell r="G123">
            <v>7</v>
          </cell>
          <cell r="H123">
            <v>7</v>
          </cell>
          <cell r="I123">
            <v>7</v>
          </cell>
          <cell r="J123">
            <v>7</v>
          </cell>
          <cell r="K123">
            <v>7</v>
          </cell>
          <cell r="L123">
            <v>7</v>
          </cell>
          <cell r="M123">
            <v>7</v>
          </cell>
          <cell r="N123">
            <v>7</v>
          </cell>
          <cell r="O123">
            <v>7</v>
          </cell>
          <cell r="P123">
            <v>7</v>
          </cell>
          <cell r="Q123">
            <v>7</v>
          </cell>
          <cell r="R123">
            <v>7</v>
          </cell>
          <cell r="S123">
            <v>7</v>
          </cell>
          <cell r="T123">
            <v>7</v>
          </cell>
          <cell r="U123">
            <v>7</v>
          </cell>
          <cell r="V123">
            <v>7</v>
          </cell>
          <cell r="W123">
            <v>7</v>
          </cell>
          <cell r="X123">
            <v>7</v>
          </cell>
          <cell r="Y123">
            <v>7</v>
          </cell>
        </row>
        <row r="124">
          <cell r="F124" t="e">
            <v>#REF!</v>
          </cell>
          <cell r="G124" t="e">
            <v>#REF!</v>
          </cell>
          <cell r="H124" t="e">
            <v>#REF!</v>
          </cell>
          <cell r="I124" t="e">
            <v>#REF!</v>
          </cell>
          <cell r="J124" t="e">
            <v>#REF!</v>
          </cell>
          <cell r="K124" t="e">
            <v>#REF!</v>
          </cell>
          <cell r="L124" t="e">
            <v>#REF!</v>
          </cell>
          <cell r="M124" t="e">
            <v>#REF!</v>
          </cell>
          <cell r="N124" t="e">
            <v>#REF!</v>
          </cell>
          <cell r="O124" t="e">
            <v>#REF!</v>
          </cell>
          <cell r="P124" t="e">
            <v>#REF!</v>
          </cell>
          <cell r="Q124" t="e">
            <v>#REF!</v>
          </cell>
          <cell r="R124" t="e">
            <v>#REF!</v>
          </cell>
          <cell r="S124" t="e">
            <v>#REF!</v>
          </cell>
          <cell r="T124" t="e">
            <v>#REF!</v>
          </cell>
          <cell r="U124" t="e">
            <v>#REF!</v>
          </cell>
          <cell r="V124" t="e">
            <v>#REF!</v>
          </cell>
          <cell r="W124" t="e">
            <v>#REF!</v>
          </cell>
          <cell r="X124" t="e">
            <v>#REF!</v>
          </cell>
          <cell r="Y124" t="e">
            <v>#REF!</v>
          </cell>
        </row>
        <row r="125">
          <cell r="F125" t="e">
            <v>#REF!</v>
          </cell>
          <cell r="G125" t="e">
            <v>#REF!</v>
          </cell>
          <cell r="H125" t="e">
            <v>#REF!</v>
          </cell>
          <cell r="I125" t="e">
            <v>#REF!</v>
          </cell>
          <cell r="J125" t="e">
            <v>#REF!</v>
          </cell>
          <cell r="K125" t="e">
            <v>#REF!</v>
          </cell>
          <cell r="L125" t="e">
            <v>#REF!</v>
          </cell>
          <cell r="M125" t="e">
            <v>#REF!</v>
          </cell>
          <cell r="N125" t="e">
            <v>#REF!</v>
          </cell>
          <cell r="O125" t="e">
            <v>#REF!</v>
          </cell>
          <cell r="P125" t="e">
            <v>#REF!</v>
          </cell>
          <cell r="Q125" t="e">
            <v>#REF!</v>
          </cell>
          <cell r="R125" t="e">
            <v>#REF!</v>
          </cell>
          <cell r="S125" t="e">
            <v>#REF!</v>
          </cell>
          <cell r="T125" t="e">
            <v>#REF!</v>
          </cell>
          <cell r="U125" t="e">
            <v>#REF!</v>
          </cell>
          <cell r="V125" t="e">
            <v>#REF!</v>
          </cell>
          <cell r="W125" t="e">
            <v>#REF!</v>
          </cell>
          <cell r="X125" t="e">
            <v>#REF!</v>
          </cell>
          <cell r="Y125" t="e">
            <v>#REF!</v>
          </cell>
        </row>
        <row r="126">
          <cell r="F126">
            <v>7</v>
          </cell>
          <cell r="G126">
            <v>7</v>
          </cell>
          <cell r="H126">
            <v>7</v>
          </cell>
          <cell r="I126">
            <v>7</v>
          </cell>
          <cell r="J126">
            <v>7</v>
          </cell>
          <cell r="K126">
            <v>7</v>
          </cell>
          <cell r="L126">
            <v>7</v>
          </cell>
          <cell r="M126">
            <v>7</v>
          </cell>
          <cell r="N126">
            <v>7</v>
          </cell>
          <cell r="O126">
            <v>7</v>
          </cell>
          <cell r="P126">
            <v>7</v>
          </cell>
          <cell r="Q126">
            <v>7</v>
          </cell>
          <cell r="R126">
            <v>7</v>
          </cell>
          <cell r="S126">
            <v>7</v>
          </cell>
          <cell r="T126">
            <v>7</v>
          </cell>
          <cell r="U126">
            <v>7</v>
          </cell>
          <cell r="V126">
            <v>7</v>
          </cell>
          <cell r="W126">
            <v>7</v>
          </cell>
          <cell r="X126">
            <v>7</v>
          </cell>
          <cell r="Y126">
            <v>7</v>
          </cell>
        </row>
        <row r="127">
          <cell r="F127">
            <v>7</v>
          </cell>
          <cell r="G127">
            <v>7</v>
          </cell>
          <cell r="H127">
            <v>7</v>
          </cell>
          <cell r="I127">
            <v>7</v>
          </cell>
          <cell r="J127">
            <v>7</v>
          </cell>
          <cell r="K127">
            <v>7</v>
          </cell>
          <cell r="L127">
            <v>7</v>
          </cell>
          <cell r="M127">
            <v>7</v>
          </cell>
          <cell r="N127">
            <v>7</v>
          </cell>
          <cell r="O127">
            <v>7</v>
          </cell>
          <cell r="P127">
            <v>7</v>
          </cell>
          <cell r="Q127">
            <v>7</v>
          </cell>
          <cell r="R127">
            <v>7</v>
          </cell>
          <cell r="S127">
            <v>7</v>
          </cell>
          <cell r="T127">
            <v>7</v>
          </cell>
          <cell r="U127">
            <v>7</v>
          </cell>
          <cell r="V127">
            <v>7</v>
          </cell>
          <cell r="W127">
            <v>7</v>
          </cell>
          <cell r="X127">
            <v>7</v>
          </cell>
          <cell r="Y127">
            <v>7</v>
          </cell>
        </row>
        <row r="128">
          <cell r="F128" t="e">
            <v>#REF!</v>
          </cell>
          <cell r="G128" t="e">
            <v>#REF!</v>
          </cell>
          <cell r="H128" t="e">
            <v>#REF!</v>
          </cell>
          <cell r="I128" t="e">
            <v>#REF!</v>
          </cell>
          <cell r="J128" t="e">
            <v>#REF!</v>
          </cell>
          <cell r="K128" t="e">
            <v>#REF!</v>
          </cell>
          <cell r="L128" t="e">
            <v>#REF!</v>
          </cell>
          <cell r="M128" t="e">
            <v>#REF!</v>
          </cell>
          <cell r="N128" t="e">
            <v>#REF!</v>
          </cell>
          <cell r="O128" t="e">
            <v>#REF!</v>
          </cell>
          <cell r="P128" t="e">
            <v>#REF!</v>
          </cell>
          <cell r="Q128" t="e">
            <v>#REF!</v>
          </cell>
          <cell r="R128" t="e">
            <v>#REF!</v>
          </cell>
          <cell r="S128" t="e">
            <v>#REF!</v>
          </cell>
          <cell r="T128" t="e">
            <v>#REF!</v>
          </cell>
          <cell r="U128" t="e">
            <v>#REF!</v>
          </cell>
          <cell r="V128" t="e">
            <v>#REF!</v>
          </cell>
          <cell r="W128" t="e">
            <v>#REF!</v>
          </cell>
          <cell r="X128" t="e">
            <v>#REF!</v>
          </cell>
          <cell r="Y128" t="e">
            <v>#REF!</v>
          </cell>
        </row>
        <row r="129">
          <cell r="F129" t="e">
            <v>#REF!</v>
          </cell>
          <cell r="G129" t="e">
            <v>#REF!</v>
          </cell>
          <cell r="H129" t="e">
            <v>#REF!</v>
          </cell>
          <cell r="I129" t="e">
            <v>#REF!</v>
          </cell>
          <cell r="J129" t="e">
            <v>#REF!</v>
          </cell>
          <cell r="K129" t="e">
            <v>#REF!</v>
          </cell>
          <cell r="L129" t="e">
            <v>#REF!</v>
          </cell>
          <cell r="M129" t="e">
            <v>#REF!</v>
          </cell>
          <cell r="N129" t="e">
            <v>#REF!</v>
          </cell>
          <cell r="O129" t="e">
            <v>#REF!</v>
          </cell>
          <cell r="P129" t="e">
            <v>#REF!</v>
          </cell>
          <cell r="Q129" t="e">
            <v>#REF!</v>
          </cell>
          <cell r="R129" t="e">
            <v>#REF!</v>
          </cell>
          <cell r="S129" t="e">
            <v>#REF!</v>
          </cell>
          <cell r="T129" t="e">
            <v>#REF!</v>
          </cell>
          <cell r="U129" t="e">
            <v>#REF!</v>
          </cell>
          <cell r="V129" t="e">
            <v>#REF!</v>
          </cell>
          <cell r="W129" t="e">
            <v>#REF!</v>
          </cell>
          <cell r="X129" t="e">
            <v>#REF!</v>
          </cell>
          <cell r="Y129" t="e">
            <v>#REF!</v>
          </cell>
        </row>
        <row r="130">
          <cell r="F130">
            <v>7</v>
          </cell>
          <cell r="G130">
            <v>7</v>
          </cell>
          <cell r="H130">
            <v>7</v>
          </cell>
          <cell r="I130">
            <v>7</v>
          </cell>
          <cell r="J130">
            <v>7</v>
          </cell>
          <cell r="K130">
            <v>7</v>
          </cell>
          <cell r="L130">
            <v>7</v>
          </cell>
          <cell r="M130">
            <v>7</v>
          </cell>
          <cell r="N130">
            <v>7</v>
          </cell>
          <cell r="O130">
            <v>7</v>
          </cell>
          <cell r="P130">
            <v>7</v>
          </cell>
          <cell r="Q130">
            <v>7</v>
          </cell>
          <cell r="R130">
            <v>7</v>
          </cell>
          <cell r="S130">
            <v>7</v>
          </cell>
          <cell r="T130">
            <v>7</v>
          </cell>
          <cell r="U130">
            <v>7</v>
          </cell>
          <cell r="V130">
            <v>7</v>
          </cell>
          <cell r="W130">
            <v>7</v>
          </cell>
          <cell r="X130">
            <v>7</v>
          </cell>
          <cell r="Y130">
            <v>7</v>
          </cell>
        </row>
        <row r="131">
          <cell r="F131" t="e">
            <v>#REF!</v>
          </cell>
          <cell r="G131" t="e">
            <v>#REF!</v>
          </cell>
          <cell r="H131" t="e">
            <v>#REF!</v>
          </cell>
          <cell r="I131" t="e">
            <v>#REF!</v>
          </cell>
          <cell r="J131" t="e">
            <v>#REF!</v>
          </cell>
          <cell r="K131" t="e">
            <v>#REF!</v>
          </cell>
          <cell r="L131" t="e">
            <v>#REF!</v>
          </cell>
          <cell r="M131" t="e">
            <v>#REF!</v>
          </cell>
          <cell r="N131" t="e">
            <v>#REF!</v>
          </cell>
          <cell r="O131" t="e">
            <v>#REF!</v>
          </cell>
          <cell r="P131" t="e">
            <v>#REF!</v>
          </cell>
          <cell r="Q131" t="e">
            <v>#REF!</v>
          </cell>
          <cell r="R131" t="e">
            <v>#REF!</v>
          </cell>
          <cell r="S131" t="e">
            <v>#REF!</v>
          </cell>
          <cell r="T131" t="e">
            <v>#REF!</v>
          </cell>
          <cell r="U131" t="e">
            <v>#REF!</v>
          </cell>
          <cell r="V131" t="e">
            <v>#REF!</v>
          </cell>
          <cell r="W131" t="e">
            <v>#REF!</v>
          </cell>
          <cell r="X131" t="e">
            <v>#REF!</v>
          </cell>
          <cell r="Y131" t="e">
            <v>#REF!</v>
          </cell>
        </row>
        <row r="132">
          <cell r="F132" t="e">
            <v>#REF!</v>
          </cell>
          <cell r="G132" t="e">
            <v>#REF!</v>
          </cell>
          <cell r="H132" t="e">
            <v>#REF!</v>
          </cell>
          <cell r="I132" t="e">
            <v>#REF!</v>
          </cell>
          <cell r="J132" t="e">
            <v>#REF!</v>
          </cell>
          <cell r="K132" t="e">
            <v>#REF!</v>
          </cell>
          <cell r="L132" t="e">
            <v>#REF!</v>
          </cell>
          <cell r="M132" t="e">
            <v>#REF!</v>
          </cell>
          <cell r="N132" t="e">
            <v>#REF!</v>
          </cell>
          <cell r="O132" t="e">
            <v>#REF!</v>
          </cell>
          <cell r="P132" t="e">
            <v>#REF!</v>
          </cell>
          <cell r="Q132" t="e">
            <v>#REF!</v>
          </cell>
          <cell r="R132" t="e">
            <v>#REF!</v>
          </cell>
          <cell r="S132" t="e">
            <v>#REF!</v>
          </cell>
          <cell r="T132" t="e">
            <v>#REF!</v>
          </cell>
          <cell r="U132" t="e">
            <v>#REF!</v>
          </cell>
          <cell r="V132" t="e">
            <v>#REF!</v>
          </cell>
          <cell r="W132" t="e">
            <v>#REF!</v>
          </cell>
          <cell r="X132" t="e">
            <v>#REF!</v>
          </cell>
          <cell r="Y132" t="e">
            <v>#REF!</v>
          </cell>
        </row>
        <row r="133">
          <cell r="F133">
            <v>7</v>
          </cell>
          <cell r="G133">
            <v>7</v>
          </cell>
          <cell r="H133">
            <v>7</v>
          </cell>
          <cell r="I133">
            <v>7</v>
          </cell>
          <cell r="J133">
            <v>7</v>
          </cell>
          <cell r="K133">
            <v>42</v>
          </cell>
          <cell r="L133">
            <v>42</v>
          </cell>
          <cell r="M133">
            <v>42</v>
          </cell>
          <cell r="N133">
            <v>42</v>
          </cell>
          <cell r="O133">
            <v>21</v>
          </cell>
          <cell r="P133">
            <v>21</v>
          </cell>
          <cell r="Q133">
            <v>21</v>
          </cell>
          <cell r="R133">
            <v>21</v>
          </cell>
          <cell r="S133">
            <v>21</v>
          </cell>
          <cell r="T133">
            <v>7</v>
          </cell>
          <cell r="U133">
            <v>7</v>
          </cell>
          <cell r="V133">
            <v>21</v>
          </cell>
          <cell r="W133">
            <v>21</v>
          </cell>
          <cell r="X133">
            <v>21</v>
          </cell>
          <cell r="Y133">
            <v>21</v>
          </cell>
        </row>
        <row r="134">
          <cell r="F134">
            <v>7</v>
          </cell>
          <cell r="G134">
            <v>7</v>
          </cell>
          <cell r="H134">
            <v>7</v>
          </cell>
          <cell r="I134">
            <v>7</v>
          </cell>
          <cell r="J134">
            <v>7</v>
          </cell>
          <cell r="K134">
            <v>42</v>
          </cell>
          <cell r="L134">
            <v>42</v>
          </cell>
          <cell r="M134">
            <v>42</v>
          </cell>
          <cell r="N134">
            <v>42</v>
          </cell>
          <cell r="O134">
            <v>21</v>
          </cell>
          <cell r="P134">
            <v>21</v>
          </cell>
          <cell r="Q134">
            <v>21</v>
          </cell>
          <cell r="R134">
            <v>21</v>
          </cell>
          <cell r="S134">
            <v>21</v>
          </cell>
          <cell r="T134">
            <v>7</v>
          </cell>
          <cell r="U134">
            <v>7</v>
          </cell>
          <cell r="V134">
            <v>21</v>
          </cell>
          <cell r="W134">
            <v>21</v>
          </cell>
          <cell r="X134">
            <v>21</v>
          </cell>
          <cell r="Y134">
            <v>21</v>
          </cell>
        </row>
        <row r="135">
          <cell r="F135" t="e">
            <v>#REF!</v>
          </cell>
          <cell r="G135" t="e">
            <v>#REF!</v>
          </cell>
          <cell r="H135" t="e">
            <v>#REF!</v>
          </cell>
          <cell r="I135" t="e">
            <v>#REF!</v>
          </cell>
          <cell r="J135" t="e">
            <v>#REF!</v>
          </cell>
          <cell r="K135" t="e">
            <v>#REF!</v>
          </cell>
          <cell r="L135" t="e">
            <v>#REF!</v>
          </cell>
          <cell r="M135" t="e">
            <v>#REF!</v>
          </cell>
          <cell r="N135" t="e">
            <v>#REF!</v>
          </cell>
          <cell r="O135" t="e">
            <v>#REF!</v>
          </cell>
          <cell r="P135" t="e">
            <v>#REF!</v>
          </cell>
          <cell r="Q135" t="e">
            <v>#REF!</v>
          </cell>
          <cell r="R135" t="e">
            <v>#REF!</v>
          </cell>
          <cell r="S135" t="e">
            <v>#REF!</v>
          </cell>
          <cell r="T135" t="e">
            <v>#REF!</v>
          </cell>
          <cell r="U135" t="e">
            <v>#REF!</v>
          </cell>
          <cell r="V135" t="e">
            <v>#REF!</v>
          </cell>
          <cell r="W135" t="e">
            <v>#REF!</v>
          </cell>
          <cell r="X135" t="e">
            <v>#REF!</v>
          </cell>
          <cell r="Y135" t="e">
            <v>#REF!</v>
          </cell>
        </row>
        <row r="136">
          <cell r="F136" t="e">
            <v>#REF!</v>
          </cell>
          <cell r="G136" t="e">
            <v>#REF!</v>
          </cell>
          <cell r="H136" t="e">
            <v>#REF!</v>
          </cell>
          <cell r="I136" t="e">
            <v>#REF!</v>
          </cell>
          <cell r="J136" t="e">
            <v>#REF!</v>
          </cell>
          <cell r="K136" t="e">
            <v>#REF!</v>
          </cell>
          <cell r="L136" t="e">
            <v>#REF!</v>
          </cell>
          <cell r="M136" t="e">
            <v>#REF!</v>
          </cell>
          <cell r="N136" t="e">
            <v>#REF!</v>
          </cell>
          <cell r="O136" t="e">
            <v>#REF!</v>
          </cell>
          <cell r="P136" t="e">
            <v>#REF!</v>
          </cell>
          <cell r="Q136" t="e">
            <v>#REF!</v>
          </cell>
          <cell r="R136" t="e">
            <v>#REF!</v>
          </cell>
          <cell r="S136" t="e">
            <v>#REF!</v>
          </cell>
          <cell r="T136" t="e">
            <v>#REF!</v>
          </cell>
          <cell r="U136" t="e">
            <v>#REF!</v>
          </cell>
          <cell r="V136" t="e">
            <v>#REF!</v>
          </cell>
          <cell r="W136" t="e">
            <v>#REF!</v>
          </cell>
          <cell r="X136" t="e">
            <v>#REF!</v>
          </cell>
          <cell r="Y136" t="e">
            <v>#REF!</v>
          </cell>
        </row>
        <row r="137">
          <cell r="F137">
            <v>7</v>
          </cell>
          <cell r="G137">
            <v>7</v>
          </cell>
          <cell r="H137">
            <v>7</v>
          </cell>
          <cell r="I137">
            <v>7</v>
          </cell>
          <cell r="J137">
            <v>7</v>
          </cell>
          <cell r="K137">
            <v>7</v>
          </cell>
          <cell r="L137">
            <v>7</v>
          </cell>
          <cell r="M137">
            <v>7</v>
          </cell>
          <cell r="N137">
            <v>7</v>
          </cell>
          <cell r="O137">
            <v>7</v>
          </cell>
          <cell r="P137">
            <v>7</v>
          </cell>
          <cell r="Q137">
            <v>7</v>
          </cell>
          <cell r="R137">
            <v>7</v>
          </cell>
          <cell r="S137">
            <v>7</v>
          </cell>
          <cell r="T137">
            <v>7</v>
          </cell>
          <cell r="U137">
            <v>7</v>
          </cell>
          <cell r="V137">
            <v>7</v>
          </cell>
          <cell r="W137">
            <v>7</v>
          </cell>
          <cell r="X137">
            <v>7</v>
          </cell>
          <cell r="Y137">
            <v>7</v>
          </cell>
        </row>
        <row r="138">
          <cell r="F138" t="e">
            <v>#REF!</v>
          </cell>
          <cell r="G138" t="e">
            <v>#REF!</v>
          </cell>
          <cell r="H138" t="e">
            <v>#REF!</v>
          </cell>
          <cell r="I138" t="e">
            <v>#REF!</v>
          </cell>
          <cell r="J138" t="e">
            <v>#REF!</v>
          </cell>
          <cell r="K138" t="e">
            <v>#REF!</v>
          </cell>
          <cell r="L138" t="e">
            <v>#REF!</v>
          </cell>
          <cell r="M138" t="e">
            <v>#REF!</v>
          </cell>
          <cell r="N138" t="e">
            <v>#REF!</v>
          </cell>
          <cell r="O138" t="e">
            <v>#REF!</v>
          </cell>
          <cell r="P138" t="e">
            <v>#REF!</v>
          </cell>
          <cell r="Q138" t="e">
            <v>#REF!</v>
          </cell>
          <cell r="R138" t="e">
            <v>#REF!</v>
          </cell>
          <cell r="S138" t="e">
            <v>#REF!</v>
          </cell>
          <cell r="T138" t="e">
            <v>#REF!</v>
          </cell>
          <cell r="U138" t="e">
            <v>#REF!</v>
          </cell>
          <cell r="V138" t="e">
            <v>#REF!</v>
          </cell>
          <cell r="W138" t="e">
            <v>#REF!</v>
          </cell>
          <cell r="X138" t="e">
            <v>#REF!</v>
          </cell>
          <cell r="Y138" t="e">
            <v>#REF!</v>
          </cell>
        </row>
        <row r="139">
          <cell r="F139" t="e">
            <v>#REF!</v>
          </cell>
          <cell r="G139" t="e">
            <v>#REF!</v>
          </cell>
          <cell r="H139" t="e">
            <v>#REF!</v>
          </cell>
          <cell r="I139" t="e">
            <v>#REF!</v>
          </cell>
          <cell r="J139" t="e">
            <v>#REF!</v>
          </cell>
          <cell r="K139" t="e">
            <v>#REF!</v>
          </cell>
          <cell r="L139" t="e">
            <v>#REF!</v>
          </cell>
          <cell r="M139" t="e">
            <v>#REF!</v>
          </cell>
          <cell r="N139" t="e">
            <v>#REF!</v>
          </cell>
          <cell r="O139" t="e">
            <v>#REF!</v>
          </cell>
          <cell r="P139" t="e">
            <v>#REF!</v>
          </cell>
          <cell r="Q139" t="e">
            <v>#REF!</v>
          </cell>
          <cell r="R139" t="e">
            <v>#REF!</v>
          </cell>
          <cell r="S139" t="e">
            <v>#REF!</v>
          </cell>
          <cell r="T139" t="e">
            <v>#REF!</v>
          </cell>
          <cell r="U139" t="e">
            <v>#REF!</v>
          </cell>
          <cell r="V139" t="e">
            <v>#REF!</v>
          </cell>
          <cell r="W139" t="e">
            <v>#REF!</v>
          </cell>
          <cell r="X139" t="e">
            <v>#REF!</v>
          </cell>
          <cell r="Y139" t="e">
            <v>#REF!</v>
          </cell>
        </row>
        <row r="140">
          <cell r="F140">
            <v>7</v>
          </cell>
          <cell r="G140">
            <v>7</v>
          </cell>
          <cell r="H140">
            <v>7</v>
          </cell>
          <cell r="I140">
            <v>7</v>
          </cell>
          <cell r="J140">
            <v>7</v>
          </cell>
          <cell r="K140">
            <v>7</v>
          </cell>
          <cell r="L140">
            <v>7</v>
          </cell>
          <cell r="M140">
            <v>7</v>
          </cell>
          <cell r="N140">
            <v>7</v>
          </cell>
          <cell r="O140">
            <v>7</v>
          </cell>
          <cell r="P140">
            <v>7</v>
          </cell>
          <cell r="Q140">
            <v>7</v>
          </cell>
          <cell r="R140">
            <v>7</v>
          </cell>
          <cell r="S140">
            <v>7</v>
          </cell>
          <cell r="T140">
            <v>7</v>
          </cell>
          <cell r="U140">
            <v>7</v>
          </cell>
          <cell r="V140">
            <v>7</v>
          </cell>
          <cell r="W140">
            <v>7</v>
          </cell>
          <cell r="X140">
            <v>7</v>
          </cell>
          <cell r="Y140">
            <v>7</v>
          </cell>
        </row>
        <row r="141">
          <cell r="F141">
            <v>7</v>
          </cell>
          <cell r="G141">
            <v>7</v>
          </cell>
          <cell r="H141">
            <v>7</v>
          </cell>
          <cell r="I141">
            <v>7</v>
          </cell>
          <cell r="J141">
            <v>7</v>
          </cell>
          <cell r="K141">
            <v>7</v>
          </cell>
          <cell r="L141">
            <v>7</v>
          </cell>
          <cell r="M141">
            <v>7</v>
          </cell>
          <cell r="N141">
            <v>7</v>
          </cell>
          <cell r="O141">
            <v>7</v>
          </cell>
          <cell r="P141">
            <v>7</v>
          </cell>
          <cell r="Q141">
            <v>7</v>
          </cell>
          <cell r="R141">
            <v>7</v>
          </cell>
          <cell r="S141">
            <v>7</v>
          </cell>
          <cell r="T141">
            <v>7</v>
          </cell>
          <cell r="U141">
            <v>7</v>
          </cell>
          <cell r="V141">
            <v>7</v>
          </cell>
          <cell r="W141">
            <v>7</v>
          </cell>
          <cell r="X141">
            <v>7</v>
          </cell>
          <cell r="Y141">
            <v>7</v>
          </cell>
        </row>
        <row r="142">
          <cell r="F142" t="e">
            <v>#REF!</v>
          </cell>
          <cell r="G142" t="e">
            <v>#REF!</v>
          </cell>
          <cell r="H142" t="e">
            <v>#REF!</v>
          </cell>
          <cell r="I142" t="e">
            <v>#REF!</v>
          </cell>
          <cell r="J142" t="e">
            <v>#REF!</v>
          </cell>
          <cell r="K142" t="e">
            <v>#REF!</v>
          </cell>
          <cell r="L142" t="e">
            <v>#REF!</v>
          </cell>
          <cell r="M142" t="e">
            <v>#REF!</v>
          </cell>
          <cell r="N142" t="e">
            <v>#REF!</v>
          </cell>
          <cell r="O142" t="e">
            <v>#REF!</v>
          </cell>
          <cell r="P142" t="e">
            <v>#REF!</v>
          </cell>
          <cell r="Q142" t="e">
            <v>#REF!</v>
          </cell>
          <cell r="R142" t="e">
            <v>#REF!</v>
          </cell>
          <cell r="S142" t="e">
            <v>#REF!</v>
          </cell>
          <cell r="T142" t="e">
            <v>#REF!</v>
          </cell>
          <cell r="U142" t="e">
            <v>#REF!</v>
          </cell>
          <cell r="V142" t="e">
            <v>#REF!</v>
          </cell>
          <cell r="W142" t="e">
            <v>#REF!</v>
          </cell>
          <cell r="X142" t="e">
            <v>#REF!</v>
          </cell>
          <cell r="Y142" t="e">
            <v>#REF!</v>
          </cell>
        </row>
        <row r="143">
          <cell r="F143" t="e">
            <v>#REF!</v>
          </cell>
          <cell r="G143" t="e">
            <v>#REF!</v>
          </cell>
          <cell r="H143" t="e">
            <v>#REF!</v>
          </cell>
          <cell r="I143" t="e">
            <v>#REF!</v>
          </cell>
          <cell r="J143" t="e">
            <v>#REF!</v>
          </cell>
          <cell r="K143" t="e">
            <v>#REF!</v>
          </cell>
          <cell r="L143" t="e">
            <v>#REF!</v>
          </cell>
          <cell r="M143" t="e">
            <v>#REF!</v>
          </cell>
          <cell r="N143" t="e">
            <v>#REF!</v>
          </cell>
          <cell r="O143" t="e">
            <v>#REF!</v>
          </cell>
          <cell r="P143" t="e">
            <v>#REF!</v>
          </cell>
          <cell r="Q143" t="e">
            <v>#REF!</v>
          </cell>
          <cell r="R143" t="e">
            <v>#REF!</v>
          </cell>
          <cell r="S143" t="e">
            <v>#REF!</v>
          </cell>
          <cell r="T143" t="e">
            <v>#REF!</v>
          </cell>
          <cell r="U143" t="e">
            <v>#REF!</v>
          </cell>
          <cell r="V143" t="e">
            <v>#REF!</v>
          </cell>
          <cell r="W143" t="e">
            <v>#REF!</v>
          </cell>
          <cell r="X143" t="e">
            <v>#REF!</v>
          </cell>
          <cell r="Y143" t="e">
            <v>#REF!</v>
          </cell>
        </row>
        <row r="144">
          <cell r="F144">
            <v>7</v>
          </cell>
          <cell r="G144">
            <v>7</v>
          </cell>
          <cell r="H144">
            <v>7</v>
          </cell>
          <cell r="I144">
            <v>7</v>
          </cell>
          <cell r="J144">
            <v>7</v>
          </cell>
          <cell r="K144">
            <v>7</v>
          </cell>
          <cell r="L144">
            <v>7</v>
          </cell>
          <cell r="M144">
            <v>7</v>
          </cell>
          <cell r="N144">
            <v>7</v>
          </cell>
          <cell r="O144">
            <v>7</v>
          </cell>
          <cell r="P144">
            <v>7</v>
          </cell>
          <cell r="Q144">
            <v>7</v>
          </cell>
          <cell r="R144">
            <v>7</v>
          </cell>
          <cell r="S144">
            <v>7</v>
          </cell>
          <cell r="T144">
            <v>7</v>
          </cell>
          <cell r="U144">
            <v>7</v>
          </cell>
          <cell r="V144">
            <v>7</v>
          </cell>
          <cell r="W144">
            <v>7</v>
          </cell>
          <cell r="X144">
            <v>7</v>
          </cell>
          <cell r="Y144">
            <v>7</v>
          </cell>
        </row>
        <row r="145">
          <cell r="F145" t="e">
            <v>#REF!</v>
          </cell>
          <cell r="G145" t="e">
            <v>#REF!</v>
          </cell>
          <cell r="H145" t="e">
            <v>#REF!</v>
          </cell>
          <cell r="I145" t="e">
            <v>#REF!</v>
          </cell>
          <cell r="J145" t="e">
            <v>#REF!</v>
          </cell>
          <cell r="K145" t="e">
            <v>#REF!</v>
          </cell>
          <cell r="L145" t="e">
            <v>#REF!</v>
          </cell>
          <cell r="M145" t="e">
            <v>#REF!</v>
          </cell>
          <cell r="N145" t="e">
            <v>#REF!</v>
          </cell>
          <cell r="O145" t="e">
            <v>#REF!</v>
          </cell>
          <cell r="P145" t="e">
            <v>#REF!</v>
          </cell>
          <cell r="Q145" t="e">
            <v>#REF!</v>
          </cell>
          <cell r="R145" t="e">
            <v>#REF!</v>
          </cell>
          <cell r="S145" t="e">
            <v>#REF!</v>
          </cell>
          <cell r="T145" t="e">
            <v>#REF!</v>
          </cell>
          <cell r="U145" t="e">
            <v>#REF!</v>
          </cell>
          <cell r="V145" t="e">
            <v>#REF!</v>
          </cell>
          <cell r="W145" t="e">
            <v>#REF!</v>
          </cell>
          <cell r="X145" t="e">
            <v>#REF!</v>
          </cell>
          <cell r="Y145" t="e">
            <v>#REF!</v>
          </cell>
        </row>
        <row r="146">
          <cell r="F146" t="e">
            <v>#REF!</v>
          </cell>
          <cell r="G146" t="e">
            <v>#REF!</v>
          </cell>
          <cell r="H146" t="e">
            <v>#REF!</v>
          </cell>
          <cell r="I146" t="e">
            <v>#REF!</v>
          </cell>
          <cell r="J146" t="e">
            <v>#REF!</v>
          </cell>
          <cell r="K146" t="e">
            <v>#REF!</v>
          </cell>
          <cell r="L146" t="e">
            <v>#REF!</v>
          </cell>
          <cell r="M146" t="e">
            <v>#REF!</v>
          </cell>
          <cell r="N146" t="e">
            <v>#REF!</v>
          </cell>
          <cell r="O146" t="e">
            <v>#REF!</v>
          </cell>
          <cell r="P146" t="e">
            <v>#REF!</v>
          </cell>
          <cell r="Q146" t="e">
            <v>#REF!</v>
          </cell>
          <cell r="R146" t="e">
            <v>#REF!</v>
          </cell>
          <cell r="S146" t="e">
            <v>#REF!</v>
          </cell>
          <cell r="T146" t="e">
            <v>#REF!</v>
          </cell>
          <cell r="U146" t="e">
            <v>#REF!</v>
          </cell>
          <cell r="V146" t="e">
            <v>#REF!</v>
          </cell>
          <cell r="W146" t="e">
            <v>#REF!</v>
          </cell>
          <cell r="X146" t="e">
            <v>#REF!</v>
          </cell>
          <cell r="Y146" t="e">
            <v>#REF!</v>
          </cell>
        </row>
        <row r="147">
          <cell r="F147">
            <v>3.5</v>
          </cell>
          <cell r="G147">
            <v>7</v>
          </cell>
          <cell r="H147">
            <v>7</v>
          </cell>
          <cell r="I147">
            <v>7</v>
          </cell>
          <cell r="J147">
            <v>7</v>
          </cell>
          <cell r="K147">
            <v>7</v>
          </cell>
          <cell r="L147">
            <v>7</v>
          </cell>
          <cell r="M147">
            <v>7</v>
          </cell>
          <cell r="N147">
            <v>7</v>
          </cell>
          <cell r="O147">
            <v>7</v>
          </cell>
          <cell r="P147">
            <v>7</v>
          </cell>
          <cell r="Q147">
            <v>7</v>
          </cell>
          <cell r="R147">
            <v>7</v>
          </cell>
          <cell r="S147">
            <v>7</v>
          </cell>
          <cell r="T147">
            <v>7</v>
          </cell>
          <cell r="U147">
            <v>7</v>
          </cell>
          <cell r="V147">
            <v>7</v>
          </cell>
          <cell r="W147">
            <v>7</v>
          </cell>
          <cell r="X147">
            <v>7</v>
          </cell>
          <cell r="Y147">
            <v>7</v>
          </cell>
        </row>
        <row r="148">
          <cell r="F148">
            <v>3.5</v>
          </cell>
          <cell r="G148">
            <v>7</v>
          </cell>
          <cell r="H148">
            <v>7</v>
          </cell>
          <cell r="I148">
            <v>7</v>
          </cell>
          <cell r="J148">
            <v>7</v>
          </cell>
          <cell r="K148">
            <v>7</v>
          </cell>
          <cell r="L148">
            <v>7</v>
          </cell>
          <cell r="M148">
            <v>7</v>
          </cell>
          <cell r="N148">
            <v>7</v>
          </cell>
          <cell r="O148">
            <v>7</v>
          </cell>
          <cell r="P148">
            <v>7</v>
          </cell>
          <cell r="Q148">
            <v>7</v>
          </cell>
          <cell r="R148">
            <v>7</v>
          </cell>
          <cell r="S148">
            <v>7</v>
          </cell>
          <cell r="T148">
            <v>7</v>
          </cell>
          <cell r="U148">
            <v>7</v>
          </cell>
          <cell r="V148">
            <v>7</v>
          </cell>
          <cell r="W148">
            <v>7</v>
          </cell>
          <cell r="X148">
            <v>7</v>
          </cell>
          <cell r="Y148">
            <v>7</v>
          </cell>
        </row>
        <row r="149">
          <cell r="F149" t="e">
            <v>#REF!</v>
          </cell>
          <cell r="G149" t="e">
            <v>#REF!</v>
          </cell>
          <cell r="H149" t="e">
            <v>#REF!</v>
          </cell>
          <cell r="I149" t="e">
            <v>#REF!</v>
          </cell>
          <cell r="J149" t="e">
            <v>#REF!</v>
          </cell>
          <cell r="K149" t="e">
            <v>#REF!</v>
          </cell>
          <cell r="L149" t="e">
            <v>#REF!</v>
          </cell>
          <cell r="M149" t="e">
            <v>#REF!</v>
          </cell>
          <cell r="N149" t="e">
            <v>#REF!</v>
          </cell>
          <cell r="O149" t="e">
            <v>#REF!</v>
          </cell>
          <cell r="P149" t="e">
            <v>#REF!</v>
          </cell>
          <cell r="Q149" t="e">
            <v>#REF!</v>
          </cell>
          <cell r="R149" t="e">
            <v>#REF!</v>
          </cell>
          <cell r="S149" t="e">
            <v>#REF!</v>
          </cell>
          <cell r="T149" t="e">
            <v>#REF!</v>
          </cell>
          <cell r="U149" t="e">
            <v>#REF!</v>
          </cell>
          <cell r="V149" t="e">
            <v>#REF!</v>
          </cell>
          <cell r="W149" t="e">
            <v>#REF!</v>
          </cell>
          <cell r="X149" t="e">
            <v>#REF!</v>
          </cell>
          <cell r="Y149" t="e">
            <v>#REF!</v>
          </cell>
        </row>
        <row r="150">
          <cell r="F150" t="e">
            <v>#REF!</v>
          </cell>
          <cell r="G150" t="e">
            <v>#REF!</v>
          </cell>
          <cell r="H150" t="e">
            <v>#REF!</v>
          </cell>
          <cell r="I150" t="e">
            <v>#REF!</v>
          </cell>
          <cell r="J150" t="e">
            <v>#REF!</v>
          </cell>
          <cell r="K150" t="e">
            <v>#REF!</v>
          </cell>
          <cell r="L150" t="e">
            <v>#REF!</v>
          </cell>
          <cell r="M150" t="e">
            <v>#REF!</v>
          </cell>
          <cell r="N150" t="e">
            <v>#REF!</v>
          </cell>
          <cell r="O150" t="e">
            <v>#REF!</v>
          </cell>
          <cell r="P150" t="e">
            <v>#REF!</v>
          </cell>
          <cell r="Q150" t="e">
            <v>#REF!</v>
          </cell>
          <cell r="R150" t="e">
            <v>#REF!</v>
          </cell>
          <cell r="S150" t="e">
            <v>#REF!</v>
          </cell>
          <cell r="T150" t="e">
            <v>#REF!</v>
          </cell>
          <cell r="U150" t="e">
            <v>#REF!</v>
          </cell>
          <cell r="V150" t="e">
            <v>#REF!</v>
          </cell>
          <cell r="W150" t="e">
            <v>#REF!</v>
          </cell>
          <cell r="X150" t="e">
            <v>#REF!</v>
          </cell>
          <cell r="Y150" t="e">
            <v>#REF!</v>
          </cell>
        </row>
        <row r="151">
          <cell r="F151">
            <v>7</v>
          </cell>
          <cell r="G151">
            <v>7</v>
          </cell>
          <cell r="H151">
            <v>7</v>
          </cell>
          <cell r="I151">
            <v>7</v>
          </cell>
          <cell r="J151">
            <v>7</v>
          </cell>
          <cell r="K151">
            <v>7</v>
          </cell>
          <cell r="L151">
            <v>7</v>
          </cell>
          <cell r="M151">
            <v>7</v>
          </cell>
          <cell r="N151">
            <v>7</v>
          </cell>
          <cell r="O151">
            <v>7</v>
          </cell>
          <cell r="P151">
            <v>7</v>
          </cell>
          <cell r="Q151">
            <v>7</v>
          </cell>
          <cell r="R151">
            <v>7</v>
          </cell>
          <cell r="S151">
            <v>7</v>
          </cell>
          <cell r="T151">
            <v>7</v>
          </cell>
          <cell r="U151">
            <v>7</v>
          </cell>
          <cell r="V151">
            <v>7</v>
          </cell>
          <cell r="W151">
            <v>7</v>
          </cell>
          <cell r="X151">
            <v>7</v>
          </cell>
          <cell r="Y151">
            <v>7</v>
          </cell>
        </row>
        <row r="152">
          <cell r="F152" t="e">
            <v>#REF!</v>
          </cell>
          <cell r="G152" t="e">
            <v>#REF!</v>
          </cell>
          <cell r="H152" t="e">
            <v>#REF!</v>
          </cell>
          <cell r="I152" t="e">
            <v>#REF!</v>
          </cell>
          <cell r="J152" t="e">
            <v>#REF!</v>
          </cell>
          <cell r="K152" t="e">
            <v>#REF!</v>
          </cell>
          <cell r="L152" t="e">
            <v>#REF!</v>
          </cell>
          <cell r="M152" t="e">
            <v>#REF!</v>
          </cell>
          <cell r="N152" t="e">
            <v>#REF!</v>
          </cell>
          <cell r="O152" t="e">
            <v>#REF!</v>
          </cell>
          <cell r="P152" t="e">
            <v>#REF!</v>
          </cell>
          <cell r="Q152" t="e">
            <v>#REF!</v>
          </cell>
          <cell r="R152" t="e">
            <v>#REF!</v>
          </cell>
          <cell r="S152" t="e">
            <v>#REF!</v>
          </cell>
          <cell r="T152" t="e">
            <v>#REF!</v>
          </cell>
          <cell r="U152" t="e">
            <v>#REF!</v>
          </cell>
          <cell r="V152" t="e">
            <v>#REF!</v>
          </cell>
          <cell r="W152" t="e">
            <v>#REF!</v>
          </cell>
          <cell r="X152" t="e">
            <v>#REF!</v>
          </cell>
          <cell r="Y152" t="e">
            <v>#REF!</v>
          </cell>
        </row>
        <row r="153">
          <cell r="F153" t="e">
            <v>#REF!</v>
          </cell>
          <cell r="G153" t="e">
            <v>#REF!</v>
          </cell>
          <cell r="H153" t="e">
            <v>#REF!</v>
          </cell>
          <cell r="I153" t="e">
            <v>#REF!</v>
          </cell>
          <cell r="J153" t="e">
            <v>#REF!</v>
          </cell>
          <cell r="K153" t="e">
            <v>#REF!</v>
          </cell>
          <cell r="L153" t="e">
            <v>#REF!</v>
          </cell>
          <cell r="M153" t="e">
            <v>#REF!</v>
          </cell>
          <cell r="N153" t="e">
            <v>#REF!</v>
          </cell>
          <cell r="O153" t="e">
            <v>#REF!</v>
          </cell>
          <cell r="P153" t="e">
            <v>#REF!</v>
          </cell>
          <cell r="Q153" t="e">
            <v>#REF!</v>
          </cell>
          <cell r="R153" t="e">
            <v>#REF!</v>
          </cell>
          <cell r="S153" t="e">
            <v>#REF!</v>
          </cell>
          <cell r="T153" t="e">
            <v>#REF!</v>
          </cell>
          <cell r="U153" t="e">
            <v>#REF!</v>
          </cell>
          <cell r="V153" t="e">
            <v>#REF!</v>
          </cell>
          <cell r="W153" t="e">
            <v>#REF!</v>
          </cell>
          <cell r="X153" t="e">
            <v>#REF!</v>
          </cell>
          <cell r="Y153" t="e">
            <v>#REF!</v>
          </cell>
        </row>
        <row r="154">
          <cell r="F154">
            <v>7</v>
          </cell>
          <cell r="G154">
            <v>7</v>
          </cell>
          <cell r="H154">
            <v>7</v>
          </cell>
          <cell r="I154">
            <v>7</v>
          </cell>
          <cell r="J154">
            <v>7</v>
          </cell>
          <cell r="K154">
            <v>7</v>
          </cell>
          <cell r="L154">
            <v>7</v>
          </cell>
          <cell r="M154">
            <v>7</v>
          </cell>
          <cell r="N154">
            <v>7</v>
          </cell>
          <cell r="O154">
            <v>7</v>
          </cell>
          <cell r="P154">
            <v>7</v>
          </cell>
          <cell r="Q154">
            <v>7</v>
          </cell>
          <cell r="R154">
            <v>7</v>
          </cell>
          <cell r="S154">
            <v>7</v>
          </cell>
          <cell r="T154">
            <v>7</v>
          </cell>
          <cell r="U154">
            <v>7</v>
          </cell>
          <cell r="V154">
            <v>7</v>
          </cell>
          <cell r="W154">
            <v>7</v>
          </cell>
          <cell r="X154">
            <v>7</v>
          </cell>
          <cell r="Y154">
            <v>7</v>
          </cell>
        </row>
        <row r="155">
          <cell r="F155">
            <v>7</v>
          </cell>
          <cell r="G155">
            <v>7</v>
          </cell>
          <cell r="H155">
            <v>7</v>
          </cell>
          <cell r="I155">
            <v>7</v>
          </cell>
          <cell r="J155">
            <v>7</v>
          </cell>
          <cell r="K155">
            <v>7</v>
          </cell>
          <cell r="L155">
            <v>7</v>
          </cell>
          <cell r="M155">
            <v>7</v>
          </cell>
          <cell r="N155">
            <v>7</v>
          </cell>
          <cell r="O155">
            <v>7</v>
          </cell>
          <cell r="P155">
            <v>7</v>
          </cell>
          <cell r="Q155">
            <v>7</v>
          </cell>
          <cell r="R155">
            <v>7</v>
          </cell>
          <cell r="S155">
            <v>7</v>
          </cell>
          <cell r="T155">
            <v>7</v>
          </cell>
          <cell r="U155">
            <v>7</v>
          </cell>
          <cell r="V155">
            <v>7</v>
          </cell>
          <cell r="W155">
            <v>7</v>
          </cell>
          <cell r="X155">
            <v>7</v>
          </cell>
          <cell r="Y155">
            <v>7</v>
          </cell>
        </row>
        <row r="156">
          <cell r="F156" t="e">
            <v>#REF!</v>
          </cell>
          <cell r="G156" t="e">
            <v>#REF!</v>
          </cell>
          <cell r="H156" t="e">
            <v>#REF!</v>
          </cell>
          <cell r="I156" t="e">
            <v>#REF!</v>
          </cell>
          <cell r="J156" t="e">
            <v>#REF!</v>
          </cell>
          <cell r="K156" t="e">
            <v>#REF!</v>
          </cell>
          <cell r="L156" t="e">
            <v>#REF!</v>
          </cell>
          <cell r="M156" t="e">
            <v>#REF!</v>
          </cell>
          <cell r="N156" t="e">
            <v>#REF!</v>
          </cell>
          <cell r="O156" t="e">
            <v>#REF!</v>
          </cell>
          <cell r="P156" t="e">
            <v>#REF!</v>
          </cell>
          <cell r="Q156" t="e">
            <v>#REF!</v>
          </cell>
          <cell r="R156" t="e">
            <v>#REF!</v>
          </cell>
          <cell r="S156" t="e">
            <v>#REF!</v>
          </cell>
          <cell r="T156" t="e">
            <v>#REF!</v>
          </cell>
          <cell r="U156" t="e">
            <v>#REF!</v>
          </cell>
          <cell r="V156" t="e">
            <v>#REF!</v>
          </cell>
          <cell r="W156" t="e">
            <v>#REF!</v>
          </cell>
          <cell r="X156" t="e">
            <v>#REF!</v>
          </cell>
          <cell r="Y156" t="e">
            <v>#REF!</v>
          </cell>
        </row>
        <row r="157">
          <cell r="F157" t="e">
            <v>#REF!</v>
          </cell>
          <cell r="G157" t="e">
            <v>#REF!</v>
          </cell>
          <cell r="H157" t="e">
            <v>#REF!</v>
          </cell>
          <cell r="I157" t="e">
            <v>#REF!</v>
          </cell>
          <cell r="J157" t="e">
            <v>#REF!</v>
          </cell>
          <cell r="K157" t="e">
            <v>#REF!</v>
          </cell>
          <cell r="L157" t="e">
            <v>#REF!</v>
          </cell>
          <cell r="M157" t="e">
            <v>#REF!</v>
          </cell>
          <cell r="N157" t="e">
            <v>#REF!</v>
          </cell>
          <cell r="O157" t="e">
            <v>#REF!</v>
          </cell>
          <cell r="P157" t="e">
            <v>#REF!</v>
          </cell>
          <cell r="Q157" t="e">
            <v>#REF!</v>
          </cell>
          <cell r="R157" t="e">
            <v>#REF!</v>
          </cell>
          <cell r="S157" t="e">
            <v>#REF!</v>
          </cell>
          <cell r="T157" t="e">
            <v>#REF!</v>
          </cell>
          <cell r="U157" t="e">
            <v>#REF!</v>
          </cell>
          <cell r="V157" t="e">
            <v>#REF!</v>
          </cell>
          <cell r="W157" t="e">
            <v>#REF!</v>
          </cell>
          <cell r="X157" t="e">
            <v>#REF!</v>
          </cell>
          <cell r="Y157" t="e">
            <v>#REF!</v>
          </cell>
        </row>
        <row r="158">
          <cell r="F158">
            <v>7</v>
          </cell>
          <cell r="G158">
            <v>7</v>
          </cell>
          <cell r="H158">
            <v>7</v>
          </cell>
          <cell r="I158">
            <v>7</v>
          </cell>
          <cell r="J158">
            <v>7</v>
          </cell>
          <cell r="K158">
            <v>7</v>
          </cell>
          <cell r="L158">
            <v>7</v>
          </cell>
          <cell r="M158">
            <v>7</v>
          </cell>
          <cell r="N158">
            <v>7</v>
          </cell>
          <cell r="O158">
            <v>7</v>
          </cell>
          <cell r="P158">
            <v>7</v>
          </cell>
          <cell r="Q158">
            <v>7</v>
          </cell>
          <cell r="R158">
            <v>7</v>
          </cell>
          <cell r="S158">
            <v>7</v>
          </cell>
          <cell r="T158">
            <v>7</v>
          </cell>
          <cell r="U158">
            <v>7</v>
          </cell>
          <cell r="V158">
            <v>7</v>
          </cell>
          <cell r="W158">
            <v>7</v>
          </cell>
          <cell r="X158">
            <v>7</v>
          </cell>
          <cell r="Y158">
            <v>7</v>
          </cell>
        </row>
        <row r="159">
          <cell r="F159" t="e">
            <v>#REF!</v>
          </cell>
          <cell r="G159" t="e">
            <v>#REF!</v>
          </cell>
          <cell r="H159" t="e">
            <v>#REF!</v>
          </cell>
          <cell r="I159" t="e">
            <v>#REF!</v>
          </cell>
          <cell r="J159" t="e">
            <v>#REF!</v>
          </cell>
          <cell r="K159" t="e">
            <v>#REF!</v>
          </cell>
          <cell r="L159" t="e">
            <v>#REF!</v>
          </cell>
          <cell r="M159" t="e">
            <v>#REF!</v>
          </cell>
          <cell r="N159" t="e">
            <v>#REF!</v>
          </cell>
          <cell r="O159" t="e">
            <v>#REF!</v>
          </cell>
          <cell r="P159" t="e">
            <v>#REF!</v>
          </cell>
          <cell r="Q159" t="e">
            <v>#REF!</v>
          </cell>
          <cell r="R159" t="e">
            <v>#REF!</v>
          </cell>
          <cell r="S159" t="e">
            <v>#REF!</v>
          </cell>
          <cell r="T159" t="e">
            <v>#REF!</v>
          </cell>
          <cell r="U159" t="e">
            <v>#REF!</v>
          </cell>
          <cell r="V159" t="e">
            <v>#REF!</v>
          </cell>
          <cell r="W159" t="e">
            <v>#REF!</v>
          </cell>
          <cell r="X159" t="e">
            <v>#REF!</v>
          </cell>
          <cell r="Y159" t="e">
            <v>#REF!</v>
          </cell>
        </row>
        <row r="160">
          <cell r="F160" t="e">
            <v>#REF!</v>
          </cell>
          <cell r="G160" t="e">
            <v>#REF!</v>
          </cell>
          <cell r="H160" t="e">
            <v>#REF!</v>
          </cell>
          <cell r="I160" t="e">
            <v>#REF!</v>
          </cell>
          <cell r="J160" t="e">
            <v>#REF!</v>
          </cell>
          <cell r="K160" t="e">
            <v>#REF!</v>
          </cell>
          <cell r="L160" t="e">
            <v>#REF!</v>
          </cell>
          <cell r="M160" t="e">
            <v>#REF!</v>
          </cell>
          <cell r="N160" t="e">
            <v>#REF!</v>
          </cell>
          <cell r="O160" t="e">
            <v>#REF!</v>
          </cell>
          <cell r="P160" t="e">
            <v>#REF!</v>
          </cell>
          <cell r="Q160" t="e">
            <v>#REF!</v>
          </cell>
          <cell r="R160" t="e">
            <v>#REF!</v>
          </cell>
          <cell r="S160" t="e">
            <v>#REF!</v>
          </cell>
          <cell r="T160" t="e">
            <v>#REF!</v>
          </cell>
          <cell r="U160" t="e">
            <v>#REF!</v>
          </cell>
          <cell r="V160" t="e">
            <v>#REF!</v>
          </cell>
          <cell r="W160" t="e">
            <v>#REF!</v>
          </cell>
          <cell r="X160" t="e">
            <v>#REF!</v>
          </cell>
          <cell r="Y160" t="e">
            <v>#REF!</v>
          </cell>
        </row>
        <row r="161">
          <cell r="F161">
            <v>0</v>
          </cell>
          <cell r="G161">
            <v>7</v>
          </cell>
          <cell r="H161">
            <v>7</v>
          </cell>
          <cell r="I161">
            <v>7</v>
          </cell>
          <cell r="J161">
            <v>7</v>
          </cell>
          <cell r="K161">
            <v>7</v>
          </cell>
          <cell r="L161">
            <v>7</v>
          </cell>
          <cell r="M161">
            <v>7</v>
          </cell>
          <cell r="N161">
            <v>7</v>
          </cell>
          <cell r="O161">
            <v>7</v>
          </cell>
          <cell r="P161">
            <v>7</v>
          </cell>
          <cell r="Q161">
            <v>7</v>
          </cell>
          <cell r="R161">
            <v>7</v>
          </cell>
          <cell r="S161">
            <v>7</v>
          </cell>
          <cell r="T161">
            <v>7</v>
          </cell>
          <cell r="U161">
            <v>7</v>
          </cell>
          <cell r="V161">
            <v>7</v>
          </cell>
          <cell r="W161">
            <v>7</v>
          </cell>
          <cell r="X161">
            <v>7</v>
          </cell>
          <cell r="Y161">
            <v>7</v>
          </cell>
        </row>
        <row r="162">
          <cell r="F162">
            <v>0</v>
          </cell>
          <cell r="G162">
            <v>7</v>
          </cell>
          <cell r="H162">
            <v>7</v>
          </cell>
          <cell r="I162">
            <v>7</v>
          </cell>
          <cell r="J162">
            <v>7</v>
          </cell>
          <cell r="K162">
            <v>7</v>
          </cell>
          <cell r="L162">
            <v>7</v>
          </cell>
          <cell r="M162">
            <v>7</v>
          </cell>
          <cell r="N162">
            <v>7</v>
          </cell>
          <cell r="O162">
            <v>7</v>
          </cell>
          <cell r="P162">
            <v>7</v>
          </cell>
          <cell r="Q162">
            <v>7</v>
          </cell>
          <cell r="R162">
            <v>7</v>
          </cell>
          <cell r="S162">
            <v>7</v>
          </cell>
          <cell r="T162">
            <v>7</v>
          </cell>
          <cell r="U162">
            <v>7</v>
          </cell>
          <cell r="V162">
            <v>7</v>
          </cell>
          <cell r="W162">
            <v>7</v>
          </cell>
          <cell r="X162">
            <v>7</v>
          </cell>
          <cell r="Y162">
            <v>7</v>
          </cell>
        </row>
        <row r="163">
          <cell r="F163" t="e">
            <v>#REF!</v>
          </cell>
          <cell r="G163" t="e">
            <v>#REF!</v>
          </cell>
          <cell r="H163" t="e">
            <v>#REF!</v>
          </cell>
          <cell r="I163" t="e">
            <v>#REF!</v>
          </cell>
          <cell r="J163" t="e">
            <v>#REF!</v>
          </cell>
          <cell r="K163" t="e">
            <v>#REF!</v>
          </cell>
          <cell r="L163" t="e">
            <v>#REF!</v>
          </cell>
          <cell r="M163" t="e">
            <v>#REF!</v>
          </cell>
          <cell r="N163" t="e">
            <v>#REF!</v>
          </cell>
          <cell r="O163" t="e">
            <v>#REF!</v>
          </cell>
          <cell r="P163" t="e">
            <v>#REF!</v>
          </cell>
          <cell r="Q163" t="e">
            <v>#REF!</v>
          </cell>
          <cell r="R163" t="e">
            <v>#REF!</v>
          </cell>
          <cell r="S163" t="e">
            <v>#REF!</v>
          </cell>
          <cell r="T163" t="e">
            <v>#REF!</v>
          </cell>
          <cell r="U163" t="e">
            <v>#REF!</v>
          </cell>
          <cell r="V163" t="e">
            <v>#REF!</v>
          </cell>
          <cell r="W163" t="e">
            <v>#REF!</v>
          </cell>
          <cell r="X163" t="e">
            <v>#REF!</v>
          </cell>
          <cell r="Y163" t="e">
            <v>#REF!</v>
          </cell>
        </row>
        <row r="164">
          <cell r="F164" t="e">
            <v>#REF!</v>
          </cell>
          <cell r="G164" t="e">
            <v>#REF!</v>
          </cell>
          <cell r="H164" t="e">
            <v>#REF!</v>
          </cell>
          <cell r="I164" t="e">
            <v>#REF!</v>
          </cell>
          <cell r="J164" t="e">
            <v>#REF!</v>
          </cell>
          <cell r="K164" t="e">
            <v>#REF!</v>
          </cell>
          <cell r="L164" t="e">
            <v>#REF!</v>
          </cell>
          <cell r="M164" t="e">
            <v>#REF!</v>
          </cell>
          <cell r="N164" t="e">
            <v>#REF!</v>
          </cell>
          <cell r="O164" t="e">
            <v>#REF!</v>
          </cell>
          <cell r="P164" t="e">
            <v>#REF!</v>
          </cell>
          <cell r="Q164" t="e">
            <v>#REF!</v>
          </cell>
          <cell r="R164" t="e">
            <v>#REF!</v>
          </cell>
          <cell r="S164" t="e">
            <v>#REF!</v>
          </cell>
          <cell r="T164" t="e">
            <v>#REF!</v>
          </cell>
          <cell r="U164" t="e">
            <v>#REF!</v>
          </cell>
          <cell r="V164" t="e">
            <v>#REF!</v>
          </cell>
          <cell r="W164" t="e">
            <v>#REF!</v>
          </cell>
          <cell r="X164" t="e">
            <v>#REF!</v>
          </cell>
          <cell r="Y164" t="e">
            <v>#REF!</v>
          </cell>
        </row>
        <row r="165">
          <cell r="I165">
            <v>2</v>
          </cell>
          <cell r="J165">
            <v>2</v>
          </cell>
          <cell r="K165">
            <v>2</v>
          </cell>
          <cell r="L165">
            <v>2</v>
          </cell>
          <cell r="M165">
            <v>2</v>
          </cell>
          <cell r="N165">
            <v>2</v>
          </cell>
          <cell r="O165">
            <v>2</v>
          </cell>
          <cell r="P165">
            <v>2</v>
          </cell>
          <cell r="Q165">
            <v>0</v>
          </cell>
          <cell r="R165">
            <v>0</v>
          </cell>
          <cell r="S165">
            <v>0</v>
          </cell>
          <cell r="T165">
            <v>0</v>
          </cell>
          <cell r="U165">
            <v>0</v>
          </cell>
          <cell r="V165">
            <v>0</v>
          </cell>
          <cell r="W165">
            <v>0</v>
          </cell>
          <cell r="X165">
            <v>0</v>
          </cell>
          <cell r="Y165">
            <v>0</v>
          </cell>
        </row>
        <row r="166">
          <cell r="F166" t="e">
            <v>#REF!</v>
          </cell>
          <cell r="G166" t="e">
            <v>#REF!</v>
          </cell>
          <cell r="H166" t="e">
            <v>#REF!</v>
          </cell>
          <cell r="I166" t="e">
            <v>#REF!</v>
          </cell>
          <cell r="J166" t="e">
            <v>#REF!</v>
          </cell>
          <cell r="K166" t="e">
            <v>#REF!</v>
          </cell>
          <cell r="L166" t="e">
            <v>#REF!</v>
          </cell>
          <cell r="M166" t="e">
            <v>#REF!</v>
          </cell>
          <cell r="N166" t="e">
            <v>#REF!</v>
          </cell>
          <cell r="O166" t="e">
            <v>#REF!</v>
          </cell>
          <cell r="P166" t="e">
            <v>#REF!</v>
          </cell>
          <cell r="Q166" t="e">
            <v>#REF!</v>
          </cell>
          <cell r="R166" t="e">
            <v>#REF!</v>
          </cell>
          <cell r="S166" t="e">
            <v>#REF!</v>
          </cell>
          <cell r="T166" t="e">
            <v>#REF!</v>
          </cell>
          <cell r="U166" t="e">
            <v>#REF!</v>
          </cell>
          <cell r="V166" t="e">
            <v>#REF!</v>
          </cell>
          <cell r="W166" t="e">
            <v>#REF!</v>
          </cell>
          <cell r="X166" t="e">
            <v>#REF!</v>
          </cell>
          <cell r="Y166" t="e">
            <v>#REF!</v>
          </cell>
        </row>
        <row r="167">
          <cell r="F167" t="e">
            <v>#REF!</v>
          </cell>
          <cell r="G167" t="e">
            <v>#REF!</v>
          </cell>
          <cell r="H167" t="e">
            <v>#REF!</v>
          </cell>
          <cell r="I167" t="e">
            <v>#REF!</v>
          </cell>
          <cell r="J167" t="e">
            <v>#REF!</v>
          </cell>
          <cell r="K167" t="e">
            <v>#REF!</v>
          </cell>
          <cell r="L167" t="e">
            <v>#REF!</v>
          </cell>
          <cell r="M167" t="e">
            <v>#REF!</v>
          </cell>
          <cell r="N167" t="e">
            <v>#REF!</v>
          </cell>
          <cell r="O167" t="e">
            <v>#REF!</v>
          </cell>
          <cell r="P167" t="e">
            <v>#REF!</v>
          </cell>
          <cell r="Q167" t="e">
            <v>#REF!</v>
          </cell>
          <cell r="R167" t="e">
            <v>#REF!</v>
          </cell>
          <cell r="S167" t="e">
            <v>#REF!</v>
          </cell>
          <cell r="T167" t="e">
            <v>#REF!</v>
          </cell>
          <cell r="U167" t="e">
            <v>#REF!</v>
          </cell>
          <cell r="V167" t="e">
            <v>#REF!</v>
          </cell>
          <cell r="W167" t="e">
            <v>#REF!</v>
          </cell>
          <cell r="X167" t="e">
            <v>#REF!</v>
          </cell>
          <cell r="Y167" t="e">
            <v>#REF!</v>
          </cell>
        </row>
        <row r="168">
          <cell r="F168">
            <v>0</v>
          </cell>
          <cell r="G168">
            <v>0</v>
          </cell>
          <cell r="H168">
            <v>0</v>
          </cell>
          <cell r="I168">
            <v>0</v>
          </cell>
          <cell r="J168">
            <v>0</v>
          </cell>
          <cell r="K168">
            <v>5</v>
          </cell>
          <cell r="L168">
            <v>1</v>
          </cell>
          <cell r="M168">
            <v>4</v>
          </cell>
          <cell r="N168">
            <v>6</v>
          </cell>
          <cell r="O168">
            <v>0</v>
          </cell>
          <cell r="P168">
            <v>7</v>
          </cell>
          <cell r="Q168">
            <v>7</v>
          </cell>
          <cell r="R168">
            <v>7</v>
          </cell>
          <cell r="S168">
            <v>7</v>
          </cell>
          <cell r="T168">
            <v>7</v>
          </cell>
          <cell r="U168">
            <v>7</v>
          </cell>
          <cell r="V168">
            <v>3</v>
          </cell>
          <cell r="W168">
            <v>0</v>
          </cell>
          <cell r="X168">
            <v>0</v>
          </cell>
          <cell r="Y168">
            <v>2</v>
          </cell>
        </row>
        <row r="169">
          <cell r="F169">
            <v>0</v>
          </cell>
          <cell r="G169">
            <v>0</v>
          </cell>
          <cell r="H169">
            <v>0</v>
          </cell>
          <cell r="I169">
            <v>0</v>
          </cell>
          <cell r="J169">
            <v>0</v>
          </cell>
          <cell r="K169">
            <v>5</v>
          </cell>
          <cell r="L169">
            <v>1</v>
          </cell>
          <cell r="M169">
            <v>4</v>
          </cell>
          <cell r="N169">
            <v>6</v>
          </cell>
          <cell r="O169">
            <v>0</v>
          </cell>
          <cell r="P169">
            <v>7</v>
          </cell>
          <cell r="Q169">
            <v>7</v>
          </cell>
          <cell r="R169">
            <v>7</v>
          </cell>
          <cell r="S169">
            <v>7</v>
          </cell>
          <cell r="T169">
            <v>7</v>
          </cell>
          <cell r="U169">
            <v>7</v>
          </cell>
          <cell r="V169">
            <v>3</v>
          </cell>
          <cell r="W169">
            <v>0</v>
          </cell>
          <cell r="X169">
            <v>0</v>
          </cell>
          <cell r="Y169">
            <v>2</v>
          </cell>
        </row>
        <row r="170">
          <cell r="F170" t="e">
            <v>#REF!</v>
          </cell>
          <cell r="G170" t="e">
            <v>#REF!</v>
          </cell>
          <cell r="H170" t="e">
            <v>#REF!</v>
          </cell>
          <cell r="I170" t="e">
            <v>#REF!</v>
          </cell>
          <cell r="J170" t="e">
            <v>#REF!</v>
          </cell>
          <cell r="K170" t="e">
            <v>#REF!</v>
          </cell>
          <cell r="L170" t="e">
            <v>#REF!</v>
          </cell>
          <cell r="M170" t="e">
            <v>#REF!</v>
          </cell>
          <cell r="N170" t="e">
            <v>#REF!</v>
          </cell>
          <cell r="O170" t="e">
            <v>#REF!</v>
          </cell>
          <cell r="P170" t="e">
            <v>#REF!</v>
          </cell>
          <cell r="Q170" t="e">
            <v>#REF!</v>
          </cell>
          <cell r="R170" t="e">
            <v>#REF!</v>
          </cell>
          <cell r="S170" t="e">
            <v>#REF!</v>
          </cell>
          <cell r="T170" t="e">
            <v>#REF!</v>
          </cell>
          <cell r="U170" t="e">
            <v>#REF!</v>
          </cell>
          <cell r="V170" t="e">
            <v>#REF!</v>
          </cell>
          <cell r="W170" t="e">
            <v>#REF!</v>
          </cell>
          <cell r="X170" t="e">
            <v>#REF!</v>
          </cell>
          <cell r="Y170" t="e">
            <v>#REF!</v>
          </cell>
        </row>
        <row r="171">
          <cell r="F171" t="e">
            <v>#REF!</v>
          </cell>
          <cell r="G171" t="e">
            <v>#REF!</v>
          </cell>
          <cell r="H171" t="e">
            <v>#REF!</v>
          </cell>
          <cell r="I171" t="e">
            <v>#REF!</v>
          </cell>
          <cell r="J171" t="e">
            <v>#REF!</v>
          </cell>
          <cell r="K171" t="e">
            <v>#REF!</v>
          </cell>
          <cell r="L171" t="e">
            <v>#REF!</v>
          </cell>
          <cell r="M171" t="e">
            <v>#REF!</v>
          </cell>
          <cell r="N171" t="e">
            <v>#REF!</v>
          </cell>
          <cell r="O171" t="e">
            <v>#REF!</v>
          </cell>
          <cell r="P171" t="e">
            <v>#REF!</v>
          </cell>
          <cell r="Q171" t="e">
            <v>#REF!</v>
          </cell>
          <cell r="R171" t="e">
            <v>#REF!</v>
          </cell>
          <cell r="S171" t="e">
            <v>#REF!</v>
          </cell>
          <cell r="T171" t="e">
            <v>#REF!</v>
          </cell>
          <cell r="U171" t="e">
            <v>#REF!</v>
          </cell>
          <cell r="V171" t="e">
            <v>#REF!</v>
          </cell>
          <cell r="W171" t="e">
            <v>#REF!</v>
          </cell>
          <cell r="X171" t="e">
            <v>#REF!</v>
          </cell>
          <cell r="Y171" t="e">
            <v>#REF!</v>
          </cell>
        </row>
        <row r="172">
          <cell r="I172">
            <v>0.06</v>
          </cell>
          <cell r="J172">
            <v>0.06</v>
          </cell>
          <cell r="K172">
            <v>0.06</v>
          </cell>
          <cell r="L172">
            <v>0.06</v>
          </cell>
          <cell r="M172">
            <v>0.06</v>
          </cell>
          <cell r="S172">
            <v>0.06</v>
          </cell>
          <cell r="T172">
            <v>0.06</v>
          </cell>
          <cell r="U172">
            <v>0.06</v>
          </cell>
          <cell r="V172">
            <v>0.06</v>
          </cell>
          <cell r="W172">
            <v>0.06</v>
          </cell>
        </row>
        <row r="173">
          <cell r="F173" t="e">
            <v>#REF!</v>
          </cell>
          <cell r="G173" t="e">
            <v>#REF!</v>
          </cell>
          <cell r="H173" t="e">
            <v>#REF!</v>
          </cell>
          <cell r="I173" t="e">
            <v>#REF!</v>
          </cell>
          <cell r="J173" t="e">
            <v>#REF!</v>
          </cell>
          <cell r="K173" t="e">
            <v>#REF!</v>
          </cell>
          <cell r="L173" t="e">
            <v>#REF!</v>
          </cell>
          <cell r="M173" t="e">
            <v>#REF!</v>
          </cell>
          <cell r="N173" t="e">
            <v>#REF!</v>
          </cell>
          <cell r="O173" t="e">
            <v>#REF!</v>
          </cell>
          <cell r="P173" t="e">
            <v>#REF!</v>
          </cell>
          <cell r="Q173" t="e">
            <v>#REF!</v>
          </cell>
          <cell r="R173" t="e">
            <v>#REF!</v>
          </cell>
          <cell r="S173" t="e">
            <v>#REF!</v>
          </cell>
          <cell r="T173" t="e">
            <v>#REF!</v>
          </cell>
          <cell r="U173" t="e">
            <v>#REF!</v>
          </cell>
          <cell r="V173" t="e">
            <v>#REF!</v>
          </cell>
          <cell r="W173" t="e">
            <v>#REF!</v>
          </cell>
          <cell r="X173" t="e">
            <v>#REF!</v>
          </cell>
          <cell r="Y173" t="e">
            <v>#REF!</v>
          </cell>
        </row>
        <row r="174">
          <cell r="F174" t="e">
            <v>#REF!</v>
          </cell>
          <cell r="G174" t="e">
            <v>#REF!</v>
          </cell>
          <cell r="H174" t="e">
            <v>#REF!</v>
          </cell>
          <cell r="I174" t="e">
            <v>#REF!</v>
          </cell>
          <cell r="J174" t="e">
            <v>#REF!</v>
          </cell>
          <cell r="K174" t="e">
            <v>#REF!</v>
          </cell>
          <cell r="L174" t="e">
            <v>#REF!</v>
          </cell>
          <cell r="M174" t="e">
            <v>#REF!</v>
          </cell>
          <cell r="N174" t="e">
            <v>#REF!</v>
          </cell>
          <cell r="O174" t="e">
            <v>#REF!</v>
          </cell>
          <cell r="P174" t="e">
            <v>#REF!</v>
          </cell>
          <cell r="Q174" t="e">
            <v>#REF!</v>
          </cell>
          <cell r="R174" t="e">
            <v>#REF!</v>
          </cell>
          <cell r="S174" t="e">
            <v>#REF!</v>
          </cell>
          <cell r="T174" t="e">
            <v>#REF!</v>
          </cell>
          <cell r="U174" t="e">
            <v>#REF!</v>
          </cell>
          <cell r="V174" t="e">
            <v>#REF!</v>
          </cell>
          <cell r="W174" t="e">
            <v>#REF!</v>
          </cell>
          <cell r="X174" t="e">
            <v>#REF!</v>
          </cell>
          <cell r="Y174" t="e">
            <v>#REF!</v>
          </cell>
        </row>
        <row r="175">
          <cell r="F175">
            <v>0</v>
          </cell>
          <cell r="G175">
            <v>3.1915151515151501E-2</v>
          </cell>
          <cell r="H175">
            <v>0</v>
          </cell>
          <cell r="I175">
            <v>6.9545454545454502E-3</v>
          </cell>
          <cell r="J175" t="e">
            <v>#DIV/0!</v>
          </cell>
          <cell r="K175" t="e">
            <v>#DIV/0!</v>
          </cell>
          <cell r="L175">
            <v>0.08</v>
          </cell>
          <cell r="M175" t="e">
            <v>#DIV/0!</v>
          </cell>
          <cell r="N175" t="e">
            <v>#DIV/0!</v>
          </cell>
          <cell r="O175" t="e">
            <v>#DIV/0!</v>
          </cell>
          <cell r="P175">
            <v>0</v>
          </cell>
          <cell r="Q175" t="e">
            <v>#DIV/0!</v>
          </cell>
          <cell r="R175">
            <v>0</v>
          </cell>
          <cell r="S175" t="e">
            <v>#DIV/0!</v>
          </cell>
          <cell r="T175" t="e">
            <v>#DIV/0!</v>
          </cell>
          <cell r="U175" t="e">
            <v>#DIV/0!</v>
          </cell>
          <cell r="V175">
            <v>0</v>
          </cell>
          <cell r="W175">
            <v>0</v>
          </cell>
          <cell r="X175">
            <v>0</v>
          </cell>
          <cell r="Y175">
            <v>0</v>
          </cell>
        </row>
        <row r="176">
          <cell r="F176">
            <v>0</v>
          </cell>
          <cell r="G176">
            <v>3.1915151515151501E-2</v>
          </cell>
          <cell r="H176">
            <v>0</v>
          </cell>
          <cell r="I176">
            <v>6.9545454545454502E-3</v>
          </cell>
          <cell r="J176" t="e">
            <v>#DIV/0!</v>
          </cell>
          <cell r="K176" t="e">
            <v>#DIV/0!</v>
          </cell>
          <cell r="L176">
            <v>0.08</v>
          </cell>
          <cell r="M176" t="e">
            <v>#DIV/0!</v>
          </cell>
          <cell r="N176" t="e">
            <v>#DIV/0!</v>
          </cell>
          <cell r="O176" t="e">
            <v>#DIV/0!</v>
          </cell>
          <cell r="P176">
            <v>0</v>
          </cell>
          <cell r="Q176" t="e">
            <v>#DIV/0!</v>
          </cell>
          <cell r="R176">
            <v>0</v>
          </cell>
          <cell r="S176" t="e">
            <v>#DIV/0!</v>
          </cell>
          <cell r="T176" t="e">
            <v>#DIV/0!</v>
          </cell>
          <cell r="U176" t="e">
            <v>#DIV/0!</v>
          </cell>
          <cell r="V176">
            <v>0</v>
          </cell>
          <cell r="W176">
            <v>0</v>
          </cell>
          <cell r="X176">
            <v>0</v>
          </cell>
          <cell r="Y176">
            <v>0</v>
          </cell>
        </row>
        <row r="177">
          <cell r="F177" t="e">
            <v>#REF!</v>
          </cell>
          <cell r="G177" t="e">
            <v>#REF!</v>
          </cell>
          <cell r="H177" t="e">
            <v>#REF!</v>
          </cell>
          <cell r="I177" t="e">
            <v>#REF!</v>
          </cell>
          <cell r="J177" t="e">
            <v>#REF!</v>
          </cell>
          <cell r="K177" t="e">
            <v>#REF!</v>
          </cell>
          <cell r="L177" t="e">
            <v>#REF!</v>
          </cell>
          <cell r="M177" t="e">
            <v>#REF!</v>
          </cell>
          <cell r="N177" t="e">
            <v>#REF!</v>
          </cell>
          <cell r="O177" t="e">
            <v>#REF!</v>
          </cell>
          <cell r="P177" t="e">
            <v>#REF!</v>
          </cell>
          <cell r="Q177" t="e">
            <v>#REF!</v>
          </cell>
          <cell r="R177" t="e">
            <v>#REF!</v>
          </cell>
          <cell r="S177" t="e">
            <v>#REF!</v>
          </cell>
          <cell r="T177" t="e">
            <v>#REF!</v>
          </cell>
          <cell r="U177" t="e">
            <v>#REF!</v>
          </cell>
          <cell r="V177" t="e">
            <v>#REF!</v>
          </cell>
          <cell r="W177" t="e">
            <v>#REF!</v>
          </cell>
          <cell r="X177" t="e">
            <v>#REF!</v>
          </cell>
          <cell r="Y177" t="e">
            <v>#REF!</v>
          </cell>
        </row>
        <row r="178">
          <cell r="F178" t="e">
            <v>#REF!</v>
          </cell>
          <cell r="G178" t="e">
            <v>#REF!</v>
          </cell>
          <cell r="H178" t="e">
            <v>#REF!</v>
          </cell>
          <cell r="I178" t="e">
            <v>#REF!</v>
          </cell>
          <cell r="J178" t="e">
            <v>#REF!</v>
          </cell>
          <cell r="K178" t="e">
            <v>#REF!</v>
          </cell>
          <cell r="L178" t="e">
            <v>#REF!</v>
          </cell>
          <cell r="M178" t="e">
            <v>#REF!</v>
          </cell>
          <cell r="N178" t="e">
            <v>#REF!</v>
          </cell>
          <cell r="O178" t="e">
            <v>#REF!</v>
          </cell>
          <cell r="P178" t="e">
            <v>#REF!</v>
          </cell>
          <cell r="Q178" t="e">
            <v>#REF!</v>
          </cell>
          <cell r="R178" t="e">
            <v>#REF!</v>
          </cell>
          <cell r="S178" t="e">
            <v>#REF!</v>
          </cell>
          <cell r="T178" t="e">
            <v>#REF!</v>
          </cell>
          <cell r="U178" t="e">
            <v>#REF!</v>
          </cell>
          <cell r="V178" t="e">
            <v>#REF!</v>
          </cell>
          <cell r="W178" t="e">
            <v>#REF!</v>
          </cell>
          <cell r="X178" t="e">
            <v>#REF!</v>
          </cell>
          <cell r="Y178" t="e">
            <v>#REF!</v>
          </cell>
        </row>
        <row r="180">
          <cell r="E180">
            <v>1</v>
          </cell>
          <cell r="F180">
            <v>2</v>
          </cell>
          <cell r="G180">
            <v>3</v>
          </cell>
          <cell r="H180">
            <v>6</v>
          </cell>
          <cell r="I180">
            <v>7</v>
          </cell>
          <cell r="J180">
            <v>8</v>
          </cell>
          <cell r="K180">
            <v>9</v>
          </cell>
          <cell r="L180">
            <v>10</v>
          </cell>
          <cell r="M180">
            <v>11</v>
          </cell>
          <cell r="N180">
            <v>12</v>
          </cell>
          <cell r="P180">
            <v>13</v>
          </cell>
          <cell r="Q180">
            <v>14</v>
          </cell>
          <cell r="R180">
            <v>15</v>
          </cell>
          <cell r="S180">
            <v>16</v>
          </cell>
          <cell r="T180">
            <v>17</v>
          </cell>
          <cell r="U180">
            <v>18</v>
          </cell>
          <cell r="V180">
            <v>19</v>
          </cell>
          <cell r="W180">
            <v>20</v>
          </cell>
          <cell r="X180">
            <v>21</v>
          </cell>
          <cell r="Y180">
            <v>22</v>
          </cell>
        </row>
        <row r="181">
          <cell r="E181">
            <v>38488</v>
          </cell>
          <cell r="F181">
            <v>38494</v>
          </cell>
          <cell r="G181">
            <v>38502</v>
          </cell>
          <cell r="H181">
            <v>38509</v>
          </cell>
          <cell r="I181">
            <v>38516</v>
          </cell>
          <cell r="J181">
            <v>38523</v>
          </cell>
          <cell r="K181">
            <v>38530</v>
          </cell>
          <cell r="L181">
            <v>38537</v>
          </cell>
          <cell r="M181">
            <v>38544</v>
          </cell>
          <cell r="N181">
            <v>38551</v>
          </cell>
          <cell r="O181">
            <v>38558</v>
          </cell>
          <cell r="P181">
            <v>38565</v>
          </cell>
          <cell r="Q181">
            <v>38572</v>
          </cell>
          <cell r="R181">
            <v>38579</v>
          </cell>
          <cell r="S181">
            <v>38586</v>
          </cell>
          <cell r="T181">
            <v>38593</v>
          </cell>
          <cell r="U181">
            <v>38600</v>
          </cell>
          <cell r="V181">
            <v>38607</v>
          </cell>
          <cell r="W181">
            <v>38614</v>
          </cell>
          <cell r="X181">
            <v>38621</v>
          </cell>
          <cell r="Y181">
            <v>38628</v>
          </cell>
        </row>
      </sheetData>
      <sheetData sheetId="3" refreshError="1"/>
      <sheetData sheetId="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QUISITOS INF INTERVENTORÍA"/>
      <sheetName val="gp05"/>
      <sheetName val="GP06"/>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refreshError="1"/>
      <sheetData sheetId="141" refreshError="1"/>
      <sheetData sheetId="142"/>
      <sheetData sheetId="143" refreshError="1"/>
      <sheetData sheetId="144"/>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efreshError="1"/>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Datos"/>
      <sheetName val="Cuadrillas"/>
      <sheetName val="Jornal"/>
      <sheetName val="#REF"/>
      <sheetName val="Fornato 6"/>
      <sheetName val="precios-básicos2002"/>
      <sheetName val="INFORME SEMANAL"/>
      <sheetName val="AVANCE SEMANAL"/>
      <sheetName val="CLIMA mes"/>
      <sheetName val="REG FOTO"/>
      <sheetName val="SISOMA"/>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a  aaInformación]__cceficien_4"/>
      <sheetName val="[a  aaInformación]__cceficien_3"/>
      <sheetName val="[a  aaInformación]//cceficiente"/>
      <sheetName val="[a  aaInformación]__cceficien_2"/>
      <sheetName val="[a  aaInformación]__cceficien_5"/>
      <sheetName val="CrudosA"/>
      <sheetName val="casosWTI"/>
      <sheetName val="[a  aaInformación][a  aaInforma"/>
      <sheetName val="lisprecios"/>
      <sheetName val="PERSONAL"/>
      <sheetName val="PRESTACIONES SOCIALES"/>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M.O."/>
      <sheetName val="PANEL"/>
      <sheetName val="AJIZAL 3335"/>
      <sheetName val="SABANETA 3335"/>
      <sheetName val="Datos Generales"/>
      <sheetName val="PRESUP"/>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IU"/>
      <sheetName val="[a  aaInformación]__192_168__10"/>
      <sheetName val="a  aaInformaci%C3%B3n"/>
      <sheetName val="OCTUBRE"/>
      <sheetName val="CRA.MODI"/>
      <sheetName val="[a  aaInformación]__cceficien_8"/>
      <sheetName val="[a  aaInformación]__cceficien_6"/>
      <sheetName val="[a  aaInformación]__cceficien_7"/>
      <sheetName val="[a  aaInformación]__cceficie_10"/>
      <sheetName val="[a  aaInformación]__cceficien_9"/>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G\MANTENIMIENTO RUTA 1001_MARZ"/>
      <sheetName val="Emboquillar"/>
      <sheetName val="Acometidacobrerígido"/>
      <sheetName val="Acometidatoma"/>
      <sheetName val="Acometidahasta1&quot;"/>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46W9"/>
      <sheetName val="Present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Materiales"/>
      <sheetName val="Cuadrillas"/>
      <sheetName val="Concretos y morteros"/>
      <sheetName val="Equipo"/>
      <sheetName val="Datos iniciales "/>
      <sheetName val="Transporte"/>
      <sheetName val="CDItem"/>
      <sheetName val="ESTADO RED"/>
      <sheetName val="Acc Ago-Sep.xls"/>
      <sheetName val="Plan auditoría"/>
      <sheetName val="Presupuesto"/>
      <sheetName val="INSUM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otros"/>
      <sheetName val="MC SF GAVIONE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PREC-BASE"/>
      <sheetName val="ACTA PARCIAL No 01"/>
      <sheetName val="FORMATO-FORMATO E PARA EFECTO K"/>
      <sheetName val="FORMATO-FACTOR CT PARA EFECTO K"/>
      <sheetName val="FORMATO - SCE PARA EFECTO DEL K"/>
      <sheetName val="TEXT-ACTA PARCIAL No1"/>
      <sheetName val="Hoja3"/>
      <sheetName val="ANEXO 7"/>
      <sheetName val="EMPRESA"/>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cc%20Ago-Sep_xls"/>
      <sheetName val="Concretos_y_morteros"/>
      <sheetName val="Datos_iniciales_"/>
      <sheetName val="Información_de_la_Empresa"/>
      <sheetName val="List__Análisis"/>
      <sheetName val="List__Materiales"/>
      <sheetName val="List__Equipo"/>
      <sheetName val="List__Mano_de_Obra"/>
      <sheetName val="resumen_de_cantidades"/>
      <sheetName val="\\Amd\documentos_c\Documentos-W"/>
      <sheetName val="MC_SF_GAVIONE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Concretos_y_morteros1"/>
      <sheetName val="Datos_iniciales_1"/>
      <sheetName val="Información_de_la_Empresa1"/>
      <sheetName val="List__Análisis1"/>
      <sheetName val="List__Materiales1"/>
      <sheetName val="List__Equipo1"/>
      <sheetName val="List__Mano_de_Obra1"/>
      <sheetName val="resumen_de_cantidades1"/>
      <sheetName val="\\Amd\documentos_c\Documentos-1"/>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Análisis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row r="2">
          <cell r="R2">
            <v>0</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sheetData sheetId="216"/>
      <sheetData sheetId="217"/>
      <sheetData sheetId="218"/>
      <sheetData sheetId="219"/>
      <sheetData sheetId="220"/>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ow r="2">
          <cell r="R2">
            <v>0</v>
          </cell>
        </row>
      </sheetData>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2">
          <cell r="R2">
            <v>0</v>
          </cell>
        </row>
      </sheetData>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ow r="2">
          <cell r="R2">
            <v>0</v>
          </cell>
        </row>
      </sheetData>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row r="2">
          <cell r="R2">
            <v>0</v>
          </cell>
        </row>
      </sheetData>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row r="2">
          <cell r="R2">
            <v>0</v>
          </cell>
        </row>
      </sheetData>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row r="2">
          <cell r="R2">
            <v>0</v>
          </cell>
        </row>
      </sheetData>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row r="2">
          <cell r="R2">
            <v>0</v>
          </cell>
        </row>
      </sheetData>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row r="2">
          <cell r="R2">
            <v>0</v>
          </cell>
        </row>
      </sheetData>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EFICIARIOS"/>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 BASE"/>
      <sheetName val="\\Pc1\E\AMV-3005-2005\ADMON GRU"/>
      <sheetName val="2121"/>
      <sheetName val="PRESUPUESTO "/>
      <sheetName val="Cuadrillas"/>
      <sheetName val="Equ"/>
      <sheetName val="Trans"/>
      <sheetName val="Mat"/>
      <sheetName val="Salarios"/>
      <sheetName val="BASE"/>
      <sheetName val="Civil work"/>
      <sheetName val="LISTADO APU"/>
      <sheetName val="1_Preliminares"/>
      <sheetName val="Insumos"/>
      <sheetName val="M.Obra"/>
      <sheetName val="General"/>
      <sheetName val="Hoja6"/>
      <sheetName val="ITEMS"/>
      <sheetName val="Personalizar"/>
      <sheetName val="PERSO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
      <sheetName val="cuadro gral. 2"/>
      <sheetName val="Unitarios"/>
    </sheetNames>
    <sheetDataSet>
      <sheetData sheetId="0" refreshError="1"/>
      <sheetData sheetId="1"/>
      <sheetData sheetId="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CIC_TOTAL"/>
      <sheetName val="Presupuesto"/>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sheetData sheetId="4"/>
      <sheetData sheetId="5">
        <row r="2">
          <cell r="B2" t="str">
            <v>MANIZALES</v>
          </cell>
        </row>
      </sheetData>
      <sheetData sheetId="6"/>
      <sheetData sheetId="7"/>
      <sheetData sheetId="8">
        <row r="28">
          <cell r="C28">
            <v>0.84370000000000001</v>
          </cell>
        </row>
      </sheetData>
      <sheetData sheetId="9"/>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EMANA 3"/>
      <sheetName val="RESUMEN SEMANA 1"/>
      <sheetName val="INVENTARIO"/>
      <sheetName val="MEDICION"/>
      <sheetName val="BITACORA"/>
      <sheetName val="RESUMEN SEMANA 2"/>
      <sheetName val="RESUMEN SEMANA 4"/>
      <sheetName val="RESUMEN SEMANA 5"/>
      <sheetName val="RESUMEN SEMANA 6"/>
      <sheetName val="RESUMEN SEMANA 7"/>
      <sheetName val="RESUMEN SEMANA 8"/>
      <sheetName val="RESUMEN SEMANA 9"/>
      <sheetName val="RESUMEN SEMANA 10"/>
      <sheetName val="RESUMEN SEMANA 11"/>
      <sheetName val="RESUMEN SEMANA 12"/>
      <sheetName val="CONTROL DE OBRA %"/>
      <sheetName val="OBRA EJECUTADA SEMANAL"/>
      <sheetName val="ACTAS DE AVANCE"/>
      <sheetName val="PERSONAL"/>
      <sheetName val="HSE SEM 3"/>
      <sheetName val="HSE SEM 4"/>
      <sheetName val="HSE SEM 5"/>
      <sheetName val="HSE SEM 6"/>
      <sheetName val="HSE SEM 7"/>
      <sheetName val="HSE SEM 8"/>
      <sheetName val="HSE SEM 9"/>
      <sheetName val="HSE SEM 10"/>
      <sheetName val="HSE SEM 11"/>
      <sheetName val="HSE SEM 12"/>
      <sheetName val="JUNIO"/>
      <sheetName val="JULIO"/>
      <sheetName val="AGOSTO"/>
      <sheetName val="AGOSTO 18"/>
    </sheetNames>
    <sheetDataSet>
      <sheetData sheetId="0" refreshError="1">
        <row r="9">
          <cell r="B9" t="str">
            <v>CONTRATISTA: TELMACOM LTDA.</v>
          </cell>
        </row>
      </sheetData>
      <sheetData sheetId="1" refreshError="1">
        <row r="4">
          <cell r="H4" t="str">
            <v>CONTRATO No 4010505 "INTERVENTORÍA TÉCNICO ADMINISTRATIVA DE LAS OBRAS DELPROYECTO DE REHABILITACIÓN DE TANQUES EN LAS ESTACIONES DE POZOS COLORADOS, COVEÑAS Y TUMACO; DE LA INSPECCIÓN MECÁNICA DE TANQUES SEGÚN API 653 EN MANSILLA, PUERTO SALGAR, AYACUCHO</v>
          </cell>
        </row>
        <row r="9">
          <cell r="M9" t="str">
            <v>CONTRATO No 4010386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ESTE_1"/>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TILLA"/>
      <sheetName val="APUS"/>
      <sheetName val="PRESUPUESTO"/>
      <sheetName val="APUS A IMPRIMIR"/>
      <sheetName val="MEMORIA DE CALCULO IMPR"/>
      <sheetName val="M.O."/>
      <sheetName val="Cantidades"/>
      <sheetName val="Resumen del escenario"/>
      <sheetName val="IE"/>
    </sheetNames>
    <sheetDataSet>
      <sheetData sheetId="0">
        <row r="6">
          <cell r="C6" t="str">
            <v>I.E. Gallardo</v>
          </cell>
        </row>
      </sheetData>
      <sheetData sheetId="1"/>
      <sheetData sheetId="2">
        <row r="11">
          <cell r="A11">
            <v>1.1000000000000001</v>
          </cell>
        </row>
      </sheetData>
      <sheetData sheetId="3"/>
      <sheetData sheetId="4"/>
      <sheetData sheetId="5"/>
      <sheetData sheetId="6">
        <row r="56">
          <cell r="L56" t="str">
            <v>#3</v>
          </cell>
        </row>
        <row r="57">
          <cell r="L57" t="str">
            <v>#4</v>
          </cell>
        </row>
        <row r="58">
          <cell r="L58" t="str">
            <v>#5</v>
          </cell>
        </row>
        <row r="59">
          <cell r="L59" t="str">
            <v>#6</v>
          </cell>
        </row>
        <row r="60">
          <cell r="L60" t="str">
            <v>#7</v>
          </cell>
        </row>
        <row r="61">
          <cell r="L61" t="str">
            <v>#8</v>
          </cell>
        </row>
      </sheetData>
      <sheetData sheetId="7"/>
      <sheetData sheetId="8"/>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Hoja1"/>
      <sheetName val="Equipo"/>
      <sheetName val="materiales"/>
      <sheetName val="otros"/>
      <sheetName val="COSTOS OFICINA"/>
      <sheetName val="COSTOS CAMPAMENTO"/>
      <sheetName val="Insum"/>
      <sheetName val="Presupuesto remoción de derrumb"/>
    </sheetNames>
    <sheetDataSet>
      <sheetData sheetId="0">
        <row r="52">
          <cell r="H52">
            <v>46548</v>
          </cell>
        </row>
      </sheetData>
      <sheetData sheetId="1"/>
      <sheetData sheetId="2"/>
      <sheetData sheetId="3" refreshError="1"/>
      <sheetData sheetId="4"/>
      <sheetData sheetId="5">
        <row r="52">
          <cell r="H52">
            <v>46548</v>
          </cell>
        </row>
      </sheetData>
      <sheetData sheetId="6">
        <row r="52">
          <cell r="H52">
            <v>0</v>
          </cell>
        </row>
      </sheetData>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SEM-INT-17 A"/>
      <sheetName val="CONTRATO CON SGI LTDA"/>
      <sheetName val="DATOS SEMANALES"/>
    </sheetNames>
    <sheetDataSet>
      <sheetData sheetId="0" refreshError="1"/>
      <sheetData sheetId="1" refreshError="1"/>
      <sheetData sheetId="2">
        <row r="234">
          <cell r="F234">
            <v>24</v>
          </cell>
          <cell r="G234">
            <v>104</v>
          </cell>
          <cell r="H234">
            <v>184</v>
          </cell>
          <cell r="I234">
            <v>240</v>
          </cell>
          <cell r="J234">
            <v>472</v>
          </cell>
          <cell r="K234">
            <v>544</v>
          </cell>
          <cell r="L234">
            <v>552</v>
          </cell>
          <cell r="M234">
            <v>560</v>
          </cell>
          <cell r="N234">
            <v>904</v>
          </cell>
          <cell r="O234">
            <v>936</v>
          </cell>
          <cell r="P234">
            <v>856</v>
          </cell>
          <cell r="Q234">
            <v>840</v>
          </cell>
          <cell r="R234">
            <v>848</v>
          </cell>
          <cell r="S234">
            <v>776</v>
          </cell>
          <cell r="T234">
            <v>760</v>
          </cell>
          <cell r="U234">
            <v>608</v>
          </cell>
          <cell r="V234">
            <v>448</v>
          </cell>
          <cell r="W234">
            <v>0</v>
          </cell>
          <cell r="X234">
            <v>0</v>
          </cell>
          <cell r="Y234">
            <v>0</v>
          </cell>
        </row>
        <row r="235">
          <cell r="F235">
            <v>24</v>
          </cell>
          <cell r="G235">
            <v>128</v>
          </cell>
          <cell r="H235">
            <v>312</v>
          </cell>
          <cell r="I235">
            <v>552</v>
          </cell>
          <cell r="J235">
            <v>1024</v>
          </cell>
          <cell r="K235">
            <v>1568</v>
          </cell>
          <cell r="L235">
            <v>2120</v>
          </cell>
          <cell r="M235">
            <v>2680</v>
          </cell>
          <cell r="N235">
            <v>3584</v>
          </cell>
          <cell r="O235">
            <v>4520</v>
          </cell>
          <cell r="P235">
            <v>5376</v>
          </cell>
          <cell r="Q235">
            <v>6216</v>
          </cell>
          <cell r="R235">
            <v>7064</v>
          </cell>
          <cell r="S235">
            <v>7840</v>
          </cell>
          <cell r="T235">
            <v>8600</v>
          </cell>
          <cell r="U235">
            <v>9208</v>
          </cell>
          <cell r="V235">
            <v>9656</v>
          </cell>
          <cell r="W235">
            <v>9656</v>
          </cell>
          <cell r="X235">
            <v>9656</v>
          </cell>
          <cell r="Y235">
            <v>9656</v>
          </cell>
        </row>
        <row r="237">
          <cell r="F237">
            <v>24</v>
          </cell>
          <cell r="G237">
            <v>104</v>
          </cell>
          <cell r="H237">
            <v>208</v>
          </cell>
          <cell r="I237">
            <v>240</v>
          </cell>
          <cell r="J237">
            <v>408</v>
          </cell>
          <cell r="K237">
            <v>496</v>
          </cell>
          <cell r="L237">
            <v>576</v>
          </cell>
          <cell r="M237">
            <v>576</v>
          </cell>
          <cell r="N237">
            <v>768</v>
          </cell>
          <cell r="O237">
            <v>864.96911999999998</v>
          </cell>
          <cell r="P237">
            <v>624</v>
          </cell>
          <cell r="Q237">
            <v>672</v>
          </cell>
          <cell r="R237">
            <v>696</v>
          </cell>
          <cell r="S237">
            <v>744</v>
          </cell>
          <cell r="T237">
            <v>672</v>
          </cell>
          <cell r="U237">
            <v>296</v>
          </cell>
          <cell r="V237">
            <v>304</v>
          </cell>
          <cell r="W237">
            <v>296</v>
          </cell>
          <cell r="X237">
            <v>304</v>
          </cell>
          <cell r="Y237">
            <v>280</v>
          </cell>
        </row>
        <row r="238">
          <cell r="F238">
            <v>24</v>
          </cell>
          <cell r="G238">
            <v>128</v>
          </cell>
          <cell r="H238">
            <v>336</v>
          </cell>
          <cell r="I238">
            <v>576</v>
          </cell>
          <cell r="J238">
            <v>984</v>
          </cell>
          <cell r="K238">
            <v>1480</v>
          </cell>
          <cell r="L238">
            <v>2056</v>
          </cell>
          <cell r="M238">
            <v>2632</v>
          </cell>
          <cell r="N238">
            <v>3400</v>
          </cell>
          <cell r="O238">
            <v>4264.9691199999997</v>
          </cell>
          <cell r="P238">
            <v>4888.9691199999997</v>
          </cell>
          <cell r="Q238">
            <v>5560.9691199999997</v>
          </cell>
          <cell r="R238">
            <v>6256.9691199999997</v>
          </cell>
          <cell r="S238">
            <v>7000.9691199999997</v>
          </cell>
          <cell r="T238">
            <v>7672.9691199999997</v>
          </cell>
          <cell r="U238">
            <v>7968.9691199999997</v>
          </cell>
          <cell r="V238">
            <v>8272.9691199999997</v>
          </cell>
          <cell r="W238">
            <v>8568.9691199999997</v>
          </cell>
          <cell r="X238">
            <v>8872.9691199999997</v>
          </cell>
          <cell r="Y238">
            <v>9152.9691199999997</v>
          </cell>
        </row>
      </sheetData>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
      <sheetName val="EQUI"/>
      <sheetName val="TRANSP"/>
      <sheetName val="M.O."/>
      <sheetName val="Hoja1"/>
      <sheetName val="LIST ACTIV"/>
      <sheetName val="PPTO OBRA CD"/>
      <sheetName val="AIU-AT"/>
      <sheetName val="PPTO ADECUACIÓN DE TERRENO"/>
      <sheetName val="CANTIDADES"/>
      <sheetName val="Hoja2"/>
      <sheetName val="PPTO OBRA CTOT"/>
      <sheetName val="AIU-JJZG"/>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9"/>
      <sheetName val="23"/>
      <sheetName val="24"/>
      <sheetName val="103"/>
      <sheetName val="104"/>
      <sheetName val="105"/>
      <sheetName val="25"/>
      <sheetName val="26"/>
      <sheetName val="27"/>
      <sheetName val="30"/>
      <sheetName val="32"/>
      <sheetName val="33"/>
      <sheetName val="31"/>
      <sheetName val="28"/>
      <sheetName val="43"/>
      <sheetName val="44"/>
      <sheetName val="45"/>
      <sheetName val="46"/>
      <sheetName val="46a"/>
      <sheetName val="47"/>
      <sheetName val="47a"/>
      <sheetName val="48"/>
      <sheetName val="106"/>
      <sheetName val="49"/>
      <sheetName val="107"/>
      <sheetName val="40"/>
      <sheetName val="52"/>
      <sheetName val="108"/>
      <sheetName val="53"/>
      <sheetName val="109"/>
      <sheetName val="110"/>
      <sheetName val="111"/>
      <sheetName val="83"/>
      <sheetName val="34"/>
      <sheetName val="35"/>
      <sheetName val="93"/>
      <sheetName val="41"/>
      <sheetName val="112"/>
      <sheetName val="84"/>
      <sheetName val="85"/>
      <sheetName val="86"/>
      <sheetName val="90"/>
      <sheetName val="90a"/>
      <sheetName val="91"/>
      <sheetName val="113"/>
      <sheetName val="87"/>
      <sheetName val="89"/>
      <sheetName val="99"/>
      <sheetName val="100"/>
      <sheetName val="88"/>
      <sheetName val="60"/>
      <sheetName val="61"/>
      <sheetName val="62"/>
      <sheetName val="63"/>
      <sheetName val="67"/>
      <sheetName val="175"/>
      <sheetName val="69"/>
      <sheetName val="64"/>
      <sheetName val="81"/>
      <sheetName val="65"/>
      <sheetName val="73"/>
      <sheetName val="114"/>
      <sheetName val="71"/>
      <sheetName val="70"/>
      <sheetName val="54"/>
      <sheetName val="58"/>
      <sheetName val="115"/>
      <sheetName val="82"/>
      <sheetName val="95"/>
      <sheetName val="59"/>
      <sheetName val="116"/>
      <sheetName val="117"/>
      <sheetName val="118"/>
      <sheetName val="119"/>
      <sheetName val="120"/>
      <sheetName val="121"/>
      <sheetName val="163"/>
      <sheetName val="122"/>
      <sheetName val="162"/>
      <sheetName val="161"/>
      <sheetName val="160"/>
      <sheetName val="159"/>
      <sheetName val="123"/>
      <sheetName val="124"/>
      <sheetName val="172"/>
      <sheetName val="173"/>
      <sheetName val="125"/>
      <sheetName val="126"/>
      <sheetName val="127"/>
      <sheetName val="158"/>
      <sheetName val="132"/>
      <sheetName val="133"/>
      <sheetName val="134"/>
      <sheetName val="135"/>
      <sheetName val="136"/>
      <sheetName val="137"/>
      <sheetName val="177"/>
      <sheetName val="138"/>
      <sheetName val="139"/>
      <sheetName val="140"/>
      <sheetName val="141"/>
      <sheetName val="142"/>
      <sheetName val="143"/>
      <sheetName val="144"/>
      <sheetName val="156"/>
      <sheetName val="157"/>
      <sheetName val="167"/>
      <sheetName val="164"/>
      <sheetName val="168"/>
      <sheetName val="169"/>
      <sheetName val="165"/>
      <sheetName val="166"/>
      <sheetName val="170"/>
      <sheetName val="171"/>
      <sheetName val="98"/>
      <sheetName val="96"/>
      <sheetName val="174"/>
      <sheetName val="92"/>
      <sheetName val="145"/>
      <sheetName val="146"/>
      <sheetName val="147"/>
      <sheetName val="148"/>
      <sheetName val="149"/>
      <sheetName val="150"/>
      <sheetName val="151"/>
      <sheetName val="152"/>
      <sheetName val="153"/>
      <sheetName val="75"/>
      <sheetName val="76"/>
      <sheetName val="77"/>
      <sheetName val="78"/>
      <sheetName val="128"/>
      <sheetName val="129"/>
      <sheetName val="154"/>
      <sheetName val="155"/>
      <sheetName val="178"/>
      <sheetName val="176"/>
      <sheetName val="72"/>
      <sheetName val="131"/>
      <sheetName val="74"/>
      <sheetName val="anex 5 formul prop"/>
      <sheetName val="analisis de AIU "/>
      <sheetName val="36"/>
      <sheetName val="37"/>
      <sheetName val="38"/>
      <sheetName val="39"/>
      <sheetName val="42"/>
      <sheetName val="50"/>
      <sheetName val="51"/>
      <sheetName val="55"/>
      <sheetName val="56"/>
      <sheetName val="57"/>
      <sheetName val="66"/>
      <sheetName val="68"/>
      <sheetName val="79"/>
      <sheetName val="80"/>
      <sheetName val="94"/>
      <sheetName val="97"/>
      <sheetName val="101"/>
      <sheetName val="102"/>
      <sheetName val="130"/>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s>
    <sheetDataSet>
      <sheetData sheetId="0"/>
      <sheetData sheetId="1"/>
      <sheetData sheetId="2"/>
      <sheetData sheetId="3"/>
      <sheetData sheetId="4"/>
      <sheetData sheetId="5"/>
      <sheetData sheetId="6">
        <row r="8">
          <cell r="A8">
            <v>1</v>
          </cell>
          <cell r="B8" t="str">
            <v>Localizacion y Replanteo general del Proyecto</v>
          </cell>
          <cell r="C8" t="str">
            <v>m2</v>
          </cell>
          <cell r="D8">
            <v>2400</v>
          </cell>
          <cell r="E8">
            <v>2787</v>
          </cell>
          <cell r="F8">
            <v>6688800</v>
          </cell>
        </row>
        <row r="9">
          <cell r="A9">
            <v>159</v>
          </cell>
          <cell r="B9" t="str">
            <v>Descapote y limpeza de capa vegetal (incluye retiro)</v>
          </cell>
          <cell r="C9" t="str">
            <v>M2</v>
          </cell>
          <cell r="D9">
            <v>700</v>
          </cell>
          <cell r="E9">
            <v>4919</v>
          </cell>
          <cell r="F9">
            <v>3443300</v>
          </cell>
        </row>
        <row r="10">
          <cell r="A10">
            <v>9</v>
          </cell>
          <cell r="B10" t="str">
            <v>Cerramiento Provisional en yute verde</v>
          </cell>
          <cell r="C10" t="str">
            <v>m2</v>
          </cell>
          <cell r="D10">
            <v>350</v>
          </cell>
          <cell r="E10">
            <v>6028</v>
          </cell>
          <cell r="F10">
            <v>2109800</v>
          </cell>
        </row>
        <row r="11">
          <cell r="A11">
            <v>3</v>
          </cell>
          <cell r="B11" t="str">
            <v>Demolicion de andenes en concreto simple (incluye retiro)</v>
          </cell>
          <cell r="C11" t="str">
            <v>m2</v>
          </cell>
          <cell r="D11">
            <v>116.1</v>
          </cell>
          <cell r="E11">
            <v>18105</v>
          </cell>
          <cell r="F11">
            <v>2101991</v>
          </cell>
        </row>
        <row r="12">
          <cell r="A12">
            <v>4</v>
          </cell>
          <cell r="B12" t="str">
            <v>Demolicion de Sardineles en concreto reforzado (Incluye retiro)</v>
          </cell>
          <cell r="C12" t="str">
            <v>ml</v>
          </cell>
          <cell r="D12">
            <v>90</v>
          </cell>
          <cell r="E12">
            <v>6721</v>
          </cell>
          <cell r="F12">
            <v>604890</v>
          </cell>
        </row>
        <row r="13">
          <cell r="A13">
            <v>83</v>
          </cell>
          <cell r="B13" t="str">
            <v>Demolicion de Escaleras y rampas en concreto sobre tierra (incluye retiro de material sobrante)</v>
          </cell>
          <cell r="C13" t="str">
            <v>m3</v>
          </cell>
          <cell r="D13">
            <v>30</v>
          </cell>
          <cell r="E13">
            <v>77490</v>
          </cell>
          <cell r="F13">
            <v>2324700</v>
          </cell>
        </row>
        <row r="14">
          <cell r="A14">
            <v>160</v>
          </cell>
          <cell r="B14" t="str">
            <v>Desmonte y retiro de lisaderos en lamina</v>
          </cell>
          <cell r="C14" t="str">
            <v>und</v>
          </cell>
          <cell r="D14">
            <v>3</v>
          </cell>
          <cell r="E14">
            <v>98250</v>
          </cell>
          <cell r="F14">
            <v>294750</v>
          </cell>
        </row>
        <row r="15">
          <cell r="A15">
            <v>161</v>
          </cell>
          <cell r="B15" t="str">
            <v>Desmonte y retiro de juego infantil (rueda metalica)</v>
          </cell>
          <cell r="C15" t="str">
            <v>und</v>
          </cell>
          <cell r="D15">
            <v>1</v>
          </cell>
          <cell r="E15">
            <v>163378</v>
          </cell>
          <cell r="F15">
            <v>163378</v>
          </cell>
        </row>
        <row r="16">
          <cell r="A16">
            <v>162</v>
          </cell>
          <cell r="B16" t="str">
            <v>Desmonte demolicion y retiro de placas prefabricadas en concreto de 50 cm x 50 cm instaladas sobre grama dilatadas cada 5 cm</v>
          </cell>
          <cell r="C16" t="str">
            <v>m2</v>
          </cell>
          <cell r="D16">
            <v>199</v>
          </cell>
          <cell r="E16">
            <v>11317</v>
          </cell>
          <cell r="F16">
            <v>2252083</v>
          </cell>
        </row>
        <row r="17">
          <cell r="A17">
            <v>163</v>
          </cell>
          <cell r="B17" t="str">
            <v>Demolicion y Retiro de juego de mesa y 4 bancas en concreto</v>
          </cell>
          <cell r="C17" t="str">
            <v>und</v>
          </cell>
          <cell r="D17">
            <v>5</v>
          </cell>
          <cell r="E17">
            <v>78588</v>
          </cell>
          <cell r="F17">
            <v>392940</v>
          </cell>
        </row>
        <row r="18">
          <cell r="A18">
            <v>164</v>
          </cell>
          <cell r="B18" t="str">
            <v>tala de arboles de mediano porte, incluye retiro y disposicion de material</v>
          </cell>
          <cell r="C18" t="str">
            <v>und</v>
          </cell>
          <cell r="D18">
            <v>2</v>
          </cell>
          <cell r="E18">
            <v>270148</v>
          </cell>
          <cell r="F18">
            <v>540296</v>
          </cell>
        </row>
        <row r="19">
          <cell r="A19" t="str">
            <v>CAPITULO II - MOVIMIENTOS DE TIERRA</v>
          </cell>
          <cell r="B19">
            <v>0</v>
          </cell>
          <cell r="C19">
            <v>0</v>
          </cell>
          <cell r="D19">
            <v>0</v>
          </cell>
          <cell r="E19">
            <v>0</v>
          </cell>
          <cell r="F19">
            <v>0</v>
          </cell>
        </row>
        <row r="20">
          <cell r="A20">
            <v>12</v>
          </cell>
          <cell r="B20" t="str">
            <v>Excavacion manual en material comun</v>
          </cell>
          <cell r="C20" t="str">
            <v>m3</v>
          </cell>
          <cell r="D20">
            <v>1346.8</v>
          </cell>
          <cell r="E20">
            <v>14543</v>
          </cell>
          <cell r="F20">
            <v>19586512</v>
          </cell>
        </row>
        <row r="21">
          <cell r="A21">
            <v>13</v>
          </cell>
          <cell r="B21" t="str">
            <v>Excavacion Manual en conglomerado</v>
          </cell>
          <cell r="C21" t="str">
            <v>m3</v>
          </cell>
          <cell r="D21">
            <v>220</v>
          </cell>
          <cell r="E21">
            <v>21767</v>
          </cell>
          <cell r="F21">
            <v>4788740</v>
          </cell>
        </row>
        <row r="22">
          <cell r="A22">
            <v>8</v>
          </cell>
          <cell r="B22" t="str">
            <v>Cargue, Transporte y disposicion de materiales provenientes de excavaciones</v>
          </cell>
          <cell r="C22" t="str">
            <v>m3-km</v>
          </cell>
          <cell r="D22">
            <v>15668</v>
          </cell>
          <cell r="E22">
            <v>2743</v>
          </cell>
          <cell r="F22">
            <v>42977324</v>
          </cell>
        </row>
        <row r="23">
          <cell r="A23" t="str">
            <v>CAPITULO III- CIMENTACIONES PROFUNDAS</v>
          </cell>
          <cell r="B23">
            <v>0</v>
          </cell>
          <cell r="C23">
            <v>0</v>
          </cell>
          <cell r="D23">
            <v>0</v>
          </cell>
          <cell r="E23">
            <v>0</v>
          </cell>
          <cell r="F23">
            <v>0</v>
          </cell>
        </row>
        <row r="24">
          <cell r="A24">
            <v>23</v>
          </cell>
          <cell r="B24" t="str">
            <v>Excavacion manual para caisson material sin clasificar de 0-5 m de profundidad (incluye retiro)</v>
          </cell>
          <cell r="C24" t="str">
            <v>m3</v>
          </cell>
          <cell r="D24">
            <v>140.83000000000001</v>
          </cell>
          <cell r="E24">
            <v>104631</v>
          </cell>
          <cell r="F24">
            <v>14735184</v>
          </cell>
        </row>
        <row r="25">
          <cell r="A25">
            <v>24</v>
          </cell>
          <cell r="B25" t="str">
            <v>Excavacion manual para caisson material sin clasificar de 5,01-10 m de profundidad (incluye retiro)</v>
          </cell>
          <cell r="C25" t="str">
            <v>m3</v>
          </cell>
          <cell r="D25">
            <v>130.22</v>
          </cell>
          <cell r="E25">
            <v>161985</v>
          </cell>
          <cell r="F25">
            <v>21093687</v>
          </cell>
        </row>
        <row r="26">
          <cell r="A26">
            <v>25</v>
          </cell>
          <cell r="B26" t="str">
            <v>Excavacion manual para caisson material sin clasificar de 10,01-15 m de profundidad (incluye retiro)</v>
          </cell>
          <cell r="C26" t="str">
            <v>m3</v>
          </cell>
          <cell r="D26">
            <v>62.6</v>
          </cell>
          <cell r="E26">
            <v>271614</v>
          </cell>
          <cell r="F26">
            <v>17003036</v>
          </cell>
        </row>
        <row r="27">
          <cell r="A27">
            <v>26</v>
          </cell>
          <cell r="B27" t="str">
            <v>Excavacion manual para caisson material sin clasificar de 15,01-20 m de profundidad (incluye retiro)</v>
          </cell>
          <cell r="C27" t="str">
            <v>m3</v>
          </cell>
          <cell r="D27">
            <v>0</v>
          </cell>
          <cell r="E27">
            <v>301042</v>
          </cell>
          <cell r="F27">
            <v>0</v>
          </cell>
        </row>
        <row r="28">
          <cell r="A28" t="str">
            <v>26a</v>
          </cell>
          <cell r="B28" t="str">
            <v>Excavacion para caisson material roca de 15,01-20 m de profundidad (incluye retiro)</v>
          </cell>
          <cell r="C28" t="str">
            <v>m3</v>
          </cell>
          <cell r="D28">
            <v>0</v>
          </cell>
          <cell r="E28">
            <v>568977</v>
          </cell>
          <cell r="F28">
            <v>0</v>
          </cell>
        </row>
        <row r="29">
          <cell r="A29">
            <v>27</v>
          </cell>
          <cell r="B29" t="str">
            <v>Excavacion manual para caisson material sin clasificar profundidades mayores a 20 m (incluye retiro)</v>
          </cell>
          <cell r="C29" t="str">
            <v>m3</v>
          </cell>
          <cell r="D29">
            <v>0</v>
          </cell>
          <cell r="E29">
            <v>337873</v>
          </cell>
          <cell r="F29">
            <v>0</v>
          </cell>
        </row>
        <row r="30">
          <cell r="A30" t="str">
            <v>27a</v>
          </cell>
          <cell r="B30" t="str">
            <v>Excavacion para caisson material roca profundidades mayores a 20 m (incluye retiro)</v>
          </cell>
          <cell r="C30" t="str">
            <v>m3</v>
          </cell>
          <cell r="D30">
            <v>0</v>
          </cell>
          <cell r="E30">
            <v>664042</v>
          </cell>
          <cell r="F30">
            <v>0</v>
          </cell>
        </row>
        <row r="31">
          <cell r="A31">
            <v>28</v>
          </cell>
          <cell r="B31" t="str">
            <v>Conreto clase F (14,5 Mpa) para anillos de caisson</v>
          </cell>
          <cell r="C31" t="str">
            <v>m3</v>
          </cell>
          <cell r="D31">
            <v>48.66</v>
          </cell>
          <cell r="E31">
            <v>483217</v>
          </cell>
          <cell r="F31">
            <v>23513339</v>
          </cell>
        </row>
        <row r="32">
          <cell r="A32">
            <v>86</v>
          </cell>
          <cell r="B32" t="str">
            <v>Demolicion de anillos en concreto clase f (Incluye retiro)</v>
          </cell>
          <cell r="C32" t="str">
            <v>m3</v>
          </cell>
          <cell r="D32">
            <v>0</v>
          </cell>
          <cell r="E32">
            <v>75257</v>
          </cell>
          <cell r="F32">
            <v>0</v>
          </cell>
        </row>
        <row r="33">
          <cell r="A33">
            <v>29</v>
          </cell>
          <cell r="B33" t="str">
            <v>Concreto clase D (21 Mpa) para fuste y campana de caisson</v>
          </cell>
          <cell r="C33" t="str">
            <v>m3</v>
          </cell>
          <cell r="D33">
            <v>284</v>
          </cell>
          <cell r="E33">
            <v>512589</v>
          </cell>
          <cell r="F33">
            <v>145575276</v>
          </cell>
        </row>
        <row r="34">
          <cell r="A34">
            <v>87</v>
          </cell>
          <cell r="B34" t="str">
            <v>Concreto clase d para pilotes d=0,4 m hasta de 10 m de profundidad (incluye excavacion retiro y disposicion de material sobrante)</v>
          </cell>
          <cell r="C34" t="str">
            <v>ml</v>
          </cell>
          <cell r="D34">
            <v>0</v>
          </cell>
          <cell r="E34">
            <v>109745</v>
          </cell>
          <cell r="F34">
            <v>0</v>
          </cell>
        </row>
        <row r="35">
          <cell r="A35" t="str">
            <v>CAPITULO IV -ESTRUCTURAS DE CONCRETO Y REFUERZO</v>
          </cell>
          <cell r="B35">
            <v>0</v>
          </cell>
          <cell r="C35">
            <v>0</v>
          </cell>
          <cell r="D35">
            <v>0</v>
          </cell>
          <cell r="E35">
            <v>0</v>
          </cell>
          <cell r="F35">
            <v>0</v>
          </cell>
        </row>
        <row r="36">
          <cell r="A36">
            <v>20</v>
          </cell>
          <cell r="B36" t="str">
            <v>Concreto clase F (14,5 Mpa) Para solado de limpieza</v>
          </cell>
          <cell r="C36" t="str">
            <v>m3</v>
          </cell>
          <cell r="D36">
            <v>0</v>
          </cell>
          <cell r="E36">
            <v>412240</v>
          </cell>
          <cell r="F36">
            <v>0</v>
          </cell>
        </row>
        <row r="37">
          <cell r="A37">
            <v>165</v>
          </cell>
          <cell r="B37" t="str">
            <v>Concreto Clase A (35 Mpa) 5000 psi  para dados y zapatas de fundacion</v>
          </cell>
          <cell r="C37" t="str">
            <v>M3</v>
          </cell>
          <cell r="D37">
            <v>0</v>
          </cell>
          <cell r="E37">
            <v>574507</v>
          </cell>
          <cell r="F37">
            <v>0</v>
          </cell>
        </row>
        <row r="38">
          <cell r="A38">
            <v>166</v>
          </cell>
          <cell r="B38" t="str">
            <v>Concreto Clase A (35 Mpa) 5000 psi  para vigas de fundacion</v>
          </cell>
          <cell r="C38" t="str">
            <v>M3</v>
          </cell>
          <cell r="D38">
            <v>0</v>
          </cell>
          <cell r="E38">
            <v>580658</v>
          </cell>
          <cell r="F38">
            <v>0</v>
          </cell>
        </row>
        <row r="39">
          <cell r="A39">
            <v>176</v>
          </cell>
          <cell r="B39" t="str">
            <v>Concreto clase D (21 Mpa) 3000 psi para losas, andenes y rampas contrapiso e= 10 cm</v>
          </cell>
          <cell r="C39" t="str">
            <v>m2</v>
          </cell>
          <cell r="D39">
            <v>0</v>
          </cell>
          <cell r="E39">
            <v>53773</v>
          </cell>
          <cell r="F39">
            <v>0</v>
          </cell>
        </row>
        <row r="40">
          <cell r="A40">
            <v>167</v>
          </cell>
          <cell r="B40" t="str">
            <v>Concreto Clase A (35 Mpa) 5000 psi  para columnas a la vista</v>
          </cell>
          <cell r="C40" t="str">
            <v>M3</v>
          </cell>
          <cell r="D40">
            <v>0</v>
          </cell>
          <cell r="E40">
            <v>660519</v>
          </cell>
          <cell r="F40">
            <v>0</v>
          </cell>
        </row>
        <row r="41">
          <cell r="A41">
            <v>168</v>
          </cell>
          <cell r="B41" t="str">
            <v>Concreto Clase A (35 Mpa) 5000 psi  para losa aligerada en dos direcciones h=0,35 m</v>
          </cell>
          <cell r="C41" t="str">
            <v>M3</v>
          </cell>
          <cell r="D41">
            <v>0</v>
          </cell>
          <cell r="E41">
            <v>189975</v>
          </cell>
          <cell r="F41">
            <v>0</v>
          </cell>
        </row>
        <row r="42">
          <cell r="A42">
            <v>170</v>
          </cell>
          <cell r="B42" t="str">
            <v>Concreto Clase A (35 Mpa) 5000 psi  para losa aerea macisa h=0,35 m</v>
          </cell>
          <cell r="C42" t="str">
            <v>m3</v>
          </cell>
          <cell r="D42">
            <v>0</v>
          </cell>
          <cell r="E42">
            <v>255169</v>
          </cell>
          <cell r="F42">
            <v>0</v>
          </cell>
        </row>
        <row r="43">
          <cell r="A43">
            <v>171</v>
          </cell>
          <cell r="B43" t="str">
            <v>Concreto Clase E (17,5 Mpa) 2500 psi  para Columnas de confinamiento hasta de 300 cm2 (incluye refuerzo long y transversal)</v>
          </cell>
          <cell r="C43" t="str">
            <v>ml</v>
          </cell>
          <cell r="D43">
            <v>0</v>
          </cell>
          <cell r="E43">
            <v>59267</v>
          </cell>
          <cell r="F43">
            <v>0</v>
          </cell>
        </row>
        <row r="44">
          <cell r="A44">
            <v>172</v>
          </cell>
          <cell r="B44" t="str">
            <v>Concreto Clase E (17,5 Mpa) 2500 psi  para Vigas de confinamiento hasta de 300 cm2 (incluye refuerzo long y transversal)</v>
          </cell>
          <cell r="C44" t="str">
            <v>ml</v>
          </cell>
          <cell r="D44">
            <v>0</v>
          </cell>
          <cell r="E44">
            <v>58324</v>
          </cell>
          <cell r="F44">
            <v>0</v>
          </cell>
        </row>
        <row r="45">
          <cell r="A45">
            <v>173</v>
          </cell>
          <cell r="B45" t="str">
            <v>Concreto Clase A (35 Mpa) 5000 psi  para viga aerea a la vista</v>
          </cell>
          <cell r="C45" t="str">
            <v>m3</v>
          </cell>
          <cell r="D45">
            <v>0</v>
          </cell>
          <cell r="E45">
            <v>669420</v>
          </cell>
          <cell r="F45">
            <v>0</v>
          </cell>
        </row>
        <row r="46">
          <cell r="A46">
            <v>174</v>
          </cell>
          <cell r="B46" t="str">
            <v>Concreto Clase A (35 Mpa) 5000 psi  para escaleras aereas a la vista</v>
          </cell>
          <cell r="C46" t="str">
            <v>m3</v>
          </cell>
          <cell r="D46">
            <v>0</v>
          </cell>
          <cell r="E46">
            <v>689821</v>
          </cell>
          <cell r="F46">
            <v>0</v>
          </cell>
        </row>
        <row r="47">
          <cell r="A47">
            <v>175</v>
          </cell>
          <cell r="B47" t="str">
            <v>Concreto Clase A (35 Mpa) 5000 psi  para muros estructurales a la vista</v>
          </cell>
          <cell r="C47" t="str">
            <v>m3</v>
          </cell>
          <cell r="D47">
            <v>0</v>
          </cell>
          <cell r="E47">
            <v>639801</v>
          </cell>
          <cell r="F47">
            <v>0</v>
          </cell>
        </row>
        <row r="48">
          <cell r="A48">
            <v>241</v>
          </cell>
          <cell r="B48" t="str">
            <v xml:space="preserve">Concreto clase D (21 Mpa) 3000 PSI a la vista para bordillo sobre losa cubierta de 20cmx25cm incluye refuerzo con cuantia minima </v>
          </cell>
          <cell r="C48" t="str">
            <v>ml</v>
          </cell>
          <cell r="D48">
            <v>0</v>
          </cell>
          <cell r="E48">
            <v>50225</v>
          </cell>
          <cell r="F48">
            <v>0</v>
          </cell>
        </row>
        <row r="49">
          <cell r="A49">
            <v>51</v>
          </cell>
          <cell r="B49" t="str">
            <v xml:space="preserve">Suministro e instalacion de acero de refuerzo </v>
          </cell>
          <cell r="C49" t="str">
            <v>Kg</v>
          </cell>
          <cell r="D49">
            <v>105000</v>
          </cell>
          <cell r="E49">
            <v>3956</v>
          </cell>
          <cell r="F49">
            <v>415380000</v>
          </cell>
        </row>
        <row r="50">
          <cell r="A50" t="str">
            <v>CAPITULO V -MUROS, PUERTAS, VENTANAS Y DIVISIONES INTERIORES</v>
          </cell>
          <cell r="B50">
            <v>0</v>
          </cell>
          <cell r="C50">
            <v>0</v>
          </cell>
          <cell r="D50">
            <v>0</v>
          </cell>
          <cell r="E50">
            <v>0</v>
          </cell>
          <cell r="F50">
            <v>0</v>
          </cell>
        </row>
        <row r="51">
          <cell r="A51">
            <v>177</v>
          </cell>
          <cell r="B51" t="str">
            <v>Construccion de muro en ladrillo farol 12X20X30 para revestir ambas caras</v>
          </cell>
          <cell r="C51" t="str">
            <v>m2</v>
          </cell>
          <cell r="D51">
            <v>0</v>
          </cell>
          <cell r="E51">
            <v>41433</v>
          </cell>
          <cell r="F51">
            <v>0</v>
          </cell>
        </row>
        <row r="52">
          <cell r="A52">
            <v>178</v>
          </cell>
          <cell r="B52" t="str">
            <v>Construccion de muro concreto clase D (21 MPa) 3000 psi vaciado a la vista para divisiones interiores e=0,15 m</v>
          </cell>
          <cell r="C52" t="str">
            <v>m2</v>
          </cell>
          <cell r="D52">
            <v>0</v>
          </cell>
          <cell r="E52">
            <v>126487</v>
          </cell>
          <cell r="F52">
            <v>0</v>
          </cell>
        </row>
        <row r="53">
          <cell r="A53">
            <v>179</v>
          </cell>
          <cell r="B53" t="str">
            <v>Construcción de muro doble cara en laminas de superboard 10 mm, sobre perfileria rolada calibre 24 colocada cada 60 cm; con tratamiento de juntas con masilla tipo joint compound sobre cinta malla. Acabado en pintura blanca tipo vinilo I, a tres (3) manos,</v>
          </cell>
          <cell r="C53" t="str">
            <v>m2</v>
          </cell>
          <cell r="D53">
            <v>0</v>
          </cell>
          <cell r="E53">
            <v>127258</v>
          </cell>
          <cell r="F53">
            <v>0</v>
          </cell>
        </row>
        <row r="54">
          <cell r="A54">
            <v>180</v>
          </cell>
          <cell r="B54" t="str">
            <v>Revoque de paredes con mortero 1:3 incluye filos y dilataciones</v>
          </cell>
          <cell r="C54" t="str">
            <v>m2</v>
          </cell>
          <cell r="D54">
            <v>0</v>
          </cell>
          <cell r="E54">
            <v>27881</v>
          </cell>
          <cell r="F54">
            <v>0</v>
          </cell>
        </row>
        <row r="55">
          <cell r="A55">
            <v>181</v>
          </cell>
          <cell r="B55" t="str">
            <v>Suministro e Instalacion de enchape para muros en ceramica blanca satinado de alfa o similar de 30,5 cm X 60 cm</v>
          </cell>
          <cell r="C55" t="str">
            <v>m2</v>
          </cell>
          <cell r="D55">
            <v>0</v>
          </cell>
          <cell r="E55">
            <v>68554</v>
          </cell>
          <cell r="F55">
            <v>0</v>
          </cell>
        </row>
        <row r="56">
          <cell r="A56">
            <v>182</v>
          </cell>
          <cell r="B56" t="str">
            <v>Suministro e instalacion de franja de lamina galvanizada cal 16 para recubrimiento inferior de paredes</v>
          </cell>
          <cell r="C56" t="str">
            <v>m2</v>
          </cell>
          <cell r="D56">
            <v>0</v>
          </cell>
          <cell r="E56">
            <v>68267</v>
          </cell>
          <cell r="F56">
            <v>0</v>
          </cell>
        </row>
        <row r="57">
          <cell r="A57">
            <v>183</v>
          </cell>
          <cell r="B57" t="str">
            <v>Suministro e instalacion de recubrimiento de paredes de mamposteria en superboard de 4 mm incluye pintura</v>
          </cell>
          <cell r="C57" t="str">
            <v>m2</v>
          </cell>
          <cell r="D57">
            <v>0</v>
          </cell>
          <cell r="E57">
            <v>41476</v>
          </cell>
          <cell r="F57">
            <v>0</v>
          </cell>
        </row>
        <row r="58">
          <cell r="A58">
            <v>184</v>
          </cell>
          <cell r="B58" t="str">
            <v>Suministro e Instalacion de enchape para muros en porcelanato tipo KRAK color light gray semipulido ref PKZM3060RF15 de Prosein o similar</v>
          </cell>
          <cell r="C58" t="str">
            <v>m2</v>
          </cell>
          <cell r="D58">
            <v>0</v>
          </cell>
          <cell r="E58">
            <v>94054</v>
          </cell>
          <cell r="F58">
            <v>0</v>
          </cell>
        </row>
        <row r="59">
          <cell r="A59">
            <v>185</v>
          </cell>
          <cell r="B59" t="str">
            <v>Suministro e Instalacion de enchape para muros en porcelanato tipo mosaico esmaltado acabado brillante color azul claro de 30,6 cm X 30,6 cm ref MOS SUMMER DAY KV03ZR399 DECORCERAMICA O SIMILAR</v>
          </cell>
          <cell r="C59" t="str">
            <v>m2</v>
          </cell>
          <cell r="D59">
            <v>0</v>
          </cell>
          <cell r="E59">
            <v>167392</v>
          </cell>
          <cell r="F59">
            <v>0</v>
          </cell>
        </row>
        <row r="60">
          <cell r="A60">
            <v>186</v>
          </cell>
          <cell r="B60" t="str">
            <v>Estuco y pintura de vinilo tipo 1 sobre muros interiores 3 manos</v>
          </cell>
          <cell r="C60" t="str">
            <v>m2</v>
          </cell>
          <cell r="D60">
            <v>0</v>
          </cell>
          <cell r="E60">
            <v>14350</v>
          </cell>
          <cell r="F60">
            <v>0</v>
          </cell>
        </row>
        <row r="61">
          <cell r="A61">
            <v>187</v>
          </cell>
          <cell r="B61" t="str">
            <v>Suministro e instalacion de recubrimiento de paredes en lamina tablex RH de 12 mm acabado gris cristal de pizano o similar</v>
          </cell>
          <cell r="C61" t="str">
            <v>m2</v>
          </cell>
          <cell r="D61">
            <v>0</v>
          </cell>
          <cell r="E61">
            <v>14350</v>
          </cell>
          <cell r="F61">
            <v>0</v>
          </cell>
        </row>
        <row r="62">
          <cell r="A62">
            <v>188</v>
          </cell>
          <cell r="B62" t="str">
            <v>Suministro e instalacion de ventaneria fija de fachada conformada por perfil aluminio de 10,16 cm x 4,44 cm x 0,08 cm acabado anodizado natural cabezal ALN 173 y pisavidrio en aluminio y vidrio templado de 8 mm (V-1 Y V-2) segun detalle</v>
          </cell>
          <cell r="C62" t="str">
            <v>m2</v>
          </cell>
          <cell r="D62">
            <v>0</v>
          </cell>
          <cell r="E62" t="e">
            <v>#N/A</v>
          </cell>
          <cell r="F62" t="e">
            <v>#N/A</v>
          </cell>
        </row>
        <row r="63">
          <cell r="A63">
            <v>189</v>
          </cell>
          <cell r="B63" t="str">
            <v>Suministro e instalacion de ventaneria corrediza de fachada conformada por perfil aluminio de 10,16 cm x 4,44 cm x 0,08 cm acabado anodizado natural cabezal ALN 173 y pisavidrio en aluminio y vidrio templado de 8 mm incluye jamba traslape, encanche, horiz</v>
          </cell>
          <cell r="C63" t="str">
            <v>m2</v>
          </cell>
          <cell r="D63">
            <v>0</v>
          </cell>
          <cell r="E63" t="e">
            <v>#N/A</v>
          </cell>
          <cell r="F63" t="e">
            <v>#N/A</v>
          </cell>
        </row>
        <row r="64">
          <cell r="A64">
            <v>190</v>
          </cell>
          <cell r="B64" t="str">
            <v>Suministro e instalacion de ventaneria fija a placa superior mediante estructura tubular rectangular de acero de 2"x2"x2,4mm conformada por perfil tubular rectangular en aluminio de 6,35cmx3,81cm de 1,7mm acabado anodizado natural y vidrio templado de 8 m</v>
          </cell>
          <cell r="C64" t="str">
            <v>m2</v>
          </cell>
          <cell r="D64">
            <v>0</v>
          </cell>
          <cell r="E64" t="e">
            <v>#N/A</v>
          </cell>
          <cell r="F64" t="e">
            <v>#N/A</v>
          </cell>
        </row>
        <row r="65">
          <cell r="A65">
            <v>191</v>
          </cell>
          <cell r="B65" t="str">
            <v>Suministro e instalacion de ventaneria corrediza para farmacia conformada por horizontal superior e inferior en aluminio  ALN 0349 de 40,3 mm x 15,6 mm y vidrio templado de 8 mm incluye jamba traslape, encanche, horizontal, silla y manija (V-7) segun deta</v>
          </cell>
          <cell r="C65" t="str">
            <v>m2</v>
          </cell>
          <cell r="D65">
            <v>0</v>
          </cell>
          <cell r="E65" t="e">
            <v>#N/A</v>
          </cell>
          <cell r="F65" t="e">
            <v>#N/A</v>
          </cell>
        </row>
        <row r="66">
          <cell r="A66">
            <v>192</v>
          </cell>
          <cell r="B66" t="str">
            <v xml:space="preserve">Suministro e instalacion de division fija a placa superior mediante estructura tubular rectangular de acero de 2"x2"x2,4mm de (2,4 m x 2,55 m) (V-8) segun detalle, conformada por perfil tubular rectangular en aluminio de 10,16cmx4,44cm x0,03 cm cabezal y </v>
          </cell>
          <cell r="C66" t="str">
            <v>und</v>
          </cell>
          <cell r="D66">
            <v>0</v>
          </cell>
          <cell r="E66" t="e">
            <v>#N/A</v>
          </cell>
          <cell r="F66" t="e">
            <v>#N/A</v>
          </cell>
        </row>
        <row r="67">
          <cell r="A67">
            <v>193</v>
          </cell>
          <cell r="B67" t="str">
            <v xml:space="preserve">Suministro e instalacion de division fija a placa superior mediante estructura tubular rectangular de acero de 2"x2"x2,4mm de (1,76 m x 2,55 m) (V-9) segun detalle conformada por perfil tubular rectangular en aluminio de 10,16cmx4,44cm x0,03 cm cabezal y </v>
          </cell>
          <cell r="C67" t="str">
            <v>und</v>
          </cell>
          <cell r="D67">
            <v>0</v>
          </cell>
          <cell r="E67" t="e">
            <v>#N/A</v>
          </cell>
          <cell r="F67" t="e">
            <v>#N/A</v>
          </cell>
        </row>
        <row r="68">
          <cell r="A68">
            <v>194</v>
          </cell>
          <cell r="B68" t="str">
            <v xml:space="preserve">Suministro e instalacion de division fija a placa superior mediante estructura tubular rectangular de acero de 2"x2"x2,4mm de (2,81 m x 2,55 m) (V-10)segun detalle conformada por perfil tubular rectangular en aluminio de 10,16cmx4,44cm x0,03 cm cabezal y </v>
          </cell>
          <cell r="C68" t="str">
            <v>und</v>
          </cell>
          <cell r="D68">
            <v>0</v>
          </cell>
          <cell r="E68" t="e">
            <v>#N/A</v>
          </cell>
          <cell r="F68" t="e">
            <v>#N/A</v>
          </cell>
        </row>
        <row r="69">
          <cell r="A69">
            <v>195</v>
          </cell>
          <cell r="B69" t="str">
            <v>Suministro e instalacion de division fija a placa superior mediante estructura tubular rectangular de acero de 2"x2"x2,4mm de (3,93 m x 2,55 m) (V-11) segun detalle conformada por perfil tubular rectangular en aluminio de 10,16cmx4,44cm x0,03 cm cabezal y</v>
          </cell>
          <cell r="C69" t="str">
            <v>und</v>
          </cell>
          <cell r="D69">
            <v>0</v>
          </cell>
          <cell r="E69" t="e">
            <v>#N/A</v>
          </cell>
          <cell r="F69" t="e">
            <v>#N/A</v>
          </cell>
        </row>
        <row r="70">
          <cell r="A70">
            <v>196</v>
          </cell>
          <cell r="B70" t="str">
            <v>Suministro e instalacion de division fija a placa superior mediante estructura tubular rectangular de acero de 2"x2"x2,4mm de (4,62 m x 2,55 m) (V-12)segun detalle, conformada por perfil tubular rectangular en aluminio de 10,16cmx4,44cm x0,03 cm cabezal y</v>
          </cell>
          <cell r="C70" t="str">
            <v>und</v>
          </cell>
          <cell r="D70">
            <v>0</v>
          </cell>
          <cell r="E70" t="e">
            <v>#N/A</v>
          </cell>
          <cell r="F70" t="e">
            <v>#N/A</v>
          </cell>
        </row>
        <row r="71">
          <cell r="A71">
            <v>197</v>
          </cell>
          <cell r="B71" t="str">
            <v>Suministro e instalacion de persiana fija de 0,3 m x 2,55 m (V-13) segun detalle, ALN 315 Y perfil rectangular en aluminio de 38 mm x 50 mm x 2 mm anodizado natural</v>
          </cell>
          <cell r="C71" t="str">
            <v>und</v>
          </cell>
          <cell r="D71">
            <v>0</v>
          </cell>
          <cell r="E71" t="e">
            <v>#N/A</v>
          </cell>
          <cell r="F71" t="e">
            <v>#N/A</v>
          </cell>
        </row>
        <row r="72">
          <cell r="A72">
            <v>198</v>
          </cell>
          <cell r="B72" t="str">
            <v>Suministro e Instalacion de ventana corrediza de 6,81 m x 0,54 m (V-15) segun detalle, cabezal en aluminio ALN 144 de 52,8mmx 18,8 mm horizontal superior e inferior ALN0349 de 40,2mm x 15,6 mm incluye sillar enganche, jamba, traslape y manija</v>
          </cell>
          <cell r="C72" t="str">
            <v>und</v>
          </cell>
          <cell r="D72">
            <v>0</v>
          </cell>
          <cell r="E72" t="e">
            <v>#N/A</v>
          </cell>
          <cell r="F72" t="e">
            <v>#N/A</v>
          </cell>
        </row>
        <row r="73">
          <cell r="A73">
            <v>200</v>
          </cell>
          <cell r="B73" t="str">
            <v>Suministro e Instalacion de puerta 0,93m x 2,1 m (P-1) segun detalle, estructurada con tubo de acero de 2-3/8"x1-1/2"x 2mm con laminas de superboard de 10 mm y lamina galvanizada de 1,5mm y persiana en aluminio. Incluye bisagra base pivote cerradura cierr</v>
          </cell>
          <cell r="C73" t="str">
            <v>und</v>
          </cell>
          <cell r="D73">
            <v>0</v>
          </cell>
          <cell r="E73" t="e">
            <v>#N/A</v>
          </cell>
          <cell r="F73" t="e">
            <v>#N/A</v>
          </cell>
        </row>
        <row r="74">
          <cell r="A74">
            <v>201</v>
          </cell>
          <cell r="B74" t="str">
            <v>Suministro e Instalacion de puerta 0,85 m x 2,55 m (P-2)segun detalle, estructurada con tubo de acero de 2-3/8"x1-1/2"x 2mm con laminas de superboard de 10 mm y lamina galvanizada de 1,5mm y persiana en aluminio. Incluye bisagra base pivote cerradura cier</v>
          </cell>
          <cell r="C74" t="str">
            <v>und</v>
          </cell>
          <cell r="D74">
            <v>0</v>
          </cell>
          <cell r="E74" t="e">
            <v>#N/A</v>
          </cell>
          <cell r="F74" t="e">
            <v>#N/A</v>
          </cell>
        </row>
        <row r="75">
          <cell r="A75">
            <v>202</v>
          </cell>
          <cell r="B75" t="str">
            <v>Suministro e Instalacion de puerta doble de 1,74m x 2,55m (P-3) segun detalle, naves estructuradas en perfiles tubular rectangular en aluminio de 7,62 cm x 3,81 cm x 0,014 cm acabado anodizado natural y vidrio templado de 8 mm, marco en perfil tubular rec</v>
          </cell>
          <cell r="C75" t="str">
            <v>und</v>
          </cell>
          <cell r="D75">
            <v>0</v>
          </cell>
          <cell r="E75" t="e">
            <v>#N/A</v>
          </cell>
          <cell r="F75" t="e">
            <v>#N/A</v>
          </cell>
        </row>
        <row r="76">
          <cell r="A76">
            <v>203</v>
          </cell>
          <cell r="B76" t="str">
            <v>Suministro e Instalacion de puerta sencilla de 2,01m x 2,68 m (P-4) segun detalle, acceso primer piso, naves fija y movil estructurada en perfil tubular rectangular en aluminio de 7,62 cm x 3,81 cm x 0,014 cm acabado anodizado natural y vidrio templado de</v>
          </cell>
          <cell r="C76" t="str">
            <v>und</v>
          </cell>
          <cell r="D76">
            <v>0</v>
          </cell>
          <cell r="E76" t="e">
            <v>#N/A</v>
          </cell>
          <cell r="F76" t="e">
            <v>#N/A</v>
          </cell>
        </row>
        <row r="77">
          <cell r="A77">
            <v>204</v>
          </cell>
          <cell r="B77" t="str">
            <v>Suministro e Instalacion de puerta sencilla de 2,01m x 2,68 m (P-5) segun detalle,  acceso pisos 1, 2 y 3 naves fija y movil estructurada en perfil tubular rectangular en aluminio de 7,62 cm x 3,81 cm x 0,014 cm acabado anodizado natural y vidrio templado</v>
          </cell>
          <cell r="C77" t="str">
            <v>und</v>
          </cell>
          <cell r="D77">
            <v>0</v>
          </cell>
          <cell r="E77" t="e">
            <v>#N/A</v>
          </cell>
          <cell r="F77" t="e">
            <v>#N/A</v>
          </cell>
        </row>
        <row r="78">
          <cell r="A78">
            <v>205</v>
          </cell>
          <cell r="B78" t="str">
            <v>Suministro e Instalacion de puerta doble de 1,84m x 2,55m (P-6) segun detalle, naves estructuradas en perfiles tubular rectangular en aluminio de 7,62 cm x 3,81 cm x 0,014 cm acabado anodizado natural y vidrio templado de 8 mm, marco en perfil tubular rec</v>
          </cell>
          <cell r="C78" t="str">
            <v>und</v>
          </cell>
          <cell r="D78">
            <v>0</v>
          </cell>
          <cell r="E78" t="e">
            <v>#N/A</v>
          </cell>
          <cell r="F78" t="e">
            <v>#N/A</v>
          </cell>
        </row>
        <row r="79">
          <cell r="A79">
            <v>206</v>
          </cell>
          <cell r="B79" t="str">
            <v>Suministro e Instalacion de puerta doble de 1,2m x 2,8m (P-7) segun detalle, naves  en lamina galvanizada de 1,5 mm, estructuradas en perfiles tubular cuadrado en acero de 2 3/8" x 1 1/2"  x 2 mm, vidrio templado de 8 mm, fijado a placa superior por estru</v>
          </cell>
          <cell r="C79" t="str">
            <v>und</v>
          </cell>
          <cell r="D79">
            <v>0</v>
          </cell>
          <cell r="E79" t="e">
            <v>#N/A</v>
          </cell>
          <cell r="F79" t="e">
            <v>#N/A</v>
          </cell>
        </row>
        <row r="80">
          <cell r="A80">
            <v>207</v>
          </cell>
          <cell r="B80" t="str">
            <v>Suministro e Instalacion de puerta 1m x 2,55 m (P-8) segun detalle, estructurada con tubo de acero de 2-3/8"x1-1/2"x 2mm con laminas de superboard de 10 mm y lamina galvanizada de 1,5mm y persiana en aluminio. Incluye bisagra base pivote cerradura cierrap</v>
          </cell>
          <cell r="C80" t="str">
            <v>und</v>
          </cell>
          <cell r="D80">
            <v>0</v>
          </cell>
          <cell r="E80" t="e">
            <v>#N/A</v>
          </cell>
          <cell r="F80" t="e">
            <v>#N/A</v>
          </cell>
        </row>
        <row r="81">
          <cell r="A81">
            <v>208</v>
          </cell>
          <cell r="B81" t="str">
            <v>Suministro e Instalacion de puerta 0,97m x 2,55 m (P-9) segun detalle, estructurada con tubo de acero de 2-3/8"x1-1/2"x 2mm con laminas de superboard de 10 mm y lamina galvanizada de 1,5mm y persiana en aluminio. Incluye bisagra base pivote cerradura cier</v>
          </cell>
          <cell r="C81" t="str">
            <v>und</v>
          </cell>
          <cell r="D81">
            <v>0</v>
          </cell>
          <cell r="E81" t="e">
            <v>#N/A</v>
          </cell>
          <cell r="F81" t="e">
            <v>#N/A</v>
          </cell>
        </row>
        <row r="82">
          <cell r="A82">
            <v>209</v>
          </cell>
          <cell r="B82" t="str">
            <v>Suministro e Instalacion de puerta doble de 1,92m x 2,55m (P-10) segun detalle,  para rayos X, naves  en lamina de plomo de 1,5 mm de espesor, estructuradas en perfiles tubular cuadrado en acero de 2 3/8" x 1 1/2"  x 2 mm, fijado a placa superior por estr</v>
          </cell>
          <cell r="C82" t="str">
            <v>und</v>
          </cell>
          <cell r="D82">
            <v>0</v>
          </cell>
          <cell r="E82" t="e">
            <v>#N/A</v>
          </cell>
          <cell r="F82" t="e">
            <v>#N/A</v>
          </cell>
        </row>
        <row r="83">
          <cell r="A83">
            <v>210</v>
          </cell>
          <cell r="B83" t="str">
            <v>Suministro e Instalacion de puerta sencilla de 1,74m x 2,55 m (P-11) segun detalle, naves fija y movil estructurada en perfil tubular rectangular en aluminio de 7,62 cm x 3,81 cm x 0,014 cm acabado anodizado natural y vidrio templado de 8 mm, marco en per</v>
          </cell>
          <cell r="C83" t="str">
            <v>und</v>
          </cell>
          <cell r="D83">
            <v>0</v>
          </cell>
          <cell r="E83" t="e">
            <v>#N/A</v>
          </cell>
          <cell r="F83" t="e">
            <v>#N/A</v>
          </cell>
        </row>
        <row r="84">
          <cell r="A84">
            <v>211</v>
          </cell>
          <cell r="B84" t="str">
            <v>Suministro e Instalacion de puerta 1 m x 2,55 m (P-12)segun detalle, estructurada con tubo de acero de 2-3/8"x1-1/2"x 2mm con laminas de superboard de 10 mm. Incluye bisagra base pivote cerradura cierrapuerta, incluye fijacion a losa superior mediante est</v>
          </cell>
          <cell r="C84" t="str">
            <v>und</v>
          </cell>
          <cell r="D84">
            <v>0</v>
          </cell>
          <cell r="E84" t="e">
            <v>#N/A</v>
          </cell>
          <cell r="F84" t="e">
            <v>#N/A</v>
          </cell>
        </row>
        <row r="85">
          <cell r="A85">
            <v>212</v>
          </cell>
          <cell r="B85" t="str">
            <v>Suministro e Instalacion de puerta doble de 1,3m x 2,55m (P-13) segun detalle,  para cuarto refrigerado, naves  en lamina galvanizada de 1,5 mm de espesor, estructuradas en perfiles tubular cuadrado en acero de 2 3/8" x 1 1/2"  x 2 mm, fijado a placa supe</v>
          </cell>
          <cell r="C85" t="str">
            <v>und</v>
          </cell>
          <cell r="D85">
            <v>0</v>
          </cell>
          <cell r="E85" t="e">
            <v>#N/A</v>
          </cell>
          <cell r="F85" t="e">
            <v>#N/A</v>
          </cell>
        </row>
        <row r="86">
          <cell r="A86">
            <v>213</v>
          </cell>
          <cell r="B86" t="str">
            <v>Suministro e Instalacion de puerta doble de 1,64m x 2,68m (P-14) segun detalle, naves estructuradas en perfiles tubular rectangular en aluminio de 7,62 cm x 3,81 cm x 0,014 cm acabado anodizado natural y vidrio templado de 8 mm, marco en perfil tubular re</v>
          </cell>
          <cell r="C86" t="str">
            <v>und</v>
          </cell>
          <cell r="D86">
            <v>0</v>
          </cell>
          <cell r="E86" t="e">
            <v>#N/A</v>
          </cell>
          <cell r="F86" t="e">
            <v>#N/A</v>
          </cell>
        </row>
        <row r="87">
          <cell r="A87">
            <v>214</v>
          </cell>
          <cell r="B87" t="str">
            <v>Suministro e instalacion de puerta corrediza de 2m x 2,68m (P-15) segun detalle, conformada por perfil aluminio de 10,16 cm x 4,44 cm x 0,08 cm acabado anodizado natural cabezal ALN 173 y pisavidrio en aluminio y vidrio templado de 8 mm incluye jamba tras</v>
          </cell>
          <cell r="C87" t="str">
            <v>und</v>
          </cell>
          <cell r="D87">
            <v>0</v>
          </cell>
          <cell r="E87" t="e">
            <v>#N/A</v>
          </cell>
          <cell r="F87" t="e">
            <v>#N/A</v>
          </cell>
        </row>
        <row r="88">
          <cell r="A88">
            <v>215</v>
          </cell>
          <cell r="B88" t="str">
            <v>Suministro e Instalacion de puerta doble de 2m x 2,85m (P-16) segun detalle, naves estructuradas en perfiles tubular rectangular en aluminio de 7,62 cm x 3,81 cm x 0,014 cm acabado anodizado natural y persiana en ALN 315 en aluminio, marco en perfil tubul</v>
          </cell>
          <cell r="C88" t="str">
            <v>und</v>
          </cell>
          <cell r="D88">
            <v>0</v>
          </cell>
          <cell r="E88" t="e">
            <v>#N/A</v>
          </cell>
          <cell r="F88" t="e">
            <v>#N/A</v>
          </cell>
        </row>
        <row r="89">
          <cell r="A89">
            <v>216</v>
          </cell>
          <cell r="B89" t="str">
            <v xml:space="preserve">Suministro e Instalacion de puerta 0,85 m x 2,55 m (P-17)segun detalle, estructurada con tubo de acero de 2-3/8"x1-1/2"x 2mm con laminas de superboard de 10 mm. Incluye bisagra base pivote cerradura cierrapuerta, incluye fijacion a losa superior mediante </v>
          </cell>
          <cell r="C89" t="str">
            <v>und</v>
          </cell>
          <cell r="D89">
            <v>0</v>
          </cell>
          <cell r="E89" t="e">
            <v>#N/A</v>
          </cell>
          <cell r="F89" t="e">
            <v>#N/A</v>
          </cell>
        </row>
        <row r="90">
          <cell r="A90">
            <v>217</v>
          </cell>
          <cell r="B90" t="str">
            <v xml:space="preserve">Suministro e Instalacion de puerta 0,92 m x 2,55 m (P-18)segun detalle, estructurada con tubo de acero de 2-3/8"x1-1/2"x 2mm con laminas de superboard de 10 mm. Incluye bisagra base pivote cerradura cierrapuerta, incluye fijacion a losa superior mediante </v>
          </cell>
          <cell r="C90" t="str">
            <v>und</v>
          </cell>
          <cell r="D90">
            <v>0</v>
          </cell>
          <cell r="E90" t="e">
            <v>#N/A</v>
          </cell>
          <cell r="F90" t="e">
            <v>#N/A</v>
          </cell>
        </row>
        <row r="91">
          <cell r="A91">
            <v>218</v>
          </cell>
          <cell r="B91" t="str">
            <v xml:space="preserve">Suministro e Instalacion de puerta doble de cerramiento de cubierta 1,96mx1,8m (P-19) según detalle estructurada en tuberia estructural rectangular de acero de 4" x 2" x 4,7mm y malla preondulada galvanizada de 3" x3" calibre #6 incluye cerrojo, bisagras </v>
          </cell>
          <cell r="C91" t="str">
            <v>und</v>
          </cell>
          <cell r="D91">
            <v>0</v>
          </cell>
          <cell r="E91" t="e">
            <v>#N/A</v>
          </cell>
          <cell r="F91" t="e">
            <v>#N/A</v>
          </cell>
        </row>
        <row r="92">
          <cell r="A92">
            <v>219</v>
          </cell>
          <cell r="B92" t="str">
            <v>Suministro e Instalacion de puerta sencilla de 0,99m x 2,55m (P-20) segun detalle, naves estructuradas en perfiles tubular rectangular en aluminio de 7,62 cm x 3,81 cm x 0,014 cm acabado anodizado natural y persiana en ALN 315 en aluminio, marco en perfil</v>
          </cell>
          <cell r="C92" t="str">
            <v>und</v>
          </cell>
          <cell r="D92">
            <v>0</v>
          </cell>
          <cell r="E92" t="e">
            <v>#N/A</v>
          </cell>
          <cell r="F92" t="e">
            <v>#N/A</v>
          </cell>
        </row>
        <row r="93">
          <cell r="A93">
            <v>220</v>
          </cell>
          <cell r="B93" t="str">
            <v>Suministro e Instalacion de puerta 1,08 m x 2,55 m (P-21) segun detalle, estructurada con tubo de acero de 2-3/8"x1-1/2"x 2mm con laminas de superboard de 10 mm. Incluye bisagra base pivote cerradura cierrapuerta, incluye fijacion a losa superior mediante</v>
          </cell>
          <cell r="C93" t="str">
            <v>und</v>
          </cell>
          <cell r="D93">
            <v>0</v>
          </cell>
          <cell r="E93" t="e">
            <v>#N/A</v>
          </cell>
          <cell r="F93" t="e">
            <v>#N/A</v>
          </cell>
        </row>
        <row r="94">
          <cell r="A94">
            <v>221</v>
          </cell>
          <cell r="B94" t="str">
            <v>Suministro e Instalacion de puerta sencilla de 3,04m x 3,10m (P-22) segun detalle, naves moviles y fijas estructuradas en perfiles tubular rectangular en aluminio de 7,62 cm x 3,81 cm x 0,014 cm acabado anodizado natural y persiana en ALN 315 en aluminio,</v>
          </cell>
          <cell r="C94" t="str">
            <v>und</v>
          </cell>
          <cell r="D94">
            <v>0</v>
          </cell>
          <cell r="E94" t="e">
            <v>#N/A</v>
          </cell>
          <cell r="F94" t="e">
            <v>#N/A</v>
          </cell>
        </row>
        <row r="95">
          <cell r="A95">
            <v>222</v>
          </cell>
          <cell r="B95" t="str">
            <v>Suministro e Instalacion de puerta 1,2m x 2,1 m (P-23) segun detalle, estructurada con tubo de acero de 2-3/8"x1-1/2"x 2mm con laminas de superboard de 10 mm y lamina galvanizada de 1,5mm y persiana en aluminio. Incluye bisagra base pivote cerradura cierr</v>
          </cell>
          <cell r="C95" t="str">
            <v>und</v>
          </cell>
          <cell r="D95">
            <v>0</v>
          </cell>
          <cell r="E95" t="e">
            <v>#N/A</v>
          </cell>
          <cell r="F95" t="e">
            <v>#N/A</v>
          </cell>
        </row>
        <row r="96">
          <cell r="A96">
            <v>223</v>
          </cell>
          <cell r="B96" t="str">
            <v>Suministro e Instalacion de puerta 0,89m x 2,1 m (P-24) segun detalle, estructurada con tubo de acero de 2-3/8"x1-1/2"x 2mm con laminas de superboard de 10 mm y lamina galvanizada de 1,5mm y persiana en aluminio. Incluye bisagra base pivote cerradura cier</v>
          </cell>
          <cell r="C96" t="str">
            <v>und</v>
          </cell>
          <cell r="D96">
            <v>0</v>
          </cell>
          <cell r="E96" t="e">
            <v>#N/A</v>
          </cell>
          <cell r="F96" t="e">
            <v>#N/A</v>
          </cell>
        </row>
        <row r="97">
          <cell r="A97">
            <v>224</v>
          </cell>
          <cell r="B97" t="str">
            <v>Suministro e Instalacion de puerta doble de 0,70m x 2,55m (P-25) segun detalle,  para rayos X, naves  en lamina de plomo de 1,5 mm de espesor, estructuradas en perfiles tubular cuadrado en acero de 2 3/8" x 1 1/2"  x 2 mm, fijado a placa superior por estr</v>
          </cell>
          <cell r="C97" t="str">
            <v>und</v>
          </cell>
          <cell r="D97">
            <v>0</v>
          </cell>
          <cell r="E97" t="e">
            <v>#N/A</v>
          </cell>
          <cell r="F97" t="e">
            <v>#N/A</v>
          </cell>
        </row>
        <row r="98">
          <cell r="A98">
            <v>237</v>
          </cell>
          <cell r="B98" t="str">
            <v>Suministro e Instalacion de cerramiento de cubierta h=1,8m según detalle estructurada en tuberia estructural rectangular de acero de 4" x 2" x 4,7mm y malla preondulada galvanizada de 3" x3" calibre #6 angulos de fijacion</v>
          </cell>
          <cell r="C98" t="str">
            <v>m2</v>
          </cell>
          <cell r="D98">
            <v>0</v>
          </cell>
          <cell r="E98" t="e">
            <v>#N/A</v>
          </cell>
          <cell r="F98" t="e">
            <v>#N/A</v>
          </cell>
        </row>
        <row r="99">
          <cell r="A99">
            <v>238</v>
          </cell>
          <cell r="B99" t="str">
            <v>Baranda peatonal según detalle en tubo de seccion cuadrada macisa de 3,5 cm en acero parales cada 1,2m y dos horizontales</v>
          </cell>
          <cell r="C99" t="str">
            <v>ml</v>
          </cell>
          <cell r="D99">
            <v>0</v>
          </cell>
          <cell r="E99" t="e">
            <v>#N/A</v>
          </cell>
          <cell r="F99" t="e">
            <v>#N/A</v>
          </cell>
        </row>
        <row r="100">
          <cell r="A100" t="str">
            <v>CAPITULO VI -PISOS</v>
          </cell>
          <cell r="B100">
            <v>0</v>
          </cell>
          <cell r="C100">
            <v>0</v>
          </cell>
          <cell r="D100">
            <v>0</v>
          </cell>
          <cell r="E100">
            <v>0</v>
          </cell>
          <cell r="F100">
            <v>0</v>
          </cell>
        </row>
        <row r="101">
          <cell r="A101">
            <v>225</v>
          </cell>
          <cell r="B101" t="str">
            <v>Mortero 1:3 de nivelacion de pisos e=0,04 m</v>
          </cell>
          <cell r="C101" t="str">
            <v>m2</v>
          </cell>
          <cell r="D101">
            <v>0</v>
          </cell>
          <cell r="E101" t="e">
            <v>#N/A</v>
          </cell>
          <cell r="F101" t="e">
            <v>#N/A</v>
          </cell>
        </row>
        <row r="102">
          <cell r="A102">
            <v>226</v>
          </cell>
          <cell r="B102" t="str">
            <v>Mortero 1:3 para conformar pendientes para manejo de aguas losa cubierta</v>
          </cell>
          <cell r="C102" t="str">
            <v>m3</v>
          </cell>
          <cell r="D102">
            <v>0</v>
          </cell>
          <cell r="E102" t="e">
            <v>#N/A</v>
          </cell>
          <cell r="F102" t="e">
            <v>#N/A</v>
          </cell>
        </row>
        <row r="103">
          <cell r="A103">
            <v>227</v>
          </cell>
          <cell r="B103" t="str">
            <v>Suministro e instalacion de piso P-01 vinilico color gris REF "IQ ONE MISTY GRAY" BYLIN o equivalente incluye mastico de nivelacion</v>
          </cell>
          <cell r="C103" t="str">
            <v>m2</v>
          </cell>
          <cell r="D103">
            <v>0</v>
          </cell>
          <cell r="E103" t="e">
            <v>#N/A</v>
          </cell>
          <cell r="F103" t="e">
            <v>#N/A</v>
          </cell>
        </row>
        <row r="104">
          <cell r="A104">
            <v>228</v>
          </cell>
          <cell r="B104" t="str">
            <v>Suministro e instalacion de piso P-02 en piedra royal veta acabado semi mate apomazado con acido</v>
          </cell>
          <cell r="C104" t="str">
            <v>m2</v>
          </cell>
          <cell r="D104">
            <v>0</v>
          </cell>
          <cell r="E104" t="e">
            <v>#N/A</v>
          </cell>
          <cell r="F104" t="e">
            <v>#N/A</v>
          </cell>
        </row>
        <row r="105">
          <cell r="A105">
            <v>73</v>
          </cell>
          <cell r="B105" t="str">
            <v>Llenos compactados con tierra negra para conformar zonas verdes</v>
          </cell>
          <cell r="C105" t="str">
            <v>m3</v>
          </cell>
          <cell r="D105">
            <v>0</v>
          </cell>
          <cell r="E105">
            <v>45733</v>
          </cell>
          <cell r="F105">
            <v>0</v>
          </cell>
        </row>
        <row r="106">
          <cell r="A106">
            <v>229</v>
          </cell>
          <cell r="B106" t="str">
            <v>Suministro e instalacion de piso P-05 adoquin cuadrado en concreto de 10 cm x 10 cm acabado color gris</v>
          </cell>
          <cell r="C106" t="str">
            <v>m2</v>
          </cell>
          <cell r="D106">
            <v>0</v>
          </cell>
          <cell r="E106" t="e">
            <v>#N/A</v>
          </cell>
          <cell r="F106" t="e">
            <v>#N/A</v>
          </cell>
        </row>
        <row r="107">
          <cell r="A107">
            <v>230</v>
          </cell>
          <cell r="B107" t="str">
            <v>Suministro riego e Instalacion de piso P-06 en gravilla con gradacion 3/4" a 1" con e=0,1 m</v>
          </cell>
          <cell r="C107" t="str">
            <v>und</v>
          </cell>
          <cell r="D107">
            <v>0</v>
          </cell>
          <cell r="E107" t="e">
            <v>#N/A</v>
          </cell>
          <cell r="F107" t="e">
            <v>#N/A</v>
          </cell>
        </row>
        <row r="108">
          <cell r="A108">
            <v>231</v>
          </cell>
          <cell r="B108" t="str">
            <v>Suministro riego e Instalacion de piso P-07 en arena amarilla gradacion uniforme entre el tamiz No50 y el No200 grano redondo e=0,1 m.</v>
          </cell>
          <cell r="C108" t="str">
            <v>und</v>
          </cell>
          <cell r="D108">
            <v>0</v>
          </cell>
          <cell r="E108" t="e">
            <v>#N/A</v>
          </cell>
          <cell r="F108" t="e">
            <v>#N/A</v>
          </cell>
        </row>
        <row r="109">
          <cell r="A109">
            <v>232</v>
          </cell>
          <cell r="B109" t="str">
            <v>Suministro e instalacion de piso P-09 en porcelanato semipulido tipo krak color light gray formato 30 cm x 60 cm REF PKZM3060RF5 PROSEIN o equivalente</v>
          </cell>
          <cell r="C109" t="str">
            <v>m2</v>
          </cell>
          <cell r="D109">
            <v>0</v>
          </cell>
          <cell r="E109" t="e">
            <v>#N/A</v>
          </cell>
          <cell r="F109" t="e">
            <v>#N/A</v>
          </cell>
        </row>
        <row r="110">
          <cell r="A110">
            <v>233</v>
          </cell>
          <cell r="B110" t="str">
            <v>Suministro e instalacion de piso P-10 concreto clase D (21 Mpa) 3000 psi para placa contrapiso e=0,1m con endurecedor de concreto color gris y con refuerzo de microfibra monofilamento de nylon dilatada  con cortes de disco según diseno</v>
          </cell>
          <cell r="C110" t="str">
            <v>m2</v>
          </cell>
          <cell r="D110">
            <v>0</v>
          </cell>
          <cell r="E110" t="e">
            <v>#N/A</v>
          </cell>
          <cell r="F110" t="e">
            <v>#N/A</v>
          </cell>
        </row>
        <row r="111">
          <cell r="A111">
            <v>234</v>
          </cell>
          <cell r="B111" t="str">
            <v>Suministro e instalacion de piso P-11 concreto clase D (21 Mpa) 3000 psi para placa contrapiso e=0,1m dilatada  con cortes de disco según diseno</v>
          </cell>
          <cell r="C111" t="str">
            <v>m2</v>
          </cell>
          <cell r="D111">
            <v>0</v>
          </cell>
          <cell r="E111" t="e">
            <v>#N/A</v>
          </cell>
          <cell r="F111" t="e">
            <v>#N/A</v>
          </cell>
        </row>
        <row r="112">
          <cell r="A112">
            <v>235</v>
          </cell>
          <cell r="B112" t="str">
            <v>Suministro e instalacion de piso P-12 en enchape tipo mosaico porcelanato esmaltado acabado brillante color azul claro formato 30,6 cm x 30,6 cm REF "MOS SUMMER DAY" KV30ZR399 DECORCERAMICA o equivalente</v>
          </cell>
          <cell r="C112" t="str">
            <v>m2</v>
          </cell>
          <cell r="D112">
            <v>0</v>
          </cell>
          <cell r="E112" t="e">
            <v>#N/A</v>
          </cell>
          <cell r="F112" t="e">
            <v>#N/A</v>
          </cell>
        </row>
        <row r="113">
          <cell r="A113">
            <v>236</v>
          </cell>
          <cell r="B113" t="str">
            <v>Suministro e instalacion de media cana plastica en pvc sistema macho hembra</v>
          </cell>
          <cell r="C113" t="str">
            <v>ml</v>
          </cell>
          <cell r="D113">
            <v>0</v>
          </cell>
          <cell r="E113" t="e">
            <v>#N/A</v>
          </cell>
          <cell r="F113" t="e">
            <v>#N/A</v>
          </cell>
        </row>
        <row r="114">
          <cell r="A114">
            <v>243</v>
          </cell>
          <cell r="B114" t="str">
            <v>Guardaescoba en Media caña en mortero 1:2 de 0,07m -0,15 m incluye esmaltado emboquillado brillado y dilatacion en aluminio entre guardaescoba y enchape</v>
          </cell>
          <cell r="C114" t="str">
            <v>ml</v>
          </cell>
          <cell r="D114">
            <v>0</v>
          </cell>
          <cell r="E114" t="e">
            <v>#N/A</v>
          </cell>
          <cell r="F114" t="e">
            <v>#N/A</v>
          </cell>
        </row>
        <row r="115">
          <cell r="A115" t="str">
            <v>CAPITULO VII -CIELO RASOS</v>
          </cell>
          <cell r="B115">
            <v>0</v>
          </cell>
          <cell r="C115">
            <v>0</v>
          </cell>
          <cell r="D115">
            <v>0</v>
          </cell>
          <cell r="E115">
            <v>0</v>
          </cell>
          <cell r="F115">
            <v>0</v>
          </cell>
        </row>
        <row r="116">
          <cell r="A116">
            <v>239</v>
          </cell>
          <cell r="B116" t="str">
            <v>Suministro e instalacion de cielo raso junta perdida en laminas de superboard de 6 mm masillado y pintado</v>
          </cell>
          <cell r="C116" t="str">
            <v>m2</v>
          </cell>
          <cell r="D116">
            <v>0</v>
          </cell>
          <cell r="E116" t="e">
            <v>#N/A</v>
          </cell>
          <cell r="F116" t="e">
            <v>#N/A</v>
          </cell>
        </row>
        <row r="117">
          <cell r="A117">
            <v>240</v>
          </cell>
          <cell r="B117" t="str">
            <v>Suministro e instalacion de franja de 12 cm de ancho de cielo raso en lamina galvanizada calibre 18 fijada estructura de acero</v>
          </cell>
          <cell r="C117" t="str">
            <v>ml</v>
          </cell>
          <cell r="D117">
            <v>0</v>
          </cell>
          <cell r="E117" t="e">
            <v>#N/A</v>
          </cell>
          <cell r="F117" t="e">
            <v>#N/A</v>
          </cell>
        </row>
        <row r="118">
          <cell r="A118" t="str">
            <v>CAPITULO VIII - FACHADAS</v>
          </cell>
          <cell r="B118">
            <v>0</v>
          </cell>
          <cell r="C118">
            <v>0</v>
          </cell>
          <cell r="D118">
            <v>0</v>
          </cell>
          <cell r="E118">
            <v>0</v>
          </cell>
          <cell r="F118">
            <v>0</v>
          </cell>
        </row>
        <row r="119">
          <cell r="A119">
            <v>242</v>
          </cell>
          <cell r="B119" t="str">
            <v>Suministro e Instalacion de Fachada F-01 según detalles tipo persiana en madera vertical teca de canto 0,03 m*0,18 m*0,3 m separacion entre centros de 20 cm, cada pieza pulida resanada e inmunizada, acabado con imprimante REF  Profilan Teoma durespo o equ</v>
          </cell>
          <cell r="C119" t="str">
            <v>m2</v>
          </cell>
          <cell r="D119">
            <v>0</v>
          </cell>
          <cell r="E119" t="e">
            <v>#N/A</v>
          </cell>
          <cell r="F119" t="e">
            <v>#N/A</v>
          </cell>
        </row>
        <row r="120">
          <cell r="A120">
            <v>199</v>
          </cell>
          <cell r="B120" t="str">
            <v xml:space="preserve">Suministro e Instalacion de fachada fija 9,75 m x 14 m (V-16) segun detalle, incluye platinas y perfiles de acero, fijaciones y vidrio templado laminado de 10 mm </v>
          </cell>
          <cell r="C120" t="str">
            <v>m2</v>
          </cell>
          <cell r="D120">
            <v>0</v>
          </cell>
          <cell r="E120" t="e">
            <v>#N/A</v>
          </cell>
          <cell r="F120" t="e">
            <v>#N/A</v>
          </cell>
        </row>
        <row r="121">
          <cell r="A121" t="str">
            <v>CAPITULO IX - APARATOS SANITARIOS</v>
          </cell>
          <cell r="B121">
            <v>0</v>
          </cell>
          <cell r="C121">
            <v>0</v>
          </cell>
          <cell r="D121">
            <v>0</v>
          </cell>
          <cell r="E121">
            <v>0</v>
          </cell>
          <cell r="F121">
            <v>0</v>
          </cell>
        </row>
        <row r="122">
          <cell r="A122">
            <v>244</v>
          </cell>
          <cell r="B122" t="str">
            <v>Suministro e Instalacion de sanitario tasa alongada a piso en porcelana para personas con movilidad reducida 43 cm de alto color blanco entrada posterior ref adriatico de corona o equivalente</v>
          </cell>
          <cell r="C122" t="str">
            <v>und</v>
          </cell>
          <cell r="D122">
            <v>0</v>
          </cell>
          <cell r="E122" t="e">
            <v>#N/A</v>
          </cell>
          <cell r="F122" t="e">
            <v>#N/A</v>
          </cell>
        </row>
        <row r="123">
          <cell r="A123">
            <v>256</v>
          </cell>
          <cell r="B123" t="str">
            <v>Suministro e Instalacion de tasa sanitaria 73X 36,2x36,8 cm color blanco entrada posterior ref baltico de corona o equivalente</v>
          </cell>
          <cell r="C123" t="str">
            <v>und</v>
          </cell>
          <cell r="D123">
            <v>0</v>
          </cell>
          <cell r="E123" t="e">
            <v>#N/A</v>
          </cell>
          <cell r="F123" t="e">
            <v>#N/A</v>
          </cell>
        </row>
        <row r="124">
          <cell r="A124">
            <v>245</v>
          </cell>
          <cell r="B124" t="str">
            <v>Suministro e Instalacion de valvula antibandalica para sanitario sistema de instalacion posterior Ref 75125001 de corona o equivalente</v>
          </cell>
          <cell r="C124" t="str">
            <v>und</v>
          </cell>
          <cell r="D124">
            <v>0</v>
          </cell>
          <cell r="E124" t="e">
            <v>#N/A</v>
          </cell>
          <cell r="F124" t="e">
            <v>#N/A</v>
          </cell>
        </row>
        <row r="125">
          <cell r="A125">
            <v>246</v>
          </cell>
          <cell r="B125" t="str">
            <v>Suministro e Instalacion de lavamanos suspendido en ceramica esmaltada color blanco de 27 cm x 34 cm x 12,5 cm Ref YOCO decorceramica o quivalente con complemento cromado  ref TRAM P LAV convencional decorceramica o equivalente</v>
          </cell>
          <cell r="C125" t="str">
            <v>und</v>
          </cell>
          <cell r="D125">
            <v>0</v>
          </cell>
          <cell r="E125" t="e">
            <v>#N/A</v>
          </cell>
          <cell r="F125" t="e">
            <v>#N/A</v>
          </cell>
        </row>
        <row r="126">
          <cell r="A126">
            <v>257</v>
          </cell>
          <cell r="B126" t="str">
            <v>Suministro e Instalacion de lavamanos de colgar en porcelana sanitariacolor blanco de 165 x 475 x375 mm Ref AQUAPRO de corona o equivalente con complemento cromado ref TRAM P LAV  convencional de decorceramica o equivalente</v>
          </cell>
          <cell r="C126" t="str">
            <v>und</v>
          </cell>
          <cell r="D126">
            <v>0</v>
          </cell>
          <cell r="E126" t="e">
            <v>#N/A</v>
          </cell>
          <cell r="F126" t="e">
            <v>#N/A</v>
          </cell>
        </row>
        <row r="127">
          <cell r="A127">
            <v>247</v>
          </cell>
          <cell r="B127" t="str">
            <v>Suministro e Instalacion de griferia para lavamanos tipo push cuello de ganso cierre automatico acabado metalico cromado Ref 4-AA-00444506 de accesorios y acabados o equivalente</v>
          </cell>
          <cell r="C127" t="str">
            <v>und</v>
          </cell>
          <cell r="D127">
            <v>0</v>
          </cell>
          <cell r="E127" t="e">
            <v>#N/A</v>
          </cell>
          <cell r="F127" t="e">
            <v>#N/A</v>
          </cell>
        </row>
        <row r="128">
          <cell r="A128">
            <v>260</v>
          </cell>
          <cell r="B128" t="str">
            <v>Suministro e Instalacion de orinal antibacterial color blanco con griferia valvula push cuerpo expuesto Ref 061331001 de corona o equivalente</v>
          </cell>
          <cell r="C128" t="str">
            <v>und</v>
          </cell>
          <cell r="D128">
            <v>0</v>
          </cell>
          <cell r="E128" t="e">
            <v>#N/A</v>
          </cell>
          <cell r="F128" t="e">
            <v>#N/A</v>
          </cell>
        </row>
        <row r="129">
          <cell r="A129">
            <v>248</v>
          </cell>
          <cell r="B129" t="str">
            <v>Suministro e Instalacion de dispensador de jabon vertical de pared en acero inxidable capacidad de 500 ml  17cm x 9cmx10,7xm ref 214986 de socoda o equivalente</v>
          </cell>
          <cell r="C129" t="str">
            <v>und</v>
          </cell>
          <cell r="D129">
            <v>0</v>
          </cell>
          <cell r="E129" t="e">
            <v>#N/A</v>
          </cell>
          <cell r="F129" t="e">
            <v>#N/A</v>
          </cell>
        </row>
        <row r="130">
          <cell r="A130">
            <v>249</v>
          </cell>
          <cell r="B130" t="str">
            <v>Suministro e Instalacion de secador de manos automatico de acero inoxidable de acabado satinado 225 x 265 x 174 mm ref POTENZa corona o equivalente</v>
          </cell>
          <cell r="C130" t="str">
            <v>und</v>
          </cell>
          <cell r="D130">
            <v>0</v>
          </cell>
          <cell r="E130" t="e">
            <v>#N/A</v>
          </cell>
          <cell r="F130" t="e">
            <v>#N/A</v>
          </cell>
        </row>
        <row r="131">
          <cell r="A131">
            <v>250</v>
          </cell>
          <cell r="B131" t="str">
            <v>Suministro e Instalacion de dispensador de rollo de papel higienico en acero inoxidable con chapa de seguridad para rollo estandar socoda o equivalente</v>
          </cell>
          <cell r="C131" t="str">
            <v>und</v>
          </cell>
          <cell r="D131">
            <v>0</v>
          </cell>
          <cell r="E131" t="e">
            <v>#N/A</v>
          </cell>
          <cell r="F131" t="e">
            <v>#N/A</v>
          </cell>
        </row>
        <row r="132">
          <cell r="A132">
            <v>251</v>
          </cell>
          <cell r="B132" t="str">
            <v>Suministro e Instalacion de caneca de cuerpo cilindrico en acero inoxidable y acabado satinado con base antideslizante ref 8-AA-940 de accesorios y acabados o equivalente</v>
          </cell>
          <cell r="C132" t="str">
            <v>und</v>
          </cell>
          <cell r="D132">
            <v>0</v>
          </cell>
          <cell r="E132" t="e">
            <v>#N/A</v>
          </cell>
          <cell r="F132" t="e">
            <v>#N/A</v>
          </cell>
        </row>
        <row r="133">
          <cell r="A133">
            <v>252</v>
          </cell>
          <cell r="B133" t="str">
            <v>Suministro e Instalacion de gancho perchero de sujecion a perd en acero inoxidable 8-AA-210S  de accesorios y acabados o equivalente</v>
          </cell>
          <cell r="C133" t="str">
            <v>und</v>
          </cell>
          <cell r="D133">
            <v>0</v>
          </cell>
          <cell r="E133" t="e">
            <v>#N/A</v>
          </cell>
          <cell r="F133" t="e">
            <v>#N/A</v>
          </cell>
        </row>
        <row r="134">
          <cell r="A134">
            <v>253</v>
          </cell>
          <cell r="B134" t="str">
            <v>Suministro e Instalacion de rejilla de piso para sifon cuadrada en acero inoxidable 304 anti cucarachas 3¨x3¨x2¨</v>
          </cell>
          <cell r="C134" t="str">
            <v>und</v>
          </cell>
          <cell r="D134">
            <v>0</v>
          </cell>
          <cell r="E134" t="e">
            <v>#N/A</v>
          </cell>
          <cell r="F134" t="e">
            <v>#N/A</v>
          </cell>
        </row>
        <row r="135">
          <cell r="A135">
            <v>254</v>
          </cell>
          <cell r="B135" t="str">
            <v>Suministro e Instalacion de espejo flotado de 7 mm de espesor de 1,52 m x 2,27 m con inclinacion de 10º  según detalle, incluye estructura en tubo cuadrado y fijacion a pared.</v>
          </cell>
          <cell r="C135" t="str">
            <v>und</v>
          </cell>
          <cell r="D135">
            <v>0</v>
          </cell>
          <cell r="E135" t="e">
            <v>#N/A</v>
          </cell>
          <cell r="F135" t="e">
            <v>#N/A</v>
          </cell>
        </row>
        <row r="136">
          <cell r="A136">
            <v>259</v>
          </cell>
          <cell r="B136" t="str">
            <v>Suministro e Instalacion de espejo flotado de 7 mm de espesor   según detalle, incluye estructura en tubo cuadrado y fijacion a pared.</v>
          </cell>
          <cell r="C136" t="str">
            <v>m2</v>
          </cell>
          <cell r="D136">
            <v>0</v>
          </cell>
          <cell r="E136" t="e">
            <v>#N/A</v>
          </cell>
          <cell r="F136" t="e">
            <v>#N/A</v>
          </cell>
        </row>
        <row r="137">
          <cell r="A137">
            <v>255</v>
          </cell>
          <cell r="B137" t="str">
            <v>Suministro e Instalacion de barra de acero inoxidable abatible en forma de U socoda o equivalente</v>
          </cell>
          <cell r="C137" t="str">
            <v>und</v>
          </cell>
          <cell r="D137">
            <v>0</v>
          </cell>
          <cell r="E137" t="e">
            <v>#N/A</v>
          </cell>
          <cell r="F137" t="e">
            <v>#N/A</v>
          </cell>
        </row>
        <row r="138">
          <cell r="A138">
            <v>258</v>
          </cell>
          <cell r="B138" t="str">
            <v>Suministro e Instalacion de recipiente para residuos en acero inoxidable de 12 lt anclado a pared  de 40x31x13 cm ref 70663001 de corona o equivalente</v>
          </cell>
          <cell r="C138" t="str">
            <v>und</v>
          </cell>
          <cell r="D138">
            <v>0</v>
          </cell>
          <cell r="E138" t="e">
            <v>#N/A</v>
          </cell>
          <cell r="F138" t="e">
            <v>#N/A</v>
          </cell>
        </row>
        <row r="139">
          <cell r="A139">
            <v>261</v>
          </cell>
          <cell r="B139" t="str">
            <v>Suministro e Instalacion de poceta en concreto a la vista con interior en granito pulido de 0,41x0,88x0,44 m</v>
          </cell>
          <cell r="C139" t="str">
            <v>und</v>
          </cell>
          <cell r="D139">
            <v>0</v>
          </cell>
          <cell r="E139" t="e">
            <v>#N/A</v>
          </cell>
          <cell r="F139" t="e">
            <v>#N/A</v>
          </cell>
        </row>
        <row r="140">
          <cell r="A140">
            <v>262</v>
          </cell>
          <cell r="B140" t="str">
            <v>Suministro e Instalacion de llave poceta de aseo en cromo ref 977900001 de corona o equivalente</v>
          </cell>
          <cell r="C140" t="str">
            <v>und</v>
          </cell>
          <cell r="D140">
            <v>0</v>
          </cell>
          <cell r="E140" t="e">
            <v>#N/A</v>
          </cell>
          <cell r="F140" t="e">
            <v>#N/A</v>
          </cell>
        </row>
        <row r="141">
          <cell r="A141">
            <v>263</v>
          </cell>
          <cell r="B141" t="str">
            <v>Suministro e Instalacion de organizador de pared para colgar escobas y traperos Ref 1992 industrial Taylor o equivalente</v>
          </cell>
          <cell r="C141" t="str">
            <v>und</v>
          </cell>
          <cell r="D141">
            <v>0</v>
          </cell>
          <cell r="E141" t="e">
            <v>#N/A</v>
          </cell>
          <cell r="F141" t="e">
            <v>#N/A</v>
          </cell>
        </row>
        <row r="142">
          <cell r="A142">
            <v>264</v>
          </cell>
          <cell r="B142" t="str">
            <v>Suministro e Instalacion de regadera sencilla color cromo Ref FENIX de corona o equivalente</v>
          </cell>
          <cell r="C142" t="str">
            <v>und</v>
          </cell>
          <cell r="D142">
            <v>0</v>
          </cell>
          <cell r="E142" t="e">
            <v>#N/A</v>
          </cell>
          <cell r="F142" t="e">
            <v>#N/A</v>
          </cell>
        </row>
        <row r="143">
          <cell r="A143">
            <v>265</v>
          </cell>
          <cell r="B143" t="str">
            <v>Suministro e Instalacion de monocontrol color cromo para ducha Ref FENIX de corono o equivalente</v>
          </cell>
          <cell r="C143" t="str">
            <v>und</v>
          </cell>
          <cell r="D143">
            <v>0</v>
          </cell>
          <cell r="E143" t="e">
            <v>#N/A</v>
          </cell>
          <cell r="F143" t="e">
            <v>#N/A</v>
          </cell>
        </row>
        <row r="144">
          <cell r="A144">
            <v>266</v>
          </cell>
          <cell r="B144" t="str">
            <v>Suministro e Instalacion de division de ducha en vidrio templado de 8 mm según detalles de borde pulido brillante, incluye bisagras, elementos de fijacion, boton haladera</v>
          </cell>
          <cell r="C144" t="str">
            <v>m2</v>
          </cell>
          <cell r="D144">
            <v>0</v>
          </cell>
          <cell r="E144" t="e">
            <v>#N/A</v>
          </cell>
          <cell r="F144" t="e">
            <v>#N/A</v>
          </cell>
        </row>
        <row r="145">
          <cell r="A145">
            <v>267</v>
          </cell>
          <cell r="B145" t="str">
            <v>Suministro e Instalacion de rejilla metalica en acero para desague de ducha según detalle</v>
          </cell>
          <cell r="C145" t="str">
            <v>ml</v>
          </cell>
          <cell r="D145">
            <v>0</v>
          </cell>
          <cell r="E145" t="e">
            <v>#N/A</v>
          </cell>
          <cell r="F145" t="e">
            <v>#N/A</v>
          </cell>
        </row>
        <row r="146">
          <cell r="A146">
            <v>268</v>
          </cell>
          <cell r="B146" t="str">
            <v>Suministro e Instalacion de banca en madera teca con estructura en tuberia cuadrada en acero inoxidable de 0,47 x1,2x0,46 m ref barcelona de arquimuebles o similar</v>
          </cell>
          <cell r="C146" t="str">
            <v>und</v>
          </cell>
          <cell r="D146">
            <v>0</v>
          </cell>
          <cell r="E146" t="e">
            <v>#N/A</v>
          </cell>
          <cell r="F146" t="e">
            <v>#N/A</v>
          </cell>
        </row>
        <row r="147">
          <cell r="A147">
            <v>269</v>
          </cell>
          <cell r="B147" t="str">
            <v xml:space="preserve">Suministro e Instalacion de Lokler metalico de cuatro compartimentos de 40 cm de alto cada uno en lamina cold rolled calibre 22 con terminado en pintura en polvo aplicación electroestatica  color gris de 1,3x0,72x 0,30 m </v>
          </cell>
          <cell r="C147" t="str">
            <v>und</v>
          </cell>
          <cell r="D147">
            <v>0</v>
          </cell>
          <cell r="E147" t="e">
            <v>#N/A</v>
          </cell>
          <cell r="F147" t="e">
            <v>#N/A</v>
          </cell>
        </row>
        <row r="148">
          <cell r="A148" t="str">
            <v>CAPITULO X - REDES SANITARIAS Y DE AGUA POTABLE</v>
          </cell>
          <cell r="B148">
            <v>0</v>
          </cell>
          <cell r="C148">
            <v>0</v>
          </cell>
          <cell r="D148">
            <v>0</v>
          </cell>
          <cell r="E148">
            <v>0</v>
          </cell>
          <cell r="F148">
            <v>0</v>
          </cell>
        </row>
        <row r="149">
          <cell r="A149">
            <v>272</v>
          </cell>
          <cell r="B149" t="str">
            <v>Suministro e Instalacion de red de tuberia PVC presion  1/2" (incluye accesorios)</v>
          </cell>
          <cell r="C149" t="str">
            <v>ml</v>
          </cell>
          <cell r="D149">
            <v>0</v>
          </cell>
          <cell r="E149" t="e">
            <v>#N/A</v>
          </cell>
          <cell r="F149" t="e">
            <v>#N/A</v>
          </cell>
        </row>
        <row r="150">
          <cell r="A150">
            <v>270</v>
          </cell>
          <cell r="B150" t="str">
            <v>Suministro e Instalacion de red de tuberia PVC presion  1" (incluye accesorios)</v>
          </cell>
          <cell r="C150" t="str">
            <v>ml</v>
          </cell>
          <cell r="D150">
            <v>0</v>
          </cell>
          <cell r="E150" t="e">
            <v>#N/A</v>
          </cell>
          <cell r="F150" t="e">
            <v>#N/A</v>
          </cell>
        </row>
        <row r="151">
          <cell r="A151">
            <v>271</v>
          </cell>
          <cell r="B151" t="str">
            <v>Suministro e Instalacion de red de tuberia PVC presion  2" (incluye accesorios)</v>
          </cell>
          <cell r="C151" t="str">
            <v>ml</v>
          </cell>
          <cell r="D151">
            <v>0</v>
          </cell>
          <cell r="E151" t="e">
            <v>#N/A</v>
          </cell>
          <cell r="F151" t="e">
            <v>#N/A</v>
          </cell>
        </row>
        <row r="152">
          <cell r="A152">
            <v>273</v>
          </cell>
          <cell r="B152" t="str">
            <v>Suministro e Instalacion de red de tuberia CPVC presion  1/2" (incluye accesorios)</v>
          </cell>
          <cell r="C152" t="str">
            <v>ml</v>
          </cell>
          <cell r="D152">
            <v>0</v>
          </cell>
          <cell r="E152" t="e">
            <v>#N/A</v>
          </cell>
          <cell r="F152" t="e">
            <v>#N/A</v>
          </cell>
        </row>
        <row r="153">
          <cell r="A153">
            <v>274</v>
          </cell>
          <cell r="B153" t="str">
            <v>Suministro e Instalacion de red de tuberia CPVC presion  3/4" (incluye accesorios)</v>
          </cell>
          <cell r="C153" t="str">
            <v>ml</v>
          </cell>
          <cell r="D153">
            <v>0</v>
          </cell>
          <cell r="E153" t="e">
            <v>#N/A</v>
          </cell>
          <cell r="F153" t="e">
            <v>#N/A</v>
          </cell>
        </row>
        <row r="154">
          <cell r="A154">
            <v>275</v>
          </cell>
          <cell r="B154" t="str">
            <v>Suministro e Instalacion de red de tuberia CPVC presion  1" (incluye accesorios)</v>
          </cell>
          <cell r="C154" t="str">
            <v>ml</v>
          </cell>
          <cell r="D154">
            <v>0</v>
          </cell>
          <cell r="E154" t="e">
            <v>#N/A</v>
          </cell>
          <cell r="F154" t="e">
            <v>#N/A</v>
          </cell>
        </row>
        <row r="155">
          <cell r="A155">
            <v>276</v>
          </cell>
          <cell r="B155" t="str">
            <v>Suministro e Instalacion de red de tuberia CPVC presion  1-1/4" (incluye accesorios)</v>
          </cell>
          <cell r="C155" t="str">
            <v>ml</v>
          </cell>
          <cell r="D155">
            <v>0</v>
          </cell>
          <cell r="E155" t="e">
            <v>#N/A</v>
          </cell>
          <cell r="F155" t="e">
            <v>#N/A</v>
          </cell>
        </row>
        <row r="156">
          <cell r="A156">
            <v>277</v>
          </cell>
          <cell r="B156" t="str">
            <v>Suministro e instalacion de punto hidraulico de pvc presion de 1/2" (incluye hasta 2 mt de tuberia)</v>
          </cell>
          <cell r="C156" t="str">
            <v>und</v>
          </cell>
          <cell r="D156">
            <v>0</v>
          </cell>
          <cell r="E156" t="e">
            <v>#N/A</v>
          </cell>
          <cell r="F156" t="e">
            <v>#N/A</v>
          </cell>
        </row>
        <row r="157">
          <cell r="A157">
            <v>278</v>
          </cell>
          <cell r="B157" t="str">
            <v>Suministro e instalacion de punto hidraulico de cpvc presion de 1/2" (incluye hasta 2 mt de tuberia)</v>
          </cell>
          <cell r="C157" t="str">
            <v>und</v>
          </cell>
          <cell r="D157">
            <v>0</v>
          </cell>
          <cell r="E157" t="e">
            <v>#N/A</v>
          </cell>
          <cell r="F157" t="e">
            <v>#N/A</v>
          </cell>
        </row>
        <row r="158">
          <cell r="A158">
            <v>279</v>
          </cell>
          <cell r="B158" t="str">
            <v>Suministro e Instalacion de llave de paso red white de 1/2" o similar</v>
          </cell>
          <cell r="C158" t="str">
            <v>und</v>
          </cell>
          <cell r="D158">
            <v>0</v>
          </cell>
          <cell r="E158" t="e">
            <v>#N/A</v>
          </cell>
          <cell r="F158" t="e">
            <v>#N/A</v>
          </cell>
        </row>
        <row r="159">
          <cell r="A159">
            <v>280</v>
          </cell>
          <cell r="B159" t="str">
            <v>Suministro e Instalacion de llave de paso 2"</v>
          </cell>
          <cell r="C159" t="str">
            <v>und</v>
          </cell>
          <cell r="D159">
            <v>0</v>
          </cell>
          <cell r="E159" t="e">
            <v>#N/A</v>
          </cell>
          <cell r="F159" t="e">
            <v>#N/A</v>
          </cell>
        </row>
        <row r="160">
          <cell r="A160">
            <v>281</v>
          </cell>
          <cell r="B160" t="str">
            <v>Suministro e Instalacion de valvula de retencion de 2"</v>
          </cell>
          <cell r="C160" t="str">
            <v>und</v>
          </cell>
          <cell r="D160">
            <v>0</v>
          </cell>
          <cell r="E160" t="e">
            <v>#N/A</v>
          </cell>
          <cell r="F160" t="e">
            <v>#N/A</v>
          </cell>
        </row>
        <row r="161">
          <cell r="A161">
            <v>282</v>
          </cell>
          <cell r="B161" t="str">
            <v>Suministro e Instalacion de macromedidor de 2"</v>
          </cell>
          <cell r="C161" t="str">
            <v>und</v>
          </cell>
          <cell r="D161">
            <v>0</v>
          </cell>
          <cell r="E161" t="e">
            <v>#N/A</v>
          </cell>
          <cell r="F161" t="e">
            <v>#N/A</v>
          </cell>
        </row>
        <row r="162">
          <cell r="A162">
            <v>283</v>
          </cell>
          <cell r="B162" t="str">
            <v>Suministro e Instalacion de calentador xxxxxxxxxxxxxxxxxxxxx</v>
          </cell>
          <cell r="C162" t="str">
            <v>und</v>
          </cell>
          <cell r="D162">
            <v>0</v>
          </cell>
          <cell r="E162" t="e">
            <v>#N/A</v>
          </cell>
          <cell r="F162" t="e">
            <v>#N/A</v>
          </cell>
        </row>
        <row r="163">
          <cell r="A163">
            <v>284</v>
          </cell>
          <cell r="B163" t="str">
            <v>Suministro e Instalacion de motobomba de presion constante XXXXXXXXXXXXXXXXXXXXX</v>
          </cell>
          <cell r="C163" t="str">
            <v>und</v>
          </cell>
          <cell r="D163">
            <v>0</v>
          </cell>
          <cell r="E163" t="e">
            <v>#N/A</v>
          </cell>
          <cell r="F163" t="e">
            <v>#N/A</v>
          </cell>
        </row>
        <row r="164">
          <cell r="A164">
            <v>285</v>
          </cell>
          <cell r="B164" t="str">
            <v>Suministro e Instalacion de red de tuberia PVC sanitaria 2" (incluye accesorios)</v>
          </cell>
          <cell r="C164" t="str">
            <v>ml</v>
          </cell>
          <cell r="D164">
            <v>0</v>
          </cell>
          <cell r="E164" t="e">
            <v>#N/A</v>
          </cell>
          <cell r="F164" t="e">
            <v>#N/A</v>
          </cell>
        </row>
        <row r="165">
          <cell r="A165">
            <v>286</v>
          </cell>
          <cell r="B165" t="str">
            <v>Suministro e Instalacion de red de tuberia PVC sanitaria 4" (incluye accesorios)</v>
          </cell>
          <cell r="C165" t="str">
            <v>ml</v>
          </cell>
          <cell r="D165">
            <v>0</v>
          </cell>
          <cell r="E165" t="e">
            <v>#N/A</v>
          </cell>
          <cell r="F165" t="e">
            <v>#N/A</v>
          </cell>
        </row>
        <row r="166">
          <cell r="A166">
            <v>287</v>
          </cell>
          <cell r="B166" t="str">
            <v>Suministro e Instalacion punto sanitario 2" (incluye accesorios y hasta 3 mt de tuberia)</v>
          </cell>
          <cell r="C166" t="str">
            <v>und</v>
          </cell>
          <cell r="D166">
            <v>0</v>
          </cell>
          <cell r="E166" t="e">
            <v>#N/A</v>
          </cell>
          <cell r="F166" t="e">
            <v>#N/A</v>
          </cell>
        </row>
        <row r="167">
          <cell r="A167">
            <v>288</v>
          </cell>
          <cell r="B167" t="str">
            <v>Suministro e Instalacion punto sanitario 4" (incluye accesorios y hasta 3 mt de tuberia)</v>
          </cell>
          <cell r="C167" t="str">
            <v>und</v>
          </cell>
          <cell r="D167">
            <v>0</v>
          </cell>
          <cell r="E167" t="e">
            <v>#N/A</v>
          </cell>
          <cell r="F167" t="e">
            <v>#N/A</v>
          </cell>
        </row>
        <row r="168">
          <cell r="A168">
            <v>292</v>
          </cell>
          <cell r="B168" t="str">
            <v>Suministro e instalacion de tuberia PVC de 160 mm (6¨) corrugada para alcantarillado</v>
          </cell>
          <cell r="C168" t="str">
            <v>ml</v>
          </cell>
          <cell r="D168">
            <v>0</v>
          </cell>
          <cell r="E168">
            <v>50416</v>
          </cell>
          <cell r="F168">
            <v>0</v>
          </cell>
        </row>
        <row r="169">
          <cell r="A169">
            <v>289</v>
          </cell>
          <cell r="B169" t="str">
            <v>Suministro e Instalacion de red de tuberia PVC ALL 3" (incluye accesorios)</v>
          </cell>
          <cell r="C169" t="str">
            <v>ml</v>
          </cell>
          <cell r="D169">
            <v>0</v>
          </cell>
          <cell r="E169" t="e">
            <v>#N/A</v>
          </cell>
          <cell r="F169" t="e">
            <v>#N/A</v>
          </cell>
        </row>
        <row r="170">
          <cell r="A170">
            <v>290</v>
          </cell>
          <cell r="B170" t="str">
            <v>Suministro e Instalacion de red de tuberia PVC ALL 4" (incluye accesorios)</v>
          </cell>
          <cell r="C170" t="str">
            <v>ml</v>
          </cell>
          <cell r="D170">
            <v>0</v>
          </cell>
          <cell r="E170" t="e">
            <v>#N/A</v>
          </cell>
          <cell r="F170" t="e">
            <v>#N/A</v>
          </cell>
        </row>
        <row r="171">
          <cell r="A171">
            <v>291</v>
          </cell>
          <cell r="B171" t="str">
            <v>Suministro e Instalacion punto ALL 3" (incluye accesorios rejilla granada y hasta 3 mt de tuberia)</v>
          </cell>
          <cell r="C171" t="str">
            <v>und</v>
          </cell>
          <cell r="D171">
            <v>0</v>
          </cell>
          <cell r="E171" t="e">
            <v>#N/A</v>
          </cell>
          <cell r="F171" t="e">
            <v>#N/A</v>
          </cell>
        </row>
        <row r="172">
          <cell r="A172">
            <v>103</v>
          </cell>
          <cell r="B172" t="str">
            <v>Construccion de Cámara de Inspección/Caída D=1.20 m. Concreto 3000 PSI</v>
          </cell>
          <cell r="C172" t="str">
            <v>ml</v>
          </cell>
          <cell r="D172">
            <v>0</v>
          </cell>
          <cell r="E172">
            <v>456782</v>
          </cell>
          <cell r="F172">
            <v>0</v>
          </cell>
        </row>
        <row r="173">
          <cell r="A173">
            <v>104</v>
          </cell>
          <cell r="B173" t="str">
            <v>Base y Cañuela Cámara de Inspección/Caída D=1.20 m.Concreto Simple Clase II</v>
          </cell>
          <cell r="C173" t="str">
            <v>und</v>
          </cell>
          <cell r="D173">
            <v>0</v>
          </cell>
          <cell r="E173">
            <v>315640</v>
          </cell>
          <cell r="F173">
            <v>0</v>
          </cell>
        </row>
        <row r="174">
          <cell r="A174">
            <v>105</v>
          </cell>
          <cell r="B174" t="str">
            <v>Suministro, transporte e instalación aro/ tapa en polipropileno d= 0,70 m para cámara de inspección (cuello 13 cm)</v>
          </cell>
          <cell r="C174" t="str">
            <v>und</v>
          </cell>
          <cell r="D174">
            <v>0</v>
          </cell>
          <cell r="E174">
            <v>424929</v>
          </cell>
          <cell r="F174">
            <v>0</v>
          </cell>
        </row>
        <row r="175">
          <cell r="A175" t="str">
            <v>CAPITULO XI - INSTALACIONES Y REDES ELECTRICAS INTERNAS</v>
          </cell>
          <cell r="B175">
            <v>0</v>
          </cell>
          <cell r="C175">
            <v>0</v>
          </cell>
          <cell r="D175">
            <v>0</v>
          </cell>
          <cell r="E175">
            <v>0</v>
          </cell>
          <cell r="F175">
            <v>0</v>
          </cell>
        </row>
        <row r="176">
          <cell r="A176">
            <v>0</v>
          </cell>
          <cell r="B176">
            <v>0</v>
          </cell>
          <cell r="C176">
            <v>0</v>
          </cell>
          <cell r="D176">
            <v>0</v>
          </cell>
          <cell r="E176">
            <v>0</v>
          </cell>
          <cell r="F176">
            <v>0</v>
          </cell>
        </row>
        <row r="177">
          <cell r="A177">
            <v>0</v>
          </cell>
          <cell r="B177">
            <v>0</v>
          </cell>
          <cell r="C177">
            <v>0</v>
          </cell>
          <cell r="D177">
            <v>0</v>
          </cell>
          <cell r="E177">
            <v>0</v>
          </cell>
          <cell r="F177">
            <v>0</v>
          </cell>
        </row>
        <row r="178">
          <cell r="A178">
            <v>0</v>
          </cell>
          <cell r="B178">
            <v>0</v>
          </cell>
          <cell r="C178">
            <v>0</v>
          </cell>
          <cell r="D178">
            <v>0</v>
          </cell>
          <cell r="E178">
            <v>0</v>
          </cell>
          <cell r="F178">
            <v>0</v>
          </cell>
        </row>
        <row r="179">
          <cell r="A179">
            <v>0</v>
          </cell>
          <cell r="B179">
            <v>0</v>
          </cell>
          <cell r="C179">
            <v>0</v>
          </cell>
          <cell r="D179">
            <v>0</v>
          </cell>
          <cell r="E179">
            <v>0</v>
          </cell>
          <cell r="F179">
            <v>0</v>
          </cell>
        </row>
        <row r="180">
          <cell r="A180">
            <v>0</v>
          </cell>
          <cell r="B180">
            <v>0</v>
          </cell>
          <cell r="C180">
            <v>0</v>
          </cell>
          <cell r="D180">
            <v>0</v>
          </cell>
          <cell r="E180">
            <v>0</v>
          </cell>
          <cell r="F180">
            <v>0</v>
          </cell>
        </row>
        <row r="181">
          <cell r="A181">
            <v>0</v>
          </cell>
          <cell r="B181">
            <v>0</v>
          </cell>
          <cell r="C181">
            <v>0</v>
          </cell>
          <cell r="D181">
            <v>0</v>
          </cell>
          <cell r="E181">
            <v>0</v>
          </cell>
          <cell r="F181">
            <v>0</v>
          </cell>
        </row>
        <row r="182">
          <cell r="A182" t="str">
            <v>CAPITULO XI -ASCENSOR Y MALACATE</v>
          </cell>
          <cell r="B182">
            <v>0</v>
          </cell>
          <cell r="C182">
            <v>0</v>
          </cell>
          <cell r="D182">
            <v>0</v>
          </cell>
          <cell r="E182">
            <v>0</v>
          </cell>
          <cell r="F182">
            <v>0</v>
          </cell>
        </row>
        <row r="183">
          <cell r="A183">
            <v>169</v>
          </cell>
          <cell r="B183" t="str">
            <v>Suministro e Instalacion de ascensor de pasajeros Schindler 3300 NEW EDITION acero inoxidable o similar con capacidad de 1000 Kg, 13 personas de velocidad 1 m/seg, 4 paradas y entradas  y recorrido 10,5 m</v>
          </cell>
          <cell r="C183" t="str">
            <v>und</v>
          </cell>
          <cell r="D183">
            <v>0</v>
          </cell>
          <cell r="E183">
            <v>90285347</v>
          </cell>
          <cell r="F183">
            <v>0</v>
          </cell>
        </row>
        <row r="184">
          <cell r="A184">
            <v>293</v>
          </cell>
          <cell r="B184" t="str">
            <v xml:space="preserve">Suministro e instalacion de malacate para carga  con capacidad de carga 500 Kg altura de elevacion 3,5 m de dos paradas cabina de 1,5x1,5x2 m de accionamiento electro hidráulico, Puertas en cabina, de alas abatibles 
</v>
          </cell>
          <cell r="C184" t="str">
            <v>und</v>
          </cell>
          <cell r="D184">
            <v>0</v>
          </cell>
          <cell r="E184" t="e">
            <v>#N/A</v>
          </cell>
          <cell r="F184" t="e">
            <v>#N/A</v>
          </cell>
        </row>
        <row r="185">
          <cell r="A185">
            <v>0</v>
          </cell>
          <cell r="B185">
            <v>0</v>
          </cell>
          <cell r="C185">
            <v>0</v>
          </cell>
          <cell r="D185">
            <v>0</v>
          </cell>
          <cell r="E185">
            <v>0</v>
          </cell>
          <cell r="F185">
            <v>0</v>
          </cell>
        </row>
        <row r="186">
          <cell r="A186">
            <v>0</v>
          </cell>
          <cell r="B186">
            <v>0</v>
          </cell>
          <cell r="C186">
            <v>0</v>
          </cell>
          <cell r="D186">
            <v>0</v>
          </cell>
          <cell r="E186">
            <v>0</v>
          </cell>
          <cell r="F186">
            <v>0</v>
          </cell>
        </row>
        <row r="187">
          <cell r="A187" t="str">
            <v>CAPITULO XII -LLENOS, MUROS Y ESTABILIZACIONES</v>
          </cell>
          <cell r="B187">
            <v>0</v>
          </cell>
          <cell r="C187">
            <v>0</v>
          </cell>
          <cell r="D187">
            <v>0</v>
          </cell>
          <cell r="E187">
            <v>0</v>
          </cell>
          <cell r="F187">
            <v>0</v>
          </cell>
        </row>
        <row r="188">
          <cell r="A188">
            <v>20</v>
          </cell>
          <cell r="B188" t="str">
            <v>Concreto clase F (14,5 Mpa) Para solado de limpieza</v>
          </cell>
          <cell r="C188" t="str">
            <v>m3</v>
          </cell>
          <cell r="D188">
            <v>0</v>
          </cell>
          <cell r="E188">
            <v>412240</v>
          </cell>
          <cell r="F188">
            <v>0</v>
          </cell>
        </row>
        <row r="189">
          <cell r="A189">
            <v>32</v>
          </cell>
          <cell r="B189" t="str">
            <v>Concreto Clase C (28 Mpa) para zapatas de muro</v>
          </cell>
          <cell r="C189" t="str">
            <v>m3</v>
          </cell>
          <cell r="D189">
            <v>0</v>
          </cell>
          <cell r="E189">
            <v>522739</v>
          </cell>
          <cell r="F189">
            <v>0</v>
          </cell>
        </row>
        <row r="190">
          <cell r="A190">
            <v>88</v>
          </cell>
          <cell r="B190" t="str">
            <v>Concreto clase C (28 Mpa) para vigas de cimentacion de muros</v>
          </cell>
          <cell r="C190" t="str">
            <v>m3</v>
          </cell>
          <cell r="D190">
            <v>0</v>
          </cell>
          <cell r="E190">
            <v>510059</v>
          </cell>
          <cell r="F190">
            <v>0</v>
          </cell>
        </row>
        <row r="191">
          <cell r="A191">
            <v>33</v>
          </cell>
          <cell r="B191" t="str">
            <v>Concreto Clase C (28 Mpa) para muro a la vista una cara (incluye columnas internas del muro)</v>
          </cell>
          <cell r="C191" t="str">
            <v>m3</v>
          </cell>
          <cell r="D191">
            <v>0</v>
          </cell>
          <cell r="E191">
            <v>634607</v>
          </cell>
          <cell r="F191">
            <v>0</v>
          </cell>
        </row>
        <row r="192">
          <cell r="A192">
            <v>89</v>
          </cell>
          <cell r="B192" t="str">
            <v>Concreto clase C (28 Mpa) para vigas intermedias de muros</v>
          </cell>
          <cell r="C192" t="str">
            <v>m3</v>
          </cell>
          <cell r="D192">
            <v>0</v>
          </cell>
          <cell r="E192">
            <v>542143</v>
          </cell>
          <cell r="F192">
            <v>0</v>
          </cell>
        </row>
        <row r="193">
          <cell r="A193">
            <v>90</v>
          </cell>
          <cell r="B193" t="str">
            <v>Concreto clase C (28 Mpa) para vigas de remate de muros</v>
          </cell>
          <cell r="C193" t="str">
            <v>m3</v>
          </cell>
          <cell r="D193">
            <v>0</v>
          </cell>
          <cell r="E193">
            <v>552858</v>
          </cell>
          <cell r="F193">
            <v>0</v>
          </cell>
        </row>
        <row r="194">
          <cell r="A194">
            <v>91</v>
          </cell>
          <cell r="B194" t="str">
            <v>Concreto clase C (28 Mpa) para anden en voladizo sobre muro</v>
          </cell>
          <cell r="C194" t="str">
            <v>M3</v>
          </cell>
          <cell r="D194">
            <v>0</v>
          </cell>
          <cell r="E194">
            <v>584019</v>
          </cell>
          <cell r="F194">
            <v>0</v>
          </cell>
        </row>
        <row r="195">
          <cell r="A195">
            <v>63</v>
          </cell>
          <cell r="B195" t="str">
            <v xml:space="preserve">Suministro en instalacion de junta PVC 15 cm </v>
          </cell>
          <cell r="C195" t="str">
            <v>ml</v>
          </cell>
          <cell r="D195">
            <v>0</v>
          </cell>
          <cell r="E195">
            <v>19913</v>
          </cell>
          <cell r="F195">
            <v>0</v>
          </cell>
        </row>
        <row r="196">
          <cell r="A196">
            <v>14</v>
          </cell>
          <cell r="B196" t="str">
            <v>Llenos compactados con material seleccionado de sitio</v>
          </cell>
          <cell r="C196" t="str">
            <v>m3</v>
          </cell>
          <cell r="D196">
            <v>0</v>
          </cell>
          <cell r="E196">
            <v>13375</v>
          </cell>
          <cell r="F196">
            <v>0</v>
          </cell>
        </row>
        <row r="197">
          <cell r="A197">
            <v>15</v>
          </cell>
          <cell r="B197" t="str">
            <v>Llenos compactados con material comun de prestamo</v>
          </cell>
          <cell r="C197" t="str">
            <v>m3</v>
          </cell>
          <cell r="D197">
            <v>0</v>
          </cell>
          <cell r="E197">
            <v>42073</v>
          </cell>
          <cell r="F197">
            <v>0</v>
          </cell>
        </row>
        <row r="198">
          <cell r="A198">
            <v>73</v>
          </cell>
          <cell r="B198" t="str">
            <v>Llenos compactados con tierra negra para conformar zonas verdes</v>
          </cell>
          <cell r="C198" t="str">
            <v>m3</v>
          </cell>
          <cell r="D198">
            <v>0</v>
          </cell>
          <cell r="E198">
            <v>45733</v>
          </cell>
          <cell r="F198">
            <v>0</v>
          </cell>
        </row>
        <row r="199">
          <cell r="A199">
            <v>21</v>
          </cell>
          <cell r="B199" t="str">
            <v>Lleno en afirmado compactado 95% proctor</v>
          </cell>
          <cell r="C199" t="str">
            <v>m3</v>
          </cell>
          <cell r="D199">
            <v>0</v>
          </cell>
          <cell r="E199">
            <v>68039</v>
          </cell>
          <cell r="F199">
            <v>0</v>
          </cell>
        </row>
        <row r="200">
          <cell r="A200">
            <v>92</v>
          </cell>
          <cell r="B200" t="str">
            <v>Suministro e instalacion de material granular para filtro</v>
          </cell>
          <cell r="C200" t="str">
            <v>m3</v>
          </cell>
          <cell r="D200">
            <v>0</v>
          </cell>
          <cell r="E200">
            <v>81293</v>
          </cell>
          <cell r="F200">
            <v>0</v>
          </cell>
        </row>
        <row r="201">
          <cell r="A201">
            <v>64</v>
          </cell>
          <cell r="B201" t="str">
            <v>Suministro e instalacion Geotextil NT2500</v>
          </cell>
          <cell r="C201" t="str">
            <v>m2</v>
          </cell>
          <cell r="D201">
            <v>0</v>
          </cell>
          <cell r="E201">
            <v>7760</v>
          </cell>
          <cell r="F201">
            <v>0</v>
          </cell>
        </row>
        <row r="202">
          <cell r="A202">
            <v>65</v>
          </cell>
          <cell r="B202" t="str">
            <v>Suministro e instalacion Geotextil TR3000</v>
          </cell>
          <cell r="C202" t="str">
            <v>m2</v>
          </cell>
          <cell r="D202">
            <v>0</v>
          </cell>
          <cell r="E202">
            <v>12453</v>
          </cell>
          <cell r="F202">
            <v>0</v>
          </cell>
        </row>
        <row r="203">
          <cell r="A203">
            <v>66</v>
          </cell>
          <cell r="B203" t="str">
            <v>Suministro e instalacion Geotextil T2400</v>
          </cell>
          <cell r="C203" t="str">
            <v>m2</v>
          </cell>
          <cell r="D203">
            <v>0</v>
          </cell>
          <cell r="E203">
            <v>8486</v>
          </cell>
          <cell r="F203">
            <v>0</v>
          </cell>
        </row>
        <row r="204">
          <cell r="A204">
            <v>70</v>
          </cell>
          <cell r="B204" t="str">
            <v>Concreto clase D (21 Mpa) para pantallas pasivas e=0,15 m</v>
          </cell>
          <cell r="C204" t="str">
            <v>m2</v>
          </cell>
          <cell r="D204">
            <v>0</v>
          </cell>
          <cell r="E204">
            <v>93622</v>
          </cell>
          <cell r="F204">
            <v>0</v>
          </cell>
        </row>
        <row r="205">
          <cell r="A205" t="str">
            <v>70a</v>
          </cell>
          <cell r="B205" t="str">
            <v>Enrocado con ligante en concreto clase D (21 Mpa) para recubrimiento de talud concreto 40% piedra 60%</v>
          </cell>
          <cell r="C205" t="str">
            <v>m3</v>
          </cell>
          <cell r="D205">
            <v>0</v>
          </cell>
          <cell r="E205">
            <v>275460</v>
          </cell>
          <cell r="F205">
            <v>0</v>
          </cell>
        </row>
        <row r="206">
          <cell r="A206">
            <v>71</v>
          </cell>
          <cell r="B206" t="str">
            <v>Anclaje a pantalla pasiva tipo 1 (incluye perforacion manual o mecanica 5¨, colocacion de varilla de 1" de anclaje e inyeccion de mortero en longitud total)</v>
          </cell>
          <cell r="C206" t="str">
            <v>ml</v>
          </cell>
          <cell r="D206">
            <v>0</v>
          </cell>
          <cell r="E206">
            <v>57769</v>
          </cell>
          <cell r="F206">
            <v>0</v>
          </cell>
        </row>
        <row r="207">
          <cell r="A207">
            <v>93</v>
          </cell>
          <cell r="B207" t="str">
            <v>Anclaje pasivo tipo 2 (incluye perforacion manual o mecanica 5¨, colocacion de varilla de 1" de anclaje e inyeccion primaria y de presion de mortero generando bulbos de 4 m)</v>
          </cell>
          <cell r="C207" t="str">
            <v>ml</v>
          </cell>
          <cell r="D207">
            <v>0</v>
          </cell>
          <cell r="E207">
            <v>81128</v>
          </cell>
          <cell r="F207">
            <v>0</v>
          </cell>
        </row>
        <row r="208">
          <cell r="A208">
            <v>67</v>
          </cell>
          <cell r="B208" t="str">
            <v xml:space="preserve">Anclaje activo de 4 torones de 1/2" galvanizado de alta resistencia con longitud libre = 8 mt y longitud de bulbo = 8mt (incluye todos los elementos del anclaje (cables, separadores, galletas cuñas, tuberias, punta e.tc) perforacion, inyeccion primaria y </v>
          </cell>
          <cell r="C208" t="str">
            <v>ml</v>
          </cell>
          <cell r="D208">
            <v>0</v>
          </cell>
          <cell r="E208">
            <v>327057</v>
          </cell>
          <cell r="F208">
            <v>0</v>
          </cell>
        </row>
        <row r="209">
          <cell r="A209">
            <v>69</v>
          </cell>
          <cell r="B209" t="str">
            <v>Perforacion mecanica de 3¨ e instalacion de tuberia de 21/2" perforada para drenes horizontales</v>
          </cell>
          <cell r="C209" t="str">
            <v>ml</v>
          </cell>
          <cell r="D209">
            <v>0</v>
          </cell>
          <cell r="E209">
            <v>111115</v>
          </cell>
          <cell r="F209">
            <v>0</v>
          </cell>
        </row>
        <row r="210">
          <cell r="A210">
            <v>79</v>
          </cell>
          <cell r="B210" t="str">
            <v>Excavacion manual para perfilar talud e=0,1 m</v>
          </cell>
          <cell r="C210" t="str">
            <v>m2</v>
          </cell>
          <cell r="D210">
            <v>0</v>
          </cell>
          <cell r="E210">
            <v>3177</v>
          </cell>
          <cell r="F210">
            <v>0</v>
          </cell>
        </row>
        <row r="211">
          <cell r="A211">
            <v>80</v>
          </cell>
          <cell r="B211" t="str">
            <v>Concreto clase D (21 Mpa) construccion de canales para recoleccion de aguas en concreto incluye refuerzo seccion interna 0,25*0,3</v>
          </cell>
          <cell r="C211" t="str">
            <v>ml</v>
          </cell>
          <cell r="D211">
            <v>0</v>
          </cell>
          <cell r="E211">
            <v>85306</v>
          </cell>
          <cell r="F211">
            <v>0</v>
          </cell>
        </row>
        <row r="212">
          <cell r="A212" t="str">
            <v>CAPITULO XIII - ANDENES Y OBRAS DE URBANISMO</v>
          </cell>
          <cell r="B212">
            <v>0</v>
          </cell>
          <cell r="C212">
            <v>0</v>
          </cell>
          <cell r="D212">
            <v>0</v>
          </cell>
          <cell r="E212">
            <v>0</v>
          </cell>
          <cell r="F212">
            <v>0</v>
          </cell>
        </row>
        <row r="213">
          <cell r="A213">
            <v>0</v>
          </cell>
          <cell r="B213">
            <v>0</v>
          </cell>
          <cell r="C213">
            <v>0</v>
          </cell>
          <cell r="D213">
            <v>0</v>
          </cell>
          <cell r="E213">
            <v>0</v>
          </cell>
          <cell r="F213">
            <v>0</v>
          </cell>
        </row>
        <row r="214">
          <cell r="A214">
            <v>0</v>
          </cell>
          <cell r="B214">
            <v>0</v>
          </cell>
          <cell r="C214">
            <v>0</v>
          </cell>
          <cell r="D214">
            <v>0</v>
          </cell>
          <cell r="E214">
            <v>0</v>
          </cell>
          <cell r="F214">
            <v>0</v>
          </cell>
        </row>
        <row r="215">
          <cell r="A215">
            <v>0</v>
          </cell>
          <cell r="B215">
            <v>0</v>
          </cell>
          <cell r="C215">
            <v>0</v>
          </cell>
          <cell r="D215">
            <v>0</v>
          </cell>
          <cell r="E215">
            <v>0</v>
          </cell>
          <cell r="F215">
            <v>0</v>
          </cell>
        </row>
        <row r="216">
          <cell r="A216">
            <v>0</v>
          </cell>
          <cell r="B216">
            <v>0</v>
          </cell>
          <cell r="C216">
            <v>0</v>
          </cell>
          <cell r="D216">
            <v>0</v>
          </cell>
          <cell r="E216">
            <v>0</v>
          </cell>
          <cell r="F216">
            <v>0</v>
          </cell>
        </row>
        <row r="217">
          <cell r="A217">
            <v>0</v>
          </cell>
          <cell r="B217">
            <v>0</v>
          </cell>
          <cell r="C217">
            <v>0</v>
          </cell>
          <cell r="D217">
            <v>0</v>
          </cell>
          <cell r="E217">
            <v>0</v>
          </cell>
          <cell r="F217">
            <v>0</v>
          </cell>
        </row>
        <row r="218">
          <cell r="A218">
            <v>0</v>
          </cell>
          <cell r="B218">
            <v>0</v>
          </cell>
          <cell r="C218">
            <v>0</v>
          </cell>
          <cell r="D218">
            <v>0</v>
          </cell>
          <cell r="E218">
            <v>0</v>
          </cell>
          <cell r="F218">
            <v>0</v>
          </cell>
        </row>
        <row r="219">
          <cell r="A219">
            <v>0</v>
          </cell>
          <cell r="B219">
            <v>0</v>
          </cell>
          <cell r="C219">
            <v>0</v>
          </cell>
          <cell r="D219">
            <v>0</v>
          </cell>
          <cell r="E219">
            <v>0</v>
          </cell>
          <cell r="F219">
            <v>0</v>
          </cell>
        </row>
        <row r="220">
          <cell r="A220">
            <v>0</v>
          </cell>
          <cell r="B220">
            <v>0</v>
          </cell>
          <cell r="C220">
            <v>0</v>
          </cell>
          <cell r="D220">
            <v>0</v>
          </cell>
          <cell r="E220">
            <v>0</v>
          </cell>
          <cell r="F220">
            <v>0</v>
          </cell>
        </row>
        <row r="221">
          <cell r="A221">
            <v>0</v>
          </cell>
          <cell r="B221">
            <v>0</v>
          </cell>
          <cell r="C221">
            <v>0</v>
          </cell>
          <cell r="D221">
            <v>0</v>
          </cell>
          <cell r="E221">
            <v>0</v>
          </cell>
          <cell r="F221">
            <v>0</v>
          </cell>
        </row>
        <row r="222">
          <cell r="A222">
            <v>0</v>
          </cell>
          <cell r="B222">
            <v>0</v>
          </cell>
          <cell r="C222">
            <v>0</v>
          </cell>
          <cell r="D222">
            <v>0</v>
          </cell>
          <cell r="E222">
            <v>0</v>
          </cell>
          <cell r="F222">
            <v>0</v>
          </cell>
        </row>
        <row r="223">
          <cell r="A223">
            <v>0</v>
          </cell>
          <cell r="B223">
            <v>0</v>
          </cell>
          <cell r="C223">
            <v>0</v>
          </cell>
          <cell r="D223">
            <v>0</v>
          </cell>
          <cell r="E223">
            <v>0</v>
          </cell>
          <cell r="F223">
            <v>0</v>
          </cell>
        </row>
        <row r="224">
          <cell r="A224" t="str">
            <v>CAPITULO XIV- ILUMINACION EXTERIOR</v>
          </cell>
          <cell r="B224">
            <v>0</v>
          </cell>
          <cell r="C224">
            <v>0</v>
          </cell>
          <cell r="D224">
            <v>0</v>
          </cell>
          <cell r="E224">
            <v>0</v>
          </cell>
          <cell r="F224">
            <v>0</v>
          </cell>
        </row>
        <row r="225">
          <cell r="A225">
            <v>0</v>
          </cell>
          <cell r="B225">
            <v>0</v>
          </cell>
          <cell r="C225">
            <v>0</v>
          </cell>
          <cell r="D225">
            <v>0</v>
          </cell>
          <cell r="E225">
            <v>0</v>
          </cell>
          <cell r="F225">
            <v>0</v>
          </cell>
        </row>
        <row r="226">
          <cell r="A226">
            <v>0</v>
          </cell>
          <cell r="B226">
            <v>0</v>
          </cell>
          <cell r="C226">
            <v>0</v>
          </cell>
          <cell r="D226">
            <v>0</v>
          </cell>
          <cell r="E226">
            <v>0</v>
          </cell>
          <cell r="F226">
            <v>0</v>
          </cell>
        </row>
        <row r="227">
          <cell r="A227">
            <v>0</v>
          </cell>
          <cell r="B227">
            <v>0</v>
          </cell>
          <cell r="C227">
            <v>0</v>
          </cell>
          <cell r="D227">
            <v>0</v>
          </cell>
          <cell r="E227">
            <v>0</v>
          </cell>
          <cell r="F227">
            <v>0</v>
          </cell>
        </row>
        <row r="228">
          <cell r="A228">
            <v>0</v>
          </cell>
          <cell r="B228">
            <v>0</v>
          </cell>
          <cell r="C228">
            <v>0</v>
          </cell>
          <cell r="D228">
            <v>0</v>
          </cell>
          <cell r="E228">
            <v>0</v>
          </cell>
          <cell r="F228">
            <v>0</v>
          </cell>
        </row>
        <row r="229">
          <cell r="A229">
            <v>0</v>
          </cell>
          <cell r="B229">
            <v>0</v>
          </cell>
          <cell r="C229">
            <v>0</v>
          </cell>
          <cell r="D229">
            <v>0</v>
          </cell>
          <cell r="E229">
            <v>0</v>
          </cell>
          <cell r="F229">
            <v>0</v>
          </cell>
        </row>
        <row r="230">
          <cell r="A230">
            <v>0</v>
          </cell>
          <cell r="B230">
            <v>0</v>
          </cell>
          <cell r="C230">
            <v>0</v>
          </cell>
          <cell r="D230">
            <v>0</v>
          </cell>
          <cell r="E230">
            <v>0</v>
          </cell>
          <cell r="F230">
            <v>0</v>
          </cell>
        </row>
        <row r="231">
          <cell r="A231">
            <v>0</v>
          </cell>
          <cell r="B231">
            <v>0</v>
          </cell>
          <cell r="C231">
            <v>0</v>
          </cell>
          <cell r="D231">
            <v>0</v>
          </cell>
          <cell r="E231">
            <v>0</v>
          </cell>
          <cell r="F231">
            <v>0</v>
          </cell>
        </row>
        <row r="232">
          <cell r="A232">
            <v>0</v>
          </cell>
          <cell r="B232">
            <v>0</v>
          </cell>
          <cell r="C232">
            <v>0</v>
          </cell>
          <cell r="D232">
            <v>0</v>
          </cell>
          <cell r="E232">
            <v>0</v>
          </cell>
          <cell r="F232">
            <v>0</v>
          </cell>
        </row>
        <row r="233">
          <cell r="A233">
            <v>0</v>
          </cell>
          <cell r="B233">
            <v>0</v>
          </cell>
          <cell r="C233">
            <v>0</v>
          </cell>
          <cell r="D233">
            <v>0</v>
          </cell>
          <cell r="E233">
            <v>0</v>
          </cell>
          <cell r="F233">
            <v>0</v>
          </cell>
        </row>
        <row r="234">
          <cell r="A234">
            <v>0</v>
          </cell>
          <cell r="B234">
            <v>0</v>
          </cell>
          <cell r="C234">
            <v>0</v>
          </cell>
          <cell r="D234">
            <v>0</v>
          </cell>
          <cell r="E234">
            <v>0</v>
          </cell>
          <cell r="F234">
            <v>0</v>
          </cell>
        </row>
        <row r="235">
          <cell r="A235">
            <v>0</v>
          </cell>
          <cell r="B235">
            <v>0</v>
          </cell>
          <cell r="C235">
            <v>0</v>
          </cell>
          <cell r="D235">
            <v>0</v>
          </cell>
          <cell r="E235">
            <v>0</v>
          </cell>
          <cell r="F235">
            <v>0</v>
          </cell>
        </row>
        <row r="236">
          <cell r="A236" t="str">
            <v>CAPITULO XV- MOBILIARIO</v>
          </cell>
          <cell r="B236">
            <v>0</v>
          </cell>
          <cell r="C236">
            <v>0</v>
          </cell>
          <cell r="D236">
            <v>0</v>
          </cell>
          <cell r="E236">
            <v>0</v>
          </cell>
          <cell r="F236">
            <v>0</v>
          </cell>
        </row>
        <row r="237">
          <cell r="A237">
            <v>0</v>
          </cell>
          <cell r="B237">
            <v>0</v>
          </cell>
          <cell r="C237">
            <v>0</v>
          </cell>
          <cell r="D237">
            <v>0</v>
          </cell>
          <cell r="E237">
            <v>0</v>
          </cell>
          <cell r="F237">
            <v>0</v>
          </cell>
        </row>
        <row r="238">
          <cell r="A238">
            <v>0</v>
          </cell>
          <cell r="B238">
            <v>0</v>
          </cell>
          <cell r="C238">
            <v>0</v>
          </cell>
          <cell r="D238">
            <v>0</v>
          </cell>
          <cell r="E238">
            <v>0</v>
          </cell>
          <cell r="F238">
            <v>0</v>
          </cell>
        </row>
        <row r="239">
          <cell r="A239">
            <v>0</v>
          </cell>
          <cell r="B239">
            <v>0</v>
          </cell>
          <cell r="C239">
            <v>0</v>
          </cell>
          <cell r="D239">
            <v>0</v>
          </cell>
          <cell r="E239">
            <v>0</v>
          </cell>
          <cell r="F239">
            <v>0</v>
          </cell>
        </row>
        <row r="240">
          <cell r="A240">
            <v>0</v>
          </cell>
          <cell r="B240">
            <v>0</v>
          </cell>
          <cell r="C240">
            <v>0</v>
          </cell>
          <cell r="D240">
            <v>0</v>
          </cell>
          <cell r="E240">
            <v>0</v>
          </cell>
          <cell r="F240">
            <v>0</v>
          </cell>
        </row>
        <row r="241">
          <cell r="A241">
            <v>0</v>
          </cell>
          <cell r="B241">
            <v>0</v>
          </cell>
          <cell r="C241">
            <v>0</v>
          </cell>
          <cell r="D241">
            <v>0</v>
          </cell>
          <cell r="E241">
            <v>0</v>
          </cell>
          <cell r="F241">
            <v>0</v>
          </cell>
        </row>
        <row r="242">
          <cell r="A242">
            <v>0</v>
          </cell>
          <cell r="B242">
            <v>0</v>
          </cell>
          <cell r="C242">
            <v>0</v>
          </cell>
          <cell r="D242">
            <v>0</v>
          </cell>
          <cell r="E242">
            <v>0</v>
          </cell>
          <cell r="F242">
            <v>0</v>
          </cell>
        </row>
        <row r="243">
          <cell r="A243">
            <v>0</v>
          </cell>
          <cell r="B243">
            <v>0</v>
          </cell>
          <cell r="C243">
            <v>0</v>
          </cell>
          <cell r="D243">
            <v>0</v>
          </cell>
          <cell r="E243">
            <v>0</v>
          </cell>
          <cell r="F243">
            <v>0</v>
          </cell>
        </row>
        <row r="244">
          <cell r="A244">
            <v>0</v>
          </cell>
          <cell r="B244">
            <v>0</v>
          </cell>
          <cell r="C244">
            <v>0</v>
          </cell>
          <cell r="D244">
            <v>0</v>
          </cell>
          <cell r="E244">
            <v>0</v>
          </cell>
          <cell r="F244">
            <v>0</v>
          </cell>
        </row>
        <row r="245">
          <cell r="A245">
            <v>0</v>
          </cell>
          <cell r="B245">
            <v>0</v>
          </cell>
          <cell r="C245">
            <v>0</v>
          </cell>
          <cell r="D245">
            <v>0</v>
          </cell>
          <cell r="E245">
            <v>0</v>
          </cell>
          <cell r="F245">
            <v>0</v>
          </cell>
        </row>
        <row r="246">
          <cell r="A246">
            <v>0</v>
          </cell>
          <cell r="B246">
            <v>0</v>
          </cell>
          <cell r="C246">
            <v>0</v>
          </cell>
          <cell r="D246">
            <v>0</v>
          </cell>
          <cell r="E246">
            <v>0</v>
          </cell>
          <cell r="F246">
            <v>0</v>
          </cell>
        </row>
        <row r="247">
          <cell r="A247">
            <v>0</v>
          </cell>
          <cell r="B247">
            <v>0</v>
          </cell>
          <cell r="C247">
            <v>0</v>
          </cell>
          <cell r="D247">
            <v>0</v>
          </cell>
          <cell r="E247">
            <v>0</v>
          </cell>
          <cell r="F247">
            <v>0</v>
          </cell>
        </row>
        <row r="248">
          <cell r="E248">
            <v>0</v>
          </cell>
          <cell r="F248">
            <v>0</v>
          </cell>
        </row>
        <row r="249">
          <cell r="E249">
            <v>0</v>
          </cell>
          <cell r="F249">
            <v>0</v>
          </cell>
        </row>
        <row r="250">
          <cell r="E250">
            <v>0</v>
          </cell>
          <cell r="F250">
            <v>0</v>
          </cell>
        </row>
        <row r="251">
          <cell r="E251">
            <v>0</v>
          </cell>
          <cell r="F251">
            <v>0</v>
          </cell>
        </row>
        <row r="252">
          <cell r="E252">
            <v>0</v>
          </cell>
          <cell r="F252">
            <v>0</v>
          </cell>
        </row>
        <row r="253">
          <cell r="E253">
            <v>0</v>
          </cell>
          <cell r="F253">
            <v>0</v>
          </cell>
        </row>
        <row r="254">
          <cell r="E254">
            <v>0</v>
          </cell>
          <cell r="F254">
            <v>0</v>
          </cell>
        </row>
        <row r="255">
          <cell r="E255">
            <v>0</v>
          </cell>
          <cell r="F255">
            <v>0</v>
          </cell>
        </row>
        <row r="256">
          <cell r="E256">
            <v>0</v>
          </cell>
          <cell r="F256">
            <v>0</v>
          </cell>
        </row>
        <row r="257">
          <cell r="A257" t="str">
            <v>CAPITULO V - PUENTES Y ESTRUCTURAS ELEVADAS</v>
          </cell>
          <cell r="B257">
            <v>0</v>
          </cell>
          <cell r="C257">
            <v>0</v>
          </cell>
          <cell r="D257">
            <v>0</v>
          </cell>
          <cell r="E257">
            <v>0</v>
          </cell>
          <cell r="F257">
            <v>0</v>
          </cell>
        </row>
        <row r="258">
          <cell r="A258">
            <v>68</v>
          </cell>
          <cell r="B258" t="str">
            <v>Concreto clase C (28 Mpa) premezclado para dados y losas de aproximacion</v>
          </cell>
          <cell r="C258" t="str">
            <v>m3</v>
          </cell>
          <cell r="E258">
            <v>644792</v>
          </cell>
          <cell r="F258">
            <v>0</v>
          </cell>
        </row>
        <row r="259">
          <cell r="A259">
            <v>40</v>
          </cell>
          <cell r="B259" t="str">
            <v>Concreto clase C (28 Mpa) premezclado a la vista para estribos y cargueros</v>
          </cell>
          <cell r="C259" t="str">
            <v>m3</v>
          </cell>
          <cell r="E259">
            <v>705580</v>
          </cell>
          <cell r="F259">
            <v>0</v>
          </cell>
        </row>
        <row r="260">
          <cell r="A260">
            <v>41</v>
          </cell>
          <cell r="B260" t="str">
            <v>Concreto clase C (28 Mpa) premezclado a la vista para pilas entre 0-5m de altura</v>
          </cell>
          <cell r="C260" t="str">
            <v>m3</v>
          </cell>
          <cell r="E260">
            <v>980463</v>
          </cell>
          <cell r="F260">
            <v>0</v>
          </cell>
        </row>
        <row r="261">
          <cell r="A261">
            <v>42</v>
          </cell>
          <cell r="B261" t="str">
            <v>Concreto clase C (28 Mpa) premezclado para pilas entre 5,01-10 m de altura</v>
          </cell>
          <cell r="C261" t="str">
            <v>m3</v>
          </cell>
          <cell r="E261">
            <v>1014886</v>
          </cell>
          <cell r="F261">
            <v>0</v>
          </cell>
        </row>
        <row r="262">
          <cell r="A262">
            <v>43</v>
          </cell>
          <cell r="B262" t="str">
            <v xml:space="preserve">Concreto clase C (28 Mpa) premezclado para pilas en alturas mayores de 10 m </v>
          </cell>
          <cell r="C262" t="str">
            <v>m3</v>
          </cell>
          <cell r="E262">
            <v>1052406</v>
          </cell>
          <cell r="F262">
            <v>0</v>
          </cell>
        </row>
        <row r="263">
          <cell r="A263">
            <v>47</v>
          </cell>
          <cell r="B263" t="str">
            <v>Suministro e instalacion de aisladores sismicos tipo B D: 750 mm h:300 mm Cargas de diseño ELS: DL=Carga permanente de servicio 1500 Kn, LL=Carga vehicular de servicio 1400 kN, G= Módulo de cortante 0,6-0,8 Mpa, Keff= Rigidez horizontal efectiva 4,9 kN/mm</v>
          </cell>
          <cell r="C263" t="str">
            <v>und</v>
          </cell>
          <cell r="E263">
            <v>52835745</v>
          </cell>
          <cell r="F263">
            <v>0</v>
          </cell>
        </row>
        <row r="264">
          <cell r="A264">
            <v>155</v>
          </cell>
          <cell r="B264" t="str">
            <v>Suministro e instalacion de mortero fluido para mesas de nivelacion</v>
          </cell>
          <cell r="C264" t="str">
            <v>lt</v>
          </cell>
          <cell r="E264">
            <v>10742</v>
          </cell>
          <cell r="F264">
            <v>0</v>
          </cell>
        </row>
        <row r="265">
          <cell r="A265">
            <v>49</v>
          </cell>
          <cell r="B265" t="str">
            <v>Suministro e instalacion de aisladores sismicos tipo C  D: 1150 mm h:300 mm Cargas de diseño ELS: DL=Carga permanente de servicio 8000 Kn, LL=Carga vehicular de servicio 3300 kN, G= Módulo de cortante 0,6-0,8 Mpa, Keff= Rigidez horizontal efectiva 12,7 kN</v>
          </cell>
          <cell r="C265" t="str">
            <v>und</v>
          </cell>
          <cell r="E265">
            <v>70192905</v>
          </cell>
          <cell r="F265">
            <v>0</v>
          </cell>
        </row>
        <row r="266">
          <cell r="A266">
            <v>44</v>
          </cell>
          <cell r="B266" t="str">
            <v>Concreto clase A (35 Mpa) a la vista premezclado acelerado a 7 dias para tablero del puente</v>
          </cell>
          <cell r="C266" t="str">
            <v>m3</v>
          </cell>
          <cell r="E266">
            <v>1286944</v>
          </cell>
          <cell r="F266">
            <v>0</v>
          </cell>
        </row>
        <row r="267">
          <cell r="A267">
            <v>61</v>
          </cell>
          <cell r="B267" t="str">
            <v>Concreto clase C (280 Mpa)para bordillo sobre puentes base de baranda vehicular base 50 cm h variable deacuerdo a planos</v>
          </cell>
          <cell r="C267" t="str">
            <v>m3</v>
          </cell>
          <cell r="E267">
            <v>558046</v>
          </cell>
          <cell r="F267">
            <v>0</v>
          </cell>
        </row>
        <row r="268">
          <cell r="A268">
            <v>45</v>
          </cell>
          <cell r="B268" t="str">
            <v>Suministro e instalacion de baranda metalica tipo vehicular de acuerdo al diseño incluye platinas de base y pernos de fijacion</v>
          </cell>
          <cell r="C268" t="str">
            <v>Kg</v>
          </cell>
          <cell r="E268">
            <v>9730</v>
          </cell>
          <cell r="F268">
            <v>0</v>
          </cell>
        </row>
        <row r="269">
          <cell r="A269">
            <v>53</v>
          </cell>
          <cell r="B269" t="str">
            <v>Suministro e instalacion de junta de dilatacion (EXPANSION) tipo Freyssinet PJ-6005 (movimiento  120 mm) o similar</v>
          </cell>
          <cell r="C269" t="str">
            <v>ml</v>
          </cell>
          <cell r="E269">
            <v>1128544</v>
          </cell>
          <cell r="F269">
            <v>0</v>
          </cell>
        </row>
        <row r="270">
          <cell r="A270" t="str">
            <v>CAPITULO VI - ACERO DE REFUERZO Y CABLES DE POST-TENSADO</v>
          </cell>
          <cell r="B270">
            <v>0</v>
          </cell>
          <cell r="C270">
            <v>0</v>
          </cell>
          <cell r="D270">
            <v>0</v>
          </cell>
          <cell r="E270">
            <v>0</v>
          </cell>
          <cell r="F270">
            <v>0</v>
          </cell>
        </row>
        <row r="271">
          <cell r="A271">
            <v>94</v>
          </cell>
          <cell r="B271" t="str">
            <v>Suministro e instalacion de malla electrosodada de 15cmX15cm D=5mm</v>
          </cell>
          <cell r="C271" t="str">
            <v>m2</v>
          </cell>
          <cell r="E271">
            <v>8681</v>
          </cell>
          <cell r="F271">
            <v>0</v>
          </cell>
        </row>
        <row r="272">
          <cell r="A272">
            <v>51</v>
          </cell>
          <cell r="B272" t="str">
            <v xml:space="preserve">Suministro e instalacion de acero de refuerzo </v>
          </cell>
          <cell r="C272" t="str">
            <v>Kg</v>
          </cell>
          <cell r="E272">
            <v>3956</v>
          </cell>
          <cell r="F272">
            <v>0</v>
          </cell>
        </row>
        <row r="273">
          <cell r="A273">
            <v>50</v>
          </cell>
          <cell r="B273" t="str">
            <v>Suministro e instalacion de acero de preesfuerzo (fy 1860 Mpa)</v>
          </cell>
          <cell r="C273" t="str">
            <v>Kg</v>
          </cell>
          <cell r="E273">
            <v>20084</v>
          </cell>
          <cell r="F273">
            <v>0</v>
          </cell>
        </row>
        <row r="274">
          <cell r="A274" t="str">
            <v>CAPITULO VII - SUBBASES, BASES Y PAVIMENTOS</v>
          </cell>
          <cell r="B274">
            <v>0</v>
          </cell>
          <cell r="C274">
            <v>0</v>
          </cell>
          <cell r="D274">
            <v>0</v>
          </cell>
          <cell r="E274">
            <v>0</v>
          </cell>
          <cell r="F274">
            <v>0</v>
          </cell>
        </row>
        <row r="275">
          <cell r="A275">
            <v>34</v>
          </cell>
          <cell r="B275" t="str">
            <v>Suministro e instalacion de sub base granular compactada (norma INVIAS)</v>
          </cell>
          <cell r="C275" t="str">
            <v>m3</v>
          </cell>
          <cell r="E275">
            <v>108939</v>
          </cell>
          <cell r="F275">
            <v>0</v>
          </cell>
        </row>
        <row r="276">
          <cell r="A276">
            <v>38</v>
          </cell>
          <cell r="B276" t="str">
            <v>Concreto MR 42 para pavimento rigido hecho en obra (incluye canastilla, dovelas, acero de transferencia, texturizado, aditivos para el curado cortes y sellos)</v>
          </cell>
          <cell r="C276" t="str">
            <v>m3</v>
          </cell>
          <cell r="E276">
            <v>617341</v>
          </cell>
          <cell r="F276">
            <v>0</v>
          </cell>
        </row>
        <row r="277">
          <cell r="A277">
            <v>95</v>
          </cell>
          <cell r="B277" t="str">
            <v>Suministro de aditivo para acelerar la obtencion de resistencia del concreto a 7 dias</v>
          </cell>
          <cell r="C277" t="str">
            <v>m3</v>
          </cell>
          <cell r="E277">
            <v>71307</v>
          </cell>
          <cell r="F277">
            <v>0</v>
          </cell>
        </row>
        <row r="278">
          <cell r="A278">
            <v>62</v>
          </cell>
          <cell r="B278" t="str">
            <v>Concreto clase D (21 Mpa) para sardineles h=0,17 (incluye refuerzo)</v>
          </cell>
          <cell r="C278" t="str">
            <v>ml</v>
          </cell>
          <cell r="E278">
            <v>53980</v>
          </cell>
          <cell r="F278">
            <v>0</v>
          </cell>
        </row>
        <row r="279">
          <cell r="A279">
            <v>75</v>
          </cell>
          <cell r="B279" t="str">
            <v>Riego de imprimacion con emulsion asfaltica</v>
          </cell>
          <cell r="C279" t="str">
            <v>m2</v>
          </cell>
          <cell r="E279">
            <v>2159</v>
          </cell>
          <cell r="F279">
            <v>0</v>
          </cell>
        </row>
        <row r="280">
          <cell r="A280">
            <v>39</v>
          </cell>
          <cell r="B280" t="str">
            <v>Asfalto Mezcla densa en caliente MDC -2 (capa de rodadura)</v>
          </cell>
          <cell r="C280" t="str">
            <v>m3</v>
          </cell>
          <cell r="E280">
            <v>659600</v>
          </cell>
          <cell r="F280">
            <v>0</v>
          </cell>
        </row>
        <row r="281">
          <cell r="A281" t="str">
            <v>CAPITULO VIII - ALCANTARILLADO Y ACUEDUCTO</v>
          </cell>
          <cell r="B281">
            <v>0</v>
          </cell>
          <cell r="C281">
            <v>0</v>
          </cell>
          <cell r="D281">
            <v>0</v>
          </cell>
          <cell r="E281">
            <v>0</v>
          </cell>
          <cell r="F281">
            <v>0</v>
          </cell>
        </row>
        <row r="282">
          <cell r="A282">
            <v>96</v>
          </cell>
          <cell r="B282" t="str">
            <v>Demolicion de estructuras en concreto reforzado (box coulvert, incluye retiro)</v>
          </cell>
          <cell r="C282" t="str">
            <v>m3</v>
          </cell>
          <cell r="E282">
            <v>76663</v>
          </cell>
          <cell r="F282">
            <v>0</v>
          </cell>
        </row>
        <row r="283">
          <cell r="A283">
            <v>97</v>
          </cell>
          <cell r="B283" t="str">
            <v>Desmonte tuberias en diametros entre 1/2¨y 4¨de diametro icluye retiro</v>
          </cell>
          <cell r="C283" t="str">
            <v>ml</v>
          </cell>
          <cell r="E283">
            <v>2380</v>
          </cell>
          <cell r="F283">
            <v>0</v>
          </cell>
        </row>
        <row r="284">
          <cell r="A284">
            <v>98</v>
          </cell>
          <cell r="B284" t="str">
            <v>Desmonte tuberias en diametros entre 6¨y 12¨de diametro incluye retiro</v>
          </cell>
          <cell r="C284" t="str">
            <v>ml</v>
          </cell>
          <cell r="E284">
            <v>5294</v>
          </cell>
          <cell r="F284">
            <v>0</v>
          </cell>
        </row>
        <row r="285">
          <cell r="A285">
            <v>99</v>
          </cell>
          <cell r="B285" t="str">
            <v>Desmonte tuberias en diametros mayores o iguales a 14¨de diametro incluye retiro</v>
          </cell>
          <cell r="C285" t="str">
            <v>ml</v>
          </cell>
          <cell r="E285">
            <v>18878</v>
          </cell>
          <cell r="F285">
            <v>0</v>
          </cell>
        </row>
        <row r="286">
          <cell r="A286">
            <v>100</v>
          </cell>
          <cell r="B286" t="str">
            <v>SUMINISTRO, TRANSPORTE E INSTALACION SUMIDERO DOBLE REJA TIPO SIFÓN EN CONCRETO CLASE II-TAPA EN POLIPROPILENO D=0,58M</v>
          </cell>
          <cell r="C286" t="str">
            <v>und</v>
          </cell>
          <cell r="E286">
            <v>1171798</v>
          </cell>
          <cell r="F286">
            <v>0</v>
          </cell>
        </row>
        <row r="287">
          <cell r="A287">
            <v>101</v>
          </cell>
          <cell r="B287" t="str">
            <v>Suministro e instalacion de tuberia PVC de 315 mm (12¨) corrugada para alcantarillado</v>
          </cell>
          <cell r="C287" t="str">
            <v>ml</v>
          </cell>
          <cell r="E287">
            <v>120283</v>
          </cell>
          <cell r="F287">
            <v>0</v>
          </cell>
        </row>
        <row r="288">
          <cell r="A288">
            <v>143</v>
          </cell>
          <cell r="B288" t="str">
            <v>Suministro, transporte e instalacion de tuberia PVC corrugada de 14" para alcantarillado</v>
          </cell>
          <cell r="C288" t="str">
            <v>ml</v>
          </cell>
          <cell r="E288">
            <v>125770</v>
          </cell>
          <cell r="F288">
            <v>0</v>
          </cell>
        </row>
        <row r="289">
          <cell r="A289">
            <v>102</v>
          </cell>
          <cell r="B289" t="str">
            <v>Suministro e instalacion de tuberia PVC de 450 mm (18¨) corrugada para alcantarillado</v>
          </cell>
          <cell r="C289" t="str">
            <v>ml</v>
          </cell>
          <cell r="E289">
            <v>205938</v>
          </cell>
          <cell r="F289">
            <v>0</v>
          </cell>
        </row>
        <row r="290">
          <cell r="A290">
            <v>142</v>
          </cell>
          <cell r="B290" t="str">
            <v>Suministro, transporte e instalacion de tuberia PVC corrugada de 21" para alcantarillado</v>
          </cell>
          <cell r="C290" t="str">
            <v>ml</v>
          </cell>
          <cell r="E290">
            <v>323115</v>
          </cell>
          <cell r="F290">
            <v>0</v>
          </cell>
        </row>
        <row r="291">
          <cell r="A291">
            <v>141</v>
          </cell>
          <cell r="B291" t="str">
            <v>Suministro, transporte e instalacion de tuberia PVC corrugada de 24" para alcantarillado</v>
          </cell>
          <cell r="C291" t="str">
            <v>ml</v>
          </cell>
          <cell r="E291">
            <v>351855</v>
          </cell>
          <cell r="F291">
            <v>0</v>
          </cell>
        </row>
        <row r="292">
          <cell r="A292">
            <v>140</v>
          </cell>
          <cell r="B292" t="str">
            <v>Suministro, transporte e instalacion de tuberia PVC corrugada de 30" para alcantarillado</v>
          </cell>
          <cell r="C292" t="str">
            <v>ml</v>
          </cell>
          <cell r="E292">
            <v>495465</v>
          </cell>
          <cell r="F292">
            <v>0</v>
          </cell>
        </row>
        <row r="293">
          <cell r="A293">
            <v>139</v>
          </cell>
          <cell r="B293" t="str">
            <v>Suministro, transporte e instalacion de tuberia PVC corrugada de 36" para alcantarillado</v>
          </cell>
          <cell r="C293" t="str">
            <v>ml</v>
          </cell>
          <cell r="E293">
            <v>843859</v>
          </cell>
          <cell r="F293">
            <v>0</v>
          </cell>
        </row>
        <row r="294">
          <cell r="A294">
            <v>103</v>
          </cell>
          <cell r="B294" t="str">
            <v>Construccion de Cámara de Inspección/Caída D=1.20 m. Concreto 3000 PSI</v>
          </cell>
          <cell r="C294" t="str">
            <v>ml</v>
          </cell>
          <cell r="E294">
            <v>456782</v>
          </cell>
          <cell r="F294">
            <v>0</v>
          </cell>
        </row>
        <row r="295">
          <cell r="A295">
            <v>104</v>
          </cell>
          <cell r="B295" t="str">
            <v>Base y Cañuela Cámara de Inspección/Caída D=1.20 m.Concreto Simple Clase II</v>
          </cell>
          <cell r="C295" t="str">
            <v>und</v>
          </cell>
          <cell r="E295">
            <v>315640</v>
          </cell>
          <cell r="F295">
            <v>0</v>
          </cell>
        </row>
        <row r="296">
          <cell r="A296">
            <v>152</v>
          </cell>
          <cell r="B296" t="str">
            <v>Construccion de Cámara de Inspección/Caída D=1.50 m. Concreto 3000 PSI</v>
          </cell>
          <cell r="C296" t="str">
            <v>ml</v>
          </cell>
          <cell r="E296">
            <v>551246</v>
          </cell>
          <cell r="F296">
            <v>0</v>
          </cell>
        </row>
        <row r="297">
          <cell r="A297">
            <v>153</v>
          </cell>
          <cell r="B297" t="str">
            <v>Base y Cañuela Cámara de Inspección/Caída D=1.50 m.Concreto Simple Clase II</v>
          </cell>
          <cell r="C297" t="str">
            <v>und</v>
          </cell>
          <cell r="E297">
            <v>352711</v>
          </cell>
          <cell r="F297">
            <v>0</v>
          </cell>
        </row>
        <row r="298">
          <cell r="A298">
            <v>105</v>
          </cell>
          <cell r="B298" t="str">
            <v>Suministro, transporte e instalación aro/ tapa en polipropileno d= 0,70 m para cámara de inspección (cuello 13 cm)</v>
          </cell>
          <cell r="C298" t="str">
            <v>und</v>
          </cell>
          <cell r="E298">
            <v>424929</v>
          </cell>
          <cell r="F298">
            <v>0</v>
          </cell>
        </row>
        <row r="299">
          <cell r="A299">
            <v>106</v>
          </cell>
          <cell r="B299" t="str">
            <v>Suministro, transporte e instalación empalme a cámaras de inspección concreto clase  II</v>
          </cell>
          <cell r="C299" t="str">
            <v>und</v>
          </cell>
          <cell r="E299">
            <v>60972</v>
          </cell>
          <cell r="F299">
            <v>0</v>
          </cell>
        </row>
        <row r="300">
          <cell r="A300">
            <v>107</v>
          </cell>
          <cell r="B300" t="str">
            <v>Manejo temporal de aguas residuales y alcantarillado mediante la instalacion de tuberia corrugada</v>
          </cell>
          <cell r="C300" t="str">
            <v>ml</v>
          </cell>
          <cell r="E300">
            <v>50325</v>
          </cell>
          <cell r="F300">
            <v>0</v>
          </cell>
        </row>
        <row r="301">
          <cell r="A301">
            <v>138</v>
          </cell>
          <cell r="B301" t="str">
            <v>Suministro, transporte e instalacion de tuberia HD 14" para acueducto</v>
          </cell>
          <cell r="C301" t="str">
            <v>ml</v>
          </cell>
          <cell r="E301">
            <v>837975</v>
          </cell>
          <cell r="F301">
            <v>0</v>
          </cell>
        </row>
        <row r="302">
          <cell r="A302" t="str">
            <v>CAPITULO IX - ANDENES Y OBRAS DE URBANISMO</v>
          </cell>
          <cell r="B302">
            <v>0</v>
          </cell>
          <cell r="C302">
            <v>0</v>
          </cell>
          <cell r="D302">
            <v>0</v>
          </cell>
          <cell r="E302">
            <v>0</v>
          </cell>
          <cell r="F302">
            <v>0</v>
          </cell>
        </row>
        <row r="303">
          <cell r="A303">
            <v>112</v>
          </cell>
          <cell r="B303" t="str">
            <v>Concreto clase D (21 Mpa) para andenes y rampas e=0,1</v>
          </cell>
          <cell r="C303" t="str">
            <v>m2</v>
          </cell>
          <cell r="E303">
            <v>53840</v>
          </cell>
          <cell r="F303">
            <v>0</v>
          </cell>
        </row>
        <row r="304">
          <cell r="A304">
            <v>113</v>
          </cell>
          <cell r="B304" t="str">
            <v>Abujardado de superficies en concreto</v>
          </cell>
          <cell r="C304" t="str">
            <v>m2</v>
          </cell>
          <cell r="E304">
            <v>10881</v>
          </cell>
          <cell r="F304">
            <v>0</v>
          </cell>
        </row>
        <row r="305">
          <cell r="A305">
            <v>114</v>
          </cell>
          <cell r="B305" t="str">
            <v>Concreto clase D (21 Mpa) a la vista para escalas sobre tierra</v>
          </cell>
          <cell r="C305" t="str">
            <v>m3</v>
          </cell>
          <cell r="E305">
            <v>595288</v>
          </cell>
          <cell r="F305">
            <v>0</v>
          </cell>
        </row>
        <row r="306">
          <cell r="A306">
            <v>115</v>
          </cell>
          <cell r="B306" t="str">
            <v>Concreto Clase D (21 Mpa) para construccion de vado peatonal de 1m  X 5m incluye sardinel y piezas de remate bado  conforme el detalle</v>
          </cell>
          <cell r="C306" t="str">
            <v>und</v>
          </cell>
          <cell r="D306">
            <v>0</v>
          </cell>
          <cell r="E306">
            <v>820348</v>
          </cell>
          <cell r="F306">
            <v>0</v>
          </cell>
        </row>
        <row r="307">
          <cell r="A307">
            <v>116</v>
          </cell>
          <cell r="B307" t="str">
            <v>Concreto Clase D (21 Mpa) para construccion de vado peatonal de 1m  X 3,5 m incluye sardinel y piezas de remate bado  conforme el detalle</v>
          </cell>
          <cell r="C307" t="str">
            <v>und</v>
          </cell>
          <cell r="D307">
            <v>0</v>
          </cell>
          <cell r="E307">
            <v>694437</v>
          </cell>
          <cell r="F307">
            <v>0</v>
          </cell>
        </row>
        <row r="308">
          <cell r="A308">
            <v>117</v>
          </cell>
          <cell r="B308" t="str">
            <v>Suministro e instalacion de gramoquin peatonal</v>
          </cell>
          <cell r="C308" t="str">
            <v>m2</v>
          </cell>
          <cell r="D308">
            <v>0</v>
          </cell>
          <cell r="E308">
            <v>159416</v>
          </cell>
          <cell r="F308">
            <v>0</v>
          </cell>
        </row>
        <row r="309">
          <cell r="A309">
            <v>157</v>
          </cell>
          <cell r="B309" t="str">
            <v>Suministro e instalacion de Plaqueta abujardada gris de 0,5X0,5X0,07 m (incluye transporte a obra y descargue) peatonal</v>
          </cell>
          <cell r="C309" t="str">
            <v>UND</v>
          </cell>
          <cell r="D309">
            <v>0</v>
          </cell>
          <cell r="E309">
            <v>42218</v>
          </cell>
          <cell r="F309">
            <v>0</v>
          </cell>
        </row>
        <row r="310">
          <cell r="A310">
            <v>118</v>
          </cell>
          <cell r="B310" t="str">
            <v>Suministro e instalacion de plaqueta tactil guia prefabricada color gris concreto de 50 X 50 cm</v>
          </cell>
          <cell r="C310" t="str">
            <v>ml</v>
          </cell>
          <cell r="D310">
            <v>0</v>
          </cell>
          <cell r="E310">
            <v>86819</v>
          </cell>
          <cell r="F310">
            <v>0</v>
          </cell>
        </row>
        <row r="311">
          <cell r="A311">
            <v>119</v>
          </cell>
          <cell r="B311" t="str">
            <v>Suministro e instalacion de plaqueta toperol prefabricada color gris concreto de 50 X 50 cm</v>
          </cell>
          <cell r="C311" t="str">
            <v>ml</v>
          </cell>
          <cell r="D311">
            <v>0</v>
          </cell>
          <cell r="E311">
            <v>88149</v>
          </cell>
          <cell r="F311">
            <v>0</v>
          </cell>
        </row>
        <row r="312">
          <cell r="A312">
            <v>120</v>
          </cell>
          <cell r="B312" t="str">
            <v>Suministro e instalcion de banca tipo cubo en concreto a la vista prefabricada (incluye base de concreto)</v>
          </cell>
          <cell r="C312" t="str">
            <v>und</v>
          </cell>
          <cell r="D312">
            <v>0</v>
          </cell>
          <cell r="E312">
            <v>272713</v>
          </cell>
          <cell r="F312">
            <v>0</v>
          </cell>
        </row>
        <row r="313">
          <cell r="A313">
            <v>121</v>
          </cell>
          <cell r="B313" t="str">
            <v>Suministro e instalacion de Banca corrida en concreto a la vista prefabricada de 2055 mm X 500 mm X 500 mm incluye 3 tabiques de 300 mm X 100 mm X 400 mm según detalle</v>
          </cell>
          <cell r="C313" t="str">
            <v>und</v>
          </cell>
          <cell r="D313">
            <v>0</v>
          </cell>
          <cell r="E313">
            <v>642873</v>
          </cell>
          <cell r="F313">
            <v>0</v>
          </cell>
        </row>
        <row r="314">
          <cell r="A314">
            <v>122</v>
          </cell>
          <cell r="B314" t="str">
            <v>Suministro e instalacion de bolardo en hierro fundido e= 4mm deacuerdo a detalle</v>
          </cell>
          <cell r="C314" t="str">
            <v>und</v>
          </cell>
          <cell r="D314">
            <v>0</v>
          </cell>
          <cell r="E314">
            <v>375312</v>
          </cell>
          <cell r="F314">
            <v>0</v>
          </cell>
        </row>
        <row r="315">
          <cell r="A315">
            <v>123</v>
          </cell>
          <cell r="B315" t="str">
            <v>Suministro e instalacion de Basurero pivotante en acero inoxidable conforme a detalle</v>
          </cell>
          <cell r="C315" t="str">
            <v>und</v>
          </cell>
          <cell r="D315">
            <v>0</v>
          </cell>
          <cell r="E315">
            <v>983879</v>
          </cell>
          <cell r="F315">
            <v>0</v>
          </cell>
        </row>
        <row r="316">
          <cell r="A316">
            <v>124</v>
          </cell>
          <cell r="B316" t="str">
            <v>Suministro e instalacion de baranda peatonal h= 0,75, formada por 3 horizontales en tuberia galvanizada de 2¨ y parales cada 1,5 m de acuerdo al detalle</v>
          </cell>
          <cell r="C316" t="str">
            <v>ml</v>
          </cell>
          <cell r="D316">
            <v>0</v>
          </cell>
          <cell r="E316">
            <v>140960</v>
          </cell>
          <cell r="F316">
            <v>0</v>
          </cell>
        </row>
        <row r="317">
          <cell r="A317">
            <v>136</v>
          </cell>
          <cell r="B317" t="str">
            <v>Suministro e instalacion de poste metalico galvanizado tipo alameda para luminaria de 12 m doble brazo de 1,5 m</v>
          </cell>
          <cell r="C317" t="str">
            <v>und</v>
          </cell>
          <cell r="E317">
            <v>2027117</v>
          </cell>
          <cell r="F317">
            <v>0</v>
          </cell>
        </row>
        <row r="318">
          <cell r="A318">
            <v>137</v>
          </cell>
          <cell r="B318" t="str">
            <v>Suministro e instalacion de poste metalico galvanizado tipo alameda para luminaria de 12 m brazo sencillo</v>
          </cell>
          <cell r="C318" t="str">
            <v>und</v>
          </cell>
          <cell r="E318">
            <v>1867563</v>
          </cell>
          <cell r="F318">
            <v>0</v>
          </cell>
        </row>
        <row r="319">
          <cell r="A319">
            <v>147</v>
          </cell>
          <cell r="B319" t="str">
            <v>Suministro e instalacion de luminaria Voltana 4 de  110 watt</v>
          </cell>
          <cell r="C319" t="str">
            <v>und</v>
          </cell>
          <cell r="E319">
            <v>2015528</v>
          </cell>
          <cell r="F319">
            <v>0</v>
          </cell>
        </row>
        <row r="320">
          <cell r="A320">
            <v>144</v>
          </cell>
          <cell r="B320" t="str">
            <v xml:space="preserve">Suministro e instalacion de poste metalico galvanizado doble proposito para luminaria de 10,8 m </v>
          </cell>
          <cell r="C320" t="str">
            <v>und</v>
          </cell>
          <cell r="E320">
            <v>2067033</v>
          </cell>
          <cell r="F320">
            <v>0</v>
          </cell>
        </row>
        <row r="321">
          <cell r="A321">
            <v>148</v>
          </cell>
          <cell r="B321" t="str">
            <v>Suministro e instalacion de luminaria Voltana 2 de 56 watt</v>
          </cell>
          <cell r="C321" t="str">
            <v>und</v>
          </cell>
          <cell r="E321">
            <v>782803</v>
          </cell>
          <cell r="F321">
            <v>0</v>
          </cell>
        </row>
        <row r="322">
          <cell r="A322">
            <v>149</v>
          </cell>
          <cell r="B322" t="str">
            <v>Suministro e instalacion de luminaria Voltana 2 de 39 watt</v>
          </cell>
          <cell r="C322" t="str">
            <v>und</v>
          </cell>
          <cell r="E322">
            <v>782803</v>
          </cell>
          <cell r="F322">
            <v>0</v>
          </cell>
        </row>
        <row r="323">
          <cell r="A323">
            <v>145</v>
          </cell>
          <cell r="B323" t="str">
            <v>Suministro e instalacion de poste decorativo de 4 m</v>
          </cell>
          <cell r="C323" t="str">
            <v>und</v>
          </cell>
          <cell r="E323">
            <v>701521</v>
          </cell>
          <cell r="F323">
            <v>0</v>
          </cell>
        </row>
        <row r="324">
          <cell r="A324">
            <v>146</v>
          </cell>
          <cell r="B324" t="str">
            <v>Suministro e instalacion de luminaria decorativa led de 30 watt</v>
          </cell>
          <cell r="C324" t="str">
            <v>und</v>
          </cell>
          <cell r="E324">
            <v>818708</v>
          </cell>
          <cell r="F324">
            <v>0</v>
          </cell>
        </row>
        <row r="325">
          <cell r="A325">
            <v>150</v>
          </cell>
          <cell r="B325" t="str">
            <v>Suministro e instalacion de acometida Cable de Aluminio Aislado THW No. 6 por 3 und</v>
          </cell>
          <cell r="C325" t="str">
            <v>ml</v>
          </cell>
          <cell r="E325">
            <v>5370</v>
          </cell>
          <cell r="F325">
            <v>0</v>
          </cell>
        </row>
        <row r="326">
          <cell r="A326">
            <v>151</v>
          </cell>
          <cell r="B326" t="str">
            <v>Suministro e Instalacion de transformador de 15 KVA Completo (incluye3 cajas corta circuito, poste de concreto de 12 m, 3 DPS sistemas de proteccion de descarga y puesta a tierra de 4 electrodos)</v>
          </cell>
          <cell r="C326" t="str">
            <v>und</v>
          </cell>
          <cell r="E326">
            <v>10026423</v>
          </cell>
          <cell r="F326">
            <v>0</v>
          </cell>
        </row>
        <row r="327">
          <cell r="A327">
            <v>78</v>
          </cell>
          <cell r="B327" t="str">
            <v>Suministro e instalacion de tuberia conduit 2x2" para canalizacion de redes de alumbrado publico incluye excavacion en brecha</v>
          </cell>
          <cell r="C327" t="str">
            <v>ml</v>
          </cell>
          <cell r="E327">
            <v>18311</v>
          </cell>
          <cell r="F327">
            <v>0</v>
          </cell>
        </row>
        <row r="328">
          <cell r="A328">
            <v>76</v>
          </cell>
          <cell r="B328" t="str">
            <v>Concreto Clase D (21 Mpa) para bases de luminaria de postes de 12 m (1,20*0,5*0,5) incluye pase de la camara, refuerzo y pernos</v>
          </cell>
          <cell r="C328" t="str">
            <v>und</v>
          </cell>
          <cell r="E328">
            <v>285893</v>
          </cell>
          <cell r="F328">
            <v>0</v>
          </cell>
        </row>
        <row r="329">
          <cell r="A329">
            <v>154</v>
          </cell>
          <cell r="B329" t="str">
            <v>Concreto Clase D (21 Mpa) para bases de luminaria de postes de 4 m (0,5*0,5*0,5) incluye pase de la camara, refuerzo y pernos</v>
          </cell>
          <cell r="C329" t="str">
            <v>und</v>
          </cell>
          <cell r="E329">
            <v>184082</v>
          </cell>
          <cell r="F329">
            <v>0</v>
          </cell>
        </row>
        <row r="330">
          <cell r="A330">
            <v>72</v>
          </cell>
          <cell r="B330" t="str">
            <v>Concreto clase D (21 Mpa) para camaras de 40x40x40 para conexiones de alumbrado publico incluye tapa y piso con filtro</v>
          </cell>
          <cell r="C330" t="str">
            <v>und</v>
          </cell>
          <cell r="E330">
            <v>138276</v>
          </cell>
          <cell r="F330">
            <v>0</v>
          </cell>
        </row>
        <row r="331">
          <cell r="A331">
            <v>125</v>
          </cell>
          <cell r="B331" t="str">
            <v>Suministro e instalacion de Modulos de ventas en acero inoxidable de acuerdo al detalle</v>
          </cell>
          <cell r="C331" t="str">
            <v>und</v>
          </cell>
          <cell r="D331">
            <v>0</v>
          </cell>
          <cell r="E331">
            <v>9935644</v>
          </cell>
          <cell r="F331">
            <v>0</v>
          </cell>
        </row>
        <row r="332">
          <cell r="A332">
            <v>126</v>
          </cell>
          <cell r="B332" t="str">
            <v>Construccion e instalacion de Paradero en estructura metalica, de 9 m X 3,5 m de area cubierta aproximadamente de acuerdo a planos (incluye la totalidad de la estructura metalica, platinas, pernos anclajes, excavaciones, la cubierta, bases en concreto y e</v>
          </cell>
          <cell r="C332" t="str">
            <v>und</v>
          </cell>
          <cell r="D332">
            <v>0</v>
          </cell>
          <cell r="E332">
            <v>22024249</v>
          </cell>
          <cell r="F332">
            <v>0</v>
          </cell>
        </row>
        <row r="333">
          <cell r="A333">
            <v>127</v>
          </cell>
          <cell r="B333" t="str">
            <v>Suministro e instalacion de cerramiento tipo palizada compuesto por tuberia galvanizada de 2¨ cal 14 espaciados a 210 mm entre centros de altura variable acabado en anticorrosivo color verde oliva rellenos de mortero y con remate en esfera metalica y embe</v>
          </cell>
          <cell r="C333" t="str">
            <v>ml</v>
          </cell>
          <cell r="D333">
            <v>0</v>
          </cell>
          <cell r="E333">
            <v>450005</v>
          </cell>
          <cell r="F333">
            <v>0</v>
          </cell>
        </row>
        <row r="334">
          <cell r="A334">
            <v>128</v>
          </cell>
          <cell r="B334" t="str">
            <v>Suministro y siembra de arbol Nigüito (miconia notabilis triana) h=1,5 m, incluye tutor, tierra negra y abono</v>
          </cell>
          <cell r="C334" t="str">
            <v>und</v>
          </cell>
          <cell r="D334">
            <v>0</v>
          </cell>
          <cell r="E334">
            <v>79417</v>
          </cell>
          <cell r="F334">
            <v>0</v>
          </cell>
        </row>
        <row r="335">
          <cell r="A335">
            <v>129</v>
          </cell>
          <cell r="B335" t="str">
            <v>Suministro y siembra de arbol Fresno (tacoma stans) h=1,5 m, incluye tutor, tierra negra y abono</v>
          </cell>
          <cell r="C335" t="str">
            <v>und</v>
          </cell>
          <cell r="D335">
            <v>0</v>
          </cell>
          <cell r="E335">
            <v>79417</v>
          </cell>
          <cell r="F335">
            <v>0</v>
          </cell>
        </row>
        <row r="336">
          <cell r="A336">
            <v>130</v>
          </cell>
          <cell r="B336" t="str">
            <v>Suministro y siembra de lirio amarillo (iris pseudacorus) medianas, tierra negra y abono</v>
          </cell>
          <cell r="C336" t="str">
            <v>und</v>
          </cell>
          <cell r="D336">
            <v>0</v>
          </cell>
          <cell r="E336">
            <v>21324</v>
          </cell>
          <cell r="F336">
            <v>0</v>
          </cell>
        </row>
        <row r="337">
          <cell r="A337">
            <v>131</v>
          </cell>
          <cell r="B337" t="str">
            <v>Suministro y siembra de mani forrajero (arachis pintoi) incluye tierra negra y abono</v>
          </cell>
          <cell r="C337" t="str">
            <v>m2</v>
          </cell>
          <cell r="D337">
            <v>0</v>
          </cell>
          <cell r="E337">
            <v>5375</v>
          </cell>
          <cell r="F337">
            <v>0</v>
          </cell>
        </row>
        <row r="338">
          <cell r="A338">
            <v>132</v>
          </cell>
          <cell r="B338" t="str">
            <v>Suministro y siembra de semillas pasto bermuda en gramoquin</v>
          </cell>
          <cell r="C338" t="str">
            <v>m2</v>
          </cell>
          <cell r="D338">
            <v>0</v>
          </cell>
          <cell r="E338">
            <v>5893</v>
          </cell>
          <cell r="F338">
            <v>0</v>
          </cell>
        </row>
        <row r="339">
          <cell r="A339">
            <v>133</v>
          </cell>
          <cell r="B339" t="str">
            <v>Construccion de media caña en concreto en rampas peatonales</v>
          </cell>
          <cell r="C339" t="str">
            <v>ml</v>
          </cell>
          <cell r="D339">
            <v>0</v>
          </cell>
          <cell r="E339">
            <v>17446</v>
          </cell>
          <cell r="F339">
            <v>0</v>
          </cell>
        </row>
        <row r="340">
          <cell r="A340" t="str">
            <v>CAPITULO X - SEÑALIZACION Y CONTROL</v>
          </cell>
          <cell r="B340">
            <v>0</v>
          </cell>
          <cell r="C340">
            <v>0</v>
          </cell>
          <cell r="D340">
            <v>0</v>
          </cell>
          <cell r="E340">
            <v>0</v>
          </cell>
          <cell r="F340">
            <v>0</v>
          </cell>
        </row>
        <row r="341">
          <cell r="A341">
            <v>55</v>
          </cell>
          <cell r="B341" t="str">
            <v>Lineas de demarcacion A=12 cm e=23mm con pintura en plastico en frio</v>
          </cell>
          <cell r="C341" t="str">
            <v>ml</v>
          </cell>
          <cell r="E341">
            <v>7151</v>
          </cell>
          <cell r="F341">
            <v>0</v>
          </cell>
        </row>
        <row r="342">
          <cell r="A342">
            <v>56</v>
          </cell>
          <cell r="B342" t="str">
            <v xml:space="preserve">Pintura en plastico en frio de marcas viales y señales de transito </v>
          </cell>
          <cell r="C342" t="str">
            <v>m2</v>
          </cell>
          <cell r="E342">
            <v>61088</v>
          </cell>
          <cell r="F342">
            <v>0</v>
          </cell>
        </row>
        <row r="343">
          <cell r="A343">
            <v>57</v>
          </cell>
          <cell r="B343" t="str">
            <v>Suministro e instalacion de tachas reflectivas</v>
          </cell>
          <cell r="C343" t="str">
            <v>und</v>
          </cell>
          <cell r="E343">
            <v>7578</v>
          </cell>
          <cell r="F343">
            <v>0</v>
          </cell>
        </row>
        <row r="344">
          <cell r="A344">
            <v>58</v>
          </cell>
          <cell r="B344" t="str">
            <v>Suministro e instalacion de señales verticales definitivas SP, SR y SI ( hasta de 90x90)</v>
          </cell>
          <cell r="C344" t="str">
            <v>und</v>
          </cell>
          <cell r="E344">
            <v>328840</v>
          </cell>
          <cell r="F344">
            <v>0</v>
          </cell>
        </row>
        <row r="345">
          <cell r="A345">
            <v>108</v>
          </cell>
          <cell r="B345" t="str">
            <v xml:space="preserve">Suministro e instalacion de señal vertical tipo delineador de curva horizontal </v>
          </cell>
          <cell r="C345" t="str">
            <v>und</v>
          </cell>
          <cell r="D345">
            <v>0</v>
          </cell>
          <cell r="E345">
            <v>226293</v>
          </cell>
          <cell r="F345">
            <v>0</v>
          </cell>
        </row>
        <row r="346">
          <cell r="A346">
            <v>109</v>
          </cell>
          <cell r="B346" t="str">
            <v>Suministro e instalacion de captafaros adosados a baranda de puente</v>
          </cell>
          <cell r="C346" t="str">
            <v>und</v>
          </cell>
          <cell r="D346">
            <v>0</v>
          </cell>
          <cell r="E346">
            <v>4198</v>
          </cell>
          <cell r="F346">
            <v>0</v>
          </cell>
        </row>
        <row r="347">
          <cell r="A347">
            <v>134</v>
          </cell>
          <cell r="B347" t="str">
            <v>suministro e instalacion de pasacalles informativo en lona de 8 m x 1,5 m</v>
          </cell>
          <cell r="C347" t="str">
            <v>und</v>
          </cell>
          <cell r="D347">
            <v>0</v>
          </cell>
          <cell r="E347">
            <v>512063</v>
          </cell>
          <cell r="F347">
            <v>0</v>
          </cell>
        </row>
        <row r="348">
          <cell r="A348">
            <v>135</v>
          </cell>
          <cell r="B348" t="str">
            <v>Suministro e instalaciones de señales verticales dobles de transito TIPO SR (60X60) Y SI (60X30) conforme especificaciones de la secretaria de transito</v>
          </cell>
          <cell r="C348" t="str">
            <v>und</v>
          </cell>
          <cell r="D348">
            <v>0</v>
          </cell>
          <cell r="E348">
            <v>435660</v>
          </cell>
          <cell r="F348">
            <v>0</v>
          </cell>
        </row>
        <row r="349">
          <cell r="A349">
            <v>158</v>
          </cell>
          <cell r="B349" t="str">
            <v>Suministro e instalacion de cruce patonal semaforizado actuado por demanda con sensores peatonales y acompañada de boton de demanda en los dos accesos al paso peatonal con dos mensulas y dos mastiles (incluye canlizaciones cajas de inspeccion bases de pos</v>
          </cell>
          <cell r="C349" t="str">
            <v>UND</v>
          </cell>
          <cell r="D349">
            <v>0</v>
          </cell>
          <cell r="E349">
            <v>57839864</v>
          </cell>
          <cell r="F349">
            <v>0</v>
          </cell>
        </row>
        <row r="350">
          <cell r="A350">
            <v>156</v>
          </cell>
          <cell r="B350" t="str">
            <v>Impresión y reparticion de volantes informativos del proyecto</v>
          </cell>
          <cell r="C350" t="str">
            <v>und</v>
          </cell>
          <cell r="D350">
            <v>0</v>
          </cell>
          <cell r="E350">
            <v>292</v>
          </cell>
          <cell r="F350">
            <v>0</v>
          </cell>
        </row>
        <row r="351">
          <cell r="A351">
            <v>52</v>
          </cell>
          <cell r="B351" t="str">
            <v>Jornales para manejo de transito</v>
          </cell>
          <cell r="C351" t="str">
            <v>Jr</v>
          </cell>
          <cell r="D351">
            <v>0</v>
          </cell>
          <cell r="E351">
            <v>81465</v>
          </cell>
          <cell r="F351">
            <v>0</v>
          </cell>
        </row>
        <row r="352">
          <cell r="A352" t="str">
            <v>CAPITULO XI - OBRAS VARIAS</v>
          </cell>
          <cell r="B352">
            <v>0</v>
          </cell>
          <cell r="C352">
            <v>0</v>
          </cell>
          <cell r="D352">
            <v>0</v>
          </cell>
          <cell r="E352">
            <v>0</v>
          </cell>
          <cell r="F352">
            <v>0</v>
          </cell>
        </row>
        <row r="353">
          <cell r="A353">
            <v>111</v>
          </cell>
          <cell r="B353" t="str">
            <v>Jornales para obras varias</v>
          </cell>
          <cell r="C353" t="str">
            <v>jr</v>
          </cell>
          <cell r="E353">
            <v>48163</v>
          </cell>
          <cell r="F353">
            <v>0</v>
          </cell>
        </row>
        <row r="354">
          <cell r="A354">
            <v>54</v>
          </cell>
          <cell r="B354" t="str">
            <v>Aseo general de la obra</v>
          </cell>
          <cell r="C354" t="str">
            <v>mes</v>
          </cell>
          <cell r="E354">
            <v>1574551</v>
          </cell>
          <cell r="F354">
            <v>0</v>
          </cell>
        </row>
        <row r="355">
          <cell r="C355" t="str">
            <v>COSTO DIRECTO</v>
          </cell>
          <cell r="D355">
            <v>0</v>
          </cell>
          <cell r="E355">
            <v>0</v>
          </cell>
          <cell r="F355" t="e">
            <v>#N/A</v>
          </cell>
        </row>
        <row r="357">
          <cell r="F357">
            <v>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Gráfica"/>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Gráfica-Apartada"/>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SEM-INT"/>
      <sheetName val="inf sem 28"/>
      <sheetName val="curva CEC"/>
      <sheetName val="curva CTT "/>
      <sheetName val="CURVA S CINGAF"/>
      <sheetName val="TEL"/>
      <sheetName val="ING 732"/>
      <sheetName val="ING 737"/>
      <sheetName val="ING 733"/>
      <sheetName val="datos base"/>
      <sheetName val="HSE CEC"/>
      <sheetName val="Anexo CEC"/>
      <sheetName val="HSE CTT"/>
      <sheetName val="Anexo CTT"/>
      <sheetName val="HSE Ingaf"/>
      <sheetName val="Anexo Ingaf"/>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
      <sheetName val="Presupuesto"/>
      <sheetName val="1.1 "/>
      <sheetName val="1.2 "/>
      <sheetName val="1.3"/>
      <sheetName val="1.4"/>
      <sheetName val="1.5"/>
      <sheetName val="1.6"/>
      <sheetName val="2.1"/>
      <sheetName val="2.2"/>
      <sheetName val="2.3"/>
      <sheetName val="2.4"/>
      <sheetName val="2.5"/>
      <sheetName val="3.1.1"/>
      <sheetName val="3.1.2"/>
      <sheetName val="3.2.1"/>
      <sheetName val="3.2.2"/>
      <sheetName val="3.2.3"/>
      <sheetName val="3.2.4"/>
      <sheetName val="3.2.5"/>
      <sheetName val="3.2.6"/>
      <sheetName val="3.2.7"/>
      <sheetName val="3.2.8"/>
      <sheetName val="3.2.9"/>
      <sheetName val="3.2.10"/>
      <sheetName val="3.2.11"/>
      <sheetName val="3.3.1"/>
      <sheetName val="3.3.2"/>
      <sheetName val="4.1"/>
      <sheetName val="4.2"/>
      <sheetName val="4.3"/>
      <sheetName val="5.1"/>
      <sheetName val="5.2"/>
      <sheetName val="5.3"/>
      <sheetName val="6.1"/>
      <sheetName val="6.2"/>
      <sheetName val="6.3"/>
      <sheetName val="6.4"/>
      <sheetName val="6.5"/>
      <sheetName val="6.6"/>
      <sheetName val="6.7"/>
      <sheetName val="6.8"/>
      <sheetName val="8.1"/>
      <sheetName val="8.2"/>
      <sheetName val="8.5"/>
      <sheetName val="9.1"/>
      <sheetName val="9.2"/>
      <sheetName val="9.3"/>
      <sheetName val="9.4"/>
      <sheetName val="9.5"/>
      <sheetName val="10.3"/>
      <sheetName val="10.4"/>
      <sheetName val="10.5"/>
      <sheetName val="13.1"/>
      <sheetName val="13.2"/>
      <sheetName val="14.1"/>
      <sheetName val="14.2"/>
      <sheetName val="14.3"/>
      <sheetName val="15.1"/>
      <sheetName val="15.2"/>
      <sheetName val="16.1"/>
      <sheetName val="16.2"/>
      <sheetName val="16.3"/>
      <sheetName val="16.4"/>
      <sheetName val="16.5"/>
      <sheetName val="19.1"/>
      <sheetName val="19.2"/>
      <sheetName val="4.9"/>
      <sheetName val="2.500"/>
      <sheetName val="1.700"/>
      <sheetName val="2.300"/>
      <sheetName val="Sis. Hidraulico"/>
      <sheetName val="Inv. Mamposteria"/>
      <sheetName val="Comparativos"/>
      <sheetName val="Loc y Repla"/>
      <sheetName val="Exc Manual"/>
      <sheetName val="Concreto Limpieza"/>
      <sheetName val="Concreto 3000"/>
      <sheetName val="Acero B-1"/>
      <sheetName val="Acero B-2"/>
      <sheetName val="Acero B-3"/>
      <sheetName val="Acero escalera"/>
      <sheetName val="Acero x Varilla"/>
      <sheetName val="Pisos"/>
      <sheetName val="Est Metal"/>
      <sheetName val="Cubierta"/>
      <sheetName val="Cabina baño"/>
    </sheetNames>
    <sheetDataSet>
      <sheetData sheetId="0">
        <row r="2">
          <cell r="A2">
            <v>0</v>
          </cell>
          <cell r="B2" t="str">
            <v>Materiales</v>
          </cell>
          <cell r="C2">
            <v>0</v>
          </cell>
          <cell r="D2">
            <v>0</v>
          </cell>
        </row>
        <row r="3">
          <cell r="A3" t="str">
            <v>M0</v>
          </cell>
          <cell r="B3">
            <v>0</v>
          </cell>
          <cell r="C3">
            <v>0</v>
          </cell>
          <cell r="D3">
            <v>0</v>
          </cell>
          <cell r="F3" t="str">
            <v>Valor Total</v>
          </cell>
          <cell r="G3" t="str">
            <v>Cant</v>
          </cell>
        </row>
        <row r="4">
          <cell r="A4" t="str">
            <v>m4</v>
          </cell>
          <cell r="B4" t="str">
            <v>Valla Publicitaria</v>
          </cell>
          <cell r="C4" t="str">
            <v>GLB</v>
          </cell>
          <cell r="D4">
            <v>4500000</v>
          </cell>
          <cell r="F4">
            <v>0</v>
          </cell>
        </row>
        <row r="5">
          <cell r="A5" t="str">
            <v>m5</v>
          </cell>
          <cell r="B5" t="str">
            <v>Tela Verde - Para cerramiento</v>
          </cell>
          <cell r="C5" t="str">
            <v>ml</v>
          </cell>
          <cell r="D5">
            <v>2398</v>
          </cell>
          <cell r="F5">
            <v>119900</v>
          </cell>
          <cell r="G5">
            <v>50</v>
          </cell>
        </row>
        <row r="6">
          <cell r="A6" t="str">
            <v>m6</v>
          </cell>
          <cell r="B6" t="str">
            <v>Cerco 5 x 10 x 3.0 m</v>
          </cell>
          <cell r="C6">
            <v>0</v>
          </cell>
          <cell r="D6">
            <v>4000</v>
          </cell>
          <cell r="F6">
            <v>0</v>
          </cell>
        </row>
        <row r="7">
          <cell r="A7" t="str">
            <v>m7</v>
          </cell>
          <cell r="B7" t="str">
            <v>Puntilla 2"</v>
          </cell>
          <cell r="C7">
            <v>0</v>
          </cell>
          <cell r="D7">
            <v>3500</v>
          </cell>
          <cell r="F7">
            <v>0</v>
          </cell>
        </row>
        <row r="8">
          <cell r="A8" t="str">
            <v>m8</v>
          </cell>
          <cell r="B8" t="str">
            <v>Campamento - 48 M2</v>
          </cell>
          <cell r="C8" t="str">
            <v>GLB</v>
          </cell>
          <cell r="D8">
            <v>11000000</v>
          </cell>
          <cell r="F8">
            <v>0</v>
          </cell>
        </row>
        <row r="9">
          <cell r="A9" t="str">
            <v>m9</v>
          </cell>
          <cell r="B9" t="str">
            <v>Red de Agua Provisonal</v>
          </cell>
          <cell r="C9" t="str">
            <v>GLB</v>
          </cell>
          <cell r="D9">
            <v>394000</v>
          </cell>
          <cell r="F9">
            <v>0</v>
          </cell>
        </row>
        <row r="10">
          <cell r="A10" t="str">
            <v>m10</v>
          </cell>
          <cell r="B10" t="str">
            <v>Red electrica provisional con 2 puntos</v>
          </cell>
          <cell r="C10" t="str">
            <v>GLB</v>
          </cell>
          <cell r="D10">
            <v>2220000</v>
          </cell>
          <cell r="F10">
            <v>0</v>
          </cell>
        </row>
        <row r="11">
          <cell r="A11" t="str">
            <v>m11</v>
          </cell>
          <cell r="B11" t="str">
            <v>Polin 5 x 5 x 3.0 m</v>
          </cell>
          <cell r="C11">
            <v>0</v>
          </cell>
          <cell r="D11">
            <v>3000</v>
          </cell>
          <cell r="F11">
            <v>0</v>
          </cell>
        </row>
        <row r="12">
          <cell r="A12" t="str">
            <v>m12</v>
          </cell>
          <cell r="B12" t="str">
            <v>Cordel o madeja</v>
          </cell>
          <cell r="C12">
            <v>0</v>
          </cell>
          <cell r="D12">
            <v>42.5</v>
          </cell>
          <cell r="F12">
            <v>8500</v>
          </cell>
          <cell r="G12">
            <v>200</v>
          </cell>
        </row>
        <row r="13">
          <cell r="A13" t="str">
            <v>m13</v>
          </cell>
          <cell r="B13" t="str">
            <v xml:space="preserve">Armado estructura para acero y bodega cemento </v>
          </cell>
          <cell r="C13">
            <v>0</v>
          </cell>
          <cell r="D13">
            <v>7807500</v>
          </cell>
          <cell r="F13">
            <v>0</v>
          </cell>
        </row>
        <row r="14">
          <cell r="A14" t="str">
            <v>m14</v>
          </cell>
          <cell r="B14" t="str">
            <v>Grava 3/4</v>
          </cell>
          <cell r="C14">
            <v>0</v>
          </cell>
          <cell r="D14">
            <v>57000</v>
          </cell>
          <cell r="F14">
            <v>0</v>
          </cell>
        </row>
        <row r="15">
          <cell r="A15" t="str">
            <v>m15</v>
          </cell>
          <cell r="B15" t="str">
            <v>Arena de Trituracion</v>
          </cell>
          <cell r="C15">
            <v>0</v>
          </cell>
          <cell r="D15">
            <v>42000</v>
          </cell>
          <cell r="F15">
            <v>0</v>
          </cell>
        </row>
        <row r="16">
          <cell r="A16" t="str">
            <v>m16</v>
          </cell>
          <cell r="B16" t="str">
            <v>Cemento - Argos</v>
          </cell>
          <cell r="C16">
            <v>0</v>
          </cell>
          <cell r="D16">
            <v>390</v>
          </cell>
          <cell r="F16">
            <v>19500</v>
          </cell>
          <cell r="G16">
            <v>50</v>
          </cell>
        </row>
        <row r="17">
          <cell r="A17" t="str">
            <v>m17</v>
          </cell>
          <cell r="B17" t="str">
            <v>Agua</v>
          </cell>
          <cell r="C17" t="str">
            <v>Litro</v>
          </cell>
          <cell r="D17">
            <v>5.5</v>
          </cell>
          <cell r="F17">
            <v>5500</v>
          </cell>
          <cell r="G17">
            <v>1000</v>
          </cell>
        </row>
        <row r="18">
          <cell r="A18" t="str">
            <v>m18</v>
          </cell>
          <cell r="B18" t="str">
            <v>Concreto Premezclado - 3000 psi</v>
          </cell>
          <cell r="C18" t="str">
            <v>m3</v>
          </cell>
          <cell r="D18">
            <v>364200</v>
          </cell>
          <cell r="F18">
            <v>0</v>
          </cell>
        </row>
        <row r="19">
          <cell r="A19" t="str">
            <v>m19</v>
          </cell>
          <cell r="B19" t="str">
            <v>Esquineros</v>
          </cell>
          <cell r="C19" t="str">
            <v>Un</v>
          </cell>
          <cell r="D19">
            <v>2500</v>
          </cell>
          <cell r="F19">
            <v>0</v>
          </cell>
        </row>
        <row r="20">
          <cell r="A20" t="str">
            <v>m20</v>
          </cell>
          <cell r="B20" t="str">
            <v>Tabla Burra Cepillada por un Lado</v>
          </cell>
          <cell r="C20" t="str">
            <v>Un</v>
          </cell>
          <cell r="D20">
            <v>11500</v>
          </cell>
        </row>
        <row r="21">
          <cell r="A21" t="str">
            <v>m21</v>
          </cell>
          <cell r="B21" t="str">
            <v>Tabla 0.15 x 0.02 x 3.0m - Cepillada por un lado</v>
          </cell>
          <cell r="C21">
            <v>0</v>
          </cell>
          <cell r="D21">
            <v>9500</v>
          </cell>
        </row>
        <row r="22">
          <cell r="A22" t="str">
            <v>m22</v>
          </cell>
          <cell r="B22" t="str">
            <v>Acero de Refuerzo</v>
          </cell>
          <cell r="C22" t="str">
            <v>Kg</v>
          </cell>
          <cell r="D22">
            <v>2082.5</v>
          </cell>
        </row>
        <row r="23">
          <cell r="A23" t="str">
            <v>m23</v>
          </cell>
          <cell r="B23" t="str">
            <v>Alambre Negro C.16</v>
          </cell>
          <cell r="C23" t="str">
            <v>Kg</v>
          </cell>
          <cell r="D23">
            <v>3800</v>
          </cell>
        </row>
        <row r="24">
          <cell r="A24" t="str">
            <v>m24</v>
          </cell>
          <cell r="B24" t="str">
            <v>Bloque Estructural</v>
          </cell>
          <cell r="C24" t="str">
            <v>Un</v>
          </cell>
          <cell r="D24">
            <v>1200</v>
          </cell>
        </row>
        <row r="25">
          <cell r="A25" t="str">
            <v>m25</v>
          </cell>
          <cell r="B25" t="str">
            <v>Arena para pañete</v>
          </cell>
          <cell r="C25" t="str">
            <v>M3</v>
          </cell>
          <cell r="D25">
            <v>40000</v>
          </cell>
        </row>
        <row r="26">
          <cell r="A26" t="str">
            <v>m26</v>
          </cell>
          <cell r="B26" t="str">
            <v>Marmolina</v>
          </cell>
          <cell r="C26" t="str">
            <v>Kg</v>
          </cell>
          <cell r="D26">
            <v>1200</v>
          </cell>
        </row>
        <row r="27">
          <cell r="A27" t="str">
            <v>m27</v>
          </cell>
          <cell r="B27" t="str">
            <v>SikaFLuid</v>
          </cell>
          <cell r="C27" t="str">
            <v>Kg</v>
          </cell>
          <cell r="D27">
            <v>7440</v>
          </cell>
          <cell r="F27">
            <v>186000</v>
          </cell>
          <cell r="G27">
            <v>25</v>
          </cell>
        </row>
        <row r="28">
          <cell r="A28" t="str">
            <v>m28</v>
          </cell>
          <cell r="B28" t="str">
            <v>Granito N°2</v>
          </cell>
          <cell r="C28" t="str">
            <v>Kg</v>
          </cell>
          <cell r="D28">
            <v>1120</v>
          </cell>
          <cell r="F28">
            <v>14000</v>
          </cell>
          <cell r="G28">
            <v>12.5</v>
          </cell>
        </row>
        <row r="29">
          <cell r="A29" t="str">
            <v>m29</v>
          </cell>
          <cell r="B29" t="str">
            <v>Bloque N°4 Rayado - 20 x 30 x 10</v>
          </cell>
          <cell r="C29" t="str">
            <v>Un</v>
          </cell>
          <cell r="D29">
            <v>800</v>
          </cell>
        </row>
        <row r="30">
          <cell r="A30" t="str">
            <v>m30</v>
          </cell>
          <cell r="B30" t="str">
            <v>Calado en concreto - 20 x 20</v>
          </cell>
          <cell r="C30" t="str">
            <v>Un</v>
          </cell>
          <cell r="D30">
            <v>1900</v>
          </cell>
        </row>
        <row r="31">
          <cell r="A31" t="str">
            <v>m31</v>
          </cell>
          <cell r="B31" t="str">
            <v>PHR C 305 x 80 x 25 x 3.0mm</v>
          </cell>
          <cell r="C31" t="str">
            <v>ml</v>
          </cell>
          <cell r="D31">
            <v>31000</v>
          </cell>
        </row>
        <row r="32">
          <cell r="A32" t="str">
            <v>m32</v>
          </cell>
          <cell r="B32" t="str">
            <v>Angulo 3" x 1/4"</v>
          </cell>
          <cell r="C32" t="str">
            <v>ml</v>
          </cell>
          <cell r="D32">
            <v>19800</v>
          </cell>
        </row>
        <row r="33">
          <cell r="A33" t="str">
            <v>m33</v>
          </cell>
          <cell r="B33" t="str">
            <v>Soldadura 6010 x 3/32</v>
          </cell>
          <cell r="C33" t="str">
            <v>Kg</v>
          </cell>
          <cell r="D33">
            <v>8500</v>
          </cell>
        </row>
        <row r="34">
          <cell r="A34" t="str">
            <v>m34</v>
          </cell>
          <cell r="B34" t="str">
            <v>Chazo expansivo 4"x 3/8"</v>
          </cell>
          <cell r="C34" t="str">
            <v>Un</v>
          </cell>
          <cell r="D34">
            <v>1200</v>
          </cell>
          <cell r="F34">
            <v>23900</v>
          </cell>
          <cell r="G34">
            <v>10</v>
          </cell>
        </row>
        <row r="35">
          <cell r="A35" t="str">
            <v>m35</v>
          </cell>
          <cell r="B35" t="str">
            <v>Anticorrosivo</v>
          </cell>
          <cell r="C35" t="str">
            <v>Gl</v>
          </cell>
          <cell r="D35">
            <v>25000</v>
          </cell>
        </row>
        <row r="36">
          <cell r="A36" t="str">
            <v>m36</v>
          </cell>
          <cell r="B36" t="str">
            <v>Esmalte Negro</v>
          </cell>
          <cell r="C36" t="str">
            <v>GL</v>
          </cell>
          <cell r="D36">
            <v>38000</v>
          </cell>
        </row>
        <row r="37">
          <cell r="A37" t="str">
            <v>m37</v>
          </cell>
          <cell r="B37" t="str">
            <v>PHR C 305 x 80 x 25 x 1.5mm</v>
          </cell>
          <cell r="C37" t="str">
            <v>ml</v>
          </cell>
          <cell r="D37">
            <v>25000</v>
          </cell>
        </row>
        <row r="38">
          <cell r="A38" t="str">
            <v>m38</v>
          </cell>
          <cell r="B38" t="str">
            <v>Varilla Lisa 1/2" - Con 5cm de rosca en ambas puntas</v>
          </cell>
          <cell r="C38" t="str">
            <v>Ml</v>
          </cell>
          <cell r="D38">
            <v>4500</v>
          </cell>
        </row>
        <row r="39">
          <cell r="A39" t="str">
            <v>m39</v>
          </cell>
          <cell r="B39" t="str">
            <v>Arandela 1/2" x 25mm x 2mm</v>
          </cell>
          <cell r="C39" t="str">
            <v>Un</v>
          </cell>
          <cell r="D39">
            <v>300</v>
          </cell>
        </row>
        <row r="40">
          <cell r="A40" t="str">
            <v>m40</v>
          </cell>
          <cell r="B40" t="str">
            <v>Tuerca G.5 - Rosca 1/2"</v>
          </cell>
          <cell r="C40" t="str">
            <v>Un</v>
          </cell>
          <cell r="D40">
            <v>800</v>
          </cell>
        </row>
        <row r="41">
          <cell r="A41" t="str">
            <v>m41</v>
          </cell>
          <cell r="B41" t="str">
            <v>Cubierta Tipo Sandwich x 50 mm</v>
          </cell>
          <cell r="C41" t="str">
            <v>m2</v>
          </cell>
          <cell r="D41">
            <v>125000</v>
          </cell>
        </row>
        <row r="42">
          <cell r="A42" t="str">
            <v>m42</v>
          </cell>
          <cell r="B42" t="str">
            <v>Acabados y Tornilleria para cubierta</v>
          </cell>
          <cell r="C42" t="str">
            <v>m2</v>
          </cell>
          <cell r="D42">
            <v>7500</v>
          </cell>
        </row>
        <row r="43">
          <cell r="A43" t="str">
            <v>m43</v>
          </cell>
          <cell r="B43" t="str">
            <v>Canal Tipo Amazona</v>
          </cell>
          <cell r="C43" t="str">
            <v>ml</v>
          </cell>
          <cell r="D43">
            <v>24100</v>
          </cell>
          <cell r="F43">
            <v>72300</v>
          </cell>
          <cell r="G43">
            <v>3</v>
          </cell>
        </row>
        <row r="44">
          <cell r="A44" t="str">
            <v>m44</v>
          </cell>
          <cell r="B44" t="str">
            <v>Union para canal Tipo Amazona</v>
          </cell>
          <cell r="C44" t="str">
            <v>Un</v>
          </cell>
          <cell r="D44">
            <v>14300</v>
          </cell>
        </row>
        <row r="45">
          <cell r="A45" t="str">
            <v>m45</v>
          </cell>
          <cell r="B45" t="str">
            <v>Soporte para Canal Tipo Amazona</v>
          </cell>
          <cell r="C45" t="str">
            <v>Un</v>
          </cell>
          <cell r="D45">
            <v>1900</v>
          </cell>
        </row>
        <row r="46">
          <cell r="A46" t="str">
            <v>m46</v>
          </cell>
          <cell r="B46" t="str">
            <v>Union Bajante Canal Tipo Amazona</v>
          </cell>
          <cell r="C46" t="str">
            <v>Un</v>
          </cell>
          <cell r="D46">
            <v>19300</v>
          </cell>
        </row>
        <row r="47">
          <cell r="A47" t="str">
            <v>m47</v>
          </cell>
          <cell r="B47" t="str">
            <v>Bajante para canal Ripo Amazona</v>
          </cell>
          <cell r="C47" t="str">
            <v>Ml</v>
          </cell>
          <cell r="D47">
            <v>19500</v>
          </cell>
          <cell r="F47">
            <v>58500</v>
          </cell>
          <cell r="G47">
            <v>3</v>
          </cell>
        </row>
        <row r="48">
          <cell r="A48" t="str">
            <v>m48</v>
          </cell>
          <cell r="B48" t="str">
            <v>Soporte Bajante Pavco</v>
          </cell>
          <cell r="C48" t="str">
            <v>Un</v>
          </cell>
          <cell r="D48">
            <v>2000</v>
          </cell>
        </row>
        <row r="49">
          <cell r="A49" t="str">
            <v>m49</v>
          </cell>
          <cell r="B49" t="str">
            <v>Enchape para Piso</v>
          </cell>
          <cell r="C49" t="str">
            <v>M2</v>
          </cell>
          <cell r="D49">
            <v>25000</v>
          </cell>
        </row>
        <row r="50">
          <cell r="A50" t="str">
            <v>m50</v>
          </cell>
          <cell r="B50" t="str">
            <v>Pega Piso - Sika</v>
          </cell>
          <cell r="C50" t="str">
            <v>Kg</v>
          </cell>
          <cell r="D50">
            <v>600</v>
          </cell>
          <cell r="F50">
            <v>30000</v>
          </cell>
          <cell r="G50">
            <v>50</v>
          </cell>
        </row>
        <row r="51">
          <cell r="A51" t="str">
            <v>m51</v>
          </cell>
          <cell r="B51" t="str">
            <v>Boquilla</v>
          </cell>
          <cell r="C51" t="str">
            <v>Kg</v>
          </cell>
          <cell r="D51">
            <v>2500</v>
          </cell>
          <cell r="F51">
            <v>12500</v>
          </cell>
          <cell r="G51">
            <v>5</v>
          </cell>
        </row>
        <row r="52">
          <cell r="A52" t="str">
            <v>m52</v>
          </cell>
          <cell r="B52" t="str">
            <v>Piso Granito Pulido - 30 x 30</v>
          </cell>
          <cell r="C52" t="str">
            <v>M2</v>
          </cell>
          <cell r="D52">
            <v>35000</v>
          </cell>
        </row>
        <row r="53">
          <cell r="A53" t="str">
            <v>m53</v>
          </cell>
          <cell r="B53" t="str">
            <v>Enchape de Muros</v>
          </cell>
          <cell r="C53" t="str">
            <v>M2</v>
          </cell>
          <cell r="D53">
            <v>26000</v>
          </cell>
        </row>
        <row r="54">
          <cell r="A54" t="str">
            <v>m54</v>
          </cell>
          <cell r="B54" t="str">
            <v>Cemento Blanco - Argos</v>
          </cell>
          <cell r="C54" t="str">
            <v>Kg</v>
          </cell>
          <cell r="D54">
            <v>900</v>
          </cell>
          <cell r="F54">
            <v>45000</v>
          </cell>
          <cell r="G54">
            <v>50</v>
          </cell>
        </row>
        <row r="55">
          <cell r="A55" t="str">
            <v>m55</v>
          </cell>
          <cell r="B55" t="str">
            <v>Piedra Para Pulir - Gruesa</v>
          </cell>
          <cell r="C55" t="str">
            <v>Un</v>
          </cell>
          <cell r="D55">
            <v>60000</v>
          </cell>
        </row>
        <row r="56">
          <cell r="A56" t="str">
            <v>m56</v>
          </cell>
          <cell r="B56" t="str">
            <v>Piedra Para Pulir . Fina</v>
          </cell>
          <cell r="C56" t="str">
            <v>Un</v>
          </cell>
          <cell r="D56">
            <v>60000</v>
          </cell>
        </row>
        <row r="57">
          <cell r="A57" t="str">
            <v>m57</v>
          </cell>
          <cell r="B57" t="str">
            <v>Tabla 0,10 x 0,02 x 3.0 - Cepilla y canteada por un lado</v>
          </cell>
          <cell r="C57" t="str">
            <v>Un</v>
          </cell>
          <cell r="D57">
            <v>8500</v>
          </cell>
        </row>
        <row r="58">
          <cell r="A58" t="str">
            <v>m58</v>
          </cell>
          <cell r="B58" t="str">
            <v>SikaMastik</v>
          </cell>
          <cell r="C58" t="str">
            <v>Kg</v>
          </cell>
          <cell r="D58">
            <v>1741</v>
          </cell>
          <cell r="F58">
            <v>47000</v>
          </cell>
          <cell r="G58">
            <v>27</v>
          </cell>
        </row>
        <row r="59">
          <cell r="A59" t="str">
            <v>m59</v>
          </cell>
          <cell r="B59" t="str">
            <v>Pintuco Vinilo T1</v>
          </cell>
          <cell r="C59" t="str">
            <v>Gl</v>
          </cell>
          <cell r="D59">
            <v>34400</v>
          </cell>
          <cell r="F59">
            <v>200000</v>
          </cell>
          <cell r="G59">
            <v>5</v>
          </cell>
        </row>
        <row r="60">
          <cell r="A60" t="str">
            <v>m60</v>
          </cell>
          <cell r="B60" t="str">
            <v>Koraza</v>
          </cell>
          <cell r="C60" t="str">
            <v>Gl</v>
          </cell>
          <cell r="D60">
            <v>54200</v>
          </cell>
          <cell r="F60">
            <v>370000</v>
          </cell>
          <cell r="G60">
            <v>5</v>
          </cell>
        </row>
        <row r="61">
          <cell r="A61" t="str">
            <v>m61</v>
          </cell>
          <cell r="B61" t="str">
            <v>Sub-Base</v>
          </cell>
          <cell r="C61" t="str">
            <v>M3</v>
          </cell>
          <cell r="D61">
            <v>55000</v>
          </cell>
        </row>
        <row r="62">
          <cell r="A62" t="str">
            <v>m62</v>
          </cell>
          <cell r="B62" t="str">
            <v>Sardinel - 0.40 x 0.20 x 0.8</v>
          </cell>
          <cell r="C62" t="str">
            <v>Un</v>
          </cell>
          <cell r="D62">
            <v>40000</v>
          </cell>
        </row>
        <row r="63">
          <cell r="A63" t="str">
            <v>m63</v>
          </cell>
          <cell r="B63" t="str">
            <v>Caseton</v>
          </cell>
          <cell r="C63" t="str">
            <v>m3</v>
          </cell>
          <cell r="D63">
            <v>2000</v>
          </cell>
        </row>
        <row r="64">
          <cell r="A64" t="str">
            <v>m64</v>
          </cell>
          <cell r="B64" t="str">
            <v>Tubo PVC Presion 1/2"</v>
          </cell>
          <cell r="C64" t="str">
            <v>Ml</v>
          </cell>
          <cell r="D64">
            <v>1816.6666666666667</v>
          </cell>
        </row>
        <row r="65">
          <cell r="A65" t="str">
            <v>m65</v>
          </cell>
          <cell r="B65" t="str">
            <v>Accesorio PVC Presion 1/2"</v>
          </cell>
          <cell r="C65" t="str">
            <v>Un</v>
          </cell>
          <cell r="D65">
            <v>500</v>
          </cell>
        </row>
        <row r="66">
          <cell r="A66" t="str">
            <v>m66</v>
          </cell>
          <cell r="B66" t="str">
            <v>Tubo PVC Presion 3/4"</v>
          </cell>
          <cell r="C66" t="str">
            <v>Ml</v>
          </cell>
          <cell r="D66">
            <v>1983.3333333333333</v>
          </cell>
        </row>
        <row r="67">
          <cell r="A67" t="str">
            <v>m67</v>
          </cell>
          <cell r="B67" t="str">
            <v>Accesorio PVC Presion 3/4"</v>
          </cell>
          <cell r="C67" t="str">
            <v>Un</v>
          </cell>
          <cell r="D67">
            <v>1000</v>
          </cell>
        </row>
        <row r="68">
          <cell r="A68" t="str">
            <v>m68</v>
          </cell>
          <cell r="B68" t="str">
            <v>Tubo PVC Presion 1"</v>
          </cell>
          <cell r="C68" t="str">
            <v>Ml</v>
          </cell>
          <cell r="D68">
            <v>2650</v>
          </cell>
        </row>
        <row r="69">
          <cell r="A69" t="str">
            <v>m69</v>
          </cell>
          <cell r="B69" t="str">
            <v>Accesorio PVC Presion 1"</v>
          </cell>
          <cell r="C69" t="str">
            <v>Un</v>
          </cell>
          <cell r="D69">
            <v>2000</v>
          </cell>
        </row>
        <row r="70">
          <cell r="A70" t="str">
            <v>m70</v>
          </cell>
          <cell r="B70" t="str">
            <v>Tubo PVC Presion 2" - 200 psi</v>
          </cell>
          <cell r="C70" t="str">
            <v>Ml</v>
          </cell>
          <cell r="D70">
            <v>21817</v>
          </cell>
        </row>
        <row r="71">
          <cell r="A71" t="str">
            <v>m71</v>
          </cell>
          <cell r="B71" t="str">
            <v>Accesorio PVC Presion 2"</v>
          </cell>
          <cell r="C71" t="str">
            <v>Un</v>
          </cell>
          <cell r="D71">
            <v>19000</v>
          </cell>
        </row>
        <row r="72">
          <cell r="A72" t="str">
            <v>m72</v>
          </cell>
          <cell r="B72" t="str">
            <v>Pegante PVC</v>
          </cell>
          <cell r="C72">
            <v>0.25</v>
          </cell>
          <cell r="D72">
            <v>50900</v>
          </cell>
        </row>
        <row r="73">
          <cell r="A73" t="str">
            <v>m73</v>
          </cell>
          <cell r="B73" t="str">
            <v>Limpiador PVC</v>
          </cell>
          <cell r="C73">
            <v>0.25</v>
          </cell>
          <cell r="D73">
            <v>24900</v>
          </cell>
        </row>
        <row r="74">
          <cell r="A74" t="str">
            <v>m74</v>
          </cell>
          <cell r="B74" t="str">
            <v xml:space="preserve">Valvula antivandalica 1-1/2" - </v>
          </cell>
          <cell r="C74" t="str">
            <v>un</v>
          </cell>
          <cell r="D74">
            <v>266000</v>
          </cell>
        </row>
        <row r="75">
          <cell r="A75" t="str">
            <v>m75</v>
          </cell>
          <cell r="B75" t="str">
            <v>Incluye tuberia 1-1/2" y Codo Metalico para conexión a Sanitario</v>
          </cell>
          <cell r="C75" t="str">
            <v>un</v>
          </cell>
          <cell r="D75">
            <v>190000</v>
          </cell>
        </row>
        <row r="76">
          <cell r="A76" t="str">
            <v>m76</v>
          </cell>
          <cell r="B76" t="str">
            <v>Cinta Teflon</v>
          </cell>
          <cell r="C76" t="str">
            <v>Rollo</v>
          </cell>
          <cell r="D76">
            <v>1000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Cantidades"/>
      <sheetName val="A.P.U"/>
      <sheetName val="Hoja1"/>
      <sheetName val="Insumos"/>
      <sheetName val="Analisis Mano de Obra"/>
      <sheetName val="Analisis Factor Prestacional"/>
      <sheetName val="AIU"/>
      <sheetName val="Programación"/>
      <sheetName val="Analisis AIU"/>
    </sheetNames>
    <sheetDataSet>
      <sheetData sheetId="0"/>
      <sheetData sheetId="1"/>
      <sheetData sheetId="2">
        <row r="10">
          <cell r="B10" t="str">
            <v>P-1</v>
          </cell>
          <cell r="C10" t="str">
            <v>PRELIMINARES</v>
          </cell>
        </row>
        <row r="11">
          <cell r="B11" t="str">
            <v>P-1.47</v>
          </cell>
          <cell r="C11" t="str">
            <v>BODEGA PARA CAMPAMENTO (INCLUYE ADECUACIONES)</v>
          </cell>
          <cell r="D11" t="str">
            <v>m2-mes</v>
          </cell>
        </row>
        <row r="12">
          <cell r="B12" t="str">
            <v>P-1.50</v>
          </cell>
          <cell r="C12" t="str">
            <v>INSTALACION PROVISIONAL DE ACUEDUCTO</v>
          </cell>
          <cell r="D12" t="str">
            <v>und</v>
          </cell>
        </row>
        <row r="13">
          <cell r="B13" t="str">
            <v>P-1.51</v>
          </cell>
          <cell r="C13" t="str">
            <v>INSTALACION PROVISIONAL DE ENERGIA</v>
          </cell>
          <cell r="D13" t="str">
            <v>und</v>
          </cell>
        </row>
        <row r="14">
          <cell r="B14" t="str">
            <v>P-1.1</v>
          </cell>
          <cell r="C14" t="str">
            <v>LOCALIZACION Y REPLANTEO EDIFICIO</v>
          </cell>
          <cell r="D14" t="str">
            <v>m2</v>
          </cell>
        </row>
        <row r="15">
          <cell r="B15" t="str">
            <v>P-1.54</v>
          </cell>
          <cell r="C15" t="str">
            <v>SUMINISTRO, TRANSPORTE E INSTALACION SEÑAL PREVENTIVA, REGLAMENTARIA E INFORMATIVA</v>
          </cell>
          <cell r="D15" t="str">
            <v>und</v>
          </cell>
        </row>
        <row r="16">
          <cell r="B16" t="str">
            <v>P-1.52</v>
          </cell>
          <cell r="C16" t="str">
            <v>SUMINISTRO, TRANSPORTE E INSTALACION VALLA INFORMATIVA GENERAL DEL PROYECTO</v>
          </cell>
          <cell r="D16" t="str">
            <v>m2</v>
          </cell>
        </row>
        <row r="17">
          <cell r="B17" t="str">
            <v>P-1.44</v>
          </cell>
          <cell r="C17" t="str">
            <v xml:space="preserve">DESCAPOTE MANUAL e=0.20 m. </v>
          </cell>
          <cell r="D17" t="str">
            <v>m2</v>
          </cell>
        </row>
        <row r="18">
          <cell r="B18" t="str">
            <v>DE-29.7</v>
          </cell>
          <cell r="C18" t="str">
            <v>DEMOLICIÓN DE ANDENES Y SARDINELES EN CONCRETO HIDRÁULICO</v>
          </cell>
          <cell r="D18" t="str">
            <v>m3</v>
          </cell>
        </row>
        <row r="19">
          <cell r="B19" t="str">
            <v>P-1.74</v>
          </cell>
          <cell r="C19" t="str">
            <v>EVACUACION ESCOMBROS Y SOBRANTES EN VEHICULO AUTOMOTOR MEDIDO EN BANCO</v>
          </cell>
          <cell r="D19" t="str">
            <v>m3</v>
          </cell>
        </row>
        <row r="20">
          <cell r="B20" t="str">
            <v>P-1.49</v>
          </cell>
          <cell r="C20" t="str">
            <v>SUMINISTRO, TRANSPORTE E INSTALACIÓN CERRAMIENTO EN YUTE H= 2 M</v>
          </cell>
          <cell r="D20" t="str">
            <v>ml</v>
          </cell>
        </row>
        <row r="21">
          <cell r="B21" t="str">
            <v>P-1.61</v>
          </cell>
          <cell r="C21" t="str">
            <v xml:space="preserve">SUMINISTRO, TRANSPORTE E INSTALACION CORDÓN PARA CONTROL DE AGUAS LLUVIAS                                 </v>
          </cell>
          <cell r="D21" t="str">
            <v>ml</v>
          </cell>
        </row>
        <row r="22">
          <cell r="B22" t="str">
            <v>P-1.42</v>
          </cell>
          <cell r="C22" t="str">
            <v>LOCALIZACION Y REPLANTEO REDES INCLUYE PLANO RECORD</v>
          </cell>
          <cell r="D22" t="str">
            <v>Día</v>
          </cell>
        </row>
        <row r="23">
          <cell r="C23" t="str">
            <v>Total  PRELIMINARES</v>
          </cell>
        </row>
        <row r="24">
          <cell r="B24" t="str">
            <v>MT-2</v>
          </cell>
          <cell r="C24" t="str">
            <v>MOVIMIENTO DE TIERRAS</v>
          </cell>
        </row>
        <row r="25">
          <cell r="B25" t="str">
            <v>MT-2.1</v>
          </cell>
          <cell r="C25" t="str">
            <v xml:space="preserve">EXCAVACIÓN EN ZANJA - MATERIAL COMÚN - 0.0 A 2.0 M                                                     </v>
          </cell>
          <cell r="D25" t="str">
            <v>m3</v>
          </cell>
        </row>
        <row r="26">
          <cell r="B26" t="str">
            <v>MT-2.39</v>
          </cell>
          <cell r="C26" t="str">
            <v xml:space="preserve">EXCAVACION MECANICA EN MATERIAL COMUN </v>
          </cell>
          <cell r="D26" t="str">
            <v>m3</v>
          </cell>
        </row>
        <row r="27">
          <cell r="B27" t="str">
            <v>MT-2.67</v>
          </cell>
          <cell r="C27" t="str">
            <v>EXCAVACION PARA CAISSONS EN TIERRA 0-4 m CONDICIONES HUMEDAS</v>
          </cell>
          <cell r="D27" t="str">
            <v>m3</v>
          </cell>
        </row>
        <row r="28">
          <cell r="B28" t="str">
            <v>MT-2.68</v>
          </cell>
          <cell r="C28" t="str">
            <v>EXCAVACION PARA CAISSONS EN TIERRA 4-8 m CONDICIONES HUMEDAS</v>
          </cell>
          <cell r="D28" t="str">
            <v>m3</v>
          </cell>
        </row>
        <row r="29">
          <cell r="B29" t="str">
            <v>MT-2.71</v>
          </cell>
          <cell r="C29" t="str">
            <v>EXCAVACION PARA CAISSONS EN TIERRA 8-12m CONDICIONES HUMEDAS</v>
          </cell>
          <cell r="D29" t="str">
            <v>m3</v>
          </cell>
        </row>
        <row r="30">
          <cell r="B30" t="str">
            <v>MT-2.72</v>
          </cell>
          <cell r="C30" t="str">
            <v>EXCAVACION PARA CAISSONS EN TIERRA 12-16 MTS , CONDICIONES HUMEDAS</v>
          </cell>
          <cell r="D30" t="str">
            <v>m3</v>
          </cell>
        </row>
        <row r="31">
          <cell r="B31" t="str">
            <v>MT-2.10</v>
          </cell>
          <cell r="C31" t="str">
            <v>EXCAVACIÓN PARA ESTRUCTURAS - MATERIAL COMÚN - 0.0 A 2.0 M</v>
          </cell>
          <cell r="D31" t="str">
            <v>m3</v>
          </cell>
        </row>
        <row r="32">
          <cell r="B32" t="str">
            <v>MT-2.30</v>
          </cell>
          <cell r="C32" t="str">
            <v>EXCAVACION PARA PILOTES D=40 cm</v>
          </cell>
          <cell r="D32" t="str">
            <v>m3</v>
          </cell>
        </row>
        <row r="33">
          <cell r="B33" t="str">
            <v>MT-2.53</v>
          </cell>
          <cell r="C33" t="str">
            <v xml:space="preserve">SUMINISTRO, TRANSPORTE E INSTALACIÓN RELLENO COMPACTADO CON MATERIAL DE PRESTAMO </v>
          </cell>
          <cell r="D33" t="str">
            <v>m3</v>
          </cell>
        </row>
        <row r="34">
          <cell r="B34" t="str">
            <v>MT-2.52</v>
          </cell>
          <cell r="C34" t="str">
            <v>FILTRO EN PIEDRA</v>
          </cell>
          <cell r="D34" t="str">
            <v>m3</v>
          </cell>
        </row>
        <row r="35">
          <cell r="B35" t="str">
            <v>MT-2.55</v>
          </cell>
          <cell r="C35" t="str">
            <v>RETIRO DE MATERIAL SOBRANTE EN VOLQUETA, CARGUE MECANICO</v>
          </cell>
          <cell r="D35" t="str">
            <v>m3</v>
          </cell>
        </row>
        <row r="36">
          <cell r="C36" t="str">
            <v>Total  MOVIMIENTO DE TIERRAS</v>
          </cell>
        </row>
        <row r="37">
          <cell r="B37" t="str">
            <v>C-2</v>
          </cell>
          <cell r="C37" t="str">
            <v>CIMIENTOS</v>
          </cell>
        </row>
        <row r="38">
          <cell r="B38" t="str">
            <v>C-2.3</v>
          </cell>
          <cell r="C38" t="str">
            <v>SUMINISTRO, TRANSPORTE E INSTALACION SOLADO DE LIMPIEZA 2.000 PSI  E = 5 cm</v>
          </cell>
          <cell r="D38" t="str">
            <v>m2</v>
          </cell>
        </row>
        <row r="39">
          <cell r="B39" t="str">
            <v>C-2.15</v>
          </cell>
          <cell r="C39" t="str">
            <v>SUMINISTRO, TRANSPORTE E INSTALACION CAISSONS 3000 PSI</v>
          </cell>
          <cell r="D39" t="str">
            <v>m3</v>
          </cell>
        </row>
        <row r="40">
          <cell r="B40" t="str">
            <v>C-2.21</v>
          </cell>
          <cell r="C40" t="str">
            <v>SUMINISTRO, TRANSPORTE E INSTALACION SOBRE CIMIENTO h=0,20  m REVOQUE IMPERMEABILIZADO 2 CARAS</v>
          </cell>
          <cell r="D40" t="str">
            <v>m2</v>
          </cell>
        </row>
        <row r="41">
          <cell r="B41" t="str">
            <v>C-2.5</v>
          </cell>
          <cell r="C41" t="str">
            <v xml:space="preserve">SUMINISTRO, TRANSPORTE E INSTALACION VIGA CIMENTACION CONCRETO 3000 PSI  </v>
          </cell>
          <cell r="D41" t="str">
            <v>m3</v>
          </cell>
        </row>
        <row r="42">
          <cell r="B42" t="str">
            <v>C-2.8</v>
          </cell>
          <cell r="C42" t="str">
            <v>SUMINISTRO, TRANSPORTE E INSTALACION ZARPA PARA MURO DE CONTENCION CONCRETO 3000 PSI</v>
          </cell>
          <cell r="D42" t="str">
            <v>m3</v>
          </cell>
        </row>
        <row r="43">
          <cell r="B43" t="str">
            <v>C-2.23</v>
          </cell>
          <cell r="C43" t="str">
            <v>SUMINISTRO, TRANSPORTE E INSTALACION CAPITEL DE CAISSON EN CONCRETO 3000 PSI</v>
          </cell>
          <cell r="D43" t="str">
            <v>m3</v>
          </cell>
        </row>
        <row r="44">
          <cell r="B44" t="str">
            <v>C-2.24</v>
          </cell>
          <cell r="C44" t="str">
            <v>SUMINISTRO, TRANSPORTE E INSTALACION DE ANILLO DE PROTECCIÓN PARA CAISSON CONCRETO CAISSONS 3000 PSI</v>
          </cell>
          <cell r="D44" t="str">
            <v>m3</v>
          </cell>
        </row>
        <row r="45">
          <cell r="C45" t="str">
            <v>Total  CIMIENTOS</v>
          </cell>
        </row>
        <row r="46">
          <cell r="B46" t="str">
            <v>S-3</v>
          </cell>
          <cell r="C46" t="str">
            <v>DESAGUES E INSTALACIONES SANITARIAS</v>
          </cell>
        </row>
        <row r="47">
          <cell r="B47" t="str">
            <v>S-3.12</v>
          </cell>
          <cell r="C47" t="str">
            <v>SUMINISTRO, TRANSPORTE E INSTALACION BAJANTE AGUAS LLUVIAS  PVC   6"   (INCLUYE CODO, UNION Y ACCESORIOS DE FIJACION)</v>
          </cell>
          <cell r="D47" t="str">
            <v>ml</v>
          </cell>
        </row>
        <row r="48">
          <cell r="B48" t="str">
            <v>S-3.9</v>
          </cell>
          <cell r="C48" t="str">
            <v>SUMINISTRO, TRANSPORTE E INSTALACION BAJANTE AGUAS NEGRAS  PVC   6"   (INCLUYE CODO, UNION Y ACCESORIOS DE FIJACION)</v>
          </cell>
          <cell r="D48" t="str">
            <v>ml</v>
          </cell>
        </row>
        <row r="49">
          <cell r="B49" t="str">
            <v>S-3.8</v>
          </cell>
          <cell r="C49" t="str">
            <v>SUMINISTRO, TRANSPORTE E INSTALACION BAJANTE AGUAS NEGRAS  PVC   4"   (INCLUYE CODO, UNION Y ACCESORIOS DE FIJACION)</v>
          </cell>
          <cell r="D49" t="str">
            <v>ml</v>
          </cell>
        </row>
        <row r="50">
          <cell r="B50" t="str">
            <v>S-3.4</v>
          </cell>
          <cell r="C50" t="str">
            <v>SUMINISTRO, TRANSPORTE E INSTALACION CAJA DE INSPECCION  0.80*0.80*1 m.  (Incluye, ladrillo común, marco en angulo 2 1/2 x 2 1/2 * 3/16" y tapa reforzada en platina de 3 * 3/16" con parrilla en varilla 3/8 cada 10 cm.).</v>
          </cell>
          <cell r="D50" t="str">
            <v>und</v>
          </cell>
        </row>
        <row r="51">
          <cell r="B51" t="str">
            <v>S-3.2</v>
          </cell>
          <cell r="C51" t="str">
            <v>SUMINISTRO, TRANSPORTE E INSTALACION CAJA DE INSPECCION 0.40*0.40*0.40 m.(INCLUYE, LADRILLO COMÚN, MARCO EN ANGULO 1 1/2 X 1 1/2 * 1/8" Y TAPA REFORZADA EN PLATINA DE 2 * 1/8" CON PARRILLA EN VARILLA 3/8 CADA 10 CM.)</v>
          </cell>
          <cell r="D51" t="str">
            <v>und</v>
          </cell>
        </row>
        <row r="52">
          <cell r="B52" t="str">
            <v>S-3.65</v>
          </cell>
          <cell r="C52" t="str">
            <v>SUMINISTRO, TRANSPORTE E INSTALACION CARCAMO  A=0.20 m.  H=0.20 m. CON REJILLA EN FUNDICION DE HIERRO (Incluye rejilla fundición de hierro gris ref. CAR -30x50 cm.)</v>
          </cell>
          <cell r="D52" t="str">
            <v>ml</v>
          </cell>
        </row>
        <row r="53">
          <cell r="B53" t="str">
            <v>S-3.63</v>
          </cell>
          <cell r="C53" t="str">
            <v>SUMINISTRO, TRANSPORTE E INSTALACION CARCAMO  A=0.30 m.  H=0.20 m. CON REJILLA PREFABRICADA (Incluye rejilla prefabricada concreto)</v>
          </cell>
          <cell r="D53" t="str">
            <v>ml</v>
          </cell>
        </row>
        <row r="54">
          <cell r="B54" t="str">
            <v>S-3.13</v>
          </cell>
          <cell r="C54" t="str">
            <v>SUMINISTRO, TRANSPORTE E INSTALACION PUNTO DESAGUE PVC   2" Aparatos sanitarios y desagues  (INCLUYE CODO, YEE Y ACCESORIOS)</v>
          </cell>
          <cell r="D54" t="str">
            <v>und</v>
          </cell>
        </row>
        <row r="55">
          <cell r="B55" t="str">
            <v>S-3.15</v>
          </cell>
          <cell r="C55" t="str">
            <v>SUMINISTRO, TRANSPORTE E INSTALACION PUNTO DESAGUE PVC   4" Aparatos sanitarios (INCLUYE CODO, YEE Y ACCESORIOS)</v>
          </cell>
          <cell r="D55" t="str">
            <v>und</v>
          </cell>
        </row>
        <row r="56">
          <cell r="B56" t="str">
            <v>S-3.18</v>
          </cell>
          <cell r="C56" t="str">
            <v>SUMINISTRO, TRANSPORTE E INSTALACION PUNTO REVENTILACION PVC   2" (Incluye accesorios de  conexión unión y yee ).</v>
          </cell>
          <cell r="D56" t="str">
            <v>und</v>
          </cell>
        </row>
        <row r="57">
          <cell r="B57" t="str">
            <v>S-3.66</v>
          </cell>
          <cell r="C57" t="str">
            <v xml:space="preserve">SUMINISTRO, TRANSPORTE E INSTALACION REJILLA  Aluminio  3" x 2"  con Sosco Tradicional  - Ref. T-3"x2"  </v>
          </cell>
          <cell r="D57" t="str">
            <v>und</v>
          </cell>
        </row>
        <row r="58">
          <cell r="B58" t="str">
            <v>S-3.22</v>
          </cell>
          <cell r="C58" t="str">
            <v>SUMINISTRO, TRANSPORTE E INSTALACION TUBERIA PVC-S 1 1/2" (VENTILACION Y AGUAS LLUVIAS, INCLUYE ACCESORIOS)</v>
          </cell>
          <cell r="D58" t="str">
            <v>ml</v>
          </cell>
        </row>
        <row r="59">
          <cell r="B59" t="str">
            <v>S-3.31</v>
          </cell>
          <cell r="C59" t="str">
            <v>SUMINISTRO, TRANSPORTE E INSTALACION TUBERIA PVC-S 2" (RED SANITARIA DESCOLGADA, INCLUYE ACCESORIOS)</v>
          </cell>
          <cell r="D59" t="str">
            <v>ml</v>
          </cell>
        </row>
        <row r="60">
          <cell r="B60" t="str">
            <v>S-3.23</v>
          </cell>
          <cell r="C60" t="str">
            <v>SUMINISTRO, TRANSPORTE E INSTALACION TUBERIA PVC-S 2" (VENTILACION Y AGUAS LLUVIAS, INCLUYE ACCESORIOS)</v>
          </cell>
          <cell r="D60" t="str">
            <v>ml</v>
          </cell>
        </row>
        <row r="61">
          <cell r="B61" t="str">
            <v>S-3.33</v>
          </cell>
          <cell r="C61" t="str">
            <v>SUMINISTRO, TRANSPORTE E INSTALACION TUBERIA PVC-S 4" (RED SANITARIA DESCOLGADA, INCLUYE ACCESORIOS)</v>
          </cell>
          <cell r="D61" t="str">
            <v>ml</v>
          </cell>
        </row>
        <row r="62">
          <cell r="B62" t="str">
            <v>S-3.34</v>
          </cell>
          <cell r="C62" t="str">
            <v>SUMINISTRO, TRANSPORTE E INSTALACION TUBERIA PVC-S 6" (RED SANITARIA DESCOLGADA, INCLUYE ACCESORIOS)</v>
          </cell>
          <cell r="D62" t="str">
            <v>ml</v>
          </cell>
        </row>
        <row r="63">
          <cell r="C63" t="str">
            <v xml:space="preserve">Total  DESAGUES E INSTALACIONES SANITARIAS </v>
          </cell>
        </row>
        <row r="64">
          <cell r="B64" t="str">
            <v>PB-4</v>
          </cell>
          <cell r="C64" t="str">
            <v>PISOS-BASES-RELLENOS</v>
          </cell>
        </row>
        <row r="65">
          <cell r="B65" t="str">
            <v>PB-4.3</v>
          </cell>
          <cell r="C65" t="str">
            <v>SUMINISTRO, TRANSPORTE E INSTALACION POLIETILENO CAL. 6 (Impermeabilización piso)</v>
          </cell>
          <cell r="D65" t="str">
            <v>m2</v>
          </cell>
        </row>
        <row r="66">
          <cell r="B66" t="str">
            <v>PB-4.2</v>
          </cell>
          <cell r="C66" t="str">
            <v>SUMINISTRO, TRANSPORTE E INSTALACION RELLENO CON BASE GRANULAR B-400 COMPACTADO AL 100% DEL PROCTOR</v>
          </cell>
          <cell r="D66" t="str">
            <v>m3</v>
          </cell>
        </row>
        <row r="67">
          <cell r="B67" t="str">
            <v>PB-4.13</v>
          </cell>
          <cell r="C67" t="str">
            <v>SUMINISTRO, TRANSPORTE E INSTALACION AFIRMADO COMPACTADO PARA ESTRUCTURAS</v>
          </cell>
          <cell r="D67" t="str">
            <v>m3</v>
          </cell>
        </row>
        <row r="68">
          <cell r="C68" t="str">
            <v>Total  PISOS - BASES - RELLENOS</v>
          </cell>
        </row>
        <row r="69">
          <cell r="B69" t="str">
            <v>EC-5</v>
          </cell>
          <cell r="C69" t="str">
            <v>ESTRUCTURAS EN CONCRETO, METALICAS Y DE MADERA</v>
          </cell>
        </row>
        <row r="70">
          <cell r="B70" t="str">
            <v>EC-5.1</v>
          </cell>
          <cell r="C70" t="str">
            <v>ACERO 60.000 PSI (Incluye alambre negro y figuración )</v>
          </cell>
          <cell r="D70" t="str">
            <v>kg</v>
          </cell>
        </row>
        <row r="71">
          <cell r="B71" t="str">
            <v>EC-5.77</v>
          </cell>
          <cell r="C71" t="str">
            <v>SUMINISTRO, TRANSPORTE E INSTALACION ACERO 60.000 psi para Templetes o tirantillos  y cortavientos ( Incluye soldadura, anticorrosivo y esmalte )</v>
          </cell>
          <cell r="D71" t="str">
            <v>kg</v>
          </cell>
        </row>
        <row r="72">
          <cell r="B72" t="str">
            <v>EC-5.47</v>
          </cell>
          <cell r="C72" t="str">
            <v>SUMINISTRO, TRANSPORTE E INSTALACION ALBARDILLAS PROTECCION MUROS  EN CONCRETO DE 3000 PSI</v>
          </cell>
          <cell r="D72" t="str">
            <v>ml</v>
          </cell>
        </row>
        <row r="73">
          <cell r="B73" t="str">
            <v>EC-5.62</v>
          </cell>
          <cell r="C73" t="str">
            <v xml:space="preserve">SUMINISTRO, TRANSPORTE E INSTALACION COLUMNAS CONCRETO 4000 PSI  A LA VISTA </v>
          </cell>
          <cell r="D73" t="str">
            <v>m3</v>
          </cell>
        </row>
        <row r="74">
          <cell r="B74" t="str">
            <v>EC-5.38</v>
          </cell>
          <cell r="C74" t="str">
            <v>SUMINISTRO, TRANSPORTE E INSTALACION COLUMNETA CONFINAMIENTO CONCRETO 3000 PSI  0.20 x 0.12 m.</v>
          </cell>
          <cell r="D74" t="str">
            <v>ml</v>
          </cell>
        </row>
        <row r="75">
          <cell r="B75" t="str">
            <v>EC-5.73</v>
          </cell>
          <cell r="C75" t="str">
            <v>SUMINISTRO, TRANSPORTE E INSTALACION ESTRUCTURA Perfil Lámina Delgada PHR ASTM A500 Grado 50. Calibre según diseño (Incluye vigas, cerchas, correas, anticorrosivo y esmalte)</v>
          </cell>
          <cell r="D75" t="str">
            <v>kg</v>
          </cell>
        </row>
        <row r="76">
          <cell r="B76" t="str">
            <v>EC-5.56</v>
          </cell>
          <cell r="C76" t="str">
            <v>SUMINISTRO, TRANSPORTE E INSTALACION JUNTA DE DILATACION PARA PLACA CONTRAPISO (Inlcuye sellante)</v>
          </cell>
          <cell r="D76" t="str">
            <v>ml</v>
          </cell>
        </row>
        <row r="77">
          <cell r="B77" t="str">
            <v>EC-5.17</v>
          </cell>
          <cell r="C77" t="str">
            <v xml:space="preserve">SUMINISTRO, TRANSPORTE E INSTALACION LOSA DE ENTREPISO ALIGERADA CON CASETON DE GUADUA h= 0.35 m. Torta superior 5cm. e inferior de 3 cm. Concreto 4000 PSI.   </v>
          </cell>
          <cell r="D77" t="str">
            <v>m2</v>
          </cell>
        </row>
        <row r="78">
          <cell r="B78" t="str">
            <v>EC-5.7</v>
          </cell>
          <cell r="C78" t="str">
            <v>SUMINISTRO, TRANSPORTE E INSTALACION MALLA ELECTROSOLDADA M-159 Q-4 Φ 5.5mm c/.15m en ambos sentidos (Incluye alambre negro, colocación y traslapo).</v>
          </cell>
          <cell r="D78" t="str">
            <v>kg</v>
          </cell>
        </row>
        <row r="79">
          <cell r="B79" t="str">
            <v>EC-5.48</v>
          </cell>
          <cell r="C79" t="str">
            <v>SUMINISTRO, TRANSPORTE E INSTALACION MESON EN CONCRETO 3000 psi a=0.60 m e=0.08 m.</v>
          </cell>
          <cell r="D79" t="str">
            <v>ml</v>
          </cell>
        </row>
        <row r="80">
          <cell r="B80" t="str">
            <v>EC-5.75</v>
          </cell>
          <cell r="C80" t="str">
            <v>SUMINISTRO, TRANSPORTE E INSTALACION PERFILES IPE A-36  ( Incluye soldadura, anticorrosivo y esmalte + proteccion antifuego e instalacion)</v>
          </cell>
          <cell r="D80" t="str">
            <v>kg</v>
          </cell>
        </row>
        <row r="81">
          <cell r="B81" t="str">
            <v>EC-5.13</v>
          </cell>
          <cell r="C81" t="str">
            <v xml:space="preserve">SUMINISTRO, TRANSPORTE E INSTALACION PLACA CONTRAPISO CONCRETO 3000 PSI  </v>
          </cell>
          <cell r="D81" t="str">
            <v>m3</v>
          </cell>
        </row>
        <row r="82">
          <cell r="B82" t="str">
            <v>EC-5.33</v>
          </cell>
          <cell r="C82" t="str">
            <v xml:space="preserve">SUMINISTRO, TRANSPORTE E INSTALACION PLACA FOSO ASCENSOR CONCRETO 3000 PSI </v>
          </cell>
          <cell r="D82" t="str">
            <v>m3</v>
          </cell>
        </row>
        <row r="83">
          <cell r="B83" t="str">
            <v>EC-5.78</v>
          </cell>
          <cell r="C83" t="str">
            <v>SUMINISTRO, TRANSPORTE E INSTALACION PLATINAS Y ANGULOS DE UNION ACERO A-36  ( Incluye soldadura, anticorrosivo y esmalte + proteccion antifuego e instalacion)</v>
          </cell>
          <cell r="D83" t="str">
            <v>kg</v>
          </cell>
        </row>
        <row r="84">
          <cell r="B84" t="str">
            <v>EC-5.57</v>
          </cell>
          <cell r="C84" t="str">
            <v>SUMINISTRO, TRANSPORTE E INSTALACION POCETA EN CONCRETO 3000 psi  Dimensión: 1.12 * 0.70 * 0.15 m.</v>
          </cell>
          <cell r="D84" t="str">
            <v>und</v>
          </cell>
        </row>
        <row r="85">
          <cell r="B85" t="str">
            <v>EC-5.63</v>
          </cell>
          <cell r="C85" t="str">
            <v>SUMINISTRO, TRANSPORTE E INSTALACION VIGA AEREA CONCRETO 4000 PSI  A LA VISTA .</v>
          </cell>
          <cell r="D85" t="str">
            <v>m3</v>
          </cell>
        </row>
        <row r="86">
          <cell r="B86" t="str">
            <v>EC-5.36</v>
          </cell>
          <cell r="C86" t="str">
            <v>SUMINISTRO, TRANSPORTE E INSTALACION VIGUETA CONFINAMIENTO CONCRETO 3000 PSI 0.20 x 0.12 m.</v>
          </cell>
          <cell r="D86" t="str">
            <v>ml</v>
          </cell>
        </row>
        <row r="87">
          <cell r="B87" t="str">
            <v>EC-5.80</v>
          </cell>
          <cell r="C87" t="str">
            <v>SUMINISTRO, TRANSPORTE E INSTALACION CINTA SIKA PVC V - 22 para Juntas</v>
          </cell>
          <cell r="D87" t="str">
            <v>ml</v>
          </cell>
        </row>
        <row r="88">
          <cell r="B88" t="str">
            <v>ADI-32.10</v>
          </cell>
          <cell r="C88" t="str">
            <v>SUMINISTRO, TRANSPORTE E INSTALACION VIGA CANALES CONCRETO 3000 PSI 0,35M3/ML</v>
          </cell>
          <cell r="D88" t="str">
            <v>ml</v>
          </cell>
        </row>
        <row r="89">
          <cell r="C89" t="str">
            <v>Total  ESTRUCTURAS EN CONCRETO Y METALICAS</v>
          </cell>
        </row>
        <row r="90">
          <cell r="B90" t="str">
            <v>M-6</v>
          </cell>
          <cell r="C90" t="str">
            <v>MAMPOSTERIA</v>
          </cell>
        </row>
        <row r="91">
          <cell r="B91" t="str">
            <v>M-6.18</v>
          </cell>
          <cell r="C91" t="str">
            <v>SUMINISTRO, TRANSPORTE E INSTALACION DINTEL EN DRYWALL TRES TAPAS (perfileria cal. 26)  Incluye tres (3) manos de pintura</v>
          </cell>
          <cell r="D91" t="str">
            <v>ml</v>
          </cell>
        </row>
        <row r="92">
          <cell r="B92" t="str">
            <v>M-6.3</v>
          </cell>
          <cell r="C92" t="str">
            <v>SUMINISTRO, TRANSPORTE E INSTALACION MURO EN BLOQUE Nº5  Arcilla 33*23*11.5 cm.</v>
          </cell>
          <cell r="D92" t="str">
            <v>m2</v>
          </cell>
        </row>
        <row r="93">
          <cell r="B93" t="str">
            <v>M-6.15</v>
          </cell>
          <cell r="C93" t="str">
            <v>SUMINISTRO, TRANSPORTE E INSTALACION MURO EN DRYWALL DOS CARAS (Perfileria Cal. 26)  Incluye tres (3) manos de pintura</v>
          </cell>
          <cell r="D93" t="str">
            <v>m2</v>
          </cell>
        </row>
        <row r="94">
          <cell r="B94" t="str">
            <v>M-6.19</v>
          </cell>
          <cell r="C94" t="str">
            <v>SUMINISTRO, TRANSPORTE E INSTALACION MURO SUPERBOARD 8 mm. DOS CARAS ( Perfileria Cal. 26 cada 60 cm.)  Incluye tres (3) manos de pintura</v>
          </cell>
          <cell r="D94" t="str">
            <v>m2</v>
          </cell>
        </row>
        <row r="95">
          <cell r="B95" t="str">
            <v>M-6.21</v>
          </cell>
          <cell r="C95" t="str">
            <v>SUMINISTRO, TRANSPORTE E INSTALACION RECUBRIMIENTO BAJANTES AGUAS LLUVIAS EN MURO SUPERBOARD 8 mm. ( Perfileria cal. 26 cada 60 cm.)  Incluye tres (3) manos de pintura</v>
          </cell>
          <cell r="D95" t="str">
            <v>ml</v>
          </cell>
        </row>
        <row r="96">
          <cell r="C96" t="str">
            <v>Total  MAMPOSTERIA</v>
          </cell>
        </row>
        <row r="97">
          <cell r="B97" t="str">
            <v>H-7</v>
          </cell>
          <cell r="C97" t="str">
            <v>INSTALACIONES HIDRAULICAS</v>
          </cell>
        </row>
        <row r="98">
          <cell r="B98" t="str">
            <v>H-7.79</v>
          </cell>
          <cell r="C98" t="str">
            <v>SUMINISTRO, TRANSPORTE E INSTALACION ACOMETIDA  AGUA PRESION  PVC 2 ".  Incluye accesorios.</v>
          </cell>
          <cell r="D98" t="str">
            <v>ml</v>
          </cell>
        </row>
        <row r="99">
          <cell r="B99" t="str">
            <v>H-7.13</v>
          </cell>
          <cell r="C99" t="str">
            <v>SUMINISTRO, TRANSPORTE E INSTALACION CHEQUE Roscado Red White 2"  (Incluye Universal).</v>
          </cell>
          <cell r="D99" t="str">
            <v>und</v>
          </cell>
        </row>
        <row r="100">
          <cell r="B100" t="str">
            <v>H-7.77</v>
          </cell>
          <cell r="C100" t="str">
            <v xml:space="preserve">SUMINISTRO, TRANSPORTE E INSTALACION MEDIDORES AGUA  1 1/2"  (Incluye caja de 60*60*14) </v>
          </cell>
          <cell r="D100" t="str">
            <v>und</v>
          </cell>
        </row>
        <row r="101">
          <cell r="B101" t="str">
            <v>H-7.19</v>
          </cell>
          <cell r="C101" t="str">
            <v>SUMINISTRO, TRANSPORTE E INSTALACION PUNTO  AGUA FRIA  1" PVC-P ( Incluye accesorios de instalación )</v>
          </cell>
          <cell r="D101" t="str">
            <v>und</v>
          </cell>
        </row>
        <row r="102">
          <cell r="B102" t="str">
            <v>H-7.33</v>
          </cell>
          <cell r="C102" t="str">
            <v>SUMINISTRO, TRANSPORTE E INSTALACION TUBERIA PVC-P  RDE 21  1 1/4"  Agua Fria  (Red de suministro Descolgada) Incluye instalación y accesorios.</v>
          </cell>
          <cell r="D102" t="str">
            <v>ml</v>
          </cell>
        </row>
        <row r="103">
          <cell r="B103" t="str">
            <v>H-7.35</v>
          </cell>
          <cell r="C103" t="str">
            <v>SUMINISTRO, TRANSPORTE E INSTALACION TUBERIA PVC-P  RDE 21  2" Agua Fria  (Red de suministro Descolgada) Incluye instalación y accesorios.</v>
          </cell>
          <cell r="D103" t="str">
            <v>ml</v>
          </cell>
        </row>
        <row r="104">
          <cell r="B104" t="str">
            <v>H-7.85</v>
          </cell>
          <cell r="C104" t="str">
            <v>SUMINISTRO, TRANSPORTE E INSTALACION VALVULA BETA COMPUERTA ELASTICA 2" ( Hierro ductil ASTM A-536 Clase 65-48-18 ). Incluye bridas y llave de operar.</v>
          </cell>
          <cell r="D104" t="str">
            <v>und</v>
          </cell>
        </row>
        <row r="105">
          <cell r="B105" t="str">
            <v>H-7.107</v>
          </cell>
          <cell r="C105" t="str">
            <v>SUMINISTRO, TRANSPORTE E INSTALACION CAJAS REGISTROS 15*15 ( Incluye marco y tapa Ladrillo Tolete )</v>
          </cell>
          <cell r="D105" t="str">
            <v>und</v>
          </cell>
        </row>
        <row r="106">
          <cell r="C106" t="str">
            <v>Total  INSTALACIONES HIDRAULICAS</v>
          </cell>
        </row>
        <row r="107">
          <cell r="B107" t="str">
            <v>IE-8B</v>
          </cell>
          <cell r="C107" t="str">
            <v>INSTALACIONES ELECTRICAS - REDES INTERNAS</v>
          </cell>
        </row>
        <row r="108">
          <cell r="B108" t="str">
            <v>IE-8B.8</v>
          </cell>
          <cell r="C108" t="str">
            <v>SUMINISTRO, TRANSPORTE E INSTALACION ACOMETIDA 3F4H Cu THHN/THWN EN CABLE 3X8AWG + 8AWG (N). NO INCLUYE CONDULINADO.</v>
          </cell>
          <cell r="D108" t="str">
            <v>ml</v>
          </cell>
        </row>
        <row r="109">
          <cell r="B109" t="str">
            <v>IE-8B.44</v>
          </cell>
          <cell r="C109" t="str">
            <v xml:space="preserve">SUMINISTRO E INSTALACION DE TUBERIA CONDUIT EMT 3/4". </v>
          </cell>
          <cell r="D109" t="str">
            <v>ml</v>
          </cell>
        </row>
        <row r="110">
          <cell r="B110" t="str">
            <v>IE-8B.51</v>
          </cell>
          <cell r="C110" t="str">
            <v xml:space="preserve">SUMINISTRO E INSTALACION DE TUBERIA CONDUIT IMC ó RIDGID 1". </v>
          </cell>
          <cell r="D110" t="str">
            <v>ml</v>
          </cell>
        </row>
        <row r="111">
          <cell r="B111" t="str">
            <v>IE-8B.102</v>
          </cell>
          <cell r="C111" t="str">
            <v>SUMINISTRO E INSTALACION DE TABLERO DE 18 CIRCUITOS 3F5H, CON PUERTA Y ESPACIO PARA TOTALIZADOR, BARRAJE PARA 200A BARRA NEUTRO Y BARRA TIERRA  Calidad Legrand, Siemens, SqareD o superior de marca reconocida y homologada por el CIDET</v>
          </cell>
          <cell r="D111" t="str">
            <v>und</v>
          </cell>
        </row>
        <row r="112">
          <cell r="B112" t="str">
            <v>IE-8B.112</v>
          </cell>
          <cell r="C112" t="str">
            <v>SUMINISTRO E INSTALACION DE TABLERO DE 8 CIRCUITOS 2F4H, CON PUERTA. BARRAJE PARA 200A BARRA NEUTRO Y BARRA TIERRA  Calidad Legrand, Siemens, SqareD o superior de marca reconocida y homologada por el CIDET</v>
          </cell>
          <cell r="D112" t="str">
            <v>und</v>
          </cell>
        </row>
        <row r="113">
          <cell r="B113" t="str">
            <v>IE-8B.173</v>
          </cell>
          <cell r="C113" t="str">
            <v xml:space="preserve">SUMINISTRO, TRANSPORTE E INSTALACION SALIDA ILUMINACION EN TUBERIA CONDUIT EMT 3/4", ALAMBRE No 12 AWG </v>
          </cell>
          <cell r="D113" t="str">
            <v>und</v>
          </cell>
        </row>
        <row r="114">
          <cell r="B114" t="str">
            <v>IE-8B.179</v>
          </cell>
          <cell r="C114" t="str">
            <v xml:space="preserve">SUMINISTRO, TRANSPORTE E INSTALACION SALIDA TOMACORRIENTE GFCI DOBLE EN TUBERIA CONDUIT EMT 3/4", ALAMBRE No 12 AWG </v>
          </cell>
          <cell r="D114" t="str">
            <v>und</v>
          </cell>
        </row>
        <row r="115">
          <cell r="B115" t="str">
            <v>IE-8B.194</v>
          </cell>
          <cell r="C115" t="str">
            <v>SUMINISTRO, TRANSPORTE E INSTALACION SALIDA TOMACORRIENTE 3F5H EN TUBERIA CONDUIT EMT 3/4", ALAMBRE No 10 AWG. SIN APARATO</v>
          </cell>
          <cell r="D115" t="str">
            <v>und</v>
          </cell>
        </row>
        <row r="116">
          <cell r="B116" t="str">
            <v>IE-8B.197</v>
          </cell>
          <cell r="C116" t="str">
            <v xml:space="preserve">SUMINISTRO, TRANSPORTE E INSTALACION SALIDA INTERRUPTOR SENCILLO EN TUBERIA CONDUIT EMT 3/4", ALAMBRE No 12 AWG. </v>
          </cell>
          <cell r="D116" t="str">
            <v>und</v>
          </cell>
        </row>
        <row r="117">
          <cell r="B117" t="str">
            <v>IE-8B.203</v>
          </cell>
          <cell r="C117" t="str">
            <v xml:space="preserve">SUMINISTRO, TRANSPORTE E INSTALACION SALIDA INTERRUPTOR DOBLE EN TUBERIA CONDUIT EMT 3/4", ALAMBRE No 12 AWG. </v>
          </cell>
          <cell r="D117" t="str">
            <v>und</v>
          </cell>
        </row>
        <row r="118">
          <cell r="B118" t="str">
            <v>IE-8B.200</v>
          </cell>
          <cell r="C118" t="str">
            <v xml:space="preserve">SUMINISTRO, TRANSPORTE E INSTALACION SALIDA INTERRUPTOR SENCILLO CONMUTABLE EN TUBERIA CONDUIT EMT 3/4", ALAMBRE No 12 AWG. </v>
          </cell>
          <cell r="D118" t="str">
            <v>und</v>
          </cell>
        </row>
        <row r="119">
          <cell r="B119" t="str">
            <v>IE-8B.206</v>
          </cell>
          <cell r="C119" t="str">
            <v xml:space="preserve">SUMINISTRO, TRANSPORTE E INSTALACION SALIDA INTERRUPTOR DOBLE CONMUTABLE EN TUBERIA CONDUIT EMT 3/4", ALAMBRE No 12 AWG. </v>
          </cell>
          <cell r="D119" t="str">
            <v>und</v>
          </cell>
        </row>
        <row r="120">
          <cell r="B120" t="str">
            <v>IE-8B.247</v>
          </cell>
          <cell r="C120" t="str">
            <v xml:space="preserve">SUMINISTRO, TRANSPORTE E INSTALACION SUMINISTRO E INSTALACIÓN DE LUMINARIA DE EMPOTRAR TIPO BALA PANEL LED REDONDO, 14W BLANCO OPAL. 1200lm . INCLUYE DRIVER SC
</v>
          </cell>
          <cell r="D120" t="str">
            <v>und</v>
          </cell>
        </row>
        <row r="121">
          <cell r="B121" t="str">
            <v>IE-8B.249</v>
          </cell>
          <cell r="C121" t="str">
            <v xml:space="preserve">SUMINISTRO E INSTALACION DE CAJA METALICA INCRUSTAR TIPO LEGRAND CP-15X15 CON PUERTA Y CHAPA  </v>
          </cell>
          <cell r="D121" t="str">
            <v>und</v>
          </cell>
        </row>
        <row r="122">
          <cell r="B122" t="str">
            <v>IE-8B.257-A</v>
          </cell>
          <cell r="C122" t="str">
            <v>SUMINISTRO, TRANSPORTE E INSTALACION PLAFON LOZA BLANCO.</v>
          </cell>
          <cell r="D122" t="str">
            <v>und</v>
          </cell>
        </row>
        <row r="123">
          <cell r="B123" t="str">
            <v>IE-8B.258</v>
          </cell>
          <cell r="C123" t="str">
            <v>SUMINISTRO, TRANSPORTE E INSTALACION APLIQUE EXTERIOR TIPO DUBLIN PHILIPS. BOMBILLO AHORRADOR 26W E27.</v>
          </cell>
          <cell r="D123" t="str">
            <v>und</v>
          </cell>
        </row>
        <row r="124">
          <cell r="B124" t="str">
            <v>IE-8B.264</v>
          </cell>
          <cell r="C124" t="str">
            <v xml:space="preserve">CERTIFICACIÓN RETIE DE LA INSTALACIÓN </v>
          </cell>
          <cell r="D124" t="str">
            <v>m2</v>
          </cell>
        </row>
        <row r="125">
          <cell r="C125" t="str">
            <v xml:space="preserve">TOTAL INSTALACIONES ELECTRICAS </v>
          </cell>
        </row>
        <row r="126">
          <cell r="C126" t="str">
            <v>REVOQUES</v>
          </cell>
        </row>
        <row r="127">
          <cell r="B127" t="str">
            <v>PR-9.1</v>
          </cell>
          <cell r="C127" t="str">
            <v>SUMINISTRO,TRANSPORTE E INSTALACION REVOQUE LISO MUROS   1:3  INTERIOR  ( INCLUYE FILOS Y DILATACIONES )</v>
          </cell>
          <cell r="D127" t="str">
            <v>m2</v>
          </cell>
        </row>
        <row r="128">
          <cell r="B128" t="str">
            <v>PR-9.5</v>
          </cell>
          <cell r="C128" t="str">
            <v>SUMINISTRO,TRANSPORTE E INSTALACION REVOQUE LISO MUROS 1:3  IMPERMEABILIZADO (INCLUYE FILOS Y DILATACIONES)</v>
          </cell>
          <cell r="D128" t="str">
            <v>m2</v>
          </cell>
        </row>
        <row r="129">
          <cell r="B129" t="str">
            <v>PR-9.15</v>
          </cell>
          <cell r="C129" t="str">
            <v>SUMINISTRO,TRANSPORTE E INSTALACION REVOQUE LISO MUROS 1:3  EXTERIOR CON DILATACIONES 5 CM. CADA 62.5 CM. (INCLUYE FILOS Y DILATACIONES HASTA ALTURA 3 M.)</v>
          </cell>
          <cell r="D129" t="str">
            <v>m2</v>
          </cell>
        </row>
        <row r="130">
          <cell r="C130" t="str">
            <v>TOTAL REVOQUES</v>
          </cell>
        </row>
        <row r="131">
          <cell r="B131" t="str">
            <v>CB-10</v>
          </cell>
          <cell r="C131" t="str">
            <v>CUBIERTAS</v>
          </cell>
        </row>
        <row r="132">
          <cell r="B132" t="str">
            <v>CB-10.23</v>
          </cell>
          <cell r="C132" t="str">
            <v>SUMINISTRO, TRANSPORTE E INSTALACION FLANCHE EN LAMINA GALVANIZADA Cal .20 d/ 1.00 m. (Suministro e instalación con wash primer + esmalte + anclaje a muro + silicona)</v>
          </cell>
          <cell r="D132" t="str">
            <v>ml</v>
          </cell>
        </row>
        <row r="133">
          <cell r="B133" t="str">
            <v>CB-10.10</v>
          </cell>
          <cell r="C133" t="str">
            <v>SUMINISTRO, TRANSPORTE E INSTALACION TEJA CINDURIB a=0.88 m. o similar según diseño. (Incluye instalación, ganchos de fijación y el suministro de todos los accesorios requeridos para el correcto montaje.)</v>
          </cell>
          <cell r="D133" t="str">
            <v>m2</v>
          </cell>
        </row>
        <row r="134">
          <cell r="B134" t="str">
            <v>ADI-32.37</v>
          </cell>
          <cell r="C134" t="str">
            <v>SUMINISTRO, TRANSPORTE E INSTALACION CUBIERTA POLICARBONATO ALVEOLAR 6MM</v>
          </cell>
          <cell r="D134" t="str">
            <v>m2</v>
          </cell>
        </row>
        <row r="135">
          <cell r="C135" t="str">
            <v>Total  CUBIERTAS</v>
          </cell>
        </row>
        <row r="136">
          <cell r="B136" t="str">
            <v>CR-11</v>
          </cell>
          <cell r="C136" t="str">
            <v>CIELO RASOS</v>
          </cell>
        </row>
        <row r="137">
          <cell r="B137" t="str">
            <v>CR-11.3</v>
          </cell>
          <cell r="C137" t="str">
            <v>SUMINISTRO, TRANSPORTE E INSTALACION CIELO RASO 8 mm. SUPERBOARD SUSPENDIDO JUNTA PERDIDA (Perfileria Cal. 24) Incluye masillado total  y tres (3) manos de pintura.</v>
          </cell>
          <cell r="D137" t="str">
            <v>m2</v>
          </cell>
        </row>
        <row r="138">
          <cell r="C138" t="str">
            <v xml:space="preserve">Total  CIELOS RASOS </v>
          </cell>
        </row>
        <row r="139">
          <cell r="B139" t="str">
            <v>PA-12</v>
          </cell>
          <cell r="C139" t="str">
            <v>PISOS - ACABADOS</v>
          </cell>
        </row>
        <row r="140">
          <cell r="B140" t="str">
            <v>PA-12.1</v>
          </cell>
          <cell r="C140" t="str">
            <v>SUMINISTRO, TRANSPORTE E INSTALACION  ALISTADO PISOS Mortero 1:4  e= 0.03 mts</v>
          </cell>
          <cell r="D140" t="str">
            <v>m2</v>
          </cell>
        </row>
        <row r="141">
          <cell r="B141" t="str">
            <v>PA-12.2</v>
          </cell>
          <cell r="C141" t="str">
            <v>SUMINISTRO, TRANSPORTE E INSTALACION  ALISTADO PISOS Mortero 1:4  Impermeabilizado e= 0.03 mts</v>
          </cell>
          <cell r="D141" t="str">
            <v>m2</v>
          </cell>
        </row>
        <row r="142">
          <cell r="B142" t="str">
            <v>PA-12.4</v>
          </cell>
          <cell r="C142" t="str">
            <v>SUMINISTRO, TRANSPORTE E INSTALACION  ALISTADO PISOS Mortero 1:4  Impermeabilizado e= 0.04 mts</v>
          </cell>
          <cell r="D142" t="str">
            <v>m2</v>
          </cell>
        </row>
        <row r="143">
          <cell r="B143" t="str">
            <v>PA-12.52</v>
          </cell>
          <cell r="C143" t="str">
            <v xml:space="preserve">SUMINISTRO, TRANSPORTE E INSTALACION BOCAPUERTA Gravilla lavada Nº2  (Incluye dilatación en bronce) </v>
          </cell>
          <cell r="D143" t="str">
            <v>ml</v>
          </cell>
        </row>
        <row r="144">
          <cell r="B144" t="str">
            <v>PA-12.5</v>
          </cell>
          <cell r="C144" t="str">
            <v>SUMINISTRO, TRANSPORTE E INSTALACION ENDURECEDOR Color. Losa en concreto (Tipo rocktop de toxement o similar.)acabado con allanadora mecanica</v>
          </cell>
          <cell r="D144" t="str">
            <v>m2</v>
          </cell>
        </row>
        <row r="145">
          <cell r="B145" t="str">
            <v>PA-12.31</v>
          </cell>
          <cell r="C145" t="str">
            <v>SUMINISTRO, TRANSPORTE E INSTALACION GUARDAESCOBA Ceramica Tipo Antique h = 10 cm. Tipo Alfa o Similar. Color Beige o Blanco según diseño (Incluye boquilla.)</v>
          </cell>
          <cell r="D145" t="str">
            <v>ml</v>
          </cell>
        </row>
        <row r="146">
          <cell r="B146" t="str">
            <v>PA-12.19</v>
          </cell>
          <cell r="C146" t="str">
            <v>SUMINISTRO, TRANSPORTE E INSTALACION PORCELANATTO BRILLANTE Lisboa  50 x 50 cm. Tipo Alfa o Similar. Color Beige con betas (Incluye boquilla.)</v>
          </cell>
          <cell r="D146" t="str">
            <v>m2</v>
          </cell>
        </row>
        <row r="147">
          <cell r="C147" t="str">
            <v>Total  PISOS - ACABADOS</v>
          </cell>
        </row>
        <row r="148">
          <cell r="B148" t="str">
            <v>E-13</v>
          </cell>
          <cell r="C148" t="str">
            <v>ENCHAPES Y ACCESORIOS</v>
          </cell>
        </row>
        <row r="149">
          <cell r="B149" t="str">
            <v>E-13.48</v>
          </cell>
          <cell r="C149" t="str">
            <v>SUMINISTRO, TRANSPORTE E INSTALACION BARRA DE SEGURIDAD DE PARED A PISO EN ACERO INOXIDABLE SATINADO CON TORNILLOS ESCONDIDOS PARA INSTALAR DERECHA A IZQUIERDA MARCA A &amp;A REF. 8-AA-506</v>
          </cell>
          <cell r="D149" t="str">
            <v>und</v>
          </cell>
        </row>
        <row r="150">
          <cell r="B150" t="str">
            <v>E-13.49</v>
          </cell>
          <cell r="C150" t="str">
            <v>SUMINISTRO, TRANSPORTE E INSTALACION BARRA DE SEGURIDAD EN ACERO INOXIDABLE SATINADO CON TORNILLOS ESCONDIDOS PARA INSTALAR EN SANITARIO SIN TANQUE MARCA A&amp;A REF 8-AA-808</v>
          </cell>
          <cell r="D150" t="str">
            <v>und</v>
          </cell>
        </row>
        <row r="151">
          <cell r="B151" t="str">
            <v>E-13.54</v>
          </cell>
          <cell r="C151" t="str">
            <v>SUMINISTRO, TRANSPORTE E INSTALACION CERAMICA PARED  EGEO BLANCO 30x60 Tipo cm. Tipo Corona o Similar. Color Blanco  (Incluye boquilla.)</v>
          </cell>
          <cell r="D151" t="str">
            <v>m2</v>
          </cell>
        </row>
        <row r="152">
          <cell r="B152" t="str">
            <v>E-13.43</v>
          </cell>
          <cell r="C152" t="str">
            <v>SUMINISTRO, TRANSPORTE E INSTALACION DISPENSADOR PARA JABON LIQUIDO MARCA A&amp;A CUERPO EN ACERO INOXIDABLE CAPACIDAD 1.2 LITROS. REF 8-AA-600</v>
          </cell>
          <cell r="D152" t="str">
            <v>und</v>
          </cell>
        </row>
        <row r="153">
          <cell r="B153" t="str">
            <v>E-13.31</v>
          </cell>
          <cell r="C153" t="str">
            <v>SUMINISTRO, TRANSPORTE E INSTALACION INCRUSTACIONES Porcelana - GANCHOS ESPACIO Ref. 04270100-1 Tipo Corona o Similar.</v>
          </cell>
          <cell r="D153" t="str">
            <v>und</v>
          </cell>
        </row>
        <row r="154">
          <cell r="B154" t="str">
            <v>E-13.34</v>
          </cell>
          <cell r="C154" t="str">
            <v>SUMINISTRO, TRANSPORTE E INSTALACION INCRUSTACIONES Porcelana - JABONERA DUCHA ESPACIO Ref. 04210100-1 Tipo Corona o Similar.</v>
          </cell>
          <cell r="D154" t="str">
            <v>und</v>
          </cell>
        </row>
        <row r="155">
          <cell r="B155" t="str">
            <v>E-13.24</v>
          </cell>
          <cell r="C155" t="str">
            <v>SUMINISTRO, TRANSPORTE E INSTALACION INCRUSTACIONES Porcelana - JABONERA LAVAMANOS ELITE Ref. 06130100-1 Tipo Corona o Similar.</v>
          </cell>
          <cell r="D155" t="str">
            <v>und</v>
          </cell>
        </row>
        <row r="156">
          <cell r="B156" t="str">
            <v>E-13.23</v>
          </cell>
          <cell r="C156" t="str">
            <v>SUMINISTRO, TRANSPORTE E INSTALACION INCRUSTACIONES Porcelana - PAPELERA Ref. -1 Tipo Corona o Similar.</v>
          </cell>
          <cell r="D156" t="str">
            <v>und</v>
          </cell>
        </row>
        <row r="157">
          <cell r="B157" t="str">
            <v>E-13.10</v>
          </cell>
          <cell r="C157" t="str">
            <v>SUMINISTRO, TRANSPORTE E INSTALACION MESON EN MARMOL CAFE PINTO Ancho:0.60 m.  Instalado sobre MUEBLE BAÑO  pulido y brillado).</v>
          </cell>
          <cell r="D157" t="str">
            <v>ml</v>
          </cell>
        </row>
        <row r="158">
          <cell r="B158" t="str">
            <v>E-13.19</v>
          </cell>
          <cell r="C158" t="str">
            <v>SUMINISTRO, TRANSPORTE E INSTALACION PIRLAN DUCHA MAMPOSTERIA h=22 x 10 cm. Enchapado Ceramica Stone (Incluye ceramica, win y alfacolor)</v>
          </cell>
          <cell r="D158" t="str">
            <v>ml</v>
          </cell>
        </row>
        <row r="159">
          <cell r="B159" t="str">
            <v>PA-12.19-1</v>
          </cell>
          <cell r="C159" t="str">
            <v>SUMINISTRO, TRANSPORTE E INSTALACION CERAMICA SPADA CREMA   60 x 60 cm. Tipo ceramica italia o Similar.(Incluye boquilla.)</v>
          </cell>
          <cell r="D159" t="str">
            <v>m2</v>
          </cell>
        </row>
        <row r="160">
          <cell r="C160" t="str">
            <v>Total  ENCHAPES Y ACCESORIOS</v>
          </cell>
        </row>
        <row r="161">
          <cell r="B161" t="str">
            <v>V-14</v>
          </cell>
          <cell r="C161" t="str">
            <v>VIDRIOS Y ESPEJOS</v>
          </cell>
        </row>
        <row r="162">
          <cell r="B162" t="str">
            <v>V-14.1</v>
          </cell>
          <cell r="C162" t="str">
            <v>SUMINISTRO, TRANSPORTE E INSTALACION  ESPEJO  4 MM. FLOTADO BISELADO Y SIN MARCO. (INCLUYE LOS ELEMENTOS DE FIJACIÓN AL MURO).</v>
          </cell>
          <cell r="D162" t="str">
            <v>m2</v>
          </cell>
        </row>
        <row r="164">
          <cell r="B164" t="str">
            <v>AS-15</v>
          </cell>
          <cell r="C164" t="str">
            <v>APARATOS SANITARIOS</v>
          </cell>
        </row>
        <row r="165">
          <cell r="B165" t="str">
            <v>AS-15.24</v>
          </cell>
          <cell r="C165" t="str">
            <v>SUMINISTRO, TRANSPORTE E INSTALACION DUCHA antivandálica con regadera tubular ref: 754000001 corona o similar</v>
          </cell>
          <cell r="D165" t="str">
            <v>und</v>
          </cell>
        </row>
        <row r="166">
          <cell r="B166" t="str">
            <v>AS-15.21</v>
          </cell>
          <cell r="C166" t="str">
            <v>SUMINISTRO, TRANSPORTE E INSTALACION GRIFERÍA LAVAMANOS antivandálico con piso expuesto Ref:701310001 Corona o similar</v>
          </cell>
          <cell r="D166" t="str">
            <v>und</v>
          </cell>
        </row>
        <row r="167">
          <cell r="B167" t="str">
            <v>AS-15.20</v>
          </cell>
          <cell r="C167" t="str">
            <v>SUMINISTRO, TRANSPORTE E INSTALACION LAVAMANOS SPACE Tipo push color blanco Corona  o Similar. (Incluye desagüe automatico, sifón botella, grapas 2 und, acople).</v>
          </cell>
          <cell r="D167" t="str">
            <v>und</v>
          </cell>
        </row>
        <row r="168">
          <cell r="B168" t="str">
            <v>AS-15.11</v>
          </cell>
          <cell r="C168" t="str">
            <v>SUMINISTRO, TRANSPORTE E INSTALACION ORINAL MEDIANO DE COLGAR con descarga y sifón en porcelana Color Blanco Linea Polo importado  Ref. 27 AA 590101 Tipo Accesorios &amp; Acabados o Similar con válvula antivándalica.</v>
          </cell>
          <cell r="D168" t="str">
            <v>und</v>
          </cell>
        </row>
        <row r="169">
          <cell r="B169" t="str">
            <v>AS-15.9</v>
          </cell>
          <cell r="C169" t="str">
            <v>SUMINISTRO, TRANSPORTE E INSTALACION SANITARIO PARA DISCAPACITADO ELONGADO Color Blanco linea Adriática Tipo Corona o Similar  de conexión por encima Ref. 21 AA 1318 con válvula antivandálica de descarga con palanca para MINUSVALIDO + escudo antivandálico</v>
          </cell>
          <cell r="D169" t="str">
            <v>und</v>
          </cell>
        </row>
        <row r="170">
          <cell r="B170" t="str">
            <v>AS-15.6</v>
          </cell>
          <cell r="C170" t="str">
            <v>SUMINISTRO, TRANSPORTE E INSTALACION SANITARIO Tipo Institucional Bajo Consumo 1.6 litros por descarga, color blanco para conexión por detrás, MANCESA Y/O SIMILAR REF 21-AA-41 (Incluye asiento sanitario comodor Blanco, Marca Grival+ VALVULA Y BOTON ANTIVA</v>
          </cell>
          <cell r="D170" t="str">
            <v>und</v>
          </cell>
        </row>
        <row r="171">
          <cell r="C171" t="str">
            <v>Total  APARATOS SANITARIOS</v>
          </cell>
        </row>
        <row r="172">
          <cell r="B172" t="str">
            <v>MA-16</v>
          </cell>
          <cell r="C172" t="str">
            <v>CARPINTERIA EN MADERA</v>
          </cell>
        </row>
        <row r="173">
          <cell r="B173" t="str">
            <v>MA-16.14</v>
          </cell>
          <cell r="C173" t="str">
            <v>SUMINISTRO, TRANSPORTE E INSTALACION MARCO EN MADECOR SENCILLO - KIT DE MARKO MADECOR TIPO PIZANO O SIMILAR. (2 LARGUEROS DE 2,40 M Y UN CABEZAL DE 1,20 M.) ANCHO MURO: 10 A 18 CM.  ACABADO: SEGÚN PINTA SELECCIONADA DE CARTA COLORES MADECOR</v>
          </cell>
          <cell r="D173" t="str">
            <v>und</v>
          </cell>
        </row>
        <row r="174">
          <cell r="B174" t="str">
            <v>MA-16.8</v>
          </cell>
          <cell r="C174" t="str">
            <v>SUMINISTRO, TRANSPORTE E INSTALACION PUERTA ENTAMBORADA EN MADEFONDO - TIPO PIZANO ARQUITECÓNICA O SIMILAR. ANCHO: 0,76 A 1,10 M. ALTO: 1,80 A 2,40 M. HOJA LISA CON 4 RANURAS HORIZONTALES PINTADAS Y CON MARQUETE EN CANTO DECORATIVO. ACABADO: SEGÚN PINTA S</v>
          </cell>
          <cell r="D174" t="str">
            <v>und</v>
          </cell>
        </row>
        <row r="175">
          <cell r="B175" t="str">
            <v>MA-16.5</v>
          </cell>
          <cell r="C175" t="str">
            <v>SUMINISTRO, TRANSPORTE E INSTALACION PUERTA ENTAMBORADA EN MADEFONDO - TIPO PIZANO ARQUITECTÓNICA O SIMILAR. ANCHO: 0,51 A 0,75 M. ALTO: 1,80 A 2,40 M. HOJA LISA CON MARQUETE EN CANTO DECORATIVO. ACABADO: SEGÚN PINTA SELECCIONADA DE CARTA COLORES MADECOR.</v>
          </cell>
          <cell r="D175" t="str">
            <v>und</v>
          </cell>
        </row>
        <row r="176">
          <cell r="B176" t="str">
            <v>ADI-34-A</v>
          </cell>
          <cell r="C176" t="str">
            <v>SUMINISTRO, TRANSPORTE E INSTALACIÓN FACHADA EN MADERA DE TECA, SEGÚN DISEÑO PRESENTADO, LA MADERA SERÁ INSTALADA DE CANTO Y EN FORMA VERTICAL.</v>
          </cell>
          <cell r="D176" t="str">
            <v>glb</v>
          </cell>
        </row>
        <row r="177">
          <cell r="C177" t="str">
            <v>Total  CARPINTERIA EN MADERA</v>
          </cell>
        </row>
        <row r="178">
          <cell r="B178" t="str">
            <v>ME-17</v>
          </cell>
          <cell r="C178" t="str">
            <v>CARPINTERIA METALICA</v>
          </cell>
        </row>
        <row r="179">
          <cell r="B179" t="str">
            <v>ME-17.25</v>
          </cell>
          <cell r="C179" t="str">
            <v>SUMINISTRO, TRANSPORTE E INSTALACION BARANDA PARA BALCONES  T PASAMANOS EN TUBERIA AGUAS NEGRAS EN 2",  3  VARILLA REDONDA DE 5/8,   LAMINA  PARA POSTES SEGUN DETALLE CALIBRE 1/4"X 2" CON ANTICORROSIVO Y  PINTURA ELECTROSTATICA  COLOR SEGÚN DISEÑO</v>
          </cell>
          <cell r="D179" t="str">
            <v>ml</v>
          </cell>
        </row>
        <row r="180">
          <cell r="B180" t="str">
            <v>ME-17.88</v>
          </cell>
          <cell r="C180" t="str">
            <v>SUMINISTRO, TRANSPORTE E INSTALACION CABINAS ORINALES 1.20*0,45 ACERO INOXIDABLE CAL. 20. SEGÚN DETALLE. INCLUYE SUMINISTRO E INSTALACIÓN, SEGÚN DETALLE.</v>
          </cell>
          <cell r="D180" t="str">
            <v>und</v>
          </cell>
        </row>
        <row r="181">
          <cell r="B181" t="str">
            <v>ME-17.59</v>
          </cell>
          <cell r="C181" t="str">
            <v>SUMINISTRO, TRANSPORTE E INSTALACION CABINAS SANITARIAS SISTEMA CANTILIVER EN LÁMINA GALVANIZADA CAL. 18 ENTAMBORADA. TIPO GRIJALBA O SIMILAR. INCLUYE PINTURA ELECTROSTATICA COLOR GRIS PLATA, SUMINISTRO, INSTALACIÓN, MARCO, CHAPETAS, PASADOR DE CIERRE Y P</v>
          </cell>
          <cell r="D181" t="str">
            <v>m2</v>
          </cell>
        </row>
        <row r="182">
          <cell r="B182" t="str">
            <v>ME-17.69</v>
          </cell>
          <cell r="C182" t="str">
            <v>SUMINISTRO, TRANSPORTE E INSTALACION ESCALERA DE GATO EN TUBERIA AGUA NEGRA 3/4" TIPO COLMENA EN "C" DE 6 PASOS. SUMINISTRO E INSTALACIÒN A TODO COSTO.</v>
          </cell>
          <cell r="D182" t="str">
            <v>und</v>
          </cell>
        </row>
        <row r="183">
          <cell r="B183" t="str">
            <v>ME-17.16</v>
          </cell>
          <cell r="C183" t="str">
            <v>SUMINISTRO, TRANSPORTE E INSTALACION MARCO METALICO PUERTAS E= 12 CM SENCILLO EN LÁMINA COLD ROLLED CAL. 18 PARA PUERTA CON ANCHO 0.76 A 1.10 M. Y ALTURA 2.11 A 2.40 M. ACABADO CON ANTICORROSIVO Y ESMALTE. INCLUYE EL SUMINISTRO DE TODOS LOS ACCESORIOS REQ</v>
          </cell>
          <cell r="D183" t="str">
            <v>und</v>
          </cell>
        </row>
        <row r="184">
          <cell r="B184" t="str">
            <v>ME-17.61</v>
          </cell>
          <cell r="C184" t="str">
            <v>SUMINISTRO, TRANSPORTE E INSTALACION PUERTA CABINAS SANITARIAS SISTEMA CANTILIVER EN ACERO INOXIDABLE CAL. 18.  SEGÚN DETALLE. INCLUYE SUMINISTRO, INSTALACIÓN, PASADOR DE CIERRE.</v>
          </cell>
          <cell r="D184" t="str">
            <v>m2</v>
          </cell>
        </row>
        <row r="185">
          <cell r="B185" t="str">
            <v>ME-17.40</v>
          </cell>
          <cell r="C185" t="str">
            <v xml:space="preserve">SUMINISTRO, TRANSPORTE E INSTALACION PUERTA DOBLE VIDRIO TEMPLADO 10 MM CON ZOCALO EN ALUMINIO CON BISAGRAS DE PISO NEUMATICAS, CON CERRADURAS Y MANIJAS. INCLUYE EL SUMINISTRO DE TODOS LOS ACCESORIOS REQUERIDOS PARA EL CORRECTO MONTAJE. SEGUN DETALLE. </v>
          </cell>
          <cell r="D185" t="str">
            <v>m2</v>
          </cell>
        </row>
        <row r="186">
          <cell r="B186" t="str">
            <v>ME-17.51</v>
          </cell>
          <cell r="C186" t="str">
            <v>SUMINISTRO, TRANSPORTE E INSTALACION PUERTA METALICA LÁMINA COLD ROLLED CAL. 18 TIPO REJILLA CON MARCO SENCILLO ( INCLUYE ANTICORROSIVO + PINTURA ELECTROSTATICA + MARCO COLD ROLLED CAL. 18 CARGADOS EN CONCRETO). INCLUYE EL SUMINISTRO DE TODOS LOS ACCESORI</v>
          </cell>
          <cell r="D186" t="str">
            <v>m2</v>
          </cell>
        </row>
        <row r="187">
          <cell r="B187" t="str">
            <v>ME-17.58</v>
          </cell>
          <cell r="C187" t="str">
            <v>SUMINISTRO, TRANSPORTE E INSTALACION PUERTA METALICA VAIVEN LÁMINA COLD ROLLED CAL.18 PIVOTE (INCLUYE PINTURA ELECTROSTATICA, ANTICORROSIVO Y MARCO COLD ROLLED CAL. 18 CARGADO EN CONCRETO) INCLUYE EL SUMINISTRO DE TODOS LOS ACCESORIOS REQUERIDOS PARA EL C</v>
          </cell>
          <cell r="D187" t="str">
            <v>m2</v>
          </cell>
        </row>
        <row r="188">
          <cell r="B188" t="str">
            <v>ME-17.70-A</v>
          </cell>
          <cell r="C188" t="str">
            <v>SUMINISTRO, TRANSPORTE E INSTALACION PUERTA EN ALUMINIO.</v>
          </cell>
          <cell r="D188" t="str">
            <v>m2</v>
          </cell>
        </row>
        <row r="189">
          <cell r="B189" t="str">
            <v>ME-17.27</v>
          </cell>
          <cell r="C189" t="str">
            <v xml:space="preserve">SUMINISTRO, TRANSPORTE E INSTALACION VENTANA CORREDIZA FIJA EN ALUMINIO  ANODIZADO VIDRIO 4 MM (INCLUYE MARCO EN PERFILERIA  PB 3831 O SIMILAR Y VIDRIO CRISTAL DE 4 MM. ). INCLUYE EL SUMINISTRO DE TODOS LOS ACCESORIOS REQUERIDOS PARA EL CORRECTO MONTAJE, </v>
          </cell>
          <cell r="D189" t="str">
            <v>m2</v>
          </cell>
        </row>
        <row r="190">
          <cell r="B190" t="str">
            <v>ME-17.84</v>
          </cell>
          <cell r="C190" t="str">
            <v>SUMINISTRO, TRANSPORTE E INSTALACION VENTANERIA APOYADA EN PERFILERIA DE ALUMINIO ANODIZADO MATE COLOR BLANCO, VIDRIO TEMPLADO DE 8MM INCOLORO CON UNIONES A TOPE +REJILLA SUPERIOR</v>
          </cell>
          <cell r="D190" t="str">
            <v>m2</v>
          </cell>
        </row>
        <row r="191">
          <cell r="B191" t="str">
            <v>ME-17.89</v>
          </cell>
          <cell r="C191" t="str">
            <v>SUMINISTRO, TRANSPORTE E INSTALACION BARANDA EN TUBERIA GALVANIZADA 2 HILOS DE 2", ENTRE 0,9 Y 1MTS, PARALES VERTICALES CADA 2 MTS, RELLENA DE CONCRETO, INCLUYE WASH PRIMER, PINTURA, ANCLAJES Y RETIRO DE SOBRANTES.</v>
          </cell>
          <cell r="D191" t="str">
            <v>ml</v>
          </cell>
        </row>
        <row r="192">
          <cell r="C192" t="str">
            <v xml:space="preserve">TOTAL CARPINTERIA METALICA </v>
          </cell>
        </row>
        <row r="193">
          <cell r="B193" t="str">
            <v>CE-18</v>
          </cell>
          <cell r="C193" t="str">
            <v>CERRAJERIA</v>
          </cell>
        </row>
        <row r="194">
          <cell r="B194" t="str">
            <v>CE-18.9</v>
          </cell>
          <cell r="C194" t="str">
            <v xml:space="preserve">SUMINISTRO, TRANSPORTE E INSTALACION BARRA ANTIPANICO HORIZONTAL SOLO SALIDA - TIPO AZBE O SIMILAR REF. B0950. CON MANILLA Y CILINDRO EXTERIOR PARA BARRA ANTIPANICO HORIZONTAL - TIPO AZBE REF. 9510M.O SIMILAR   </v>
          </cell>
          <cell r="D194" t="str">
            <v>und</v>
          </cell>
        </row>
        <row r="195">
          <cell r="B195" t="str">
            <v>CE-18.2</v>
          </cell>
          <cell r="C195" t="str">
            <v xml:space="preserve">SUMINISTRO, TRANSPORTE E INSTALACION CERRADURA BELL WOOD POMO MADERA - ALCOBA U OFICINA  REF. A50WS TIPO SCHALAGE O SIMILAR.. ACABADO SEGÚN DISEÑO. </v>
          </cell>
          <cell r="D195" t="str">
            <v>und</v>
          </cell>
        </row>
        <row r="196">
          <cell r="B196" t="str">
            <v>CE-18.1</v>
          </cell>
          <cell r="C196" t="str">
            <v xml:space="preserve">SUMINISTRO, TRANSPORTE E INSTALACION CERRADURA BELL WOOD POMO MADERA - BAÑO  REF. A40S TIPO SCHALAGE O SIMILAR. ACABADO SEGÚN DISEÑO.  </v>
          </cell>
          <cell r="D196" t="str">
            <v>und</v>
          </cell>
        </row>
        <row r="197">
          <cell r="B197" t="str">
            <v>CE-18.7</v>
          </cell>
          <cell r="C197" t="str">
            <v xml:space="preserve">SUMINISTRO, TRANSPORTE E INSTALACION CERRADURA CERROJO DOBLE LLAVE - REF. B362PX TIPO SCHALAGE O SIMILAR. ACABADO SEGÚN DISEÑO.  </v>
          </cell>
          <cell r="D197" t="str">
            <v>und</v>
          </cell>
        </row>
        <row r="198">
          <cell r="B198" t="str">
            <v>CE-18.10</v>
          </cell>
          <cell r="C198" t="str">
            <v xml:space="preserve">SUMINISTRO, TRANSPORTE E INSTALACION CERRADURA ENTRADA PRINCIPAL - REF. H387 . TIPO SCHLAGE O SIMILAR. ACABADO SEGÚN DISEÑO.   </v>
          </cell>
          <cell r="D198" t="str">
            <v>und</v>
          </cell>
        </row>
        <row r="199">
          <cell r="C199" t="str">
            <v>Total  CERRAJERÍA</v>
          </cell>
        </row>
        <row r="200">
          <cell r="B200" t="str">
            <v>PI-19</v>
          </cell>
          <cell r="C200" t="str">
            <v>PINTURA</v>
          </cell>
        </row>
        <row r="201">
          <cell r="B201" t="str">
            <v>PI-19.1</v>
          </cell>
          <cell r="C201" t="str">
            <v>SUMINISTRO, TRANSPORTE E INSTALACION ESTUCO Y VINILO 3 MANOS SOBRE MURO INTERIOR (INCLUYE ESTUCO, 1 MANO EN PINTURA TIPO 2  Y DOS MANOS EN PINTURA TIPO 1, FILOS Y DILATACIONES). COLOR SEGÚN DISEÑO POR M2</v>
          </cell>
          <cell r="D201" t="str">
            <v>m2</v>
          </cell>
        </row>
        <row r="202">
          <cell r="C202" t="str">
            <v>Total  PINTURA</v>
          </cell>
        </row>
        <row r="203">
          <cell r="B203" t="str">
            <v>EE-20</v>
          </cell>
          <cell r="C203" t="str">
            <v>EQUIPOS ESPECIALES</v>
          </cell>
        </row>
        <row r="204">
          <cell r="B204" t="str">
            <v>EE-20.1</v>
          </cell>
          <cell r="C204" t="str">
            <v>SUMINISTRO, TRANSPORTE E INSTALACIÓN DE ASCENSOR TIPO PASAJEROS, PARA 8 PERSONAS O 630 KILOGRAMOS, 3 PARADAS MAQUINA LATERAL 1.10 * 1.40 * 2.43; RECORRIDO 7.53m, A TODO COSTO</v>
          </cell>
          <cell r="D204" t="str">
            <v>und</v>
          </cell>
        </row>
        <row r="205">
          <cell r="C205" t="str">
            <v xml:space="preserve">Total  EQUIPOS ESPECIALES </v>
          </cell>
        </row>
        <row r="206">
          <cell r="B206" t="str">
            <v>OE-21</v>
          </cell>
          <cell r="C206" t="str">
            <v>OBRAS EXTERIORES</v>
          </cell>
        </row>
        <row r="207">
          <cell r="B207" t="str">
            <v>OE-21.3</v>
          </cell>
          <cell r="C207" t="str">
            <v>SUMINISTRO, TRANSPORTE E INSTALACION ANDEN CONCRETO 3000 PSI  REFORZADO  E= 0.10M.  ACABADO: ADOQUIN DE 24 X 6 X 8 CM. Y PIEZA ESPECIAL EN L DE 26 X 6 CM. + ESCOBIADO.</v>
          </cell>
          <cell r="D207" t="str">
            <v>m2</v>
          </cell>
        </row>
        <row r="208">
          <cell r="B208" t="str">
            <v>OE-21.34</v>
          </cell>
          <cell r="C208" t="str">
            <v>SUMINISTRO, TRANSPORTE E INSTALACION ESCALAS CONCRETO 3000 PSI E= 0.10M.  SOBRE TIERRA ACABADO ESCOBIADO</v>
          </cell>
          <cell r="D208" t="str">
            <v>m2</v>
          </cell>
        </row>
        <row r="209">
          <cell r="B209" t="str">
            <v>OE-21.38</v>
          </cell>
          <cell r="C209" t="str">
            <v>CORTE MECANIZADO DE ANDEN EN CONCRETO 0.03 M</v>
          </cell>
          <cell r="D209" t="str">
            <v>ml</v>
          </cell>
        </row>
        <row r="210">
          <cell r="B210" t="str">
            <v>ADI-33.122</v>
          </cell>
          <cell r="C210" t="str">
            <v>SUMINISTRO, TRANSPORTE E INSTALACION ANDEN Y RAMPA PEATONAL CONCRETO PRODUCIDO EN OBRA 3000 PSI ACABADO:  ESCOBIADO</v>
          </cell>
          <cell r="D210" t="str">
            <v>m3</v>
          </cell>
        </row>
        <row r="211">
          <cell r="B211" t="str">
            <v>ADI-32.17</v>
          </cell>
          <cell r="C211" t="str">
            <v>SUMINISTRO, TRANSPORTE E INSTALACION SARDINEL ANCHO = 20 CM H = ENTRE  15 Y 20 CM  EN CONCRETO 3000 PSI, CHAFLANADO</v>
          </cell>
          <cell r="D211" t="str">
            <v>ml</v>
          </cell>
        </row>
        <row r="212">
          <cell r="C212" t="str">
            <v>Total  OBRAS EXTERIORES</v>
          </cell>
        </row>
        <row r="213">
          <cell r="B213" t="str">
            <v>AG-22</v>
          </cell>
          <cell r="C213" t="str">
            <v>ASEO GENERAL Y LIMPIEZA</v>
          </cell>
        </row>
        <row r="214">
          <cell r="B214" t="str">
            <v>AG-22.1</v>
          </cell>
          <cell r="C214" t="str">
            <v>ASEO GENERAL</v>
          </cell>
          <cell r="D214" t="str">
            <v>m2</v>
          </cell>
        </row>
        <row r="215">
          <cell r="C215" t="str">
            <v>Total  ASEO GENERAL Y LIMPIEZA</v>
          </cell>
        </row>
        <row r="216">
          <cell r="B216" t="str">
            <v>AL-24</v>
          </cell>
          <cell r="C216" t="str">
            <v>ALCALTARILLADO</v>
          </cell>
        </row>
        <row r="217">
          <cell r="B217" t="str">
            <v>AL-24.2</v>
          </cell>
          <cell r="C217" t="str">
            <v xml:space="preserve">SUMINISTRO, TRANSPORTE E INSTALACION TUBERÍA PVC CORRUGADA 160 M.M. (6") PARA ALCANTARILLADO                                        </v>
          </cell>
          <cell r="D217" t="str">
            <v>ml</v>
          </cell>
        </row>
        <row r="218">
          <cell r="B218" t="str">
            <v>AL-24.100</v>
          </cell>
          <cell r="C218" t="str">
            <v xml:space="preserve">SUMINISTRO, TRANSPORTE E INSTALACION CAJA DE INSPECCIÓN TIPO II (0,80X0,80 M) EN CONCRETO CLASE II                                                                                                                      </v>
          </cell>
          <cell r="D218" t="str">
            <v>ml</v>
          </cell>
        </row>
        <row r="219">
          <cell r="B219" t="str">
            <v>AL-24.106</v>
          </cell>
          <cell r="C219" t="str">
            <v xml:space="preserve">SUMINISTRO, TRANSPORTE E INSTALACION TAPA P/CAJA DE INSPECCIÓN TIPO II (0,9X0,9X0,1 M) CONCRETO CLASE II                                       </v>
          </cell>
          <cell r="D219" t="str">
            <v>und</v>
          </cell>
        </row>
        <row r="220">
          <cell r="B220" t="str">
            <v>AL-24.120</v>
          </cell>
          <cell r="C220" t="str">
            <v xml:space="preserve">SUMINISTRO, TRANSPORTE E INSTALACION EMPALME A CÁMARAS DE INSPECCIÓN CONCRETO CLASE II                                       </v>
          </cell>
          <cell r="D220" t="str">
            <v>und</v>
          </cell>
        </row>
        <row r="221">
          <cell r="C221" t="str">
            <v>Total  ALCANTARILLADO</v>
          </cell>
        </row>
        <row r="222">
          <cell r="B222" t="str">
            <v>ET-27</v>
          </cell>
          <cell r="C222" t="str">
            <v>ESTABILIDAD DE TALUDES</v>
          </cell>
        </row>
        <row r="223">
          <cell r="B223" t="str">
            <v>ET-27.1</v>
          </cell>
          <cell r="C223" t="str">
            <v>SUMINISTRO, TRANSPORTE E INSTALACION MUROS Y PANTALLAS DE CONTENCION CONCRETO REFORZADO de 3000 PSI  .</v>
          </cell>
          <cell r="D223" t="str">
            <v>m3</v>
          </cell>
        </row>
        <row r="224">
          <cell r="B224" t="str">
            <v>ADI-33.126</v>
          </cell>
          <cell r="C224" t="str">
            <v>SUMINISTRO, TRANSPORTE E INSTALACION PERFORACION PARA ANCLAJE EN TIERRA CON EQUIPO MANUAL LONGITUD &lt; DE 10 METROS, Tuberia 2"-4"</v>
          </cell>
          <cell r="D224" t="str">
            <v>ml</v>
          </cell>
        </row>
        <row r="225">
          <cell r="B225" t="str">
            <v>ET-27.6</v>
          </cell>
          <cell r="C225" t="str">
            <v>SUMINISTRO, TRANSPORTE E INSTALACION INYECCION MORTERO 1:2 PARA ANCLAJE PANTALLA PASIVA</v>
          </cell>
          <cell r="D225" t="str">
            <v>ml</v>
          </cell>
        </row>
        <row r="226">
          <cell r="B226" t="str">
            <v>C-2.19-A</v>
          </cell>
          <cell r="C226" t="str">
            <v>SUMINISTRO, TRANSPORTE E INSTALACION PILOTES EN CONCRETO 4500 PSI D= 0.40 m</v>
          </cell>
          <cell r="D226" t="str">
            <v>m3</v>
          </cell>
        </row>
        <row r="227">
          <cell r="B227" t="str">
            <v>ET-27.19</v>
          </cell>
          <cell r="C227" t="str">
            <v>SUMINISTRO, TRANSPORTE E INSTALACION TUBERIA Ø 3" ALL PERFORADA PARA DRENES</v>
          </cell>
          <cell r="D227" t="str">
            <v>ml</v>
          </cell>
        </row>
        <row r="228">
          <cell r="B228" t="str">
            <v>ET-27.22</v>
          </cell>
          <cell r="C228" t="str">
            <v>SUMINISTRO, TRANSPORTE E INSTALACION PERFORACION PARA DREN HORIZONTAL EN TIERRA CON EQUIPO MECANICO</v>
          </cell>
          <cell r="D228" t="str">
            <v>ml</v>
          </cell>
        </row>
        <row r="229">
          <cell r="B229" t="str">
            <v>ADI-33.98</v>
          </cell>
          <cell r="C229" t="str">
            <v>SUMINISTRO, TRANSPORTE E INSTALACION FILTRO DRENAJE (0.30 x 1,7 m) Tubo Drenaje Corrugado de 4" con filtro. Incluye relleno piedra filtro, Geotextil NT 3000</v>
          </cell>
          <cell r="D229" t="str">
            <v>ml</v>
          </cell>
        </row>
        <row r="230">
          <cell r="C230" t="str">
            <v>Total  ESTABILIDAD DE TALUDES</v>
          </cell>
        </row>
      </sheetData>
      <sheetData sheetId="3"/>
      <sheetData sheetId="4"/>
      <sheetData sheetId="5"/>
      <sheetData sheetId="6"/>
      <sheetData sheetId="7"/>
      <sheetData sheetId="8"/>
      <sheetData sheetId="9"/>
      <sheetData sheetId="10"/>
      <sheetData sheetId="1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 LISTADO DE  PRECIOS "/>
      <sheetName val="DatosBD"/>
      <sheetName val="ANALISIS parte 1"/>
      <sheetName val="ANALISIS parte 2"/>
      <sheetName val="ANALISIS PERS"/>
      <sheetName val="INSUMOS"/>
      <sheetName val="FORMATOS"/>
      <sheetName val="Hoja1"/>
      <sheetName val="Hoja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c2.5y2.6"/>
      <sheetName val="Listas"/>
      <sheetName val="Excavación Mat. Común Estacione"/>
      <sheetName val="Demolición Pavimento"/>
      <sheetName val="Insum"/>
      <sheetName val="SUB APU"/>
      <sheetName val="TRANSPORTE"/>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20PARA%20241201%202S"/>
      <sheetName val="RELACION MES"/>
      <sheetName val="Equipo"/>
      <sheetName val="LISTA DE PRECIOS"/>
      <sheetName val="062"/>
      <sheetName val="Listado"/>
      <sheetName val="TRAPMO"/>
      <sheetName val="UNITARIOS"/>
      <sheetName val="THE"/>
      <sheetName val="ATHE"/>
      <sheetName val="PUNITARIOS_PARA_241201_2S10"/>
      <sheetName val="PR_110"/>
      <sheetName val="ESTADO_RED_TEC10"/>
      <sheetName val="PREACTA_1010"/>
      <sheetName val="PREACTA_910"/>
      <sheetName val="GCB2000"/>
      <sheetName val="A. P. U."/>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REC-COD,"/>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5. ELECTRICO"/>
      <sheetName val="TODAS"/>
      <sheetName val="OBRAS SES"/>
      <sheetName val="2,2,6,1 Pilotes 0,30"/>
      <sheetName val="Bajadas"/>
      <sheetName val="NARIÑO"/>
      <sheetName val="SALARIOS"/>
      <sheetName val="FINANC"/>
      <sheetName val="APU NO PREVISTO"/>
      <sheetName val="PPTA (3)"/>
      <sheetName val="PPTA (2)"/>
      <sheetName val="PPT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skj452"/>
      <sheetName val="ita878"/>
      <sheetName val="aea-944"/>
      <sheetName val="dub-823"/>
      <sheetName val="gpi 526"/>
      <sheetName val="xxj617"/>
      <sheetName val="sng_855"/>
      <sheetName val="vea 374"/>
      <sheetName val="hfb024"/>
      <sheetName val="paj825"/>
      <sheetName val="DEST. MEDIOS"/>
      <sheetName val="COMBUASF"/>
      <sheetName val="BALCRUDO"/>
      <sheetName val="CARGASPROC."/>
      <sheetName val="G L P  FINAL"/>
      <sheetName val="PERSONAL"/>
      <sheetName val="Tarifa MT"/>
      <sheetName val="CURVA"/>
      <sheetName val="OCTUBRE"/>
      <sheetName val="CODCONST"/>
      <sheetName val="PREACTA Y CONTRATISTAS"/>
      <sheetName val="Summary"/>
      <sheetName val="Hoja2"/>
      <sheetName val="Cuadr."/>
      <sheetName val="PUNITARIOS PARA 241201 2S.xls"/>
      <sheetName val="PLAN DE INVERSION ANTICIPO"/>
      <sheetName val="inv mensual"/>
      <sheetName val="borrador flujo inv"/>
      <sheetName val="social-ambiental"/>
      <sheetName val="AU"/>
      <sheetName val="inst"/>
      <sheetName val="TABLAS"/>
      <sheetName val="7.1.8.1.1"/>
      <sheetName val="PREACTA_61"/>
      <sheetName val="A_P_U1"/>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materiales"/>
      <sheetName val="otr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sheetData sheetId="126" refreshError="1"/>
      <sheetData sheetId="127" refreshError="1"/>
      <sheetData sheetId="128" refreshError="1"/>
      <sheetData sheetId="129" refreshError="1"/>
      <sheetData sheetId="130"/>
      <sheetData sheetId="131"/>
      <sheetData sheetId="132"/>
      <sheetData sheetId="133"/>
      <sheetData sheetId="134" refreshError="1"/>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_Cancha"/>
    </sheetNames>
    <sheetDataSet>
      <sheetData sheetId="0"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ETAPAS"/>
      <sheetName val="COTIZACIÓN MATERIALES"/>
      <sheetName val="Hoja1"/>
      <sheetName val="bienes relavantes"/>
      <sheetName val="PRESUPUESTO OFICIAL (Entidad)"/>
      <sheetName val="PROPUESTA ECONOMICA(Proponente)"/>
      <sheetName val="INDICAR CÓDIGO DEL ITEM DE PAGO"/>
      <sheetName val="tecnica"/>
      <sheetName val="PRESUPUESTO GENERAL"/>
      <sheetName val="LISTA EQUIPOS"/>
      <sheetName val="SALARIOS Y PRESTACIONES"/>
      <sheetName val="LISTA MATERIALES FERRETERIA"/>
      <sheetName val="1.1 ESTRUCTURA DE PAVIMENTO"/>
      <sheetName val="1.2 CUNETA"/>
      <sheetName val="concretos"/>
      <sheetName val="MEMORIAS DE CANTIDADES"/>
      <sheetName val="ESTUDIO DE MERCADO"/>
      <sheetName val="LISTA TRANSPORTES"/>
      <sheetName val="PROGRAMACION"/>
      <sheetName val="PRESUPUESTO Bloque 1"/>
      <sheetName val="MEMORIA DE CANTIDADES BLOQUE 1"/>
      <sheetName val="PRESUPUESTO Bloque 2"/>
      <sheetName val="MEMORIA DE CANTIDADES BLOQUE 2"/>
      <sheetName val="MEMORIA DE CANTIDADES BLOQUE 3"/>
      <sheetName val="PRESUPUESTO Bloque 3"/>
      <sheetName val="MEMORIA DE CANTIDADES GENER (2)"/>
      <sheetName val="CANT ESTRUCUT"/>
      <sheetName val="DESPIECE ACERO"/>
      <sheetName val="PGIO (0,5%)"/>
      <sheetName val="PRESUP. INTERVENTORIA"/>
      <sheetName val="F.M."/>
      <sheetName val="PRESUPUESTO DOTACIÓN"/>
      <sheetName val="ESTUDIO DE MERCADO - DOTACIÓN"/>
      <sheetName val="M.O"/>
      <sheetName val="TRASIEGO"/>
      <sheetName val="apu trasiego"/>
      <sheetName val="2 - DEMOLICIONES"/>
      <sheetName val="4 - CIMENTACIÓN - CONCRETOS"/>
      <sheetName val="6 - MAMPOSTERIA - ESTRUCT. ESP."/>
      <sheetName val="7 - ESTRUCTURA CUBIERTA"/>
      <sheetName val="10-ACABADOS"/>
      <sheetName val="11 - HIDROSANITARIOS"/>
      <sheetName val="12- ACCESORIOS VARIAS"/>
      <sheetName val=" CANCHA - "/>
      <sheetName val="14. RED CONTRAINCENDIO"/>
      <sheetName val="8 - PISOS - CONCRETO-ENCHAPES"/>
      <sheetName val="9 - PAÑETES - PINTURA"/>
      <sheetName val="13 - INST ELECTRICAS"/>
      <sheetName val="MANO DE OBRA"/>
      <sheetName val="CRONOGRAMA DE OBRA"/>
      <sheetName val="1.3 APU DISPOSICIÓN"/>
      <sheetName val="2.1 PRELIMINARES "/>
      <sheetName val="2.2 APU ONST ESTRUCTURAS "/>
      <sheetName val="2.3 APU DISPOSICIÓN "/>
      <sheetName val="CUADRILLAS"/>
      <sheetName val="A.I.U (30%)"/>
      <sheetName val="PRESUPUESTO PMT"/>
      <sheetName val="insumos ELÉCTRICOS "/>
      <sheetName val="INSUMOS"/>
      <sheetName val="PRESUPUESTO OPERACIÓN TK"/>
      <sheetName val="ANALISIS BASICOS"/>
      <sheetName val="LISTADO MATERIALES"/>
      <sheetName val="LISTADO EQUIPOS"/>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8.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3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1.xml"/></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4.bin"/></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41.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2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7"/>
  <sheetViews>
    <sheetView workbookViewId="0">
      <selection sqref="A1:F1"/>
    </sheetView>
  </sheetViews>
  <sheetFormatPr baseColWidth="10" defaultColWidth="14.44140625" defaultRowHeight="15" customHeight="1"/>
  <cols>
    <col min="1" max="1" width="6" customWidth="1"/>
    <col min="2" max="2" width="41.5546875" customWidth="1"/>
    <col min="3" max="3" width="8.44140625" customWidth="1"/>
    <col min="4" max="4" width="12.5546875" customWidth="1"/>
    <col min="5" max="6" width="18.5546875" customWidth="1"/>
    <col min="7" max="7" width="11.44140625" customWidth="1"/>
    <col min="8" max="8" width="14.109375" customWidth="1"/>
    <col min="9" max="9" width="16.6640625" customWidth="1"/>
    <col min="10" max="26" width="11.44140625" customWidth="1"/>
  </cols>
  <sheetData>
    <row r="1" spans="1:9" ht="14.25" customHeight="1">
      <c r="A1" s="1600" t="s">
        <v>0</v>
      </c>
      <c r="B1" s="1601"/>
      <c r="C1" s="1601"/>
      <c r="D1" s="1601"/>
      <c r="E1" s="1601"/>
      <c r="F1" s="1602"/>
      <c r="G1" s="1"/>
      <c r="H1" s="2"/>
      <c r="I1" s="1"/>
    </row>
    <row r="2" spans="1:9" ht="6.75" customHeight="1">
      <c r="A2" s="3"/>
      <c r="B2" s="1"/>
      <c r="C2" s="1"/>
      <c r="D2" s="4"/>
      <c r="E2" s="1"/>
      <c r="F2" s="1"/>
      <c r="G2" s="1"/>
      <c r="H2" s="2"/>
      <c r="I2" s="1"/>
    </row>
    <row r="3" spans="1:9" ht="45.75" customHeight="1">
      <c r="A3" s="1603" t="s">
        <v>1</v>
      </c>
      <c r="B3" s="1601"/>
      <c r="C3" s="1601"/>
      <c r="D3" s="1601"/>
      <c r="E3" s="1601"/>
      <c r="F3" s="1602"/>
      <c r="G3" s="1"/>
      <c r="H3" s="2"/>
      <c r="I3" s="1"/>
    </row>
    <row r="4" spans="1:9" ht="18.75" customHeight="1">
      <c r="A4" s="5" t="s">
        <v>2</v>
      </c>
      <c r="B4" s="6" t="s">
        <v>3</v>
      </c>
      <c r="C4" s="6"/>
      <c r="D4" s="7"/>
      <c r="E4" s="6"/>
      <c r="F4" s="6"/>
      <c r="G4" s="1"/>
      <c r="H4" s="2"/>
      <c r="I4" s="1"/>
    </row>
    <row r="5" spans="1:9" ht="14.25" customHeight="1">
      <c r="A5" s="8" t="s">
        <v>4</v>
      </c>
      <c r="B5" s="9" t="s">
        <v>5</v>
      </c>
      <c r="C5" s="9" t="s">
        <v>6</v>
      </c>
      <c r="D5" s="10" t="s">
        <v>7</v>
      </c>
      <c r="E5" s="9" t="s">
        <v>8</v>
      </c>
      <c r="F5" s="11" t="s">
        <v>9</v>
      </c>
      <c r="G5" s="1"/>
      <c r="H5" s="2"/>
      <c r="I5" s="1"/>
    </row>
    <row r="6" spans="1:9" ht="14.25" customHeight="1">
      <c r="A6" s="12">
        <v>1</v>
      </c>
      <c r="B6" s="13" t="s">
        <v>10</v>
      </c>
      <c r="C6" s="14"/>
      <c r="D6" s="15"/>
      <c r="E6" s="14"/>
      <c r="F6" s="16">
        <f>SUM(F7:F8)</f>
        <v>87811694</v>
      </c>
      <c r="G6" s="1"/>
      <c r="H6" s="2"/>
      <c r="I6" s="1">
        <f>10816.64+3314.27+1520.83+1875.97+6798.06</f>
        <v>24325.77</v>
      </c>
    </row>
    <row r="7" spans="1:9" ht="14.25" customHeight="1">
      <c r="A7" s="17" t="s">
        <v>11</v>
      </c>
      <c r="B7" s="18" t="s">
        <v>12</v>
      </c>
      <c r="C7" s="19" t="s">
        <v>13</v>
      </c>
      <c r="D7" s="15">
        <f>10812.64+3314.27</f>
        <v>14126.91</v>
      </c>
      <c r="E7" s="15">
        <v>2850</v>
      </c>
      <c r="F7" s="20">
        <f t="shared" ref="F7:F8" si="0">+ROUND(D7*E7,0)</f>
        <v>40261694</v>
      </c>
      <c r="G7" s="1"/>
      <c r="H7" s="21">
        <v>16002.88</v>
      </c>
      <c r="I7" s="1"/>
    </row>
    <row r="8" spans="1:9" ht="14.25" customHeight="1">
      <c r="A8" s="17" t="s">
        <v>14</v>
      </c>
      <c r="B8" s="18" t="s">
        <v>15</v>
      </c>
      <c r="C8" s="19" t="s">
        <v>16</v>
      </c>
      <c r="D8" s="15">
        <v>1</v>
      </c>
      <c r="E8" s="15">
        <v>47550000</v>
      </c>
      <c r="F8" s="20">
        <f t="shared" si="0"/>
        <v>47550000</v>
      </c>
      <c r="G8" s="1"/>
      <c r="H8" s="21">
        <v>1</v>
      </c>
      <c r="I8" s="1"/>
    </row>
    <row r="9" spans="1:9" ht="14.25" customHeight="1">
      <c r="A9" s="12">
        <v>2</v>
      </c>
      <c r="B9" s="22" t="s">
        <v>17</v>
      </c>
      <c r="C9" s="19"/>
      <c r="D9" s="15"/>
      <c r="E9" s="15"/>
      <c r="F9" s="16">
        <f>SUM(F10:F17)</f>
        <v>76795000</v>
      </c>
      <c r="G9" s="1"/>
      <c r="H9" s="21"/>
      <c r="I9" s="1"/>
    </row>
    <row r="10" spans="1:9" ht="14.25" customHeight="1">
      <c r="A10" s="17" t="s">
        <v>18</v>
      </c>
      <c r="B10" s="18" t="s">
        <v>19</v>
      </c>
      <c r="C10" s="19" t="s">
        <v>20</v>
      </c>
      <c r="D10" s="15">
        <v>350</v>
      </c>
      <c r="E10" s="15">
        <v>27550</v>
      </c>
      <c r="F10" s="20">
        <f t="shared" ref="F10:F17" si="1">+ROUND(D10*E10,0)</f>
        <v>9642500</v>
      </c>
      <c r="G10" s="1"/>
      <c r="H10" s="21">
        <v>350</v>
      </c>
      <c r="I10" s="1"/>
    </row>
    <row r="11" spans="1:9" ht="14.25" customHeight="1">
      <c r="A11" s="17" t="s">
        <v>21</v>
      </c>
      <c r="B11" s="18" t="s">
        <v>22</v>
      </c>
      <c r="C11" s="19" t="s">
        <v>20</v>
      </c>
      <c r="D11" s="15">
        <v>250</v>
      </c>
      <c r="E11" s="15">
        <v>32550</v>
      </c>
      <c r="F11" s="20">
        <f t="shared" si="1"/>
        <v>8137500</v>
      </c>
      <c r="G11" s="1"/>
      <c r="H11" s="21">
        <v>250</v>
      </c>
      <c r="I11" s="1"/>
    </row>
    <row r="12" spans="1:9" ht="14.25" customHeight="1">
      <c r="A12" s="17" t="s">
        <v>23</v>
      </c>
      <c r="B12" s="18" t="s">
        <v>24</v>
      </c>
      <c r="C12" s="19" t="s">
        <v>20</v>
      </c>
      <c r="D12" s="15">
        <v>150</v>
      </c>
      <c r="E12" s="15">
        <v>30500</v>
      </c>
      <c r="F12" s="20">
        <f t="shared" si="1"/>
        <v>4575000</v>
      </c>
      <c r="G12" s="1"/>
      <c r="H12" s="21">
        <v>150</v>
      </c>
      <c r="I12" s="1"/>
    </row>
    <row r="13" spans="1:9" ht="14.25" customHeight="1">
      <c r="A13" s="17" t="s">
        <v>25</v>
      </c>
      <c r="B13" s="18" t="s">
        <v>26</v>
      </c>
      <c r="C13" s="19" t="s">
        <v>20</v>
      </c>
      <c r="D13" s="15">
        <v>100</v>
      </c>
      <c r="E13" s="15">
        <v>35600</v>
      </c>
      <c r="F13" s="20">
        <f t="shared" si="1"/>
        <v>3560000</v>
      </c>
      <c r="G13" s="1"/>
      <c r="H13" s="21">
        <v>100</v>
      </c>
      <c r="I13" s="1"/>
    </row>
    <row r="14" spans="1:9" ht="14.25" customHeight="1">
      <c r="A14" s="17" t="s">
        <v>27</v>
      </c>
      <c r="B14" s="18" t="s">
        <v>28</v>
      </c>
      <c r="C14" s="19" t="s">
        <v>20</v>
      </c>
      <c r="D14" s="15">
        <v>45</v>
      </c>
      <c r="E14" s="15">
        <v>224000</v>
      </c>
      <c r="F14" s="20">
        <f t="shared" si="1"/>
        <v>10080000</v>
      </c>
      <c r="G14" s="1"/>
      <c r="H14" s="21">
        <v>45</v>
      </c>
      <c r="I14" s="1"/>
    </row>
    <row r="15" spans="1:9" ht="15" customHeight="1">
      <c r="A15" s="17" t="s">
        <v>29</v>
      </c>
      <c r="B15" s="18" t="s">
        <v>30</v>
      </c>
      <c r="C15" s="19" t="s">
        <v>20</v>
      </c>
      <c r="D15" s="15">
        <v>480</v>
      </c>
      <c r="E15" s="15">
        <v>45000</v>
      </c>
      <c r="F15" s="20">
        <f t="shared" si="1"/>
        <v>21600000</v>
      </c>
      <c r="G15" s="1"/>
      <c r="H15" s="21">
        <v>480</v>
      </c>
      <c r="I15" s="1"/>
    </row>
    <row r="16" spans="1:9" ht="14.25" customHeight="1">
      <c r="A16" s="17" t="s">
        <v>31</v>
      </c>
      <c r="B16" s="18" t="s">
        <v>32</v>
      </c>
      <c r="C16" s="19" t="s">
        <v>20</v>
      </c>
      <c r="D16" s="15">
        <v>220</v>
      </c>
      <c r="E16" s="15">
        <v>65000</v>
      </c>
      <c r="F16" s="20">
        <f t="shared" si="1"/>
        <v>14300000</v>
      </c>
      <c r="G16" s="1"/>
      <c r="H16" s="21">
        <v>220</v>
      </c>
      <c r="I16" s="1"/>
    </row>
    <row r="17" spans="1:10" ht="14.25" customHeight="1">
      <c r="A17" s="17" t="s">
        <v>33</v>
      </c>
      <c r="B17" s="18" t="s">
        <v>34</v>
      </c>
      <c r="C17" s="19" t="s">
        <v>20</v>
      </c>
      <c r="D17" s="15">
        <v>200</v>
      </c>
      <c r="E17" s="15">
        <v>24500</v>
      </c>
      <c r="F17" s="20">
        <f t="shared" si="1"/>
        <v>4900000</v>
      </c>
      <c r="G17" s="1"/>
      <c r="H17" s="21">
        <v>200</v>
      </c>
      <c r="I17" s="1"/>
      <c r="J17" s="1"/>
    </row>
    <row r="18" spans="1:10" ht="14.25" customHeight="1">
      <c r="A18" s="12">
        <v>3</v>
      </c>
      <c r="B18" s="22" t="s">
        <v>35</v>
      </c>
      <c r="C18" s="19"/>
      <c r="D18" s="15"/>
      <c r="E18" s="15"/>
      <c r="F18" s="16">
        <f>SUM(F19:F23)</f>
        <v>1643254547</v>
      </c>
      <c r="G18" s="1"/>
      <c r="H18" s="21"/>
      <c r="I18" s="1"/>
      <c r="J18" s="1"/>
    </row>
    <row r="19" spans="1:10" ht="14.25" customHeight="1">
      <c r="A19" s="17" t="s">
        <v>36</v>
      </c>
      <c r="B19" s="18" t="s">
        <v>37</v>
      </c>
      <c r="C19" s="19" t="s">
        <v>20</v>
      </c>
      <c r="D19" s="15">
        <f>((12.25+3.44+7.02+10.95+32.49+5.52)+(12.25+3.44+10.53+8.21+16.25+8.28)*2)</f>
        <v>189.59</v>
      </c>
      <c r="E19" s="15">
        <v>535000</v>
      </c>
      <c r="F19" s="20">
        <f t="shared" ref="F19:F23" si="2">+ROUND(D19*E19,0)</f>
        <v>101430650</v>
      </c>
      <c r="G19" s="1"/>
      <c r="H19" s="21">
        <v>189.59</v>
      </c>
      <c r="I19" s="1">
        <f>12.25+3.44+10.53+8.21+16.25+8.28</f>
        <v>58.96</v>
      </c>
      <c r="J19" s="1">
        <f>63.77*2</f>
        <v>127.54</v>
      </c>
    </row>
    <row r="20" spans="1:10" ht="14.25" customHeight="1">
      <c r="A20" s="17" t="s">
        <v>38</v>
      </c>
      <c r="B20" s="18" t="s">
        <v>39</v>
      </c>
      <c r="C20" s="19" t="s">
        <v>20</v>
      </c>
      <c r="D20" s="15">
        <f>((10.08+15.34+17.1+106.18)*2)+13.44+20.45+20.52+91.01</f>
        <v>442.82</v>
      </c>
      <c r="E20" s="15">
        <v>675550</v>
      </c>
      <c r="F20" s="20">
        <f t="shared" si="2"/>
        <v>299147051</v>
      </c>
      <c r="G20" s="1"/>
      <c r="H20" s="21">
        <v>442.82</v>
      </c>
      <c r="I20" s="1">
        <f>+I19*2</f>
        <v>117.92</v>
      </c>
      <c r="J20" s="1">
        <v>73.63</v>
      </c>
    </row>
    <row r="21" spans="1:10" ht="14.25" customHeight="1">
      <c r="A21" s="17" t="s">
        <v>40</v>
      </c>
      <c r="B21" s="18" t="s">
        <v>41</v>
      </c>
      <c r="C21" s="19" t="s">
        <v>20</v>
      </c>
      <c r="D21" s="15">
        <f>(73.63+137.44)</f>
        <v>211.07</v>
      </c>
      <c r="E21" s="15">
        <v>545400</v>
      </c>
      <c r="F21" s="20">
        <f t="shared" si="2"/>
        <v>115117578</v>
      </c>
      <c r="G21" s="1"/>
      <c r="H21" s="21">
        <v>211.07</v>
      </c>
      <c r="I21" s="1">
        <f>12.25+3.44+7.02+10.95+32.49+5.52</f>
        <v>71.67</v>
      </c>
      <c r="J21" s="1">
        <f>+J20+J19</f>
        <v>201.17000000000002</v>
      </c>
    </row>
    <row r="22" spans="1:10" ht="14.25" customHeight="1">
      <c r="A22" s="17" t="s">
        <v>42</v>
      </c>
      <c r="B22" s="18" t="s">
        <v>43</v>
      </c>
      <c r="C22" s="19" t="s">
        <v>44</v>
      </c>
      <c r="D22" s="15">
        <v>2977.76</v>
      </c>
      <c r="E22" s="15">
        <v>185450</v>
      </c>
      <c r="F22" s="20">
        <f t="shared" si="2"/>
        <v>552225592</v>
      </c>
      <c r="G22" s="1"/>
      <c r="H22" s="21">
        <v>2977.76</v>
      </c>
      <c r="I22" s="1"/>
      <c r="J22" s="1"/>
    </row>
    <row r="23" spans="1:10" ht="14.25" customHeight="1">
      <c r="A23" s="17" t="s">
        <v>45</v>
      </c>
      <c r="B23" s="18" t="s">
        <v>46</v>
      </c>
      <c r="C23" s="19" t="s">
        <v>44</v>
      </c>
      <c r="D23" s="15">
        <f>19.3*112.3</f>
        <v>2167.39</v>
      </c>
      <c r="E23" s="15">
        <v>265450</v>
      </c>
      <c r="F23" s="20">
        <f t="shared" si="2"/>
        <v>575333676</v>
      </c>
      <c r="G23" s="1"/>
      <c r="H23" s="21">
        <v>2167.39</v>
      </c>
      <c r="I23" s="1"/>
      <c r="J23" s="1"/>
    </row>
    <row r="24" spans="1:10" ht="14.25" customHeight="1">
      <c r="A24" s="12">
        <v>4</v>
      </c>
      <c r="B24" s="22" t="s">
        <v>47</v>
      </c>
      <c r="C24" s="19"/>
      <c r="D24" s="15"/>
      <c r="E24" s="15"/>
      <c r="F24" s="16">
        <f>SUM(F25:F26)</f>
        <v>958242478</v>
      </c>
      <c r="G24" s="1"/>
      <c r="H24" s="21"/>
      <c r="I24" s="1"/>
      <c r="J24" s="1"/>
    </row>
    <row r="25" spans="1:10" ht="14.25" customHeight="1">
      <c r="A25" s="17" t="s">
        <v>48</v>
      </c>
      <c r="B25" s="18" t="s">
        <v>49</v>
      </c>
      <c r="C25" s="19" t="s">
        <v>50</v>
      </c>
      <c r="D25" s="15">
        <f>+ROUND((D19+D20+D21+D22*1.1+D23*1.1)*35+8000,0)</f>
        <v>235610</v>
      </c>
      <c r="E25" s="15">
        <v>3850</v>
      </c>
      <c r="F25" s="20">
        <f t="shared" ref="F25:F26" si="3">+ROUND(D25*E25,0)</f>
        <v>907098500</v>
      </c>
      <c r="G25" s="1"/>
      <c r="H25" s="21">
        <v>235610</v>
      </c>
      <c r="I25" s="1"/>
      <c r="J25" s="1"/>
    </row>
    <row r="26" spans="1:10" ht="14.25" customHeight="1">
      <c r="A26" s="17" t="s">
        <v>51</v>
      </c>
      <c r="B26" s="18" t="s">
        <v>52</v>
      </c>
      <c r="C26" s="19" t="s">
        <v>44</v>
      </c>
      <c r="D26" s="15">
        <f>+D22+D23+180*30</f>
        <v>10545.15</v>
      </c>
      <c r="E26" s="15">
        <v>4850</v>
      </c>
      <c r="F26" s="20">
        <f t="shared" si="3"/>
        <v>51143978</v>
      </c>
      <c r="G26" s="1"/>
      <c r="H26" s="21">
        <v>10545.15</v>
      </c>
      <c r="I26" s="1"/>
      <c r="J26" s="1"/>
    </row>
    <row r="27" spans="1:10" ht="14.25" customHeight="1">
      <c r="A27" s="12">
        <v>5</v>
      </c>
      <c r="B27" s="22" t="s">
        <v>53</v>
      </c>
      <c r="C27" s="19"/>
      <c r="D27" s="15"/>
      <c r="E27" s="15"/>
      <c r="F27" s="16">
        <f>SUM(F28)</f>
        <v>0</v>
      </c>
      <c r="G27" s="1"/>
      <c r="H27" s="21"/>
      <c r="I27" s="1"/>
      <c r="J27" s="1"/>
    </row>
    <row r="28" spans="1:10" ht="14.25" customHeight="1">
      <c r="A28" s="17" t="s">
        <v>54</v>
      </c>
      <c r="B28" s="18" t="s">
        <v>55</v>
      </c>
      <c r="C28" s="19" t="s">
        <v>44</v>
      </c>
      <c r="D28" s="15"/>
      <c r="E28" s="15">
        <v>134500</v>
      </c>
      <c r="F28" s="20">
        <f>+ROUND(D28*E28,0)</f>
        <v>0</v>
      </c>
      <c r="G28" s="1"/>
      <c r="H28" s="21"/>
      <c r="I28" s="1"/>
      <c r="J28" s="1"/>
    </row>
    <row r="29" spans="1:10" ht="14.25" customHeight="1">
      <c r="A29" s="12">
        <v>6</v>
      </c>
      <c r="B29" s="22" t="s">
        <v>56</v>
      </c>
      <c r="C29" s="19"/>
      <c r="D29" s="15"/>
      <c r="E29" s="15"/>
      <c r="F29" s="16">
        <f>SUM(F30:F45)</f>
        <v>1764206200</v>
      </c>
      <c r="G29" s="1"/>
      <c r="H29" s="21"/>
      <c r="I29" s="1"/>
      <c r="J29" s="1"/>
    </row>
    <row r="30" spans="1:10" ht="14.25" customHeight="1">
      <c r="A30" s="12"/>
      <c r="B30" s="22" t="s">
        <v>57</v>
      </c>
      <c r="C30" s="19"/>
      <c r="D30" s="15"/>
      <c r="E30" s="15"/>
      <c r="F30" s="20"/>
      <c r="G30" s="1"/>
      <c r="H30" s="21"/>
      <c r="I30" s="1"/>
      <c r="J30" s="1"/>
    </row>
    <row r="31" spans="1:10" ht="14.25" customHeight="1">
      <c r="A31" s="17" t="s">
        <v>58</v>
      </c>
      <c r="B31" s="18" t="s">
        <v>59</v>
      </c>
      <c r="C31" s="19" t="s">
        <v>44</v>
      </c>
      <c r="D31" s="15">
        <v>266.95999999999998</v>
      </c>
      <c r="E31" s="15">
        <v>1150000</v>
      </c>
      <c r="F31" s="20">
        <f t="shared" ref="F31:F35" si="4">+ROUND(D31*E31,0)</f>
        <v>307004000</v>
      </c>
      <c r="G31" s="1"/>
      <c r="H31" s="21">
        <v>266.95999999999998</v>
      </c>
      <c r="I31" s="1"/>
      <c r="J31" s="1"/>
    </row>
    <row r="32" spans="1:10" ht="14.25" customHeight="1">
      <c r="A32" s="17" t="s">
        <v>60</v>
      </c>
      <c r="B32" s="18" t="s">
        <v>61</v>
      </c>
      <c r="C32" s="19" t="s">
        <v>44</v>
      </c>
      <c r="D32" s="23">
        <v>223.98</v>
      </c>
      <c r="E32" s="15">
        <v>1150000</v>
      </c>
      <c r="F32" s="20">
        <f t="shared" si="4"/>
        <v>257577000</v>
      </c>
      <c r="G32" s="1"/>
      <c r="H32" s="21">
        <v>223.98</v>
      </c>
      <c r="I32" s="1"/>
      <c r="J32" s="1"/>
    </row>
    <row r="33" spans="1:8" ht="14.25" customHeight="1">
      <c r="A33" s="17" t="s">
        <v>62</v>
      </c>
      <c r="B33" s="18" t="s">
        <v>63</v>
      </c>
      <c r="C33" s="19" t="s">
        <v>44</v>
      </c>
      <c r="D33" s="23">
        <v>39.64</v>
      </c>
      <c r="E33" s="15">
        <v>1150000</v>
      </c>
      <c r="F33" s="20">
        <f t="shared" si="4"/>
        <v>45586000</v>
      </c>
      <c r="G33" s="1"/>
      <c r="H33" s="21">
        <v>39.64</v>
      </c>
    </row>
    <row r="34" spans="1:8" ht="14.25" customHeight="1">
      <c r="A34" s="17" t="s">
        <v>64</v>
      </c>
      <c r="B34" s="18" t="s">
        <v>65</v>
      </c>
      <c r="C34" s="19" t="s">
        <v>44</v>
      </c>
      <c r="D34" s="23">
        <v>75.069999999999993</v>
      </c>
      <c r="E34" s="15">
        <v>850000</v>
      </c>
      <c r="F34" s="20">
        <f t="shared" si="4"/>
        <v>63809500</v>
      </c>
      <c r="G34" s="1"/>
      <c r="H34" s="21">
        <v>75.069999999999993</v>
      </c>
    </row>
    <row r="35" spans="1:8" ht="14.25" customHeight="1">
      <c r="A35" s="17" t="s">
        <v>66</v>
      </c>
      <c r="B35" s="18" t="s">
        <v>67</v>
      </c>
      <c r="C35" s="19" t="s">
        <v>44</v>
      </c>
      <c r="D35" s="23">
        <v>212.42</v>
      </c>
      <c r="E35" s="15">
        <f>+E37</f>
        <v>650000</v>
      </c>
      <c r="F35" s="20">
        <f t="shared" si="4"/>
        <v>138073000</v>
      </c>
      <c r="G35" s="1"/>
      <c r="H35" s="21">
        <v>212.42</v>
      </c>
    </row>
    <row r="36" spans="1:8" ht="14.25" customHeight="1">
      <c r="A36" s="17"/>
      <c r="B36" s="22" t="s">
        <v>68</v>
      </c>
      <c r="C36" s="19"/>
      <c r="D36" s="23"/>
      <c r="E36" s="15"/>
      <c r="F36" s="20"/>
      <c r="G36" s="1"/>
      <c r="H36" s="21"/>
    </row>
    <row r="37" spans="1:8" ht="14.25" customHeight="1">
      <c r="A37" s="17">
        <v>6.7</v>
      </c>
      <c r="B37" s="18" t="s">
        <v>67</v>
      </c>
      <c r="C37" s="19" t="s">
        <v>44</v>
      </c>
      <c r="D37" s="23">
        <v>776.46</v>
      </c>
      <c r="E37" s="15">
        <v>650000</v>
      </c>
      <c r="F37" s="20">
        <f t="shared" ref="F37:F39" si="5">+ROUND(D37*E37,0)</f>
        <v>504699000</v>
      </c>
      <c r="G37" s="1"/>
      <c r="H37" s="21">
        <v>776.46</v>
      </c>
    </row>
    <row r="38" spans="1:8" ht="14.25" customHeight="1">
      <c r="A38" s="17">
        <v>6.8</v>
      </c>
      <c r="B38" s="18" t="s">
        <v>69</v>
      </c>
      <c r="C38" s="19" t="s">
        <v>44</v>
      </c>
      <c r="D38" s="23">
        <v>143.05000000000001</v>
      </c>
      <c r="E38" s="15">
        <v>1350000</v>
      </c>
      <c r="F38" s="20">
        <f t="shared" si="5"/>
        <v>193117500</v>
      </c>
      <c r="G38" s="1"/>
      <c r="H38" s="21">
        <v>143.05000000000001</v>
      </c>
    </row>
    <row r="39" spans="1:8" ht="14.25" customHeight="1">
      <c r="A39" s="17">
        <v>6.9</v>
      </c>
      <c r="B39" s="18" t="s">
        <v>70</v>
      </c>
      <c r="C39" s="19" t="s">
        <v>44</v>
      </c>
      <c r="D39" s="23"/>
      <c r="E39" s="15">
        <v>850000</v>
      </c>
      <c r="F39" s="20">
        <f t="shared" si="5"/>
        <v>0</v>
      </c>
      <c r="G39" s="1"/>
      <c r="H39" s="21">
        <v>370.49</v>
      </c>
    </row>
    <row r="40" spans="1:8" ht="14.25" customHeight="1">
      <c r="A40" s="17"/>
      <c r="B40" s="22" t="s">
        <v>71</v>
      </c>
      <c r="C40" s="19"/>
      <c r="D40" s="23"/>
      <c r="E40" s="15"/>
      <c r="F40" s="20"/>
      <c r="G40" s="1"/>
      <c r="H40" s="21"/>
    </row>
    <row r="41" spans="1:8" ht="14.25" customHeight="1">
      <c r="A41" s="24">
        <v>6.1</v>
      </c>
      <c r="B41" s="18" t="s">
        <v>72</v>
      </c>
      <c r="C41" s="19" t="s">
        <v>44</v>
      </c>
      <c r="D41" s="23"/>
      <c r="E41" s="15">
        <v>1150000</v>
      </c>
      <c r="F41" s="20">
        <f>+ROUND(D41*E41,0)</f>
        <v>0</v>
      </c>
      <c r="G41" s="1"/>
      <c r="H41" s="21">
        <v>250</v>
      </c>
    </row>
    <row r="42" spans="1:8" ht="14.25" customHeight="1">
      <c r="A42" s="17"/>
      <c r="B42" s="25" t="s">
        <v>73</v>
      </c>
      <c r="C42" s="19"/>
      <c r="D42" s="23"/>
      <c r="E42" s="15"/>
      <c r="F42" s="20"/>
      <c r="G42" s="1"/>
      <c r="H42" s="21"/>
    </row>
    <row r="43" spans="1:8" ht="14.25" customHeight="1">
      <c r="A43" s="17">
        <v>6.11</v>
      </c>
      <c r="B43" s="18" t="s">
        <v>74</v>
      </c>
      <c r="C43" s="19" t="s">
        <v>44</v>
      </c>
      <c r="D43" s="23">
        <v>596</v>
      </c>
      <c r="E43" s="15">
        <v>250000</v>
      </c>
      <c r="F43" s="20">
        <f t="shared" ref="F43:F45" si="6">+ROUND(D43*E43,0)</f>
        <v>149000000</v>
      </c>
      <c r="G43" s="1"/>
      <c r="H43" s="21">
        <v>596</v>
      </c>
    </row>
    <row r="44" spans="1:8" ht="14.25" customHeight="1">
      <c r="A44" s="17">
        <v>6.12</v>
      </c>
      <c r="B44" s="18" t="s">
        <v>75</v>
      </c>
      <c r="C44" s="19" t="s">
        <v>44</v>
      </c>
      <c r="D44" s="23">
        <f>192.94+162.01+162.01+105.4+105.4</f>
        <v>727.76</v>
      </c>
      <c r="E44" s="15">
        <v>120000</v>
      </c>
      <c r="F44" s="20">
        <f t="shared" si="6"/>
        <v>87331200</v>
      </c>
      <c r="G44" s="1"/>
      <c r="H44" s="21">
        <v>727.76</v>
      </c>
    </row>
    <row r="45" spans="1:8" ht="14.25" customHeight="1">
      <c r="A45" s="17">
        <v>6.13</v>
      </c>
      <c r="B45" s="18" t="s">
        <v>76</v>
      </c>
      <c r="C45" s="19" t="s">
        <v>44</v>
      </c>
      <c r="D45" s="23">
        <v>100.05</v>
      </c>
      <c r="E45" s="15">
        <v>180000</v>
      </c>
      <c r="F45" s="20">
        <f t="shared" si="6"/>
        <v>18009000</v>
      </c>
      <c r="G45" s="1"/>
      <c r="H45" s="21">
        <v>100.05</v>
      </c>
    </row>
    <row r="46" spans="1:8" ht="14.25" customHeight="1">
      <c r="A46" s="17"/>
      <c r="B46" s="25" t="s">
        <v>77</v>
      </c>
      <c r="C46" s="19"/>
      <c r="D46" s="23"/>
      <c r="E46" s="15"/>
      <c r="F46" s="20"/>
      <c r="G46" s="1"/>
      <c r="H46" s="21"/>
    </row>
    <row r="47" spans="1:8" ht="14.25" customHeight="1">
      <c r="A47" s="17">
        <v>6.11</v>
      </c>
      <c r="B47" s="18" t="s">
        <v>78</v>
      </c>
      <c r="C47" s="19" t="s">
        <v>44</v>
      </c>
      <c r="D47" s="23">
        <f>224.01</f>
        <v>224.01</v>
      </c>
      <c r="E47" s="15">
        <v>800000</v>
      </c>
      <c r="F47" s="20">
        <f>+ROUND(D47*E47,0)</f>
        <v>179208000</v>
      </c>
      <c r="G47" s="1"/>
      <c r="H47" s="21">
        <v>448.02</v>
      </c>
    </row>
    <row r="48" spans="1:8" ht="14.25" customHeight="1">
      <c r="A48" s="12">
        <v>7</v>
      </c>
      <c r="B48" s="22" t="s">
        <v>79</v>
      </c>
      <c r="C48" s="19"/>
      <c r="D48" s="23"/>
      <c r="E48" s="15"/>
      <c r="F48" s="16">
        <f>SUM(F49:F72)</f>
        <v>1026944790</v>
      </c>
      <c r="G48" s="1"/>
      <c r="H48" s="21"/>
    </row>
    <row r="49" spans="1:6" ht="14.25" customHeight="1">
      <c r="A49" s="17" t="s">
        <v>80</v>
      </c>
      <c r="B49" s="18" t="s">
        <v>81</v>
      </c>
      <c r="C49" s="19" t="s">
        <v>44</v>
      </c>
      <c r="D49" s="23">
        <v>10930</v>
      </c>
      <c r="E49" s="15">
        <v>5872</v>
      </c>
      <c r="F49" s="20">
        <f t="shared" ref="F49:F72" si="7">+ROUND(D49*E49,0)</f>
        <v>64180960</v>
      </c>
    </row>
    <row r="50" spans="1:6" ht="14.25" customHeight="1">
      <c r="A50" s="17" t="s">
        <v>82</v>
      </c>
      <c r="B50" s="18" t="s">
        <v>83</v>
      </c>
      <c r="C50" s="19" t="s">
        <v>20</v>
      </c>
      <c r="D50" s="23">
        <f>8400*0.3</f>
        <v>2520</v>
      </c>
      <c r="E50" s="15">
        <v>14657</v>
      </c>
      <c r="F50" s="20">
        <f t="shared" si="7"/>
        <v>36935640</v>
      </c>
    </row>
    <row r="51" spans="1:6" ht="14.25" customHeight="1">
      <c r="A51" s="17" t="s">
        <v>84</v>
      </c>
      <c r="B51" s="18" t="s">
        <v>85</v>
      </c>
      <c r="C51" s="19" t="s">
        <v>44</v>
      </c>
      <c r="D51" s="23">
        <v>10625</v>
      </c>
      <c r="E51" s="15">
        <v>752</v>
      </c>
      <c r="F51" s="20">
        <f t="shared" si="7"/>
        <v>7990000</v>
      </c>
    </row>
    <row r="52" spans="1:6" ht="14.25" customHeight="1">
      <c r="A52" s="17" t="s">
        <v>86</v>
      </c>
      <c r="B52" s="18" t="s">
        <v>87</v>
      </c>
      <c r="C52" s="19" t="s">
        <v>88</v>
      </c>
      <c r="D52" s="23">
        <v>6</v>
      </c>
      <c r="E52" s="15">
        <v>715315</v>
      </c>
      <c r="F52" s="20">
        <f t="shared" si="7"/>
        <v>4291890</v>
      </c>
    </row>
    <row r="53" spans="1:6" ht="14.25" customHeight="1">
      <c r="A53" s="17" t="s">
        <v>89</v>
      </c>
      <c r="B53" s="18" t="s">
        <v>90</v>
      </c>
      <c r="C53" s="19" t="s">
        <v>20</v>
      </c>
      <c r="D53" s="23">
        <f>8400*0.1</f>
        <v>840</v>
      </c>
      <c r="E53" s="15">
        <v>62500</v>
      </c>
      <c r="F53" s="20">
        <f t="shared" si="7"/>
        <v>52500000</v>
      </c>
    </row>
    <row r="54" spans="1:6" ht="14.25" customHeight="1">
      <c r="A54" s="17" t="s">
        <v>91</v>
      </c>
      <c r="B54" s="18" t="s">
        <v>92</v>
      </c>
      <c r="C54" s="19" t="s">
        <v>44</v>
      </c>
      <c r="D54" s="23">
        <v>8400</v>
      </c>
      <c r="E54" s="15">
        <v>7141</v>
      </c>
      <c r="F54" s="20">
        <f t="shared" si="7"/>
        <v>59984400</v>
      </c>
    </row>
    <row r="55" spans="1:6" ht="14.25" customHeight="1">
      <c r="A55" s="17" t="s">
        <v>93</v>
      </c>
      <c r="B55" s="18" t="s">
        <v>94</v>
      </c>
      <c r="C55" s="19" t="s">
        <v>44</v>
      </c>
      <c r="D55" s="23">
        <v>8400</v>
      </c>
      <c r="E55" s="15">
        <v>41105</v>
      </c>
      <c r="F55" s="20">
        <f t="shared" si="7"/>
        <v>345282000</v>
      </c>
    </row>
    <row r="56" spans="1:6" ht="14.25" customHeight="1">
      <c r="A56" s="17"/>
      <c r="B56" s="18" t="s">
        <v>95</v>
      </c>
      <c r="C56" s="19"/>
      <c r="D56" s="23"/>
      <c r="E56" s="15"/>
      <c r="F56" s="20">
        <f t="shared" si="7"/>
        <v>0</v>
      </c>
    </row>
    <row r="57" spans="1:6" ht="14.25" customHeight="1">
      <c r="A57" s="17" t="s">
        <v>96</v>
      </c>
      <c r="B57" s="18" t="s">
        <v>97</v>
      </c>
      <c r="C57" s="19" t="s">
        <v>88</v>
      </c>
      <c r="D57" s="23">
        <v>24</v>
      </c>
      <c r="E57" s="15">
        <v>480000</v>
      </c>
      <c r="F57" s="20">
        <f t="shared" si="7"/>
        <v>11520000</v>
      </c>
    </row>
    <row r="58" spans="1:6" ht="14.25" customHeight="1">
      <c r="A58" s="17" t="s">
        <v>98</v>
      </c>
      <c r="B58" s="18" t="s">
        <v>99</v>
      </c>
      <c r="C58" s="19" t="s">
        <v>88</v>
      </c>
      <c r="D58" s="23">
        <v>7</v>
      </c>
      <c r="E58" s="15">
        <v>220000</v>
      </c>
      <c r="F58" s="20">
        <f t="shared" si="7"/>
        <v>1540000</v>
      </c>
    </row>
    <row r="59" spans="1:6" ht="14.25" customHeight="1">
      <c r="A59" s="17"/>
      <c r="B59" s="18" t="s">
        <v>100</v>
      </c>
      <c r="C59" s="19"/>
      <c r="D59" s="23"/>
      <c r="E59" s="15"/>
      <c r="F59" s="20">
        <f t="shared" si="7"/>
        <v>0</v>
      </c>
    </row>
    <row r="60" spans="1:6" ht="14.25" customHeight="1">
      <c r="A60" s="17" t="s">
        <v>101</v>
      </c>
      <c r="B60" s="18" t="s">
        <v>102</v>
      </c>
      <c r="C60" s="19" t="s">
        <v>103</v>
      </c>
      <c r="D60" s="23">
        <v>450</v>
      </c>
      <c r="E60" s="15">
        <v>22200</v>
      </c>
      <c r="F60" s="20">
        <f t="shared" si="7"/>
        <v>9990000</v>
      </c>
    </row>
    <row r="61" spans="1:6" ht="14.25" customHeight="1">
      <c r="A61" s="17" t="s">
        <v>104</v>
      </c>
      <c r="B61" s="18" t="s">
        <v>105</v>
      </c>
      <c r="C61" s="19" t="s">
        <v>103</v>
      </c>
      <c r="D61" s="23">
        <v>300</v>
      </c>
      <c r="E61" s="15">
        <v>16500</v>
      </c>
      <c r="F61" s="20">
        <f t="shared" si="7"/>
        <v>4950000</v>
      </c>
    </row>
    <row r="62" spans="1:6" ht="14.25" customHeight="1">
      <c r="A62" s="17" t="s">
        <v>106</v>
      </c>
      <c r="B62" s="18" t="s">
        <v>107</v>
      </c>
      <c r="C62" s="19" t="s">
        <v>103</v>
      </c>
      <c r="D62" s="23">
        <v>300</v>
      </c>
      <c r="E62" s="15">
        <v>14500</v>
      </c>
      <c r="F62" s="20">
        <f t="shared" si="7"/>
        <v>4350000</v>
      </c>
    </row>
    <row r="63" spans="1:6" ht="14.25" customHeight="1">
      <c r="A63" s="17" t="s">
        <v>108</v>
      </c>
      <c r="B63" s="18" t="s">
        <v>109</v>
      </c>
      <c r="C63" s="19" t="s">
        <v>103</v>
      </c>
      <c r="D63" s="23">
        <v>300</v>
      </c>
      <c r="E63" s="15">
        <v>13200</v>
      </c>
      <c r="F63" s="20">
        <f t="shared" si="7"/>
        <v>3960000</v>
      </c>
    </row>
    <row r="64" spans="1:6" ht="14.25" customHeight="1">
      <c r="A64" s="17" t="s">
        <v>110</v>
      </c>
      <c r="B64" s="18" t="s">
        <v>111</v>
      </c>
      <c r="C64" s="19" t="s">
        <v>88</v>
      </c>
      <c r="D64" s="23">
        <v>1</v>
      </c>
      <c r="E64" s="15">
        <v>38460000</v>
      </c>
      <c r="F64" s="20">
        <f t="shared" si="7"/>
        <v>38460000</v>
      </c>
    </row>
    <row r="65" spans="1:8" ht="14.25" customHeight="1">
      <c r="A65" s="17" t="s">
        <v>112</v>
      </c>
      <c r="B65" s="18" t="s">
        <v>113</v>
      </c>
      <c r="C65" s="19" t="s">
        <v>88</v>
      </c>
      <c r="D65" s="23">
        <v>1</v>
      </c>
      <c r="E65" s="15">
        <v>28640000</v>
      </c>
      <c r="F65" s="20">
        <f t="shared" si="7"/>
        <v>28640000</v>
      </c>
      <c r="G65" s="1"/>
      <c r="H65" s="21"/>
    </row>
    <row r="66" spans="1:8" ht="14.25" customHeight="1">
      <c r="A66" s="17" t="s">
        <v>114</v>
      </c>
      <c r="B66" s="18" t="s">
        <v>115</v>
      </c>
      <c r="C66" s="19" t="s">
        <v>116</v>
      </c>
      <c r="D66" s="23">
        <f>8400*0.2</f>
        <v>1680</v>
      </c>
      <c r="E66" s="15">
        <v>42750</v>
      </c>
      <c r="F66" s="20">
        <f t="shared" si="7"/>
        <v>71820000</v>
      </c>
      <c r="G66" s="1"/>
      <c r="H66" s="21"/>
    </row>
    <row r="67" spans="1:8" ht="14.25" customHeight="1">
      <c r="A67" s="17"/>
      <c r="B67" s="18" t="s">
        <v>117</v>
      </c>
      <c r="C67" s="19"/>
      <c r="D67" s="23"/>
      <c r="E67" s="15"/>
      <c r="F67" s="20">
        <f t="shared" si="7"/>
        <v>0</v>
      </c>
      <c r="G67" s="1"/>
      <c r="H67" s="21"/>
    </row>
    <row r="68" spans="1:8" ht="14.25" customHeight="1">
      <c r="A68" s="17" t="s">
        <v>118</v>
      </c>
      <c r="B68" s="18" t="s">
        <v>119</v>
      </c>
      <c r="C68" s="19" t="s">
        <v>120</v>
      </c>
      <c r="D68" s="23">
        <v>1950</v>
      </c>
      <c r="E68" s="15">
        <v>53790</v>
      </c>
      <c r="F68" s="20">
        <f t="shared" si="7"/>
        <v>104890500</v>
      </c>
      <c r="G68" s="1"/>
      <c r="H68" s="21"/>
    </row>
    <row r="69" spans="1:8" ht="14.25" customHeight="1">
      <c r="A69" s="17" t="s">
        <v>121</v>
      </c>
      <c r="B69" s="18" t="s">
        <v>122</v>
      </c>
      <c r="C69" s="19" t="s">
        <v>120</v>
      </c>
      <c r="D69" s="23">
        <v>120</v>
      </c>
      <c r="E69" s="15">
        <v>136205</v>
      </c>
      <c r="F69" s="20">
        <f t="shared" si="7"/>
        <v>16344600</v>
      </c>
      <c r="G69" s="1"/>
      <c r="H69" s="21"/>
    </row>
    <row r="70" spans="1:8" ht="14.25" customHeight="1">
      <c r="A70" s="17" t="s">
        <v>123</v>
      </c>
      <c r="B70" s="18" t="s">
        <v>124</v>
      </c>
      <c r="C70" s="19" t="s">
        <v>120</v>
      </c>
      <c r="D70" s="23">
        <v>40</v>
      </c>
      <c r="E70" s="15">
        <v>163745</v>
      </c>
      <c r="F70" s="20">
        <f t="shared" si="7"/>
        <v>6549800</v>
      </c>
      <c r="G70" s="1"/>
      <c r="H70" s="21"/>
    </row>
    <row r="71" spans="1:8" ht="14.25" customHeight="1">
      <c r="A71" s="17" t="s">
        <v>125</v>
      </c>
      <c r="B71" s="18" t="s">
        <v>126</v>
      </c>
      <c r="C71" s="19" t="s">
        <v>127</v>
      </c>
      <c r="D71" s="23">
        <v>1</v>
      </c>
      <c r="E71" s="15">
        <v>965000</v>
      </c>
      <c r="F71" s="20">
        <f t="shared" si="7"/>
        <v>965000</v>
      </c>
      <c r="G71" s="1"/>
      <c r="H71" s="21"/>
    </row>
    <row r="72" spans="1:8" ht="14.25" customHeight="1">
      <c r="A72" s="17" t="s">
        <v>128</v>
      </c>
      <c r="B72" s="18" t="s">
        <v>129</v>
      </c>
      <c r="C72" s="19" t="s">
        <v>44</v>
      </c>
      <c r="D72" s="23">
        <v>2530</v>
      </c>
      <c r="E72" s="15">
        <v>60000</v>
      </c>
      <c r="F72" s="20">
        <f t="shared" si="7"/>
        <v>151800000</v>
      </c>
      <c r="G72" s="1"/>
      <c r="H72" s="21">
        <v>2530</v>
      </c>
    </row>
    <row r="73" spans="1:8" ht="14.25" customHeight="1">
      <c r="A73" s="17">
        <v>8</v>
      </c>
      <c r="B73" s="22" t="s">
        <v>130</v>
      </c>
      <c r="C73" s="19"/>
      <c r="D73" s="23"/>
      <c r="E73" s="15"/>
      <c r="F73" s="16">
        <f>SUM(F74)</f>
        <v>1088496311</v>
      </c>
      <c r="G73" s="1"/>
      <c r="H73" s="21"/>
    </row>
    <row r="74" spans="1:8" ht="14.25" customHeight="1">
      <c r="A74" s="17" t="s">
        <v>131</v>
      </c>
      <c r="B74" s="18" t="s">
        <v>132</v>
      </c>
      <c r="C74" s="19" t="s">
        <v>16</v>
      </c>
      <c r="D74" s="15">
        <v>1</v>
      </c>
      <c r="E74" s="15">
        <v>1088496311</v>
      </c>
      <c r="F74" s="20">
        <f>+ROUND(D74*E74,0)</f>
        <v>1088496311</v>
      </c>
      <c r="G74" s="1"/>
      <c r="H74" s="21">
        <v>1</v>
      </c>
    </row>
    <row r="75" spans="1:8" ht="14.25" customHeight="1">
      <c r="A75" s="17">
        <v>9</v>
      </c>
      <c r="B75" s="22" t="s">
        <v>133</v>
      </c>
      <c r="C75" s="19"/>
      <c r="D75" s="15"/>
      <c r="E75" s="15"/>
      <c r="F75" s="16">
        <f>SUM(F76:F78)</f>
        <v>192050000</v>
      </c>
      <c r="G75" s="1"/>
      <c r="H75" s="21"/>
    </row>
    <row r="76" spans="1:8" ht="14.25" customHeight="1">
      <c r="A76" s="17" t="s">
        <v>134</v>
      </c>
      <c r="B76" s="18" t="s">
        <v>135</v>
      </c>
      <c r="C76" s="19" t="s">
        <v>16</v>
      </c>
      <c r="D76" s="15">
        <v>1</v>
      </c>
      <c r="E76" s="15">
        <v>106800000</v>
      </c>
      <c r="F76" s="20">
        <f t="shared" ref="F76:F78" si="8">+ROUND(D76*E76,0)</f>
        <v>106800000</v>
      </c>
      <c r="G76" s="1"/>
      <c r="H76" s="21">
        <v>1</v>
      </c>
    </row>
    <row r="77" spans="1:8" ht="14.25" customHeight="1">
      <c r="A77" s="17" t="s">
        <v>136</v>
      </c>
      <c r="B77" s="18" t="s">
        <v>137</v>
      </c>
      <c r="C77" s="19" t="s">
        <v>16</v>
      </c>
      <c r="D77" s="15">
        <v>1</v>
      </c>
      <c r="E77" s="15">
        <v>85250000</v>
      </c>
      <c r="F77" s="20">
        <f t="shared" si="8"/>
        <v>85250000</v>
      </c>
      <c r="G77" s="1"/>
      <c r="H77" s="21">
        <v>1</v>
      </c>
    </row>
    <row r="78" spans="1:8" ht="14.25" customHeight="1">
      <c r="A78" s="17" t="s">
        <v>136</v>
      </c>
      <c r="B78" s="18" t="s">
        <v>138</v>
      </c>
      <c r="C78" s="19" t="s">
        <v>16</v>
      </c>
      <c r="D78" s="15"/>
      <c r="E78" s="15">
        <v>80000000</v>
      </c>
      <c r="F78" s="20">
        <f t="shared" si="8"/>
        <v>0</v>
      </c>
      <c r="G78" s="1"/>
      <c r="H78" s="2"/>
    </row>
    <row r="79" spans="1:8" ht="14.25" customHeight="1">
      <c r="A79" s="12">
        <v>10</v>
      </c>
      <c r="B79" s="22" t="s">
        <v>139</v>
      </c>
      <c r="C79" s="19"/>
      <c r="D79" s="15"/>
      <c r="E79" s="15"/>
      <c r="F79" s="16">
        <f>SUM(F80)</f>
        <v>0</v>
      </c>
      <c r="G79" s="1"/>
      <c r="H79" s="2"/>
    </row>
    <row r="80" spans="1:8" ht="14.25" customHeight="1">
      <c r="A80" s="17" t="s">
        <v>140</v>
      </c>
      <c r="B80" s="18" t="s">
        <v>141</v>
      </c>
      <c r="C80" s="19" t="s">
        <v>16</v>
      </c>
      <c r="D80" s="15"/>
      <c r="E80" s="15">
        <v>65000000</v>
      </c>
      <c r="F80" s="20">
        <f t="shared" ref="F80:F81" si="9">+ROUND(D80*E80,0)</f>
        <v>0</v>
      </c>
      <c r="G80" s="1"/>
      <c r="H80" s="2"/>
    </row>
    <row r="81" spans="1:8" ht="14.25" customHeight="1">
      <c r="A81" s="17"/>
      <c r="B81" s="18"/>
      <c r="C81" s="19"/>
      <c r="D81" s="15"/>
      <c r="E81" s="15"/>
      <c r="F81" s="20">
        <f t="shared" si="9"/>
        <v>0</v>
      </c>
      <c r="G81" s="1"/>
      <c r="H81" s="2"/>
    </row>
    <row r="82" spans="1:8" ht="14.25" customHeight="1">
      <c r="A82" s="26"/>
      <c r="B82" s="27" t="s">
        <v>142</v>
      </c>
      <c r="C82" s="28"/>
      <c r="D82" s="29"/>
      <c r="E82" s="29"/>
      <c r="F82" s="30">
        <f>+SUM(F7:F81)/2</f>
        <v>6883499173</v>
      </c>
      <c r="G82" s="1"/>
      <c r="H82" s="2"/>
    </row>
    <row r="83" spans="1:8" ht="14.25" customHeight="1">
      <c r="A83" s="26"/>
      <c r="B83" s="27" t="s">
        <v>143</v>
      </c>
      <c r="C83" s="31">
        <v>0.25</v>
      </c>
      <c r="D83" s="29"/>
      <c r="E83" s="29"/>
      <c r="F83" s="30">
        <f>+ROUND(F82*C83,0)</f>
        <v>1720874793</v>
      </c>
      <c r="G83" s="1"/>
      <c r="H83" s="2"/>
    </row>
    <row r="84" spans="1:8" ht="14.25" customHeight="1">
      <c r="A84" s="32"/>
      <c r="B84" s="33" t="s">
        <v>144</v>
      </c>
      <c r="C84" s="34"/>
      <c r="D84" s="35"/>
      <c r="E84" s="35"/>
      <c r="F84" s="36">
        <f>+F82+F83</f>
        <v>8604373966</v>
      </c>
      <c r="G84" s="37"/>
      <c r="H84" s="38">
        <v>7495758550</v>
      </c>
    </row>
    <row r="85" spans="1:8" ht="8.25" customHeight="1">
      <c r="A85" s="3"/>
      <c r="B85" s="39"/>
      <c r="C85" s="3"/>
      <c r="D85" s="4"/>
      <c r="E85" s="4"/>
      <c r="F85" s="4"/>
      <c r="G85" s="1"/>
      <c r="H85" s="2"/>
    </row>
    <row r="86" spans="1:8" ht="14.25" customHeight="1">
      <c r="A86" s="26"/>
      <c r="B86" s="27" t="s">
        <v>145</v>
      </c>
      <c r="C86" s="31">
        <v>7.0000000000000007E-2</v>
      </c>
      <c r="D86" s="29"/>
      <c r="E86" s="29"/>
      <c r="F86" s="30">
        <f>+ROUND(F84*C86,0)</f>
        <v>602306178</v>
      </c>
      <c r="G86" s="1"/>
      <c r="H86" s="2">
        <f>+H84*7%</f>
        <v>524703098.50000006</v>
      </c>
    </row>
    <row r="87" spans="1:8" ht="14.25" customHeight="1">
      <c r="A87" s="32"/>
      <c r="B87" s="33" t="s">
        <v>146</v>
      </c>
      <c r="C87" s="34"/>
      <c r="D87" s="35"/>
      <c r="E87" s="35"/>
      <c r="F87" s="36">
        <f>+F86+F84</f>
        <v>9206680144</v>
      </c>
      <c r="G87" s="37"/>
      <c r="H87" s="38"/>
    </row>
  </sheetData>
  <mergeCells count="2">
    <mergeCell ref="A1:F1"/>
    <mergeCell ref="A3:F3"/>
  </mergeCells>
  <printOptions horizontalCentered="1"/>
  <pageMargins left="0.70866141732283472" right="0.70866141732283472" top="0.74803149606299213" bottom="0.74803149606299213" header="0" footer="0"/>
  <pageSetup orientation="portrait"/>
  <rowBreaks count="1" manualBreakCount="1">
    <brk id="7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F78"/>
  <sheetViews>
    <sheetView topLeftCell="A5" workbookViewId="0">
      <selection activeCell="B63" sqref="B63"/>
    </sheetView>
  </sheetViews>
  <sheetFormatPr baseColWidth="10" defaultColWidth="14.44140625" defaultRowHeight="15" customHeight="1"/>
  <cols>
    <col min="1" max="1" width="13" customWidth="1"/>
    <col min="2" max="2" width="49.44140625" customWidth="1"/>
    <col min="3" max="3" width="12.33203125" customWidth="1"/>
    <col min="4" max="4" width="0.109375" customWidth="1"/>
    <col min="5" max="5" width="12.33203125" customWidth="1"/>
    <col min="6" max="6" width="14.6640625" customWidth="1"/>
    <col min="7" max="7" width="15.88671875" customWidth="1"/>
    <col min="8" max="8" width="0.109375" customWidth="1"/>
    <col min="9" max="9" width="10.33203125" hidden="1" customWidth="1"/>
    <col min="10" max="11" width="11.5546875" hidden="1" customWidth="1"/>
    <col min="12" max="12" width="8" hidden="1" customWidth="1"/>
    <col min="13" max="13" width="11.5546875" hidden="1" customWidth="1"/>
    <col min="14" max="14" width="5.44140625" hidden="1" customWidth="1"/>
    <col min="15" max="15" width="10.6640625" hidden="1" customWidth="1"/>
    <col min="16" max="27" width="11.5546875" hidden="1" customWidth="1"/>
    <col min="28" max="28" width="11.33203125" hidden="1" customWidth="1"/>
    <col min="29" max="31" width="11.5546875" hidden="1" customWidth="1"/>
    <col min="32" max="32" width="12.5546875" hidden="1" customWidth="1"/>
    <col min="33" max="33" width="1.44140625" hidden="1" customWidth="1"/>
    <col min="34" max="41" width="11.5546875" hidden="1" customWidth="1"/>
    <col min="42" max="42" width="4.6640625" hidden="1" customWidth="1"/>
    <col min="43" max="43" width="13" hidden="1" customWidth="1"/>
    <col min="44" max="58" width="11.5546875" hidden="1" customWidth="1"/>
  </cols>
  <sheetData>
    <row r="1" spans="1:58" ht="14.25" customHeight="1">
      <c r="A1" s="1612"/>
      <c r="B1" s="1615" t="e">
        <f>+#REF!</f>
        <v>#REF!</v>
      </c>
      <c r="C1" s="1616"/>
      <c r="D1" s="1617"/>
      <c r="E1" s="1623" t="s">
        <v>147</v>
      </c>
      <c r="F1" s="1616"/>
      <c r="G1" s="1624"/>
    </row>
    <row r="2" spans="1:58" ht="14.25" customHeight="1">
      <c r="A2" s="1613"/>
      <c r="B2" s="1618"/>
      <c r="C2" s="1605"/>
      <c r="D2" s="1619"/>
      <c r="E2" s="1618"/>
      <c r="F2" s="1605"/>
      <c r="G2" s="1606"/>
    </row>
    <row r="3" spans="1:58" ht="14.25" customHeight="1">
      <c r="A3" s="1613"/>
      <c r="B3" s="1620"/>
      <c r="C3" s="1621"/>
      <c r="D3" s="1622"/>
      <c r="E3" s="1620"/>
      <c r="F3" s="1621"/>
      <c r="G3" s="1625"/>
    </row>
    <row r="4" spans="1:58" ht="24" customHeight="1">
      <c r="A4" s="1614"/>
      <c r="B4" s="1626" t="e">
        <f>+#REF!</f>
        <v>#REF!</v>
      </c>
      <c r="C4" s="1627"/>
      <c r="D4" s="1628"/>
      <c r="E4" s="1629" t="s">
        <v>148</v>
      </c>
      <c r="F4" s="1627"/>
      <c r="G4" s="1630"/>
      <c r="H4" s="40" t="e">
        <f>#REF!</f>
        <v>#REF!</v>
      </c>
      <c r="I4" s="40" t="e">
        <f>#REF!</f>
        <v>#REF!</v>
      </c>
      <c r="J4" s="40" t="e">
        <f>#REF!</f>
        <v>#REF!</v>
      </c>
      <c r="K4" s="40" t="e">
        <f>#REF!</f>
        <v>#REF!</v>
      </c>
      <c r="L4" s="40" t="e">
        <f>#REF!</f>
        <v>#REF!</v>
      </c>
      <c r="M4" s="40" t="e">
        <f>#REF!</f>
        <v>#REF!</v>
      </c>
      <c r="N4" s="40" t="e">
        <f>#REF!</f>
        <v>#REF!</v>
      </c>
      <c r="O4" s="40" t="e">
        <f>#REF!</f>
        <v>#REF!</v>
      </c>
      <c r="P4" s="40" t="e">
        <f>#REF!</f>
        <v>#REF!</v>
      </c>
      <c r="Q4" s="40" t="e">
        <f>#REF!</f>
        <v>#REF!</v>
      </c>
      <c r="R4" s="40" t="e">
        <f>#REF!</f>
        <v>#REF!</v>
      </c>
      <c r="S4" s="40" t="e">
        <f>#REF!</f>
        <v>#REF!</v>
      </c>
      <c r="T4" s="40" t="e">
        <f>#REF!</f>
        <v>#REF!</v>
      </c>
      <c r="U4" s="40" t="e">
        <f>#REF!</f>
        <v>#REF!</v>
      </c>
      <c r="V4" s="40" t="e">
        <f>#REF!</f>
        <v>#REF!</v>
      </c>
      <c r="W4" s="40" t="e">
        <f>#REF!</f>
        <v>#REF!</v>
      </c>
      <c r="X4" s="40" t="e">
        <f>#REF!</f>
        <v>#REF!</v>
      </c>
      <c r="Y4" s="40" t="e">
        <f>#REF!</f>
        <v>#REF!</v>
      </c>
      <c r="Z4" s="40" t="e">
        <f>#REF!</f>
        <v>#REF!</v>
      </c>
      <c r="AA4" s="40" t="e">
        <f>#REF!</f>
        <v>#REF!</v>
      </c>
      <c r="AB4" s="40" t="e">
        <f>#REF!</f>
        <v>#REF!</v>
      </c>
      <c r="AC4" s="40" t="e">
        <f>#REF!</f>
        <v>#REF!</v>
      </c>
      <c r="AD4" s="40" t="e">
        <f>#REF!</f>
        <v>#REF!</v>
      </c>
      <c r="AE4" s="40" t="e">
        <f>#REF!</f>
        <v>#REF!</v>
      </c>
    </row>
    <row r="5" spans="1:58" ht="48" customHeight="1">
      <c r="A5" s="1604" t="e">
        <f>+#REF!</f>
        <v>#REF!</v>
      </c>
      <c r="B5" s="1605"/>
      <c r="C5" s="1605"/>
      <c r="D5" s="1605"/>
      <c r="E5" s="1605"/>
      <c r="F5" s="1605"/>
      <c r="G5" s="1606"/>
      <c r="H5" s="1607" t="s">
        <v>149</v>
      </c>
      <c r="I5" s="1608"/>
      <c r="J5" s="1608"/>
      <c r="K5" s="1608"/>
      <c r="L5" s="1608"/>
    </row>
    <row r="6" spans="1:58" ht="14.25" customHeight="1">
      <c r="A6" s="41" t="s">
        <v>4</v>
      </c>
      <c r="B6" s="41" t="s">
        <v>150</v>
      </c>
      <c r="C6" s="41" t="s">
        <v>151</v>
      </c>
      <c r="D6" s="41"/>
      <c r="E6" s="41" t="s">
        <v>152</v>
      </c>
      <c r="F6" s="41" t="s">
        <v>153</v>
      </c>
      <c r="G6" s="41" t="s">
        <v>154</v>
      </c>
      <c r="H6" s="42" t="s">
        <v>11</v>
      </c>
      <c r="I6" s="41" t="s">
        <v>18</v>
      </c>
      <c r="J6" s="41" t="s">
        <v>21</v>
      </c>
      <c r="K6" s="41" t="s">
        <v>23</v>
      </c>
      <c r="L6" s="41" t="s">
        <v>25</v>
      </c>
      <c r="M6" s="41" t="s">
        <v>27</v>
      </c>
      <c r="N6" s="41" t="s">
        <v>29</v>
      </c>
      <c r="O6" s="41" t="s">
        <v>36</v>
      </c>
      <c r="P6" s="41" t="s">
        <v>38</v>
      </c>
      <c r="Q6" s="41" t="s">
        <v>40</v>
      </c>
      <c r="R6" s="41" t="s">
        <v>42</v>
      </c>
      <c r="S6" s="41" t="s">
        <v>45</v>
      </c>
      <c r="T6" s="41" t="s">
        <v>155</v>
      </c>
      <c r="U6" s="41" t="s">
        <v>48</v>
      </c>
      <c r="V6" s="41" t="s">
        <v>51</v>
      </c>
      <c r="W6" s="41" t="s">
        <v>156</v>
      </c>
      <c r="X6" s="41" t="s">
        <v>157</v>
      </c>
      <c r="Y6" s="41" t="s">
        <v>158</v>
      </c>
      <c r="Z6" s="41" t="s">
        <v>159</v>
      </c>
      <c r="AA6" s="41" t="s">
        <v>160</v>
      </c>
      <c r="AB6" s="41" t="s">
        <v>161</v>
      </c>
      <c r="AC6" s="41" t="s">
        <v>162</v>
      </c>
      <c r="AD6" s="41" t="s">
        <v>163</v>
      </c>
      <c r="AE6" s="41" t="s">
        <v>164</v>
      </c>
      <c r="AF6" s="41" t="s">
        <v>54</v>
      </c>
      <c r="AH6" s="41" t="s">
        <v>11</v>
      </c>
      <c r="AI6" s="41" t="s">
        <v>18</v>
      </c>
      <c r="AJ6" s="41" t="s">
        <v>21</v>
      </c>
      <c r="AK6" s="41" t="s">
        <v>23</v>
      </c>
      <c r="AL6" s="41" t="s">
        <v>25</v>
      </c>
      <c r="AM6" s="41" t="s">
        <v>27</v>
      </c>
      <c r="AN6" s="41" t="s">
        <v>29</v>
      </c>
      <c r="AO6" s="41" t="s">
        <v>36</v>
      </c>
      <c r="AP6" s="41" t="s">
        <v>38</v>
      </c>
      <c r="AQ6" s="41" t="s">
        <v>40</v>
      </c>
      <c r="AR6" s="41" t="s">
        <v>42</v>
      </c>
      <c r="AS6" s="41" t="s">
        <v>45</v>
      </c>
      <c r="AT6" s="41" t="s">
        <v>155</v>
      </c>
      <c r="AU6" s="41" t="s">
        <v>48</v>
      </c>
      <c r="AV6" s="41" t="s">
        <v>51</v>
      </c>
      <c r="AW6" s="41" t="s">
        <v>156</v>
      </c>
      <c r="AX6" s="41" t="s">
        <v>157</v>
      </c>
      <c r="AY6" s="41" t="s">
        <v>158</v>
      </c>
      <c r="AZ6" s="41" t="s">
        <v>159</v>
      </c>
      <c r="BA6" s="41" t="s">
        <v>160</v>
      </c>
      <c r="BB6" s="41" t="s">
        <v>161</v>
      </c>
      <c r="BC6" s="41" t="s">
        <v>162</v>
      </c>
      <c r="BD6" s="41" t="s">
        <v>163</v>
      </c>
      <c r="BE6" s="41" t="s">
        <v>164</v>
      </c>
      <c r="BF6" s="41" t="s">
        <v>54</v>
      </c>
    </row>
    <row r="7" spans="1:58" ht="14.25" customHeight="1">
      <c r="A7" s="43">
        <v>1</v>
      </c>
      <c r="B7" s="44" t="s">
        <v>165</v>
      </c>
      <c r="C7" s="44" t="s">
        <v>166</v>
      </c>
      <c r="D7" s="44"/>
      <c r="E7" s="45" t="e">
        <f t="shared" ref="E7:E39" si="0">SUM(H7:AF7)</f>
        <v>#REF!</v>
      </c>
      <c r="F7" s="46"/>
      <c r="G7" s="46"/>
      <c r="H7" s="47" t="e">
        <f>#REF!*#REF!</f>
        <v>#REF!</v>
      </c>
      <c r="I7" s="44"/>
      <c r="J7" s="44"/>
      <c r="K7" s="44"/>
      <c r="L7" s="44"/>
      <c r="M7" s="44"/>
      <c r="N7" s="44"/>
      <c r="O7" s="44"/>
      <c r="P7" s="44"/>
      <c r="Q7" s="44"/>
      <c r="R7" s="44"/>
      <c r="S7" s="44"/>
      <c r="T7" s="44"/>
      <c r="U7" s="44"/>
      <c r="V7" s="44"/>
      <c r="W7" s="44"/>
      <c r="X7" s="44"/>
      <c r="Y7" s="44"/>
      <c r="Z7" s="44"/>
      <c r="AA7" s="44"/>
      <c r="AB7" s="44"/>
      <c r="AC7" s="44"/>
      <c r="AD7" s="44"/>
      <c r="AE7" s="44"/>
      <c r="AF7" s="44"/>
      <c r="AH7" s="46" t="e">
        <f t="shared" ref="AH7:BF7" si="1">$F7*H7</f>
        <v>#REF!</v>
      </c>
      <c r="AI7" s="46">
        <f t="shared" si="1"/>
        <v>0</v>
      </c>
      <c r="AJ7" s="46">
        <f t="shared" si="1"/>
        <v>0</v>
      </c>
      <c r="AK7" s="46">
        <f t="shared" si="1"/>
        <v>0</v>
      </c>
      <c r="AL7" s="46">
        <f t="shared" si="1"/>
        <v>0</v>
      </c>
      <c r="AM7" s="46">
        <f t="shared" si="1"/>
        <v>0</v>
      </c>
      <c r="AN7" s="46">
        <f t="shared" si="1"/>
        <v>0</v>
      </c>
      <c r="AO7" s="46">
        <f t="shared" si="1"/>
        <v>0</v>
      </c>
      <c r="AP7" s="46">
        <f t="shared" si="1"/>
        <v>0</v>
      </c>
      <c r="AQ7" s="46">
        <f t="shared" si="1"/>
        <v>0</v>
      </c>
      <c r="AR7" s="46">
        <f t="shared" si="1"/>
        <v>0</v>
      </c>
      <c r="AS7" s="46">
        <f t="shared" si="1"/>
        <v>0</v>
      </c>
      <c r="AT7" s="46">
        <f t="shared" si="1"/>
        <v>0</v>
      </c>
      <c r="AU7" s="46">
        <f t="shared" si="1"/>
        <v>0</v>
      </c>
      <c r="AV7" s="46">
        <f t="shared" si="1"/>
        <v>0</v>
      </c>
      <c r="AW7" s="46">
        <f t="shared" si="1"/>
        <v>0</v>
      </c>
      <c r="AX7" s="46">
        <f t="shared" si="1"/>
        <v>0</v>
      </c>
      <c r="AY7" s="46">
        <f t="shared" si="1"/>
        <v>0</v>
      </c>
      <c r="AZ7" s="46">
        <f t="shared" si="1"/>
        <v>0</v>
      </c>
      <c r="BA7" s="46">
        <f t="shared" si="1"/>
        <v>0</v>
      </c>
      <c r="BB7" s="46">
        <f t="shared" si="1"/>
        <v>0</v>
      </c>
      <c r="BC7" s="46">
        <f t="shared" si="1"/>
        <v>0</v>
      </c>
      <c r="BD7" s="46">
        <f t="shared" si="1"/>
        <v>0</v>
      </c>
      <c r="BE7" s="46">
        <f t="shared" si="1"/>
        <v>0</v>
      </c>
      <c r="BF7" s="46">
        <f t="shared" si="1"/>
        <v>0</v>
      </c>
    </row>
    <row r="8" spans="1:58" ht="14.25" hidden="1" customHeight="1">
      <c r="A8" s="43">
        <v>2</v>
      </c>
      <c r="B8" s="44" t="s">
        <v>167</v>
      </c>
      <c r="C8" s="44" t="s">
        <v>120</v>
      </c>
      <c r="D8" s="44"/>
      <c r="E8" s="45" t="e">
        <f t="shared" si="0"/>
        <v>#REF!</v>
      </c>
      <c r="F8" s="46"/>
      <c r="G8" s="46"/>
      <c r="H8" s="47" t="e">
        <f>#REF!*#REF!</f>
        <v>#REF!</v>
      </c>
      <c r="I8" s="44"/>
      <c r="J8" s="44"/>
      <c r="K8" s="44"/>
      <c r="L8" s="44"/>
      <c r="M8" s="44"/>
      <c r="N8" s="44"/>
      <c r="O8" s="44"/>
      <c r="P8" s="44"/>
      <c r="Q8" s="44"/>
      <c r="R8" s="44"/>
      <c r="S8" s="44"/>
      <c r="T8" s="44"/>
      <c r="U8" s="44"/>
      <c r="V8" s="44"/>
      <c r="W8" s="44"/>
      <c r="X8" s="44"/>
      <c r="Y8" s="44"/>
      <c r="Z8" s="44"/>
      <c r="AA8" s="44"/>
      <c r="AB8" s="44"/>
      <c r="AC8" s="44"/>
      <c r="AD8" s="44"/>
      <c r="AE8" s="44"/>
      <c r="AF8" s="44"/>
      <c r="AH8" s="46" t="e">
        <f t="shared" ref="AH8:BF8" si="2">$F8*H8</f>
        <v>#REF!</v>
      </c>
      <c r="AI8" s="46">
        <f t="shared" si="2"/>
        <v>0</v>
      </c>
      <c r="AJ8" s="46">
        <f t="shared" si="2"/>
        <v>0</v>
      </c>
      <c r="AK8" s="46">
        <f t="shared" si="2"/>
        <v>0</v>
      </c>
      <c r="AL8" s="46">
        <f t="shared" si="2"/>
        <v>0</v>
      </c>
      <c r="AM8" s="46">
        <f t="shared" si="2"/>
        <v>0</v>
      </c>
      <c r="AN8" s="46">
        <f t="shared" si="2"/>
        <v>0</v>
      </c>
      <c r="AO8" s="46">
        <f t="shared" si="2"/>
        <v>0</v>
      </c>
      <c r="AP8" s="46">
        <f t="shared" si="2"/>
        <v>0</v>
      </c>
      <c r="AQ8" s="46">
        <f t="shared" si="2"/>
        <v>0</v>
      </c>
      <c r="AR8" s="46">
        <f t="shared" si="2"/>
        <v>0</v>
      </c>
      <c r="AS8" s="46">
        <f t="shared" si="2"/>
        <v>0</v>
      </c>
      <c r="AT8" s="46">
        <f t="shared" si="2"/>
        <v>0</v>
      </c>
      <c r="AU8" s="46">
        <f t="shared" si="2"/>
        <v>0</v>
      </c>
      <c r="AV8" s="46">
        <f t="shared" si="2"/>
        <v>0</v>
      </c>
      <c r="AW8" s="46">
        <f t="shared" si="2"/>
        <v>0</v>
      </c>
      <c r="AX8" s="46">
        <f t="shared" si="2"/>
        <v>0</v>
      </c>
      <c r="AY8" s="46">
        <f t="shared" si="2"/>
        <v>0</v>
      </c>
      <c r="AZ8" s="46">
        <f t="shared" si="2"/>
        <v>0</v>
      </c>
      <c r="BA8" s="46">
        <f t="shared" si="2"/>
        <v>0</v>
      </c>
      <c r="BB8" s="46">
        <f t="shared" si="2"/>
        <v>0</v>
      </c>
      <c r="BC8" s="46">
        <f t="shared" si="2"/>
        <v>0</v>
      </c>
      <c r="BD8" s="46">
        <f t="shared" si="2"/>
        <v>0</v>
      </c>
      <c r="BE8" s="46">
        <f t="shared" si="2"/>
        <v>0</v>
      </c>
      <c r="BF8" s="46">
        <f t="shared" si="2"/>
        <v>0</v>
      </c>
    </row>
    <row r="9" spans="1:58" ht="14.25" hidden="1" customHeight="1">
      <c r="A9" s="43">
        <v>3</v>
      </c>
      <c r="B9" s="44" t="s">
        <v>168</v>
      </c>
      <c r="C9" s="44" t="s">
        <v>120</v>
      </c>
      <c r="D9" s="44"/>
      <c r="E9" s="45" t="e">
        <f t="shared" si="0"/>
        <v>#REF!</v>
      </c>
      <c r="F9" s="46"/>
      <c r="G9" s="46"/>
      <c r="H9" s="47" t="e">
        <f>#REF!*#REF!</f>
        <v>#REF!</v>
      </c>
      <c r="I9" s="44"/>
      <c r="J9" s="44"/>
      <c r="K9" s="44"/>
      <c r="L9" s="44"/>
      <c r="M9" s="44"/>
      <c r="N9" s="44"/>
      <c r="O9" s="44"/>
      <c r="P9" s="44"/>
      <c r="Q9" s="44"/>
      <c r="R9" s="44"/>
      <c r="S9" s="44"/>
      <c r="T9" s="44"/>
      <c r="U9" s="44"/>
      <c r="V9" s="44"/>
      <c r="W9" s="44"/>
      <c r="X9" s="44"/>
      <c r="Y9" s="44"/>
      <c r="Z9" s="44"/>
      <c r="AA9" s="44"/>
      <c r="AB9" s="44"/>
      <c r="AC9" s="44"/>
      <c r="AD9" s="44"/>
      <c r="AE9" s="44"/>
      <c r="AF9" s="44"/>
      <c r="AH9" s="46" t="e">
        <f t="shared" ref="AH9:BF9" si="3">$F9*H9</f>
        <v>#REF!</v>
      </c>
      <c r="AI9" s="46">
        <f t="shared" si="3"/>
        <v>0</v>
      </c>
      <c r="AJ9" s="46">
        <f t="shared" si="3"/>
        <v>0</v>
      </c>
      <c r="AK9" s="46">
        <f t="shared" si="3"/>
        <v>0</v>
      </c>
      <c r="AL9" s="46">
        <f t="shared" si="3"/>
        <v>0</v>
      </c>
      <c r="AM9" s="46">
        <f t="shared" si="3"/>
        <v>0</v>
      </c>
      <c r="AN9" s="46">
        <f t="shared" si="3"/>
        <v>0</v>
      </c>
      <c r="AO9" s="46">
        <f t="shared" si="3"/>
        <v>0</v>
      </c>
      <c r="AP9" s="46">
        <f t="shared" si="3"/>
        <v>0</v>
      </c>
      <c r="AQ9" s="46">
        <f t="shared" si="3"/>
        <v>0</v>
      </c>
      <c r="AR9" s="46">
        <f t="shared" si="3"/>
        <v>0</v>
      </c>
      <c r="AS9" s="46">
        <f t="shared" si="3"/>
        <v>0</v>
      </c>
      <c r="AT9" s="46">
        <f t="shared" si="3"/>
        <v>0</v>
      </c>
      <c r="AU9" s="46">
        <f t="shared" si="3"/>
        <v>0</v>
      </c>
      <c r="AV9" s="46">
        <f t="shared" si="3"/>
        <v>0</v>
      </c>
      <c r="AW9" s="46">
        <f t="shared" si="3"/>
        <v>0</v>
      </c>
      <c r="AX9" s="46">
        <f t="shared" si="3"/>
        <v>0</v>
      </c>
      <c r="AY9" s="46">
        <f t="shared" si="3"/>
        <v>0</v>
      </c>
      <c r="AZ9" s="46">
        <f t="shared" si="3"/>
        <v>0</v>
      </c>
      <c r="BA9" s="46">
        <f t="shared" si="3"/>
        <v>0</v>
      </c>
      <c r="BB9" s="46">
        <f t="shared" si="3"/>
        <v>0</v>
      </c>
      <c r="BC9" s="46">
        <f t="shared" si="3"/>
        <v>0</v>
      </c>
      <c r="BD9" s="46">
        <f t="shared" si="3"/>
        <v>0</v>
      </c>
      <c r="BE9" s="46">
        <f t="shared" si="3"/>
        <v>0</v>
      </c>
      <c r="BF9" s="46">
        <f t="shared" si="3"/>
        <v>0</v>
      </c>
    </row>
    <row r="10" spans="1:58" ht="14.25" customHeight="1">
      <c r="A10" s="43">
        <v>4</v>
      </c>
      <c r="B10" s="44" t="s">
        <v>169</v>
      </c>
      <c r="C10" s="44" t="s">
        <v>127</v>
      </c>
      <c r="D10" s="44"/>
      <c r="E10" s="45" t="e">
        <f t="shared" si="0"/>
        <v>#REF!</v>
      </c>
      <c r="F10" s="46"/>
      <c r="G10" s="46"/>
      <c r="H10" s="47" t="e">
        <f>#REF!*#REF!</f>
        <v>#REF!</v>
      </c>
      <c r="I10" s="44"/>
      <c r="J10" s="44"/>
      <c r="K10" s="44"/>
      <c r="L10" s="44"/>
      <c r="M10" s="44"/>
      <c r="N10" s="44"/>
      <c r="O10" s="44"/>
      <c r="P10" s="44"/>
      <c r="Q10" s="44"/>
      <c r="R10" s="44"/>
      <c r="S10" s="44"/>
      <c r="T10" s="44"/>
      <c r="U10" s="44"/>
      <c r="V10" s="44"/>
      <c r="W10" s="44"/>
      <c r="X10" s="44"/>
      <c r="Y10" s="44"/>
      <c r="Z10" s="44"/>
      <c r="AA10" s="44"/>
      <c r="AB10" s="44"/>
      <c r="AC10" s="44"/>
      <c r="AD10" s="44"/>
      <c r="AE10" s="44"/>
      <c r="AF10" s="44"/>
      <c r="AH10" s="46" t="e">
        <f t="shared" ref="AH10:BF10" si="4">$F10*H10</f>
        <v>#REF!</v>
      </c>
      <c r="AI10" s="46">
        <f t="shared" si="4"/>
        <v>0</v>
      </c>
      <c r="AJ10" s="46">
        <f t="shared" si="4"/>
        <v>0</v>
      </c>
      <c r="AK10" s="46">
        <f t="shared" si="4"/>
        <v>0</v>
      </c>
      <c r="AL10" s="46">
        <f t="shared" si="4"/>
        <v>0</v>
      </c>
      <c r="AM10" s="46">
        <f t="shared" si="4"/>
        <v>0</v>
      </c>
      <c r="AN10" s="46">
        <f t="shared" si="4"/>
        <v>0</v>
      </c>
      <c r="AO10" s="46">
        <f t="shared" si="4"/>
        <v>0</v>
      </c>
      <c r="AP10" s="46">
        <f t="shared" si="4"/>
        <v>0</v>
      </c>
      <c r="AQ10" s="46">
        <f t="shared" si="4"/>
        <v>0</v>
      </c>
      <c r="AR10" s="46">
        <f t="shared" si="4"/>
        <v>0</v>
      </c>
      <c r="AS10" s="46">
        <f t="shared" si="4"/>
        <v>0</v>
      </c>
      <c r="AT10" s="46">
        <f t="shared" si="4"/>
        <v>0</v>
      </c>
      <c r="AU10" s="46">
        <f t="shared" si="4"/>
        <v>0</v>
      </c>
      <c r="AV10" s="46">
        <f t="shared" si="4"/>
        <v>0</v>
      </c>
      <c r="AW10" s="46">
        <f t="shared" si="4"/>
        <v>0</v>
      </c>
      <c r="AX10" s="46">
        <f t="shared" si="4"/>
        <v>0</v>
      </c>
      <c r="AY10" s="46">
        <f t="shared" si="4"/>
        <v>0</v>
      </c>
      <c r="AZ10" s="46">
        <f t="shared" si="4"/>
        <v>0</v>
      </c>
      <c r="BA10" s="46">
        <f t="shared" si="4"/>
        <v>0</v>
      </c>
      <c r="BB10" s="46">
        <f t="shared" si="4"/>
        <v>0</v>
      </c>
      <c r="BC10" s="46">
        <f t="shared" si="4"/>
        <v>0</v>
      </c>
      <c r="BD10" s="46">
        <f t="shared" si="4"/>
        <v>0</v>
      </c>
      <c r="BE10" s="46">
        <f t="shared" si="4"/>
        <v>0</v>
      </c>
      <c r="BF10" s="46">
        <f t="shared" si="4"/>
        <v>0</v>
      </c>
    </row>
    <row r="11" spans="1:58" ht="14.25" customHeight="1">
      <c r="A11" s="43">
        <v>5</v>
      </c>
      <c r="B11" s="44" t="s">
        <v>170</v>
      </c>
      <c r="C11" s="44" t="s">
        <v>171</v>
      </c>
      <c r="D11" s="44"/>
      <c r="E11" s="45" t="e">
        <f t="shared" si="0"/>
        <v>#REF!</v>
      </c>
      <c r="F11" s="46"/>
      <c r="G11" s="46"/>
      <c r="H11" s="47" t="e">
        <f>#REF!*#REF!</f>
        <v>#REF!</v>
      </c>
      <c r="I11" s="44"/>
      <c r="J11" s="44"/>
      <c r="K11" s="44"/>
      <c r="L11" s="44"/>
      <c r="M11" s="44"/>
      <c r="N11" s="44"/>
      <c r="O11" s="44"/>
      <c r="P11" s="44"/>
      <c r="Q11" s="44"/>
      <c r="R11" s="44"/>
      <c r="S11" s="44"/>
      <c r="T11" s="44"/>
      <c r="U11" s="44"/>
      <c r="V11" s="44"/>
      <c r="W11" s="44"/>
      <c r="X11" s="44"/>
      <c r="Y11" s="44"/>
      <c r="Z11" s="44"/>
      <c r="AA11" s="44"/>
      <c r="AB11" s="44"/>
      <c r="AC11" s="44"/>
      <c r="AD11" s="44"/>
      <c r="AE11" s="44"/>
      <c r="AF11" s="44"/>
      <c r="AH11" s="46" t="e">
        <f t="shared" ref="AH11:BF11" si="5">$F11*H11</f>
        <v>#REF!</v>
      </c>
      <c r="AI11" s="46">
        <f t="shared" si="5"/>
        <v>0</v>
      </c>
      <c r="AJ11" s="46">
        <f t="shared" si="5"/>
        <v>0</v>
      </c>
      <c r="AK11" s="46">
        <f t="shared" si="5"/>
        <v>0</v>
      </c>
      <c r="AL11" s="46">
        <f t="shared" si="5"/>
        <v>0</v>
      </c>
      <c r="AM11" s="46">
        <f t="shared" si="5"/>
        <v>0</v>
      </c>
      <c r="AN11" s="46">
        <f t="shared" si="5"/>
        <v>0</v>
      </c>
      <c r="AO11" s="46">
        <f t="shared" si="5"/>
        <v>0</v>
      </c>
      <c r="AP11" s="46">
        <f t="shared" si="5"/>
        <v>0</v>
      </c>
      <c r="AQ11" s="46">
        <f t="shared" si="5"/>
        <v>0</v>
      </c>
      <c r="AR11" s="46">
        <f t="shared" si="5"/>
        <v>0</v>
      </c>
      <c r="AS11" s="46">
        <f t="shared" si="5"/>
        <v>0</v>
      </c>
      <c r="AT11" s="46">
        <f t="shared" si="5"/>
        <v>0</v>
      </c>
      <c r="AU11" s="46">
        <f t="shared" si="5"/>
        <v>0</v>
      </c>
      <c r="AV11" s="46">
        <f t="shared" si="5"/>
        <v>0</v>
      </c>
      <c r="AW11" s="46">
        <f t="shared" si="5"/>
        <v>0</v>
      </c>
      <c r="AX11" s="46">
        <f t="shared" si="5"/>
        <v>0</v>
      </c>
      <c r="AY11" s="46">
        <f t="shared" si="5"/>
        <v>0</v>
      </c>
      <c r="AZ11" s="46">
        <f t="shared" si="5"/>
        <v>0</v>
      </c>
      <c r="BA11" s="46">
        <f t="shared" si="5"/>
        <v>0</v>
      </c>
      <c r="BB11" s="46">
        <f t="shared" si="5"/>
        <v>0</v>
      </c>
      <c r="BC11" s="46">
        <f t="shared" si="5"/>
        <v>0</v>
      </c>
      <c r="BD11" s="46">
        <f t="shared" si="5"/>
        <v>0</v>
      </c>
      <c r="BE11" s="46">
        <f t="shared" si="5"/>
        <v>0</v>
      </c>
      <c r="BF11" s="46">
        <f t="shared" si="5"/>
        <v>0</v>
      </c>
    </row>
    <row r="12" spans="1:58" ht="14.25" hidden="1" customHeight="1">
      <c r="A12" s="43">
        <v>6</v>
      </c>
      <c r="B12" s="44" t="s">
        <v>172</v>
      </c>
      <c r="C12" s="44" t="s">
        <v>116</v>
      </c>
      <c r="D12" s="44"/>
      <c r="E12" s="45" t="e">
        <f t="shared" si="0"/>
        <v>#REF!</v>
      </c>
      <c r="F12" s="48"/>
      <c r="G12" s="46"/>
      <c r="H12" s="47"/>
      <c r="I12" s="44"/>
      <c r="J12" s="44"/>
      <c r="K12" s="44"/>
      <c r="L12" s="44"/>
      <c r="M12" s="44" t="e">
        <f>M4*#REF!</f>
        <v>#REF!</v>
      </c>
      <c r="N12" s="44"/>
      <c r="O12" s="44"/>
      <c r="P12" s="44"/>
      <c r="Q12" s="44"/>
      <c r="R12" s="44"/>
      <c r="S12" s="44"/>
      <c r="T12" s="44"/>
      <c r="U12" s="44"/>
      <c r="V12" s="44"/>
      <c r="W12" s="44"/>
      <c r="X12" s="44"/>
      <c r="Y12" s="44"/>
      <c r="Z12" s="44"/>
      <c r="AA12" s="44"/>
      <c r="AB12" s="44"/>
      <c r="AC12" s="44"/>
      <c r="AD12" s="44"/>
      <c r="AE12" s="44"/>
      <c r="AF12" s="44"/>
      <c r="AH12" s="46">
        <f t="shared" ref="AH12:BF12" si="6">$F12*H12</f>
        <v>0</v>
      </c>
      <c r="AI12" s="46">
        <f t="shared" si="6"/>
        <v>0</v>
      </c>
      <c r="AJ12" s="46">
        <f t="shared" si="6"/>
        <v>0</v>
      </c>
      <c r="AK12" s="46">
        <f t="shared" si="6"/>
        <v>0</v>
      </c>
      <c r="AL12" s="46">
        <f t="shared" si="6"/>
        <v>0</v>
      </c>
      <c r="AM12" s="46" t="e">
        <f t="shared" si="6"/>
        <v>#REF!</v>
      </c>
      <c r="AN12" s="46">
        <f t="shared" si="6"/>
        <v>0</v>
      </c>
      <c r="AO12" s="46">
        <f t="shared" si="6"/>
        <v>0</v>
      </c>
      <c r="AP12" s="46">
        <f t="shared" si="6"/>
        <v>0</v>
      </c>
      <c r="AQ12" s="46">
        <f t="shared" si="6"/>
        <v>0</v>
      </c>
      <c r="AR12" s="46">
        <f t="shared" si="6"/>
        <v>0</v>
      </c>
      <c r="AS12" s="46">
        <f t="shared" si="6"/>
        <v>0</v>
      </c>
      <c r="AT12" s="46">
        <f t="shared" si="6"/>
        <v>0</v>
      </c>
      <c r="AU12" s="46">
        <f t="shared" si="6"/>
        <v>0</v>
      </c>
      <c r="AV12" s="46">
        <f t="shared" si="6"/>
        <v>0</v>
      </c>
      <c r="AW12" s="46">
        <f t="shared" si="6"/>
        <v>0</v>
      </c>
      <c r="AX12" s="46">
        <f t="shared" si="6"/>
        <v>0</v>
      </c>
      <c r="AY12" s="46">
        <f t="shared" si="6"/>
        <v>0</v>
      </c>
      <c r="AZ12" s="46">
        <f t="shared" si="6"/>
        <v>0</v>
      </c>
      <c r="BA12" s="46">
        <f t="shared" si="6"/>
        <v>0</v>
      </c>
      <c r="BB12" s="46">
        <f t="shared" si="6"/>
        <v>0</v>
      </c>
      <c r="BC12" s="46">
        <f t="shared" si="6"/>
        <v>0</v>
      </c>
      <c r="BD12" s="46">
        <f t="shared" si="6"/>
        <v>0</v>
      </c>
      <c r="BE12" s="46">
        <f t="shared" si="6"/>
        <v>0</v>
      </c>
      <c r="BF12" s="46">
        <f t="shared" si="6"/>
        <v>0</v>
      </c>
    </row>
    <row r="13" spans="1:58" ht="14.25" hidden="1" customHeight="1">
      <c r="A13" s="43">
        <v>7</v>
      </c>
      <c r="B13" s="44" t="s">
        <v>173</v>
      </c>
      <c r="C13" s="44" t="s">
        <v>116</v>
      </c>
      <c r="D13" s="44"/>
      <c r="E13" s="45" t="e">
        <f t="shared" si="0"/>
        <v>#REF!</v>
      </c>
      <c r="F13" s="48"/>
      <c r="G13" s="46"/>
      <c r="H13" s="47"/>
      <c r="I13" s="44"/>
      <c r="J13" s="44"/>
      <c r="K13" s="44"/>
      <c r="L13" s="44"/>
      <c r="M13" s="44"/>
      <c r="N13" s="44" t="e">
        <f>N4*#REF!</f>
        <v>#REF!</v>
      </c>
      <c r="O13" s="44"/>
      <c r="P13" s="44"/>
      <c r="Q13" s="44"/>
      <c r="R13" s="44"/>
      <c r="S13" s="44"/>
      <c r="T13" s="44"/>
      <c r="U13" s="44"/>
      <c r="V13" s="44"/>
      <c r="W13" s="44"/>
      <c r="X13" s="44"/>
      <c r="Y13" s="44"/>
      <c r="Z13" s="44"/>
      <c r="AA13" s="44"/>
      <c r="AB13" s="44"/>
      <c r="AC13" s="44"/>
      <c r="AD13" s="44"/>
      <c r="AE13" s="44"/>
      <c r="AF13" s="44"/>
      <c r="AH13" s="46">
        <f t="shared" ref="AH13:BF13" si="7">$F13*H13</f>
        <v>0</v>
      </c>
      <c r="AI13" s="46">
        <f t="shared" si="7"/>
        <v>0</v>
      </c>
      <c r="AJ13" s="46">
        <f t="shared" si="7"/>
        <v>0</v>
      </c>
      <c r="AK13" s="46">
        <f t="shared" si="7"/>
        <v>0</v>
      </c>
      <c r="AL13" s="46">
        <f t="shared" si="7"/>
        <v>0</v>
      </c>
      <c r="AM13" s="46">
        <f t="shared" si="7"/>
        <v>0</v>
      </c>
      <c r="AN13" s="46" t="e">
        <f t="shared" si="7"/>
        <v>#REF!</v>
      </c>
      <c r="AO13" s="46">
        <f t="shared" si="7"/>
        <v>0</v>
      </c>
      <c r="AP13" s="46">
        <f t="shared" si="7"/>
        <v>0</v>
      </c>
      <c r="AQ13" s="46">
        <f t="shared" si="7"/>
        <v>0</v>
      </c>
      <c r="AR13" s="46">
        <f t="shared" si="7"/>
        <v>0</v>
      </c>
      <c r="AS13" s="46">
        <f t="shared" si="7"/>
        <v>0</v>
      </c>
      <c r="AT13" s="46">
        <f t="shared" si="7"/>
        <v>0</v>
      </c>
      <c r="AU13" s="46">
        <f t="shared" si="7"/>
        <v>0</v>
      </c>
      <c r="AV13" s="46">
        <f t="shared" si="7"/>
        <v>0</v>
      </c>
      <c r="AW13" s="46">
        <f t="shared" si="7"/>
        <v>0</v>
      </c>
      <c r="AX13" s="46">
        <f t="shared" si="7"/>
        <v>0</v>
      </c>
      <c r="AY13" s="46">
        <f t="shared" si="7"/>
        <v>0</v>
      </c>
      <c r="AZ13" s="46">
        <f t="shared" si="7"/>
        <v>0</v>
      </c>
      <c r="BA13" s="46">
        <f t="shared" si="7"/>
        <v>0</v>
      </c>
      <c r="BB13" s="46">
        <f t="shared" si="7"/>
        <v>0</v>
      </c>
      <c r="BC13" s="46">
        <f t="shared" si="7"/>
        <v>0</v>
      </c>
      <c r="BD13" s="46">
        <f t="shared" si="7"/>
        <v>0</v>
      </c>
      <c r="BE13" s="46">
        <f t="shared" si="7"/>
        <v>0</v>
      </c>
      <c r="BF13" s="46">
        <f t="shared" si="7"/>
        <v>0</v>
      </c>
    </row>
    <row r="14" spans="1:58" ht="14.25" customHeight="1">
      <c r="A14" s="43">
        <v>8</v>
      </c>
      <c r="B14" s="44" t="s">
        <v>174</v>
      </c>
      <c r="C14" s="44" t="s">
        <v>171</v>
      </c>
      <c r="D14" s="44"/>
      <c r="E14" s="45" t="e">
        <f t="shared" si="0"/>
        <v>#REF!</v>
      </c>
      <c r="F14" s="48"/>
      <c r="G14" s="46"/>
      <c r="H14" s="47"/>
      <c r="I14" s="44"/>
      <c r="J14" s="44"/>
      <c r="K14" s="44"/>
      <c r="L14" s="44"/>
      <c r="M14" s="44"/>
      <c r="N14" s="44"/>
      <c r="O14" s="44" t="e">
        <f>O4*#REF!</f>
        <v>#REF!</v>
      </c>
      <c r="P14" s="44"/>
      <c r="Q14" s="44"/>
      <c r="R14" s="44"/>
      <c r="S14" s="44"/>
      <c r="T14" s="44"/>
      <c r="U14" s="44"/>
      <c r="V14" s="44"/>
      <c r="W14" s="44"/>
      <c r="X14" s="44"/>
      <c r="Y14" s="44"/>
      <c r="Z14" s="44"/>
      <c r="AA14" s="44"/>
      <c r="AB14" s="44"/>
      <c r="AC14" s="44"/>
      <c r="AD14" s="44"/>
      <c r="AE14" s="44"/>
      <c r="AF14" s="44"/>
      <c r="AH14" s="46">
        <f t="shared" ref="AH14:BF14" si="8">$F14*H14</f>
        <v>0</v>
      </c>
      <c r="AI14" s="46">
        <f t="shared" si="8"/>
        <v>0</v>
      </c>
      <c r="AJ14" s="46">
        <f t="shared" si="8"/>
        <v>0</v>
      </c>
      <c r="AK14" s="46">
        <f t="shared" si="8"/>
        <v>0</v>
      </c>
      <c r="AL14" s="46">
        <f t="shared" si="8"/>
        <v>0</v>
      </c>
      <c r="AM14" s="46">
        <f t="shared" si="8"/>
        <v>0</v>
      </c>
      <c r="AN14" s="46">
        <f t="shared" si="8"/>
        <v>0</v>
      </c>
      <c r="AO14" s="46" t="e">
        <f t="shared" si="8"/>
        <v>#REF!</v>
      </c>
      <c r="AP14" s="46">
        <f t="shared" si="8"/>
        <v>0</v>
      </c>
      <c r="AQ14" s="46">
        <f t="shared" si="8"/>
        <v>0</v>
      </c>
      <c r="AR14" s="46">
        <f t="shared" si="8"/>
        <v>0</v>
      </c>
      <c r="AS14" s="46">
        <f t="shared" si="8"/>
        <v>0</v>
      </c>
      <c r="AT14" s="46">
        <f t="shared" si="8"/>
        <v>0</v>
      </c>
      <c r="AU14" s="46">
        <f t="shared" si="8"/>
        <v>0</v>
      </c>
      <c r="AV14" s="46">
        <f t="shared" si="8"/>
        <v>0</v>
      </c>
      <c r="AW14" s="46">
        <f t="shared" si="8"/>
        <v>0</v>
      </c>
      <c r="AX14" s="46">
        <f t="shared" si="8"/>
        <v>0</v>
      </c>
      <c r="AY14" s="46">
        <f t="shared" si="8"/>
        <v>0</v>
      </c>
      <c r="AZ14" s="46">
        <f t="shared" si="8"/>
        <v>0</v>
      </c>
      <c r="BA14" s="46">
        <f t="shared" si="8"/>
        <v>0</v>
      </c>
      <c r="BB14" s="46">
        <f t="shared" si="8"/>
        <v>0</v>
      </c>
      <c r="BC14" s="46">
        <f t="shared" si="8"/>
        <v>0</v>
      </c>
      <c r="BD14" s="46">
        <f t="shared" si="8"/>
        <v>0</v>
      </c>
      <c r="BE14" s="46">
        <f t="shared" si="8"/>
        <v>0</v>
      </c>
      <c r="BF14" s="46">
        <f t="shared" si="8"/>
        <v>0</v>
      </c>
    </row>
    <row r="15" spans="1:58" ht="14.25" customHeight="1">
      <c r="A15" s="43">
        <v>9</v>
      </c>
      <c r="B15" s="44" t="s">
        <v>175</v>
      </c>
      <c r="C15" s="44" t="s">
        <v>171</v>
      </c>
      <c r="D15" s="44"/>
      <c r="E15" s="45" t="e">
        <f t="shared" si="0"/>
        <v>#REF!</v>
      </c>
      <c r="F15" s="48"/>
      <c r="G15" s="46"/>
      <c r="H15" s="47"/>
      <c r="I15" s="44"/>
      <c r="J15" s="44"/>
      <c r="K15" s="44"/>
      <c r="L15" s="44"/>
      <c r="M15" s="44"/>
      <c r="N15" s="44"/>
      <c r="O15" s="44" t="e">
        <f>O4*#REF!</f>
        <v>#REF!</v>
      </c>
      <c r="P15" s="44"/>
      <c r="Q15" s="44"/>
      <c r="R15" s="44"/>
      <c r="S15" s="44"/>
      <c r="T15" s="44"/>
      <c r="U15" s="44"/>
      <c r="V15" s="44"/>
      <c r="W15" s="44"/>
      <c r="X15" s="44"/>
      <c r="Y15" s="44"/>
      <c r="Z15" s="44"/>
      <c r="AA15" s="44"/>
      <c r="AB15" s="44"/>
      <c r="AC15" s="44"/>
      <c r="AD15" s="44"/>
      <c r="AE15" s="44"/>
      <c r="AF15" s="44"/>
      <c r="AH15" s="46">
        <f t="shared" ref="AH15:BF15" si="9">$F15*H15</f>
        <v>0</v>
      </c>
      <c r="AI15" s="46">
        <f t="shared" si="9"/>
        <v>0</v>
      </c>
      <c r="AJ15" s="46">
        <f t="shared" si="9"/>
        <v>0</v>
      </c>
      <c r="AK15" s="46">
        <f t="shared" si="9"/>
        <v>0</v>
      </c>
      <c r="AL15" s="46">
        <f t="shared" si="9"/>
        <v>0</v>
      </c>
      <c r="AM15" s="46">
        <f t="shared" si="9"/>
        <v>0</v>
      </c>
      <c r="AN15" s="46">
        <f t="shared" si="9"/>
        <v>0</v>
      </c>
      <c r="AO15" s="46" t="e">
        <f t="shared" si="9"/>
        <v>#REF!</v>
      </c>
      <c r="AP15" s="46">
        <f t="shared" si="9"/>
        <v>0</v>
      </c>
      <c r="AQ15" s="46">
        <f t="shared" si="9"/>
        <v>0</v>
      </c>
      <c r="AR15" s="46">
        <f t="shared" si="9"/>
        <v>0</v>
      </c>
      <c r="AS15" s="46">
        <f t="shared" si="9"/>
        <v>0</v>
      </c>
      <c r="AT15" s="46">
        <f t="shared" si="9"/>
        <v>0</v>
      </c>
      <c r="AU15" s="46">
        <f t="shared" si="9"/>
        <v>0</v>
      </c>
      <c r="AV15" s="46">
        <f t="shared" si="9"/>
        <v>0</v>
      </c>
      <c r="AW15" s="46">
        <f t="shared" si="9"/>
        <v>0</v>
      </c>
      <c r="AX15" s="46">
        <f t="shared" si="9"/>
        <v>0</v>
      </c>
      <c r="AY15" s="46">
        <f t="shared" si="9"/>
        <v>0</v>
      </c>
      <c r="AZ15" s="46">
        <f t="shared" si="9"/>
        <v>0</v>
      </c>
      <c r="BA15" s="46">
        <f t="shared" si="9"/>
        <v>0</v>
      </c>
      <c r="BB15" s="46">
        <f t="shared" si="9"/>
        <v>0</v>
      </c>
      <c r="BC15" s="46">
        <f t="shared" si="9"/>
        <v>0</v>
      </c>
      <c r="BD15" s="46">
        <f t="shared" si="9"/>
        <v>0</v>
      </c>
      <c r="BE15" s="46">
        <f t="shared" si="9"/>
        <v>0</v>
      </c>
      <c r="BF15" s="46">
        <f t="shared" si="9"/>
        <v>0</v>
      </c>
    </row>
    <row r="16" spans="1:58" ht="14.25" customHeight="1">
      <c r="A16" s="43">
        <v>10</v>
      </c>
      <c r="B16" s="44" t="s">
        <v>176</v>
      </c>
      <c r="C16" s="44" t="s">
        <v>177</v>
      </c>
      <c r="D16" s="44"/>
      <c r="E16" s="45" t="e">
        <f t="shared" si="0"/>
        <v>#REF!</v>
      </c>
      <c r="F16" s="48"/>
      <c r="G16" s="46"/>
      <c r="H16" s="47"/>
      <c r="I16" s="44"/>
      <c r="J16" s="44"/>
      <c r="K16" s="44"/>
      <c r="L16" s="44"/>
      <c r="M16" s="44"/>
      <c r="N16" s="44"/>
      <c r="O16" s="44"/>
      <c r="P16" s="44" t="e">
        <f>P4*'4 - CIMENTACIÓN - CONCRETOS'!$E$55</f>
        <v>#REF!</v>
      </c>
      <c r="Q16" s="44" t="e">
        <f>Q4*'8 - PISOS - CONCRETO-ENCHAPES'!E246</f>
        <v>#REF!</v>
      </c>
      <c r="R16" s="44"/>
      <c r="S16" s="44"/>
      <c r="T16" s="44"/>
      <c r="U16" s="44"/>
      <c r="V16" s="44"/>
      <c r="W16" s="44"/>
      <c r="X16" s="44"/>
      <c r="Y16" s="44"/>
      <c r="Z16" s="44"/>
      <c r="AA16" s="44"/>
      <c r="AB16" s="44"/>
      <c r="AC16" s="44"/>
      <c r="AD16" s="44"/>
      <c r="AE16" s="44"/>
      <c r="AF16" s="44"/>
      <c r="AH16" s="46">
        <f t="shared" ref="AH16:BF16" si="10">$F16*H16</f>
        <v>0</v>
      </c>
      <c r="AI16" s="46">
        <f t="shared" si="10"/>
        <v>0</v>
      </c>
      <c r="AJ16" s="46">
        <f t="shared" si="10"/>
        <v>0</v>
      </c>
      <c r="AK16" s="46">
        <f t="shared" si="10"/>
        <v>0</v>
      </c>
      <c r="AL16" s="46">
        <f t="shared" si="10"/>
        <v>0</v>
      </c>
      <c r="AM16" s="46">
        <f t="shared" si="10"/>
        <v>0</v>
      </c>
      <c r="AN16" s="46">
        <f t="shared" si="10"/>
        <v>0</v>
      </c>
      <c r="AO16" s="46">
        <f t="shared" si="10"/>
        <v>0</v>
      </c>
      <c r="AP16" s="46" t="e">
        <f t="shared" si="10"/>
        <v>#REF!</v>
      </c>
      <c r="AQ16" s="46" t="e">
        <f t="shared" si="10"/>
        <v>#REF!</v>
      </c>
      <c r="AR16" s="46">
        <f t="shared" si="10"/>
        <v>0</v>
      </c>
      <c r="AS16" s="46">
        <f t="shared" si="10"/>
        <v>0</v>
      </c>
      <c r="AT16" s="46">
        <f t="shared" si="10"/>
        <v>0</v>
      </c>
      <c r="AU16" s="46">
        <f t="shared" si="10"/>
        <v>0</v>
      </c>
      <c r="AV16" s="46">
        <f t="shared" si="10"/>
        <v>0</v>
      </c>
      <c r="AW16" s="46">
        <f t="shared" si="10"/>
        <v>0</v>
      </c>
      <c r="AX16" s="46">
        <f t="shared" si="10"/>
        <v>0</v>
      </c>
      <c r="AY16" s="46">
        <f t="shared" si="10"/>
        <v>0</v>
      </c>
      <c r="AZ16" s="46">
        <f t="shared" si="10"/>
        <v>0</v>
      </c>
      <c r="BA16" s="46">
        <f t="shared" si="10"/>
        <v>0</v>
      </c>
      <c r="BB16" s="46">
        <f t="shared" si="10"/>
        <v>0</v>
      </c>
      <c r="BC16" s="46">
        <f t="shared" si="10"/>
        <v>0</v>
      </c>
      <c r="BD16" s="46">
        <f t="shared" si="10"/>
        <v>0</v>
      </c>
      <c r="BE16" s="46">
        <f t="shared" si="10"/>
        <v>0</v>
      </c>
      <c r="BF16" s="46">
        <f t="shared" si="10"/>
        <v>0</v>
      </c>
    </row>
    <row r="17" spans="1:58" ht="14.25" hidden="1" customHeight="1">
      <c r="A17" s="43">
        <v>11</v>
      </c>
      <c r="B17" s="44" t="s">
        <v>178</v>
      </c>
      <c r="C17" s="44" t="s">
        <v>116</v>
      </c>
      <c r="D17" s="44"/>
      <c r="E17" s="45" t="e">
        <f t="shared" si="0"/>
        <v>#REF!</v>
      </c>
      <c r="F17" s="48"/>
      <c r="G17" s="46"/>
      <c r="H17" s="47"/>
      <c r="I17" s="44"/>
      <c r="J17" s="44"/>
      <c r="K17" s="44"/>
      <c r="L17" s="44"/>
      <c r="M17" s="44"/>
      <c r="N17" s="44"/>
      <c r="O17" s="44"/>
      <c r="P17" s="44" t="e">
        <f>P4*'4 - CIMENTACIÓN - CONCRETOS'!$E$56</f>
        <v>#REF!</v>
      </c>
      <c r="Q17" s="44" t="e">
        <f>Q4*'8 - PISOS - CONCRETO-ENCHAPES'!E247</f>
        <v>#REF!</v>
      </c>
      <c r="R17" s="44"/>
      <c r="S17" s="44"/>
      <c r="T17" s="44"/>
      <c r="U17" s="44"/>
      <c r="V17" s="44"/>
      <c r="W17" s="44"/>
      <c r="X17" s="44"/>
      <c r="Y17" s="44"/>
      <c r="Z17" s="44"/>
      <c r="AA17" s="44"/>
      <c r="AB17" s="44"/>
      <c r="AC17" s="44"/>
      <c r="AD17" s="44"/>
      <c r="AE17" s="44"/>
      <c r="AF17" s="44"/>
      <c r="AH17" s="46">
        <f t="shared" ref="AH17:BF17" si="11">$F17*H17</f>
        <v>0</v>
      </c>
      <c r="AI17" s="46">
        <f t="shared" si="11"/>
        <v>0</v>
      </c>
      <c r="AJ17" s="46">
        <f t="shared" si="11"/>
        <v>0</v>
      </c>
      <c r="AK17" s="46">
        <f t="shared" si="11"/>
        <v>0</v>
      </c>
      <c r="AL17" s="46">
        <f t="shared" si="11"/>
        <v>0</v>
      </c>
      <c r="AM17" s="46">
        <f t="shared" si="11"/>
        <v>0</v>
      </c>
      <c r="AN17" s="46">
        <f t="shared" si="11"/>
        <v>0</v>
      </c>
      <c r="AO17" s="46">
        <f t="shared" si="11"/>
        <v>0</v>
      </c>
      <c r="AP17" s="46" t="e">
        <f t="shared" si="11"/>
        <v>#REF!</v>
      </c>
      <c r="AQ17" s="46" t="e">
        <f t="shared" si="11"/>
        <v>#REF!</v>
      </c>
      <c r="AR17" s="46">
        <f t="shared" si="11"/>
        <v>0</v>
      </c>
      <c r="AS17" s="46">
        <f t="shared" si="11"/>
        <v>0</v>
      </c>
      <c r="AT17" s="46">
        <f t="shared" si="11"/>
        <v>0</v>
      </c>
      <c r="AU17" s="46">
        <f t="shared" si="11"/>
        <v>0</v>
      </c>
      <c r="AV17" s="46">
        <f t="shared" si="11"/>
        <v>0</v>
      </c>
      <c r="AW17" s="46">
        <f t="shared" si="11"/>
        <v>0</v>
      </c>
      <c r="AX17" s="46">
        <f t="shared" si="11"/>
        <v>0</v>
      </c>
      <c r="AY17" s="46">
        <f t="shared" si="11"/>
        <v>0</v>
      </c>
      <c r="AZ17" s="46">
        <f t="shared" si="11"/>
        <v>0</v>
      </c>
      <c r="BA17" s="46">
        <f t="shared" si="11"/>
        <v>0</v>
      </c>
      <c r="BB17" s="46">
        <f t="shared" si="11"/>
        <v>0</v>
      </c>
      <c r="BC17" s="46">
        <f t="shared" si="11"/>
        <v>0</v>
      </c>
      <c r="BD17" s="46">
        <f t="shared" si="11"/>
        <v>0</v>
      </c>
      <c r="BE17" s="46">
        <f t="shared" si="11"/>
        <v>0</v>
      </c>
      <c r="BF17" s="46">
        <f t="shared" si="11"/>
        <v>0</v>
      </c>
    </row>
    <row r="18" spans="1:58" ht="14.25" hidden="1" customHeight="1">
      <c r="A18" s="43">
        <v>12</v>
      </c>
      <c r="B18" s="44" t="s">
        <v>179</v>
      </c>
      <c r="C18" s="44" t="s">
        <v>116</v>
      </c>
      <c r="D18" s="44"/>
      <c r="E18" s="45" t="e">
        <f t="shared" si="0"/>
        <v>#REF!</v>
      </c>
      <c r="F18" s="48"/>
      <c r="G18" s="46"/>
      <c r="H18" s="47"/>
      <c r="I18" s="44"/>
      <c r="J18" s="44"/>
      <c r="K18" s="44"/>
      <c r="L18" s="44"/>
      <c r="M18" s="44"/>
      <c r="N18" s="44"/>
      <c r="O18" s="44"/>
      <c r="P18" s="44" t="e">
        <f>P4*'4 - CIMENTACIÓN - CONCRETOS'!$E$57</f>
        <v>#REF!</v>
      </c>
      <c r="Q18" s="44" t="e">
        <f>'8 - PISOS - CONCRETO-ENCHAPES'!E248*'COTIZACIÓN MATERIALES'!Q4</f>
        <v>#REF!</v>
      </c>
      <c r="R18" s="44"/>
      <c r="S18" s="44"/>
      <c r="T18" s="44"/>
      <c r="U18" s="44"/>
      <c r="V18" s="44"/>
      <c r="W18" s="44"/>
      <c r="X18" s="44"/>
      <c r="Y18" s="44"/>
      <c r="Z18" s="44"/>
      <c r="AA18" s="44"/>
      <c r="AB18" s="44"/>
      <c r="AC18" s="44"/>
      <c r="AD18" s="44"/>
      <c r="AE18" s="44"/>
      <c r="AF18" s="44"/>
      <c r="AH18" s="46">
        <f t="shared" ref="AH18:BF18" si="12">$F18*H18</f>
        <v>0</v>
      </c>
      <c r="AI18" s="46">
        <f t="shared" si="12"/>
        <v>0</v>
      </c>
      <c r="AJ18" s="46">
        <f t="shared" si="12"/>
        <v>0</v>
      </c>
      <c r="AK18" s="46">
        <f t="shared" si="12"/>
        <v>0</v>
      </c>
      <c r="AL18" s="46">
        <f t="shared" si="12"/>
        <v>0</v>
      </c>
      <c r="AM18" s="46">
        <f t="shared" si="12"/>
        <v>0</v>
      </c>
      <c r="AN18" s="46">
        <f t="shared" si="12"/>
        <v>0</v>
      </c>
      <c r="AO18" s="46">
        <f t="shared" si="12"/>
        <v>0</v>
      </c>
      <c r="AP18" s="46" t="e">
        <f t="shared" si="12"/>
        <v>#REF!</v>
      </c>
      <c r="AQ18" s="46" t="e">
        <f t="shared" si="12"/>
        <v>#REF!</v>
      </c>
      <c r="AR18" s="46">
        <f t="shared" si="12"/>
        <v>0</v>
      </c>
      <c r="AS18" s="46">
        <f t="shared" si="12"/>
        <v>0</v>
      </c>
      <c r="AT18" s="46">
        <f t="shared" si="12"/>
        <v>0</v>
      </c>
      <c r="AU18" s="46">
        <f t="shared" si="12"/>
        <v>0</v>
      </c>
      <c r="AV18" s="46">
        <f t="shared" si="12"/>
        <v>0</v>
      </c>
      <c r="AW18" s="46">
        <f t="shared" si="12"/>
        <v>0</v>
      </c>
      <c r="AX18" s="46">
        <f t="shared" si="12"/>
        <v>0</v>
      </c>
      <c r="AY18" s="46">
        <f t="shared" si="12"/>
        <v>0</v>
      </c>
      <c r="AZ18" s="46">
        <f t="shared" si="12"/>
        <v>0</v>
      </c>
      <c r="BA18" s="46">
        <f t="shared" si="12"/>
        <v>0</v>
      </c>
      <c r="BB18" s="46">
        <f t="shared" si="12"/>
        <v>0</v>
      </c>
      <c r="BC18" s="46">
        <f t="shared" si="12"/>
        <v>0</v>
      </c>
      <c r="BD18" s="46">
        <f t="shared" si="12"/>
        <v>0</v>
      </c>
      <c r="BE18" s="46">
        <f t="shared" si="12"/>
        <v>0</v>
      </c>
      <c r="BF18" s="46">
        <f t="shared" si="12"/>
        <v>0</v>
      </c>
    </row>
    <row r="19" spans="1:58" ht="14.25" customHeight="1">
      <c r="A19" s="43">
        <v>13</v>
      </c>
      <c r="B19" s="44" t="s">
        <v>180</v>
      </c>
      <c r="C19" s="44" t="s">
        <v>181</v>
      </c>
      <c r="D19" s="44"/>
      <c r="E19" s="45" t="e">
        <f t="shared" si="0"/>
        <v>#REF!</v>
      </c>
      <c r="F19" s="48"/>
      <c r="G19" s="46"/>
      <c r="H19" s="47"/>
      <c r="I19" s="44"/>
      <c r="J19" s="44"/>
      <c r="K19" s="44"/>
      <c r="L19" s="44"/>
      <c r="M19" s="44"/>
      <c r="N19" s="44"/>
      <c r="O19" s="44"/>
      <c r="P19" s="44"/>
      <c r="Q19" s="49" t="e">
        <f>'8 - PISOS - CONCRETO-ENCHAPES'!E250*Q4</f>
        <v>#REF!</v>
      </c>
      <c r="R19" s="44"/>
      <c r="S19" s="44"/>
      <c r="T19" s="44"/>
      <c r="U19" s="44"/>
      <c r="V19" s="44"/>
      <c r="W19" s="44"/>
      <c r="X19" s="44"/>
      <c r="Y19" s="44"/>
      <c r="Z19" s="44"/>
      <c r="AA19" s="44"/>
      <c r="AB19" s="44"/>
      <c r="AC19" s="44"/>
      <c r="AD19" s="44"/>
      <c r="AE19" s="44"/>
      <c r="AF19" s="44"/>
      <c r="AH19" s="46">
        <f t="shared" ref="AH19:BF19" si="13">$F19*H19</f>
        <v>0</v>
      </c>
      <c r="AI19" s="46">
        <f t="shared" si="13"/>
        <v>0</v>
      </c>
      <c r="AJ19" s="46">
        <f t="shared" si="13"/>
        <v>0</v>
      </c>
      <c r="AK19" s="46">
        <f t="shared" si="13"/>
        <v>0</v>
      </c>
      <c r="AL19" s="46">
        <f t="shared" si="13"/>
        <v>0</v>
      </c>
      <c r="AM19" s="46">
        <f t="shared" si="13"/>
        <v>0</v>
      </c>
      <c r="AN19" s="46">
        <f t="shared" si="13"/>
        <v>0</v>
      </c>
      <c r="AO19" s="46">
        <f t="shared" si="13"/>
        <v>0</v>
      </c>
      <c r="AP19" s="46">
        <f t="shared" si="13"/>
        <v>0</v>
      </c>
      <c r="AQ19" s="46" t="e">
        <f t="shared" si="13"/>
        <v>#REF!</v>
      </c>
      <c r="AR19" s="46">
        <f t="shared" si="13"/>
        <v>0</v>
      </c>
      <c r="AS19" s="46">
        <f t="shared" si="13"/>
        <v>0</v>
      </c>
      <c r="AT19" s="46">
        <f t="shared" si="13"/>
        <v>0</v>
      </c>
      <c r="AU19" s="46">
        <f t="shared" si="13"/>
        <v>0</v>
      </c>
      <c r="AV19" s="46">
        <f t="shared" si="13"/>
        <v>0</v>
      </c>
      <c r="AW19" s="46">
        <f t="shared" si="13"/>
        <v>0</v>
      </c>
      <c r="AX19" s="46">
        <f t="shared" si="13"/>
        <v>0</v>
      </c>
      <c r="AY19" s="46">
        <f t="shared" si="13"/>
        <v>0</v>
      </c>
      <c r="AZ19" s="46">
        <f t="shared" si="13"/>
        <v>0</v>
      </c>
      <c r="BA19" s="46">
        <f t="shared" si="13"/>
        <v>0</v>
      </c>
      <c r="BB19" s="46">
        <f t="shared" si="13"/>
        <v>0</v>
      </c>
      <c r="BC19" s="46">
        <f t="shared" si="13"/>
        <v>0</v>
      </c>
      <c r="BD19" s="46">
        <f t="shared" si="13"/>
        <v>0</v>
      </c>
      <c r="BE19" s="46">
        <f t="shared" si="13"/>
        <v>0</v>
      </c>
      <c r="BF19" s="46">
        <f t="shared" si="13"/>
        <v>0</v>
      </c>
    </row>
    <row r="20" spans="1:58" ht="14.25" hidden="1" customHeight="1">
      <c r="A20" s="43">
        <v>14</v>
      </c>
      <c r="B20" s="44" t="s">
        <v>182</v>
      </c>
      <c r="C20" s="44" t="s">
        <v>183</v>
      </c>
      <c r="D20" s="44"/>
      <c r="E20" s="45" t="e">
        <f t="shared" si="0"/>
        <v>#REF!</v>
      </c>
      <c r="F20" s="48"/>
      <c r="G20" s="46"/>
      <c r="H20" s="47"/>
      <c r="I20" s="44"/>
      <c r="J20" s="44"/>
      <c r="K20" s="44"/>
      <c r="L20" s="44"/>
      <c r="M20" s="44"/>
      <c r="N20" s="44"/>
      <c r="O20" s="44"/>
      <c r="P20" s="44" t="e">
        <f>P4*'4 - CIMENTACIÓN - CONCRETOS'!E58</f>
        <v>#REF!</v>
      </c>
      <c r="Q20" s="44" t="e">
        <f>Q4*'8 - PISOS - CONCRETO-ENCHAPES'!E249</f>
        <v>#REF!</v>
      </c>
      <c r="R20" s="44" t="e">
        <f>R4*'9 - PAÑETES - PINTURA'!E86</f>
        <v>#REF!</v>
      </c>
      <c r="S20" s="44"/>
      <c r="T20" s="44" t="e">
        <f>T4*'9 - PAÑETES - PINTURA'!E124</f>
        <v>#REF!</v>
      </c>
      <c r="U20" s="44"/>
      <c r="V20" s="44"/>
      <c r="W20" s="44"/>
      <c r="X20" s="44"/>
      <c r="Y20" s="44"/>
      <c r="Z20" s="44"/>
      <c r="AA20" s="44"/>
      <c r="AB20" s="44"/>
      <c r="AC20" s="44"/>
      <c r="AD20" s="44"/>
      <c r="AE20" s="44"/>
      <c r="AF20" s="44"/>
      <c r="AH20" s="46">
        <f t="shared" ref="AH20:BF20" si="14">$F20*H20</f>
        <v>0</v>
      </c>
      <c r="AI20" s="46">
        <f t="shared" si="14"/>
        <v>0</v>
      </c>
      <c r="AJ20" s="46">
        <f t="shared" si="14"/>
        <v>0</v>
      </c>
      <c r="AK20" s="46">
        <f t="shared" si="14"/>
        <v>0</v>
      </c>
      <c r="AL20" s="46">
        <f t="shared" si="14"/>
        <v>0</v>
      </c>
      <c r="AM20" s="46">
        <f t="shared" si="14"/>
        <v>0</v>
      </c>
      <c r="AN20" s="46">
        <f t="shared" si="14"/>
        <v>0</v>
      </c>
      <c r="AO20" s="46">
        <f t="shared" si="14"/>
        <v>0</v>
      </c>
      <c r="AP20" s="46" t="e">
        <f t="shared" si="14"/>
        <v>#REF!</v>
      </c>
      <c r="AQ20" s="46" t="e">
        <f t="shared" si="14"/>
        <v>#REF!</v>
      </c>
      <c r="AR20" s="46" t="e">
        <f t="shared" si="14"/>
        <v>#REF!</v>
      </c>
      <c r="AS20" s="46">
        <f t="shared" si="14"/>
        <v>0</v>
      </c>
      <c r="AT20" s="46" t="e">
        <f t="shared" si="14"/>
        <v>#REF!</v>
      </c>
      <c r="AU20" s="46">
        <f t="shared" si="14"/>
        <v>0</v>
      </c>
      <c r="AV20" s="46">
        <f t="shared" si="14"/>
        <v>0</v>
      </c>
      <c r="AW20" s="46">
        <f t="shared" si="14"/>
        <v>0</v>
      </c>
      <c r="AX20" s="46">
        <f t="shared" si="14"/>
        <v>0</v>
      </c>
      <c r="AY20" s="46">
        <f t="shared" si="14"/>
        <v>0</v>
      </c>
      <c r="AZ20" s="46">
        <f t="shared" si="14"/>
        <v>0</v>
      </c>
      <c r="BA20" s="46">
        <f t="shared" si="14"/>
        <v>0</v>
      </c>
      <c r="BB20" s="46">
        <f t="shared" si="14"/>
        <v>0</v>
      </c>
      <c r="BC20" s="46">
        <f t="shared" si="14"/>
        <v>0</v>
      </c>
      <c r="BD20" s="46">
        <f t="shared" si="14"/>
        <v>0</v>
      </c>
      <c r="BE20" s="46">
        <f t="shared" si="14"/>
        <v>0</v>
      </c>
      <c r="BF20" s="46">
        <f t="shared" si="14"/>
        <v>0</v>
      </c>
    </row>
    <row r="21" spans="1:58" ht="14.25" customHeight="1">
      <c r="A21" s="43">
        <v>15</v>
      </c>
      <c r="B21" s="44" t="s">
        <v>184</v>
      </c>
      <c r="C21" s="44" t="s">
        <v>171</v>
      </c>
      <c r="D21" s="44"/>
      <c r="E21" s="45" t="e">
        <f t="shared" si="0"/>
        <v>#REF!</v>
      </c>
      <c r="F21" s="48"/>
      <c r="G21" s="46"/>
      <c r="H21" s="47"/>
      <c r="I21" s="44"/>
      <c r="J21" s="44"/>
      <c r="K21" s="44"/>
      <c r="L21" s="44"/>
      <c r="M21" s="44"/>
      <c r="N21" s="44"/>
      <c r="O21" s="44"/>
      <c r="P21" s="44"/>
      <c r="Q21" s="44"/>
      <c r="R21" s="44" t="e">
        <f>R4*'9 - PAÑETES - PINTURA'!E85</f>
        <v>#REF!</v>
      </c>
      <c r="S21" s="44"/>
      <c r="T21" s="44"/>
      <c r="U21" s="44"/>
      <c r="V21" s="44"/>
      <c r="W21" s="44"/>
      <c r="X21" s="44"/>
      <c r="Y21" s="44"/>
      <c r="Z21" s="44"/>
      <c r="AA21" s="44"/>
      <c r="AB21" s="44"/>
      <c r="AC21" s="44"/>
      <c r="AD21" s="44"/>
      <c r="AE21" s="44"/>
      <c r="AF21" s="44"/>
      <c r="AH21" s="46">
        <f t="shared" ref="AH21:BF21" si="15">$F21*H21</f>
        <v>0</v>
      </c>
      <c r="AI21" s="46">
        <f t="shared" si="15"/>
        <v>0</v>
      </c>
      <c r="AJ21" s="46">
        <f t="shared" si="15"/>
        <v>0</v>
      </c>
      <c r="AK21" s="46">
        <f t="shared" si="15"/>
        <v>0</v>
      </c>
      <c r="AL21" s="46">
        <f t="shared" si="15"/>
        <v>0</v>
      </c>
      <c r="AM21" s="46">
        <f t="shared" si="15"/>
        <v>0</v>
      </c>
      <c r="AN21" s="46">
        <f t="shared" si="15"/>
        <v>0</v>
      </c>
      <c r="AO21" s="46">
        <f t="shared" si="15"/>
        <v>0</v>
      </c>
      <c r="AP21" s="46">
        <f t="shared" si="15"/>
        <v>0</v>
      </c>
      <c r="AQ21" s="46">
        <f t="shared" si="15"/>
        <v>0</v>
      </c>
      <c r="AR21" s="46" t="e">
        <f t="shared" si="15"/>
        <v>#REF!</v>
      </c>
      <c r="AS21" s="46">
        <f t="shared" si="15"/>
        <v>0</v>
      </c>
      <c r="AT21" s="46">
        <f t="shared" si="15"/>
        <v>0</v>
      </c>
      <c r="AU21" s="46">
        <f t="shared" si="15"/>
        <v>0</v>
      </c>
      <c r="AV21" s="46">
        <f t="shared" si="15"/>
        <v>0</v>
      </c>
      <c r="AW21" s="46">
        <f t="shared" si="15"/>
        <v>0</v>
      </c>
      <c r="AX21" s="46">
        <f t="shared" si="15"/>
        <v>0</v>
      </c>
      <c r="AY21" s="46">
        <f t="shared" si="15"/>
        <v>0</v>
      </c>
      <c r="AZ21" s="46">
        <f t="shared" si="15"/>
        <v>0</v>
      </c>
      <c r="BA21" s="46">
        <f t="shared" si="15"/>
        <v>0</v>
      </c>
      <c r="BB21" s="46">
        <f t="shared" si="15"/>
        <v>0</v>
      </c>
      <c r="BC21" s="46">
        <f t="shared" si="15"/>
        <v>0</v>
      </c>
      <c r="BD21" s="46">
        <f t="shared" si="15"/>
        <v>0</v>
      </c>
      <c r="BE21" s="46">
        <f t="shared" si="15"/>
        <v>0</v>
      </c>
      <c r="BF21" s="46">
        <f t="shared" si="15"/>
        <v>0</v>
      </c>
    </row>
    <row r="22" spans="1:58" ht="14.25" customHeight="1">
      <c r="A22" s="43">
        <v>16</v>
      </c>
      <c r="B22" s="44" t="s">
        <v>185</v>
      </c>
      <c r="C22" s="44" t="s">
        <v>120</v>
      </c>
      <c r="D22" s="44"/>
      <c r="E22" s="45" t="e">
        <f t="shared" si="0"/>
        <v>#REF!</v>
      </c>
      <c r="F22" s="48"/>
      <c r="G22" s="46"/>
      <c r="H22" s="47"/>
      <c r="I22" s="44"/>
      <c r="J22" s="44"/>
      <c r="K22" s="44"/>
      <c r="L22" s="44"/>
      <c r="M22" s="44"/>
      <c r="N22" s="44"/>
      <c r="O22" s="44"/>
      <c r="P22" s="44"/>
      <c r="Q22" s="44"/>
      <c r="R22" s="44"/>
      <c r="S22" s="44" t="e">
        <f>S4*#REF!</f>
        <v>#REF!</v>
      </c>
      <c r="T22" s="44"/>
      <c r="U22" s="44"/>
      <c r="V22" s="44"/>
      <c r="W22" s="44"/>
      <c r="X22" s="44"/>
      <c r="Y22" s="44"/>
      <c r="Z22" s="44"/>
      <c r="AA22" s="44"/>
      <c r="AB22" s="44"/>
      <c r="AC22" s="44"/>
      <c r="AD22" s="44"/>
      <c r="AE22" s="44"/>
      <c r="AF22" s="44"/>
      <c r="AH22" s="46">
        <f t="shared" ref="AH22:BF22" si="16">$F22*H22</f>
        <v>0</v>
      </c>
      <c r="AI22" s="46">
        <f t="shared" si="16"/>
        <v>0</v>
      </c>
      <c r="AJ22" s="46">
        <f t="shared" si="16"/>
        <v>0</v>
      </c>
      <c r="AK22" s="46">
        <f t="shared" si="16"/>
        <v>0</v>
      </c>
      <c r="AL22" s="46">
        <f t="shared" si="16"/>
        <v>0</v>
      </c>
      <c r="AM22" s="46">
        <f t="shared" si="16"/>
        <v>0</v>
      </c>
      <c r="AN22" s="46">
        <f t="shared" si="16"/>
        <v>0</v>
      </c>
      <c r="AO22" s="46">
        <f t="shared" si="16"/>
        <v>0</v>
      </c>
      <c r="AP22" s="46">
        <f t="shared" si="16"/>
        <v>0</v>
      </c>
      <c r="AQ22" s="46">
        <f t="shared" si="16"/>
        <v>0</v>
      </c>
      <c r="AR22" s="46">
        <f t="shared" si="16"/>
        <v>0</v>
      </c>
      <c r="AS22" s="46" t="e">
        <f t="shared" si="16"/>
        <v>#REF!</v>
      </c>
      <c r="AT22" s="46">
        <f t="shared" si="16"/>
        <v>0</v>
      </c>
      <c r="AU22" s="46">
        <f t="shared" si="16"/>
        <v>0</v>
      </c>
      <c r="AV22" s="46">
        <f t="shared" si="16"/>
        <v>0</v>
      </c>
      <c r="AW22" s="46">
        <f t="shared" si="16"/>
        <v>0</v>
      </c>
      <c r="AX22" s="46">
        <f t="shared" si="16"/>
        <v>0</v>
      </c>
      <c r="AY22" s="46">
        <f t="shared" si="16"/>
        <v>0</v>
      </c>
      <c r="AZ22" s="46">
        <f t="shared" si="16"/>
        <v>0</v>
      </c>
      <c r="BA22" s="46">
        <f t="shared" si="16"/>
        <v>0</v>
      </c>
      <c r="BB22" s="46">
        <f t="shared" si="16"/>
        <v>0</v>
      </c>
      <c r="BC22" s="46">
        <f t="shared" si="16"/>
        <v>0</v>
      </c>
      <c r="BD22" s="46">
        <f t="shared" si="16"/>
        <v>0</v>
      </c>
      <c r="BE22" s="46">
        <f t="shared" si="16"/>
        <v>0</v>
      </c>
      <c r="BF22" s="46">
        <f t="shared" si="16"/>
        <v>0</v>
      </c>
    </row>
    <row r="23" spans="1:58" ht="14.25" hidden="1" customHeight="1">
      <c r="A23" s="43">
        <v>17</v>
      </c>
      <c r="B23" s="44" t="s">
        <v>186</v>
      </c>
      <c r="C23" s="44" t="s">
        <v>116</v>
      </c>
      <c r="D23" s="44"/>
      <c r="E23" s="45" t="e">
        <f t="shared" si="0"/>
        <v>#REF!</v>
      </c>
      <c r="F23" s="48"/>
      <c r="G23" s="46"/>
      <c r="H23" s="47"/>
      <c r="I23" s="44"/>
      <c r="J23" s="44"/>
      <c r="K23" s="44"/>
      <c r="L23" s="44"/>
      <c r="M23" s="44"/>
      <c r="N23" s="44"/>
      <c r="O23" s="44"/>
      <c r="P23" s="44"/>
      <c r="Q23" s="44"/>
      <c r="R23" s="44"/>
      <c r="S23" s="44"/>
      <c r="T23" s="44" t="e">
        <f>T4*'9 - PAÑETES - PINTURA'!E123</f>
        <v>#REF!</v>
      </c>
      <c r="U23" s="44"/>
      <c r="V23" s="44"/>
      <c r="W23" s="44"/>
      <c r="X23" s="44"/>
      <c r="Y23" s="44"/>
      <c r="Z23" s="44"/>
      <c r="AA23" s="44"/>
      <c r="AB23" s="44"/>
      <c r="AC23" s="44"/>
      <c r="AD23" s="44"/>
      <c r="AE23" s="44"/>
      <c r="AF23" s="44"/>
      <c r="AH23" s="46">
        <f t="shared" ref="AH23:BF23" si="17">$F23*H23</f>
        <v>0</v>
      </c>
      <c r="AI23" s="46">
        <f t="shared" si="17"/>
        <v>0</v>
      </c>
      <c r="AJ23" s="46">
        <f t="shared" si="17"/>
        <v>0</v>
      </c>
      <c r="AK23" s="46">
        <f t="shared" si="17"/>
        <v>0</v>
      </c>
      <c r="AL23" s="46">
        <f t="shared" si="17"/>
        <v>0</v>
      </c>
      <c r="AM23" s="46">
        <f t="shared" si="17"/>
        <v>0</v>
      </c>
      <c r="AN23" s="46">
        <f t="shared" si="17"/>
        <v>0</v>
      </c>
      <c r="AO23" s="46">
        <f t="shared" si="17"/>
        <v>0</v>
      </c>
      <c r="AP23" s="46">
        <f t="shared" si="17"/>
        <v>0</v>
      </c>
      <c r="AQ23" s="46">
        <f t="shared" si="17"/>
        <v>0</v>
      </c>
      <c r="AR23" s="46">
        <f t="shared" si="17"/>
        <v>0</v>
      </c>
      <c r="AS23" s="46">
        <f t="shared" si="17"/>
        <v>0</v>
      </c>
      <c r="AT23" s="46" t="e">
        <f t="shared" si="17"/>
        <v>#REF!</v>
      </c>
      <c r="AU23" s="46">
        <f t="shared" si="17"/>
        <v>0</v>
      </c>
      <c r="AV23" s="46">
        <f t="shared" si="17"/>
        <v>0</v>
      </c>
      <c r="AW23" s="46">
        <f t="shared" si="17"/>
        <v>0</v>
      </c>
      <c r="AX23" s="46">
        <f t="shared" si="17"/>
        <v>0</v>
      </c>
      <c r="AY23" s="46">
        <f t="shared" si="17"/>
        <v>0</v>
      </c>
      <c r="AZ23" s="46">
        <f t="shared" si="17"/>
        <v>0</v>
      </c>
      <c r="BA23" s="46">
        <f t="shared" si="17"/>
        <v>0</v>
      </c>
      <c r="BB23" s="46">
        <f t="shared" si="17"/>
        <v>0</v>
      </c>
      <c r="BC23" s="46">
        <f t="shared" si="17"/>
        <v>0</v>
      </c>
      <c r="BD23" s="46">
        <f t="shared" si="17"/>
        <v>0</v>
      </c>
      <c r="BE23" s="46">
        <f t="shared" si="17"/>
        <v>0</v>
      </c>
      <c r="BF23" s="46">
        <f t="shared" si="17"/>
        <v>0</v>
      </c>
    </row>
    <row r="24" spans="1:58" ht="14.25" customHeight="1">
      <c r="A24" s="43">
        <v>18</v>
      </c>
      <c r="B24" s="44" t="s">
        <v>187</v>
      </c>
      <c r="C24" s="44" t="s">
        <v>120</v>
      </c>
      <c r="D24" s="44"/>
      <c r="E24" s="45" t="e">
        <f t="shared" si="0"/>
        <v>#REF!</v>
      </c>
      <c r="F24" s="48"/>
      <c r="G24" s="46"/>
      <c r="H24" s="47"/>
      <c r="I24" s="44"/>
      <c r="J24" s="44"/>
      <c r="K24" s="44"/>
      <c r="L24" s="44"/>
      <c r="M24" s="44"/>
      <c r="N24" s="44"/>
      <c r="O24" s="44"/>
      <c r="P24" s="44"/>
      <c r="Q24" s="44"/>
      <c r="R24" s="44"/>
      <c r="S24" s="44"/>
      <c r="T24" s="44"/>
      <c r="U24" s="44" t="e">
        <f>U4*#REF!</f>
        <v>#REF!</v>
      </c>
      <c r="V24" s="44"/>
      <c r="W24" s="44"/>
      <c r="X24" s="44"/>
      <c r="Y24" s="44"/>
      <c r="Z24" s="44"/>
      <c r="AA24" s="44"/>
      <c r="AB24" s="44"/>
      <c r="AC24" s="44"/>
      <c r="AD24" s="44"/>
      <c r="AE24" s="44"/>
      <c r="AF24" s="44"/>
      <c r="AH24" s="46">
        <f t="shared" ref="AH24:BF24" si="18">$F24*H24</f>
        <v>0</v>
      </c>
      <c r="AI24" s="46">
        <f t="shared" si="18"/>
        <v>0</v>
      </c>
      <c r="AJ24" s="46">
        <f t="shared" si="18"/>
        <v>0</v>
      </c>
      <c r="AK24" s="46">
        <f t="shared" si="18"/>
        <v>0</v>
      </c>
      <c r="AL24" s="46">
        <f t="shared" si="18"/>
        <v>0</v>
      </c>
      <c r="AM24" s="46">
        <f t="shared" si="18"/>
        <v>0</v>
      </c>
      <c r="AN24" s="46">
        <f t="shared" si="18"/>
        <v>0</v>
      </c>
      <c r="AO24" s="46">
        <f t="shared" si="18"/>
        <v>0</v>
      </c>
      <c r="AP24" s="46">
        <f t="shared" si="18"/>
        <v>0</v>
      </c>
      <c r="AQ24" s="46">
        <f t="shared" si="18"/>
        <v>0</v>
      </c>
      <c r="AR24" s="46">
        <f t="shared" si="18"/>
        <v>0</v>
      </c>
      <c r="AS24" s="46">
        <f t="shared" si="18"/>
        <v>0</v>
      </c>
      <c r="AT24" s="46">
        <f t="shared" si="18"/>
        <v>0</v>
      </c>
      <c r="AU24" s="46" t="e">
        <f t="shared" si="18"/>
        <v>#REF!</v>
      </c>
      <c r="AV24" s="46">
        <f t="shared" si="18"/>
        <v>0</v>
      </c>
      <c r="AW24" s="46">
        <f t="shared" si="18"/>
        <v>0</v>
      </c>
      <c r="AX24" s="46">
        <f t="shared" si="18"/>
        <v>0</v>
      </c>
      <c r="AY24" s="46">
        <f t="shared" si="18"/>
        <v>0</v>
      </c>
      <c r="AZ24" s="46">
        <f t="shared" si="18"/>
        <v>0</v>
      </c>
      <c r="BA24" s="46">
        <f t="shared" si="18"/>
        <v>0</v>
      </c>
      <c r="BB24" s="46">
        <f t="shared" si="18"/>
        <v>0</v>
      </c>
      <c r="BC24" s="46">
        <f t="shared" si="18"/>
        <v>0</v>
      </c>
      <c r="BD24" s="46">
        <f t="shared" si="18"/>
        <v>0</v>
      </c>
      <c r="BE24" s="46">
        <f t="shared" si="18"/>
        <v>0</v>
      </c>
      <c r="BF24" s="46">
        <f t="shared" si="18"/>
        <v>0</v>
      </c>
    </row>
    <row r="25" spans="1:58" ht="14.25" customHeight="1">
      <c r="A25" s="43">
        <v>19</v>
      </c>
      <c r="B25" s="44" t="s">
        <v>188</v>
      </c>
      <c r="C25" s="44" t="s">
        <v>127</v>
      </c>
      <c r="D25" s="44"/>
      <c r="E25" s="45" t="e">
        <f t="shared" si="0"/>
        <v>#REF!</v>
      </c>
      <c r="F25" s="48"/>
      <c r="G25" s="46"/>
      <c r="H25" s="47"/>
      <c r="I25" s="44"/>
      <c r="J25" s="44"/>
      <c r="K25" s="44"/>
      <c r="L25" s="44"/>
      <c r="M25" s="44"/>
      <c r="N25" s="44"/>
      <c r="O25" s="44"/>
      <c r="P25" s="44"/>
      <c r="Q25" s="44"/>
      <c r="R25" s="44"/>
      <c r="S25" s="44"/>
      <c r="T25" s="44"/>
      <c r="U25" s="44" t="e">
        <f>U4*#REF!</f>
        <v>#REF!</v>
      </c>
      <c r="V25" s="44" t="e">
        <f>V4*#REF!</f>
        <v>#REF!</v>
      </c>
      <c r="W25" s="44" t="e">
        <f>W4*#REF!</f>
        <v>#REF!</v>
      </c>
      <c r="X25" s="44" t="e">
        <f>X4*#REF!</f>
        <v>#REF!</v>
      </c>
      <c r="Y25" s="44"/>
      <c r="Z25" s="44"/>
      <c r="AA25" s="44"/>
      <c r="AB25" s="44"/>
      <c r="AC25" s="44"/>
      <c r="AD25" s="44"/>
      <c r="AE25" s="44"/>
      <c r="AF25" s="44"/>
      <c r="AH25" s="46">
        <f t="shared" ref="AH25:BF25" si="19">$F25*H25</f>
        <v>0</v>
      </c>
      <c r="AI25" s="46">
        <f t="shared" si="19"/>
        <v>0</v>
      </c>
      <c r="AJ25" s="46">
        <f t="shared" si="19"/>
        <v>0</v>
      </c>
      <c r="AK25" s="46">
        <f t="shared" si="19"/>
        <v>0</v>
      </c>
      <c r="AL25" s="46">
        <f t="shared" si="19"/>
        <v>0</v>
      </c>
      <c r="AM25" s="46">
        <f t="shared" si="19"/>
        <v>0</v>
      </c>
      <c r="AN25" s="46">
        <f t="shared" si="19"/>
        <v>0</v>
      </c>
      <c r="AO25" s="46">
        <f t="shared" si="19"/>
        <v>0</v>
      </c>
      <c r="AP25" s="46">
        <f t="shared" si="19"/>
        <v>0</v>
      </c>
      <c r="AQ25" s="46">
        <f t="shared" si="19"/>
        <v>0</v>
      </c>
      <c r="AR25" s="46">
        <f t="shared" si="19"/>
        <v>0</v>
      </c>
      <c r="AS25" s="46">
        <f t="shared" si="19"/>
        <v>0</v>
      </c>
      <c r="AT25" s="46">
        <f t="shared" si="19"/>
        <v>0</v>
      </c>
      <c r="AU25" s="46" t="e">
        <f t="shared" si="19"/>
        <v>#REF!</v>
      </c>
      <c r="AV25" s="46" t="e">
        <f t="shared" si="19"/>
        <v>#REF!</v>
      </c>
      <c r="AW25" s="46" t="e">
        <f t="shared" si="19"/>
        <v>#REF!</v>
      </c>
      <c r="AX25" s="46" t="e">
        <f t="shared" si="19"/>
        <v>#REF!</v>
      </c>
      <c r="AY25" s="46">
        <f t="shared" si="19"/>
        <v>0</v>
      </c>
      <c r="AZ25" s="46">
        <f t="shared" si="19"/>
        <v>0</v>
      </c>
      <c r="BA25" s="46">
        <f t="shared" si="19"/>
        <v>0</v>
      </c>
      <c r="BB25" s="46">
        <f t="shared" si="19"/>
        <v>0</v>
      </c>
      <c r="BC25" s="46">
        <f t="shared" si="19"/>
        <v>0</v>
      </c>
      <c r="BD25" s="46">
        <f t="shared" si="19"/>
        <v>0</v>
      </c>
      <c r="BE25" s="46">
        <f t="shared" si="19"/>
        <v>0</v>
      </c>
      <c r="BF25" s="46">
        <f t="shared" si="19"/>
        <v>0</v>
      </c>
    </row>
    <row r="26" spans="1:58" ht="14.25" customHeight="1">
      <c r="A26" s="43">
        <v>20</v>
      </c>
      <c r="B26" s="44" t="s">
        <v>189</v>
      </c>
      <c r="C26" s="44" t="s">
        <v>127</v>
      </c>
      <c r="D26" s="44"/>
      <c r="E26" s="45" t="e">
        <f t="shared" si="0"/>
        <v>#REF!</v>
      </c>
      <c r="F26" s="48"/>
      <c r="G26" s="46"/>
      <c r="H26" s="47"/>
      <c r="I26" s="44"/>
      <c r="J26" s="44"/>
      <c r="K26" s="44"/>
      <c r="L26" s="44"/>
      <c r="M26" s="44"/>
      <c r="N26" s="44"/>
      <c r="O26" s="44"/>
      <c r="P26" s="44"/>
      <c r="Q26" s="44"/>
      <c r="R26" s="44"/>
      <c r="S26" s="44"/>
      <c r="T26" s="44"/>
      <c r="U26" s="44" t="e">
        <f>U4*#REF!</f>
        <v>#REF!</v>
      </c>
      <c r="V26" s="44" t="e">
        <f>V4*#REF!</f>
        <v>#REF!</v>
      </c>
      <c r="W26" s="44" t="e">
        <f>W4*#REF!</f>
        <v>#REF!</v>
      </c>
      <c r="X26" s="44" t="e">
        <f>X4*#REF!</f>
        <v>#REF!</v>
      </c>
      <c r="Y26" s="44"/>
      <c r="Z26" s="44"/>
      <c r="AA26" s="44"/>
      <c r="AB26" s="44"/>
      <c r="AC26" s="44"/>
      <c r="AD26" s="44"/>
      <c r="AE26" s="44"/>
      <c r="AF26" s="44"/>
      <c r="AH26" s="46">
        <f t="shared" ref="AH26:BF26" si="20">$F26*H26</f>
        <v>0</v>
      </c>
      <c r="AI26" s="46">
        <f t="shared" si="20"/>
        <v>0</v>
      </c>
      <c r="AJ26" s="46">
        <f t="shared" si="20"/>
        <v>0</v>
      </c>
      <c r="AK26" s="46">
        <f t="shared" si="20"/>
        <v>0</v>
      </c>
      <c r="AL26" s="46">
        <f t="shared" si="20"/>
        <v>0</v>
      </c>
      <c r="AM26" s="46">
        <f t="shared" si="20"/>
        <v>0</v>
      </c>
      <c r="AN26" s="46">
        <f t="shared" si="20"/>
        <v>0</v>
      </c>
      <c r="AO26" s="46">
        <f t="shared" si="20"/>
        <v>0</v>
      </c>
      <c r="AP26" s="46">
        <f t="shared" si="20"/>
        <v>0</v>
      </c>
      <c r="AQ26" s="46">
        <f t="shared" si="20"/>
        <v>0</v>
      </c>
      <c r="AR26" s="46">
        <f t="shared" si="20"/>
        <v>0</v>
      </c>
      <c r="AS26" s="46">
        <f t="shared" si="20"/>
        <v>0</v>
      </c>
      <c r="AT26" s="46">
        <f t="shared" si="20"/>
        <v>0</v>
      </c>
      <c r="AU26" s="46" t="e">
        <f t="shared" si="20"/>
        <v>#REF!</v>
      </c>
      <c r="AV26" s="46" t="e">
        <f t="shared" si="20"/>
        <v>#REF!</v>
      </c>
      <c r="AW26" s="46" t="e">
        <f t="shared" si="20"/>
        <v>#REF!</v>
      </c>
      <c r="AX26" s="46" t="e">
        <f t="shared" si="20"/>
        <v>#REF!</v>
      </c>
      <c r="AY26" s="46">
        <f t="shared" si="20"/>
        <v>0</v>
      </c>
      <c r="AZ26" s="46">
        <f t="shared" si="20"/>
        <v>0</v>
      </c>
      <c r="BA26" s="46">
        <f t="shared" si="20"/>
        <v>0</v>
      </c>
      <c r="BB26" s="46">
        <f t="shared" si="20"/>
        <v>0</v>
      </c>
      <c r="BC26" s="46">
        <f t="shared" si="20"/>
        <v>0</v>
      </c>
      <c r="BD26" s="46">
        <f t="shared" si="20"/>
        <v>0</v>
      </c>
      <c r="BE26" s="46">
        <f t="shared" si="20"/>
        <v>0</v>
      </c>
      <c r="BF26" s="46">
        <f t="shared" si="20"/>
        <v>0</v>
      </c>
    </row>
    <row r="27" spans="1:58" ht="14.25" customHeight="1">
      <c r="A27" s="43">
        <v>21</v>
      </c>
      <c r="B27" s="44" t="s">
        <v>190</v>
      </c>
      <c r="C27" s="44" t="s">
        <v>120</v>
      </c>
      <c r="D27" s="44"/>
      <c r="E27" s="45" t="e">
        <f t="shared" si="0"/>
        <v>#REF!</v>
      </c>
      <c r="F27" s="48"/>
      <c r="G27" s="46"/>
      <c r="H27" s="47"/>
      <c r="I27" s="44"/>
      <c r="J27" s="44"/>
      <c r="K27" s="44"/>
      <c r="L27" s="44"/>
      <c r="M27" s="44"/>
      <c r="N27" s="44"/>
      <c r="O27" s="44"/>
      <c r="P27" s="44"/>
      <c r="Q27" s="44"/>
      <c r="R27" s="44"/>
      <c r="S27" s="44"/>
      <c r="T27" s="44"/>
      <c r="U27" s="44"/>
      <c r="V27" s="44" t="e">
        <f>V4*#REF!</f>
        <v>#REF!</v>
      </c>
      <c r="W27" s="44"/>
      <c r="X27" s="44"/>
      <c r="Y27" s="44"/>
      <c r="Z27" s="44"/>
      <c r="AA27" s="44"/>
      <c r="AB27" s="44"/>
      <c r="AC27" s="44"/>
      <c r="AD27" s="44"/>
      <c r="AE27" s="44"/>
      <c r="AF27" s="44"/>
      <c r="AH27" s="46">
        <f t="shared" ref="AH27:BF27" si="21">$F27*H27</f>
        <v>0</v>
      </c>
      <c r="AI27" s="46">
        <f t="shared" si="21"/>
        <v>0</v>
      </c>
      <c r="AJ27" s="46">
        <f t="shared" si="21"/>
        <v>0</v>
      </c>
      <c r="AK27" s="46">
        <f t="shared" si="21"/>
        <v>0</v>
      </c>
      <c r="AL27" s="46">
        <f t="shared" si="21"/>
        <v>0</v>
      </c>
      <c r="AM27" s="46">
        <f t="shared" si="21"/>
        <v>0</v>
      </c>
      <c r="AN27" s="46">
        <f t="shared" si="21"/>
        <v>0</v>
      </c>
      <c r="AO27" s="46">
        <f t="shared" si="21"/>
        <v>0</v>
      </c>
      <c r="AP27" s="46">
        <f t="shared" si="21"/>
        <v>0</v>
      </c>
      <c r="AQ27" s="46">
        <f t="shared" si="21"/>
        <v>0</v>
      </c>
      <c r="AR27" s="46">
        <f t="shared" si="21"/>
        <v>0</v>
      </c>
      <c r="AS27" s="46">
        <f t="shared" si="21"/>
        <v>0</v>
      </c>
      <c r="AT27" s="46">
        <f t="shared" si="21"/>
        <v>0</v>
      </c>
      <c r="AU27" s="46">
        <f t="shared" si="21"/>
        <v>0</v>
      </c>
      <c r="AV27" s="46" t="e">
        <f t="shared" si="21"/>
        <v>#REF!</v>
      </c>
      <c r="AW27" s="46">
        <f t="shared" si="21"/>
        <v>0</v>
      </c>
      <c r="AX27" s="46">
        <f t="shared" si="21"/>
        <v>0</v>
      </c>
      <c r="AY27" s="46">
        <f t="shared" si="21"/>
        <v>0</v>
      </c>
      <c r="AZ27" s="46">
        <f t="shared" si="21"/>
        <v>0</v>
      </c>
      <c r="BA27" s="46">
        <f t="shared" si="21"/>
        <v>0</v>
      </c>
      <c r="BB27" s="46">
        <f t="shared" si="21"/>
        <v>0</v>
      </c>
      <c r="BC27" s="46">
        <f t="shared" si="21"/>
        <v>0</v>
      </c>
      <c r="BD27" s="46">
        <f t="shared" si="21"/>
        <v>0</v>
      </c>
      <c r="BE27" s="46">
        <f t="shared" si="21"/>
        <v>0</v>
      </c>
      <c r="BF27" s="46">
        <f t="shared" si="21"/>
        <v>0</v>
      </c>
    </row>
    <row r="28" spans="1:58" ht="14.25" customHeight="1">
      <c r="A28" s="43">
        <v>22</v>
      </c>
      <c r="B28" s="44" t="s">
        <v>191</v>
      </c>
      <c r="C28" s="44" t="s">
        <v>127</v>
      </c>
      <c r="D28" s="44"/>
      <c r="E28" s="45" t="e">
        <f t="shared" si="0"/>
        <v>#REF!</v>
      </c>
      <c r="F28" s="48"/>
      <c r="G28" s="46"/>
      <c r="H28" s="47"/>
      <c r="I28" s="44"/>
      <c r="J28" s="44"/>
      <c r="K28" s="44"/>
      <c r="L28" s="44"/>
      <c r="M28" s="44"/>
      <c r="N28" s="44"/>
      <c r="O28" s="44"/>
      <c r="P28" s="44"/>
      <c r="Q28" s="44"/>
      <c r="R28" s="44"/>
      <c r="S28" s="44"/>
      <c r="T28" s="44"/>
      <c r="U28" s="44"/>
      <c r="V28" s="44"/>
      <c r="W28" s="44" t="e">
        <f>W4*#REF!</f>
        <v>#REF!</v>
      </c>
      <c r="X28" s="44"/>
      <c r="Y28" s="44"/>
      <c r="Z28" s="44"/>
      <c r="AA28" s="44"/>
      <c r="AB28" s="44"/>
      <c r="AC28" s="44"/>
      <c r="AD28" s="44"/>
      <c r="AE28" s="44"/>
      <c r="AF28" s="44"/>
      <c r="AH28" s="46">
        <f t="shared" ref="AH28:BF28" si="22">$F28*H28</f>
        <v>0</v>
      </c>
      <c r="AI28" s="46">
        <f t="shared" si="22"/>
        <v>0</v>
      </c>
      <c r="AJ28" s="46">
        <f t="shared" si="22"/>
        <v>0</v>
      </c>
      <c r="AK28" s="46">
        <f t="shared" si="22"/>
        <v>0</v>
      </c>
      <c r="AL28" s="46">
        <f t="shared" si="22"/>
        <v>0</v>
      </c>
      <c r="AM28" s="46">
        <f t="shared" si="22"/>
        <v>0</v>
      </c>
      <c r="AN28" s="46">
        <f t="shared" si="22"/>
        <v>0</v>
      </c>
      <c r="AO28" s="46">
        <f t="shared" si="22"/>
        <v>0</v>
      </c>
      <c r="AP28" s="46">
        <f t="shared" si="22"/>
        <v>0</v>
      </c>
      <c r="AQ28" s="46">
        <f t="shared" si="22"/>
        <v>0</v>
      </c>
      <c r="AR28" s="46">
        <f t="shared" si="22"/>
        <v>0</v>
      </c>
      <c r="AS28" s="46">
        <f t="shared" si="22"/>
        <v>0</v>
      </c>
      <c r="AT28" s="46">
        <f t="shared" si="22"/>
        <v>0</v>
      </c>
      <c r="AU28" s="46">
        <f t="shared" si="22"/>
        <v>0</v>
      </c>
      <c r="AV28" s="46">
        <f t="shared" si="22"/>
        <v>0</v>
      </c>
      <c r="AW28" s="46" t="e">
        <f t="shared" si="22"/>
        <v>#REF!</v>
      </c>
      <c r="AX28" s="46">
        <f t="shared" si="22"/>
        <v>0</v>
      </c>
      <c r="AY28" s="46">
        <f t="shared" si="22"/>
        <v>0</v>
      </c>
      <c r="AZ28" s="46">
        <f t="shared" si="22"/>
        <v>0</v>
      </c>
      <c r="BA28" s="46">
        <f t="shared" si="22"/>
        <v>0</v>
      </c>
      <c r="BB28" s="46">
        <f t="shared" si="22"/>
        <v>0</v>
      </c>
      <c r="BC28" s="46">
        <f t="shared" si="22"/>
        <v>0</v>
      </c>
      <c r="BD28" s="46">
        <f t="shared" si="22"/>
        <v>0</v>
      </c>
      <c r="BE28" s="46">
        <f t="shared" si="22"/>
        <v>0</v>
      </c>
      <c r="BF28" s="46">
        <f t="shared" si="22"/>
        <v>0</v>
      </c>
    </row>
    <row r="29" spans="1:58" ht="14.25" customHeight="1">
      <c r="A29" s="43">
        <v>23</v>
      </c>
      <c r="B29" s="44" t="s">
        <v>192</v>
      </c>
      <c r="C29" s="44" t="s">
        <v>127</v>
      </c>
      <c r="D29" s="44"/>
      <c r="E29" s="45" t="e">
        <f t="shared" si="0"/>
        <v>#REF!</v>
      </c>
      <c r="F29" s="48"/>
      <c r="G29" s="46"/>
      <c r="H29" s="47"/>
      <c r="I29" s="44"/>
      <c r="J29" s="44"/>
      <c r="K29" s="44"/>
      <c r="L29" s="44"/>
      <c r="M29" s="44"/>
      <c r="N29" s="44"/>
      <c r="O29" s="44"/>
      <c r="P29" s="44"/>
      <c r="Q29" s="44"/>
      <c r="R29" s="44"/>
      <c r="S29" s="44"/>
      <c r="T29" s="44"/>
      <c r="U29" s="44"/>
      <c r="V29" s="44"/>
      <c r="W29" s="44"/>
      <c r="X29" s="44" t="e">
        <f>X4*#REF!</f>
        <v>#REF!</v>
      </c>
      <c r="Y29" s="44"/>
      <c r="Z29" s="44"/>
      <c r="AA29" s="44"/>
      <c r="AB29" s="44"/>
      <c r="AC29" s="44"/>
      <c r="AD29" s="44"/>
      <c r="AE29" s="44"/>
      <c r="AF29" s="44"/>
      <c r="AH29" s="46">
        <f t="shared" ref="AH29:BF29" si="23">$F29*H29</f>
        <v>0</v>
      </c>
      <c r="AI29" s="46">
        <f t="shared" si="23"/>
        <v>0</v>
      </c>
      <c r="AJ29" s="46">
        <f t="shared" si="23"/>
        <v>0</v>
      </c>
      <c r="AK29" s="46">
        <f t="shared" si="23"/>
        <v>0</v>
      </c>
      <c r="AL29" s="46">
        <f t="shared" si="23"/>
        <v>0</v>
      </c>
      <c r="AM29" s="46">
        <f t="shared" si="23"/>
        <v>0</v>
      </c>
      <c r="AN29" s="46">
        <f t="shared" si="23"/>
        <v>0</v>
      </c>
      <c r="AO29" s="46">
        <f t="shared" si="23"/>
        <v>0</v>
      </c>
      <c r="AP29" s="46">
        <f t="shared" si="23"/>
        <v>0</v>
      </c>
      <c r="AQ29" s="46">
        <f t="shared" si="23"/>
        <v>0</v>
      </c>
      <c r="AR29" s="46">
        <f t="shared" si="23"/>
        <v>0</v>
      </c>
      <c r="AS29" s="46">
        <f t="shared" si="23"/>
        <v>0</v>
      </c>
      <c r="AT29" s="46">
        <f t="shared" si="23"/>
        <v>0</v>
      </c>
      <c r="AU29" s="46">
        <f t="shared" si="23"/>
        <v>0</v>
      </c>
      <c r="AV29" s="46">
        <f t="shared" si="23"/>
        <v>0</v>
      </c>
      <c r="AW29" s="46">
        <f t="shared" si="23"/>
        <v>0</v>
      </c>
      <c r="AX29" s="46" t="e">
        <f t="shared" si="23"/>
        <v>#REF!</v>
      </c>
      <c r="AY29" s="46">
        <f t="shared" si="23"/>
        <v>0</v>
      </c>
      <c r="AZ29" s="46">
        <f t="shared" si="23"/>
        <v>0</v>
      </c>
      <c r="BA29" s="46">
        <f t="shared" si="23"/>
        <v>0</v>
      </c>
      <c r="BB29" s="46">
        <f t="shared" si="23"/>
        <v>0</v>
      </c>
      <c r="BC29" s="46">
        <f t="shared" si="23"/>
        <v>0</v>
      </c>
      <c r="BD29" s="46">
        <f t="shared" si="23"/>
        <v>0</v>
      </c>
      <c r="BE29" s="46">
        <f t="shared" si="23"/>
        <v>0</v>
      </c>
      <c r="BF29" s="46">
        <f t="shared" si="23"/>
        <v>0</v>
      </c>
    </row>
    <row r="30" spans="1:58" ht="14.25" customHeight="1">
      <c r="A30" s="43">
        <v>24</v>
      </c>
      <c r="B30" s="44" t="s">
        <v>193</v>
      </c>
      <c r="C30" s="44" t="s">
        <v>127</v>
      </c>
      <c r="D30" s="44"/>
      <c r="E30" s="45" t="e">
        <f t="shared" si="0"/>
        <v>#REF!</v>
      </c>
      <c r="F30" s="48"/>
      <c r="G30" s="46"/>
      <c r="H30" s="47"/>
      <c r="I30" s="44"/>
      <c r="J30" s="44"/>
      <c r="K30" s="44"/>
      <c r="L30" s="44"/>
      <c r="M30" s="44"/>
      <c r="N30" s="44"/>
      <c r="O30" s="44"/>
      <c r="P30" s="44"/>
      <c r="Q30" s="44"/>
      <c r="R30" s="44"/>
      <c r="S30" s="44"/>
      <c r="T30" s="44"/>
      <c r="U30" s="44"/>
      <c r="V30" s="44"/>
      <c r="W30" s="44" t="e">
        <f>W4*#REF!</f>
        <v>#REF!</v>
      </c>
      <c r="X30" s="44"/>
      <c r="Y30" s="44"/>
      <c r="Z30" s="44"/>
      <c r="AA30" s="44"/>
      <c r="AB30" s="44"/>
      <c r="AC30" s="44"/>
      <c r="AD30" s="44"/>
      <c r="AE30" s="44"/>
      <c r="AF30" s="44"/>
      <c r="AH30" s="46">
        <f t="shared" ref="AH30:BF30" si="24">$F30*H30</f>
        <v>0</v>
      </c>
      <c r="AI30" s="46">
        <f t="shared" si="24"/>
        <v>0</v>
      </c>
      <c r="AJ30" s="46">
        <f t="shared" si="24"/>
        <v>0</v>
      </c>
      <c r="AK30" s="46">
        <f t="shared" si="24"/>
        <v>0</v>
      </c>
      <c r="AL30" s="46">
        <f t="shared" si="24"/>
        <v>0</v>
      </c>
      <c r="AM30" s="46">
        <f t="shared" si="24"/>
        <v>0</v>
      </c>
      <c r="AN30" s="46">
        <f t="shared" si="24"/>
        <v>0</v>
      </c>
      <c r="AO30" s="46">
        <f t="shared" si="24"/>
        <v>0</v>
      </c>
      <c r="AP30" s="46">
        <f t="shared" si="24"/>
        <v>0</v>
      </c>
      <c r="AQ30" s="46">
        <f t="shared" si="24"/>
        <v>0</v>
      </c>
      <c r="AR30" s="46">
        <f t="shared" si="24"/>
        <v>0</v>
      </c>
      <c r="AS30" s="46">
        <f t="shared" si="24"/>
        <v>0</v>
      </c>
      <c r="AT30" s="46">
        <f t="shared" si="24"/>
        <v>0</v>
      </c>
      <c r="AU30" s="46">
        <f t="shared" si="24"/>
        <v>0</v>
      </c>
      <c r="AV30" s="46">
        <f t="shared" si="24"/>
        <v>0</v>
      </c>
      <c r="AW30" s="46" t="e">
        <f t="shared" si="24"/>
        <v>#REF!</v>
      </c>
      <c r="AX30" s="46">
        <f t="shared" si="24"/>
        <v>0</v>
      </c>
      <c r="AY30" s="46">
        <f t="shared" si="24"/>
        <v>0</v>
      </c>
      <c r="AZ30" s="46">
        <f t="shared" si="24"/>
        <v>0</v>
      </c>
      <c r="BA30" s="46">
        <f t="shared" si="24"/>
        <v>0</v>
      </c>
      <c r="BB30" s="46">
        <f t="shared" si="24"/>
        <v>0</v>
      </c>
      <c r="BC30" s="46">
        <f t="shared" si="24"/>
        <v>0</v>
      </c>
      <c r="BD30" s="46">
        <f t="shared" si="24"/>
        <v>0</v>
      </c>
      <c r="BE30" s="46">
        <f t="shared" si="24"/>
        <v>0</v>
      </c>
      <c r="BF30" s="46">
        <f t="shared" si="24"/>
        <v>0</v>
      </c>
    </row>
    <row r="31" spans="1:58" ht="14.25" customHeight="1">
      <c r="A31" s="43">
        <v>25</v>
      </c>
      <c r="B31" s="44" t="s">
        <v>194</v>
      </c>
      <c r="C31" s="44" t="s">
        <v>127</v>
      </c>
      <c r="D31" s="44"/>
      <c r="E31" s="45" t="e">
        <f t="shared" si="0"/>
        <v>#REF!</v>
      </c>
      <c r="F31" s="48"/>
      <c r="G31" s="46"/>
      <c r="H31" s="47"/>
      <c r="I31" s="44"/>
      <c r="J31" s="44"/>
      <c r="K31" s="44"/>
      <c r="L31" s="44"/>
      <c r="M31" s="44"/>
      <c r="N31" s="44"/>
      <c r="O31" s="44"/>
      <c r="P31" s="44"/>
      <c r="Q31" s="44"/>
      <c r="R31" s="44"/>
      <c r="S31" s="44"/>
      <c r="T31" s="44"/>
      <c r="U31" s="44"/>
      <c r="V31" s="44"/>
      <c r="W31" s="44"/>
      <c r="X31" s="44" t="e">
        <f>X4*#REF!</f>
        <v>#REF!</v>
      </c>
      <c r="Y31" s="44"/>
      <c r="Z31" s="44"/>
      <c r="AA31" s="44"/>
      <c r="AB31" s="44"/>
      <c r="AC31" s="44"/>
      <c r="AD31" s="44"/>
      <c r="AE31" s="44"/>
      <c r="AF31" s="44"/>
      <c r="AH31" s="46">
        <f t="shared" ref="AH31:BF31" si="25">$F31*H31</f>
        <v>0</v>
      </c>
      <c r="AI31" s="46">
        <f t="shared" si="25"/>
        <v>0</v>
      </c>
      <c r="AJ31" s="46">
        <f t="shared" si="25"/>
        <v>0</v>
      </c>
      <c r="AK31" s="46">
        <f t="shared" si="25"/>
        <v>0</v>
      </c>
      <c r="AL31" s="46">
        <f t="shared" si="25"/>
        <v>0</v>
      </c>
      <c r="AM31" s="46">
        <f t="shared" si="25"/>
        <v>0</v>
      </c>
      <c r="AN31" s="46">
        <f t="shared" si="25"/>
        <v>0</v>
      </c>
      <c r="AO31" s="46">
        <f t="shared" si="25"/>
        <v>0</v>
      </c>
      <c r="AP31" s="46">
        <f t="shared" si="25"/>
        <v>0</v>
      </c>
      <c r="AQ31" s="46">
        <f t="shared" si="25"/>
        <v>0</v>
      </c>
      <c r="AR31" s="46">
        <f t="shared" si="25"/>
        <v>0</v>
      </c>
      <c r="AS31" s="46">
        <f t="shared" si="25"/>
        <v>0</v>
      </c>
      <c r="AT31" s="46">
        <f t="shared" si="25"/>
        <v>0</v>
      </c>
      <c r="AU31" s="46">
        <f t="shared" si="25"/>
        <v>0</v>
      </c>
      <c r="AV31" s="46">
        <f t="shared" si="25"/>
        <v>0</v>
      </c>
      <c r="AW31" s="46">
        <f t="shared" si="25"/>
        <v>0</v>
      </c>
      <c r="AX31" s="46" t="e">
        <f t="shared" si="25"/>
        <v>#REF!</v>
      </c>
      <c r="AY31" s="46">
        <f t="shared" si="25"/>
        <v>0</v>
      </c>
      <c r="AZ31" s="46">
        <f t="shared" si="25"/>
        <v>0</v>
      </c>
      <c r="BA31" s="46">
        <f t="shared" si="25"/>
        <v>0</v>
      </c>
      <c r="BB31" s="46">
        <f t="shared" si="25"/>
        <v>0</v>
      </c>
      <c r="BC31" s="46">
        <f t="shared" si="25"/>
        <v>0</v>
      </c>
      <c r="BD31" s="46">
        <f t="shared" si="25"/>
        <v>0</v>
      </c>
      <c r="BE31" s="46">
        <f t="shared" si="25"/>
        <v>0</v>
      </c>
      <c r="BF31" s="46">
        <f t="shared" si="25"/>
        <v>0</v>
      </c>
    </row>
    <row r="32" spans="1:58" ht="14.25" hidden="1" customHeight="1">
      <c r="A32" s="43">
        <v>26</v>
      </c>
      <c r="B32" s="44" t="s">
        <v>195</v>
      </c>
      <c r="C32" s="44" t="s">
        <v>127</v>
      </c>
      <c r="D32" s="44"/>
      <c r="E32" s="45" t="e">
        <f t="shared" si="0"/>
        <v>#REF!</v>
      </c>
      <c r="F32" s="48"/>
      <c r="G32" s="46"/>
      <c r="H32" s="47"/>
      <c r="I32" s="44"/>
      <c r="J32" s="44"/>
      <c r="K32" s="44"/>
      <c r="L32" s="44"/>
      <c r="M32" s="44"/>
      <c r="N32" s="44"/>
      <c r="O32" s="44"/>
      <c r="P32" s="44"/>
      <c r="Q32" s="44"/>
      <c r="R32" s="44"/>
      <c r="S32" s="44"/>
      <c r="T32" s="44"/>
      <c r="U32" s="44"/>
      <c r="V32" s="44"/>
      <c r="W32" s="44"/>
      <c r="X32" s="44"/>
      <c r="Y32" s="44" t="e">
        <f>Y4*#REF!</f>
        <v>#REF!</v>
      </c>
      <c r="Z32" s="44"/>
      <c r="AA32" s="44"/>
      <c r="AB32" s="44"/>
      <c r="AC32" s="44"/>
      <c r="AD32" s="44"/>
      <c r="AE32" s="44"/>
      <c r="AF32" s="44"/>
      <c r="AH32" s="46">
        <f t="shared" ref="AH32:BF32" si="26">$F32*H32</f>
        <v>0</v>
      </c>
      <c r="AI32" s="46">
        <f t="shared" si="26"/>
        <v>0</v>
      </c>
      <c r="AJ32" s="46">
        <f t="shared" si="26"/>
        <v>0</v>
      </c>
      <c r="AK32" s="46">
        <f t="shared" si="26"/>
        <v>0</v>
      </c>
      <c r="AL32" s="46">
        <f t="shared" si="26"/>
        <v>0</v>
      </c>
      <c r="AM32" s="46">
        <f t="shared" si="26"/>
        <v>0</v>
      </c>
      <c r="AN32" s="46">
        <f t="shared" si="26"/>
        <v>0</v>
      </c>
      <c r="AO32" s="46">
        <f t="shared" si="26"/>
        <v>0</v>
      </c>
      <c r="AP32" s="46">
        <f t="shared" si="26"/>
        <v>0</v>
      </c>
      <c r="AQ32" s="46">
        <f t="shared" si="26"/>
        <v>0</v>
      </c>
      <c r="AR32" s="46">
        <f t="shared" si="26"/>
        <v>0</v>
      </c>
      <c r="AS32" s="46">
        <f t="shared" si="26"/>
        <v>0</v>
      </c>
      <c r="AT32" s="46">
        <f t="shared" si="26"/>
        <v>0</v>
      </c>
      <c r="AU32" s="46">
        <f t="shared" si="26"/>
        <v>0</v>
      </c>
      <c r="AV32" s="46">
        <f t="shared" si="26"/>
        <v>0</v>
      </c>
      <c r="AW32" s="46">
        <f t="shared" si="26"/>
        <v>0</v>
      </c>
      <c r="AX32" s="46">
        <f t="shared" si="26"/>
        <v>0</v>
      </c>
      <c r="AY32" s="46" t="e">
        <f t="shared" si="26"/>
        <v>#REF!</v>
      </c>
      <c r="AZ32" s="46">
        <f t="shared" si="26"/>
        <v>0</v>
      </c>
      <c r="BA32" s="46">
        <f t="shared" si="26"/>
        <v>0</v>
      </c>
      <c r="BB32" s="46">
        <f t="shared" si="26"/>
        <v>0</v>
      </c>
      <c r="BC32" s="46">
        <f t="shared" si="26"/>
        <v>0</v>
      </c>
      <c r="BD32" s="46">
        <f t="shared" si="26"/>
        <v>0</v>
      </c>
      <c r="BE32" s="46">
        <f t="shared" si="26"/>
        <v>0</v>
      </c>
      <c r="BF32" s="46">
        <f t="shared" si="26"/>
        <v>0</v>
      </c>
    </row>
    <row r="33" spans="1:58" ht="14.25" hidden="1" customHeight="1">
      <c r="A33" s="43">
        <v>27</v>
      </c>
      <c r="B33" s="44" t="s">
        <v>196</v>
      </c>
      <c r="C33" s="44" t="s">
        <v>127</v>
      </c>
      <c r="D33" s="44"/>
      <c r="E33" s="45" t="e">
        <f t="shared" si="0"/>
        <v>#REF!</v>
      </c>
      <c r="F33" s="48"/>
      <c r="G33" s="46"/>
      <c r="H33" s="47"/>
      <c r="I33" s="44"/>
      <c r="J33" s="44"/>
      <c r="K33" s="44"/>
      <c r="L33" s="44"/>
      <c r="M33" s="44"/>
      <c r="N33" s="44"/>
      <c r="O33" s="44"/>
      <c r="P33" s="44"/>
      <c r="Q33" s="44"/>
      <c r="R33" s="44"/>
      <c r="S33" s="44"/>
      <c r="T33" s="44"/>
      <c r="U33" s="44"/>
      <c r="V33" s="44"/>
      <c r="W33" s="44"/>
      <c r="X33" s="44"/>
      <c r="Y33" s="44"/>
      <c r="Z33" s="44" t="e">
        <f>Z4*#REF!</f>
        <v>#REF!</v>
      </c>
      <c r="AA33" s="44"/>
      <c r="AB33" s="44"/>
      <c r="AC33" s="44"/>
      <c r="AD33" s="44"/>
      <c r="AE33" s="44"/>
      <c r="AF33" s="44"/>
      <c r="AH33" s="46">
        <f t="shared" ref="AH33:BF33" si="27">$F33*H33</f>
        <v>0</v>
      </c>
      <c r="AI33" s="46">
        <f t="shared" si="27"/>
        <v>0</v>
      </c>
      <c r="AJ33" s="46">
        <f t="shared" si="27"/>
        <v>0</v>
      </c>
      <c r="AK33" s="46">
        <f t="shared" si="27"/>
        <v>0</v>
      </c>
      <c r="AL33" s="46">
        <f t="shared" si="27"/>
        <v>0</v>
      </c>
      <c r="AM33" s="46">
        <f t="shared" si="27"/>
        <v>0</v>
      </c>
      <c r="AN33" s="46">
        <f t="shared" si="27"/>
        <v>0</v>
      </c>
      <c r="AO33" s="46">
        <f t="shared" si="27"/>
        <v>0</v>
      </c>
      <c r="AP33" s="46">
        <f t="shared" si="27"/>
        <v>0</v>
      </c>
      <c r="AQ33" s="46">
        <f t="shared" si="27"/>
        <v>0</v>
      </c>
      <c r="AR33" s="46">
        <f t="shared" si="27"/>
        <v>0</v>
      </c>
      <c r="AS33" s="46">
        <f t="shared" si="27"/>
        <v>0</v>
      </c>
      <c r="AT33" s="46">
        <f t="shared" si="27"/>
        <v>0</v>
      </c>
      <c r="AU33" s="46">
        <f t="shared" si="27"/>
        <v>0</v>
      </c>
      <c r="AV33" s="46">
        <f t="shared" si="27"/>
        <v>0</v>
      </c>
      <c r="AW33" s="46">
        <f t="shared" si="27"/>
        <v>0</v>
      </c>
      <c r="AX33" s="46">
        <f t="shared" si="27"/>
        <v>0</v>
      </c>
      <c r="AY33" s="46">
        <f t="shared" si="27"/>
        <v>0</v>
      </c>
      <c r="AZ33" s="46" t="e">
        <f t="shared" si="27"/>
        <v>#REF!</v>
      </c>
      <c r="BA33" s="46">
        <f t="shared" si="27"/>
        <v>0</v>
      </c>
      <c r="BB33" s="46">
        <f t="shared" si="27"/>
        <v>0</v>
      </c>
      <c r="BC33" s="46">
        <f t="shared" si="27"/>
        <v>0</v>
      </c>
      <c r="BD33" s="46">
        <f t="shared" si="27"/>
        <v>0</v>
      </c>
      <c r="BE33" s="46">
        <f t="shared" si="27"/>
        <v>0</v>
      </c>
      <c r="BF33" s="46">
        <f t="shared" si="27"/>
        <v>0</v>
      </c>
    </row>
    <row r="34" spans="1:58" ht="14.25" hidden="1" customHeight="1">
      <c r="A34" s="43">
        <v>28</v>
      </c>
      <c r="B34" s="44" t="s">
        <v>197</v>
      </c>
      <c r="C34" s="44" t="s">
        <v>127</v>
      </c>
      <c r="D34" s="44"/>
      <c r="E34" s="45" t="e">
        <f t="shared" si="0"/>
        <v>#REF!</v>
      </c>
      <c r="F34" s="48"/>
      <c r="G34" s="46"/>
      <c r="H34" s="47"/>
      <c r="I34" s="44"/>
      <c r="J34" s="44"/>
      <c r="K34" s="44"/>
      <c r="L34" s="44"/>
      <c r="M34" s="44"/>
      <c r="N34" s="44"/>
      <c r="O34" s="44"/>
      <c r="P34" s="44"/>
      <c r="Q34" s="44"/>
      <c r="R34" s="44"/>
      <c r="S34" s="44"/>
      <c r="T34" s="44"/>
      <c r="U34" s="44"/>
      <c r="V34" s="44"/>
      <c r="W34" s="44"/>
      <c r="X34" s="44"/>
      <c r="Y34" s="44"/>
      <c r="Z34" s="44"/>
      <c r="AA34" s="44" t="e">
        <f>AA4*#REF!</f>
        <v>#REF!</v>
      </c>
      <c r="AB34" s="44"/>
      <c r="AC34" s="44"/>
      <c r="AD34" s="44"/>
      <c r="AE34" s="44"/>
      <c r="AF34" s="44"/>
      <c r="AH34" s="46">
        <f t="shared" ref="AH34:BF34" si="28">$F34*H34</f>
        <v>0</v>
      </c>
      <c r="AI34" s="46">
        <f t="shared" si="28"/>
        <v>0</v>
      </c>
      <c r="AJ34" s="46">
        <f t="shared" si="28"/>
        <v>0</v>
      </c>
      <c r="AK34" s="46">
        <f t="shared" si="28"/>
        <v>0</v>
      </c>
      <c r="AL34" s="46">
        <f t="shared" si="28"/>
        <v>0</v>
      </c>
      <c r="AM34" s="46">
        <f t="shared" si="28"/>
        <v>0</v>
      </c>
      <c r="AN34" s="46">
        <f t="shared" si="28"/>
        <v>0</v>
      </c>
      <c r="AO34" s="46">
        <f t="shared" si="28"/>
        <v>0</v>
      </c>
      <c r="AP34" s="46">
        <f t="shared" si="28"/>
        <v>0</v>
      </c>
      <c r="AQ34" s="46">
        <f t="shared" si="28"/>
        <v>0</v>
      </c>
      <c r="AR34" s="46">
        <f t="shared" si="28"/>
        <v>0</v>
      </c>
      <c r="AS34" s="46">
        <f t="shared" si="28"/>
        <v>0</v>
      </c>
      <c r="AT34" s="46">
        <f t="shared" si="28"/>
        <v>0</v>
      </c>
      <c r="AU34" s="46">
        <f t="shared" si="28"/>
        <v>0</v>
      </c>
      <c r="AV34" s="46">
        <f t="shared" si="28"/>
        <v>0</v>
      </c>
      <c r="AW34" s="46">
        <f t="shared" si="28"/>
        <v>0</v>
      </c>
      <c r="AX34" s="46">
        <f t="shared" si="28"/>
        <v>0</v>
      </c>
      <c r="AY34" s="46">
        <f t="shared" si="28"/>
        <v>0</v>
      </c>
      <c r="AZ34" s="46">
        <f t="shared" si="28"/>
        <v>0</v>
      </c>
      <c r="BA34" s="46" t="e">
        <f t="shared" si="28"/>
        <v>#REF!</v>
      </c>
      <c r="BB34" s="46">
        <f t="shared" si="28"/>
        <v>0</v>
      </c>
      <c r="BC34" s="46">
        <f t="shared" si="28"/>
        <v>0</v>
      </c>
      <c r="BD34" s="46">
        <f t="shared" si="28"/>
        <v>0</v>
      </c>
      <c r="BE34" s="46">
        <f t="shared" si="28"/>
        <v>0</v>
      </c>
      <c r="BF34" s="46">
        <f t="shared" si="28"/>
        <v>0</v>
      </c>
    </row>
    <row r="35" spans="1:58" ht="14.25" hidden="1" customHeight="1">
      <c r="A35" s="43">
        <v>29</v>
      </c>
      <c r="B35" s="44" t="s">
        <v>198</v>
      </c>
      <c r="C35" s="44" t="s">
        <v>127</v>
      </c>
      <c r="D35" s="44"/>
      <c r="E35" s="45" t="e">
        <f t="shared" si="0"/>
        <v>#REF!</v>
      </c>
      <c r="F35" s="48"/>
      <c r="G35" s="46"/>
      <c r="H35" s="47"/>
      <c r="I35" s="44"/>
      <c r="J35" s="44"/>
      <c r="K35" s="44"/>
      <c r="L35" s="44"/>
      <c r="M35" s="44"/>
      <c r="N35" s="44"/>
      <c r="O35" s="44"/>
      <c r="P35" s="44"/>
      <c r="Q35" s="44"/>
      <c r="R35" s="44"/>
      <c r="S35" s="44"/>
      <c r="T35" s="44"/>
      <c r="U35" s="44"/>
      <c r="V35" s="44"/>
      <c r="W35" s="44"/>
      <c r="X35" s="44"/>
      <c r="Y35" s="44"/>
      <c r="Z35" s="44"/>
      <c r="AA35" s="44"/>
      <c r="AB35" s="44" t="e">
        <f>'COTIZACIÓN MATERIALES'!AB4*#REF!</f>
        <v>#REF!</v>
      </c>
      <c r="AC35" s="44"/>
      <c r="AD35" s="44"/>
      <c r="AE35" s="44"/>
      <c r="AF35" s="44"/>
      <c r="AH35" s="46">
        <f t="shared" ref="AH35:BF35" si="29">$F35*H35</f>
        <v>0</v>
      </c>
      <c r="AI35" s="46">
        <f t="shared" si="29"/>
        <v>0</v>
      </c>
      <c r="AJ35" s="46">
        <f t="shared" si="29"/>
        <v>0</v>
      </c>
      <c r="AK35" s="46">
        <f t="shared" si="29"/>
        <v>0</v>
      </c>
      <c r="AL35" s="46">
        <f t="shared" si="29"/>
        <v>0</v>
      </c>
      <c r="AM35" s="46">
        <f t="shared" si="29"/>
        <v>0</v>
      </c>
      <c r="AN35" s="46">
        <f t="shared" si="29"/>
        <v>0</v>
      </c>
      <c r="AO35" s="46">
        <f t="shared" si="29"/>
        <v>0</v>
      </c>
      <c r="AP35" s="46">
        <f t="shared" si="29"/>
        <v>0</v>
      </c>
      <c r="AQ35" s="46">
        <f t="shared" si="29"/>
        <v>0</v>
      </c>
      <c r="AR35" s="46">
        <f t="shared" si="29"/>
        <v>0</v>
      </c>
      <c r="AS35" s="46">
        <f t="shared" si="29"/>
        <v>0</v>
      </c>
      <c r="AT35" s="46">
        <f t="shared" si="29"/>
        <v>0</v>
      </c>
      <c r="AU35" s="46">
        <f t="shared" si="29"/>
        <v>0</v>
      </c>
      <c r="AV35" s="46">
        <f t="shared" si="29"/>
        <v>0</v>
      </c>
      <c r="AW35" s="46">
        <f t="shared" si="29"/>
        <v>0</v>
      </c>
      <c r="AX35" s="46">
        <f t="shared" si="29"/>
        <v>0</v>
      </c>
      <c r="AY35" s="46">
        <f t="shared" si="29"/>
        <v>0</v>
      </c>
      <c r="AZ35" s="46">
        <f t="shared" si="29"/>
        <v>0</v>
      </c>
      <c r="BA35" s="46">
        <f t="shared" si="29"/>
        <v>0</v>
      </c>
      <c r="BB35" s="46" t="e">
        <f t="shared" si="29"/>
        <v>#REF!</v>
      </c>
      <c r="BC35" s="46">
        <f t="shared" si="29"/>
        <v>0</v>
      </c>
      <c r="BD35" s="46">
        <f t="shared" si="29"/>
        <v>0</v>
      </c>
      <c r="BE35" s="46">
        <f t="shared" si="29"/>
        <v>0</v>
      </c>
      <c r="BF35" s="46">
        <f t="shared" si="29"/>
        <v>0</v>
      </c>
    </row>
    <row r="36" spans="1:58" ht="14.25" hidden="1" customHeight="1">
      <c r="A36" s="43">
        <v>30</v>
      </c>
      <c r="B36" s="44" t="s">
        <v>199</v>
      </c>
      <c r="C36" s="44" t="s">
        <v>127</v>
      </c>
      <c r="D36" s="44"/>
      <c r="E36" s="45" t="e">
        <f t="shared" si="0"/>
        <v>#REF!</v>
      </c>
      <c r="F36" s="48"/>
      <c r="G36" s="46"/>
      <c r="H36" s="47"/>
      <c r="I36" s="44"/>
      <c r="J36" s="44"/>
      <c r="K36" s="44"/>
      <c r="L36" s="44"/>
      <c r="M36" s="44"/>
      <c r="N36" s="44"/>
      <c r="O36" s="44"/>
      <c r="P36" s="44"/>
      <c r="Q36" s="44"/>
      <c r="R36" s="44"/>
      <c r="S36" s="44"/>
      <c r="T36" s="44"/>
      <c r="U36" s="44"/>
      <c r="V36" s="44"/>
      <c r="W36" s="44"/>
      <c r="X36" s="44"/>
      <c r="Y36" s="44"/>
      <c r="Z36" s="44"/>
      <c r="AA36" s="44"/>
      <c r="AB36" s="44"/>
      <c r="AC36" s="44" t="e">
        <f>AC4*#REF!</f>
        <v>#REF!</v>
      </c>
      <c r="AD36" s="44"/>
      <c r="AE36" s="44"/>
      <c r="AF36" s="44"/>
      <c r="AH36" s="46">
        <f t="shared" ref="AH36:BF36" si="30">$F36*H36</f>
        <v>0</v>
      </c>
      <c r="AI36" s="46">
        <f t="shared" si="30"/>
        <v>0</v>
      </c>
      <c r="AJ36" s="46">
        <f t="shared" si="30"/>
        <v>0</v>
      </c>
      <c r="AK36" s="46">
        <f t="shared" si="30"/>
        <v>0</v>
      </c>
      <c r="AL36" s="46">
        <f t="shared" si="30"/>
        <v>0</v>
      </c>
      <c r="AM36" s="46">
        <f t="shared" si="30"/>
        <v>0</v>
      </c>
      <c r="AN36" s="46">
        <f t="shared" si="30"/>
        <v>0</v>
      </c>
      <c r="AO36" s="46">
        <f t="shared" si="30"/>
        <v>0</v>
      </c>
      <c r="AP36" s="46">
        <f t="shared" si="30"/>
        <v>0</v>
      </c>
      <c r="AQ36" s="46">
        <f t="shared" si="30"/>
        <v>0</v>
      </c>
      <c r="AR36" s="46">
        <f t="shared" si="30"/>
        <v>0</v>
      </c>
      <c r="AS36" s="46">
        <f t="shared" si="30"/>
        <v>0</v>
      </c>
      <c r="AT36" s="46">
        <f t="shared" si="30"/>
        <v>0</v>
      </c>
      <c r="AU36" s="46">
        <f t="shared" si="30"/>
        <v>0</v>
      </c>
      <c r="AV36" s="46">
        <f t="shared" si="30"/>
        <v>0</v>
      </c>
      <c r="AW36" s="46">
        <f t="shared" si="30"/>
        <v>0</v>
      </c>
      <c r="AX36" s="46">
        <f t="shared" si="30"/>
        <v>0</v>
      </c>
      <c r="AY36" s="46">
        <f t="shared" si="30"/>
        <v>0</v>
      </c>
      <c r="AZ36" s="46">
        <f t="shared" si="30"/>
        <v>0</v>
      </c>
      <c r="BA36" s="46">
        <f t="shared" si="30"/>
        <v>0</v>
      </c>
      <c r="BB36" s="46">
        <f t="shared" si="30"/>
        <v>0</v>
      </c>
      <c r="BC36" s="46" t="e">
        <f t="shared" si="30"/>
        <v>#REF!</v>
      </c>
      <c r="BD36" s="46">
        <f t="shared" si="30"/>
        <v>0</v>
      </c>
      <c r="BE36" s="46">
        <f t="shared" si="30"/>
        <v>0</v>
      </c>
      <c r="BF36" s="46">
        <f t="shared" si="30"/>
        <v>0</v>
      </c>
    </row>
    <row r="37" spans="1:58" ht="14.25" hidden="1" customHeight="1">
      <c r="A37" s="43">
        <v>31</v>
      </c>
      <c r="B37" s="44" t="s">
        <v>200</v>
      </c>
      <c r="C37" s="44" t="s">
        <v>127</v>
      </c>
      <c r="D37" s="44"/>
      <c r="E37" s="45" t="e">
        <f t="shared" si="0"/>
        <v>#REF!</v>
      </c>
      <c r="F37" s="48"/>
      <c r="G37" s="46"/>
      <c r="H37" s="47"/>
      <c r="I37" s="44"/>
      <c r="J37" s="44"/>
      <c r="K37" s="44"/>
      <c r="L37" s="44"/>
      <c r="M37" s="44"/>
      <c r="N37" s="44"/>
      <c r="O37" s="44"/>
      <c r="P37" s="44"/>
      <c r="Q37" s="44"/>
      <c r="R37" s="44"/>
      <c r="S37" s="44"/>
      <c r="T37" s="44"/>
      <c r="U37" s="44"/>
      <c r="V37" s="44"/>
      <c r="W37" s="44"/>
      <c r="X37" s="44"/>
      <c r="Y37" s="44"/>
      <c r="Z37" s="44"/>
      <c r="AA37" s="44"/>
      <c r="AB37" s="44"/>
      <c r="AC37" s="44"/>
      <c r="AD37" s="44" t="e">
        <f>AD4*#REF!</f>
        <v>#REF!</v>
      </c>
      <c r="AE37" s="44"/>
      <c r="AF37" s="44"/>
      <c r="AH37" s="46">
        <f t="shared" ref="AH37:BF37" si="31">$F37*H37</f>
        <v>0</v>
      </c>
      <c r="AI37" s="46">
        <f t="shared" si="31"/>
        <v>0</v>
      </c>
      <c r="AJ37" s="46">
        <f t="shared" si="31"/>
        <v>0</v>
      </c>
      <c r="AK37" s="46">
        <f t="shared" si="31"/>
        <v>0</v>
      </c>
      <c r="AL37" s="46">
        <f t="shared" si="31"/>
        <v>0</v>
      </c>
      <c r="AM37" s="46">
        <f t="shared" si="31"/>
        <v>0</v>
      </c>
      <c r="AN37" s="46">
        <f t="shared" si="31"/>
        <v>0</v>
      </c>
      <c r="AO37" s="46">
        <f t="shared" si="31"/>
        <v>0</v>
      </c>
      <c r="AP37" s="46">
        <f t="shared" si="31"/>
        <v>0</v>
      </c>
      <c r="AQ37" s="46">
        <f t="shared" si="31"/>
        <v>0</v>
      </c>
      <c r="AR37" s="46">
        <f t="shared" si="31"/>
        <v>0</v>
      </c>
      <c r="AS37" s="46">
        <f t="shared" si="31"/>
        <v>0</v>
      </c>
      <c r="AT37" s="46">
        <f t="shared" si="31"/>
        <v>0</v>
      </c>
      <c r="AU37" s="46">
        <f t="shared" si="31"/>
        <v>0</v>
      </c>
      <c r="AV37" s="46">
        <f t="shared" si="31"/>
        <v>0</v>
      </c>
      <c r="AW37" s="46">
        <f t="shared" si="31"/>
        <v>0</v>
      </c>
      <c r="AX37" s="46">
        <f t="shared" si="31"/>
        <v>0</v>
      </c>
      <c r="AY37" s="46">
        <f t="shared" si="31"/>
        <v>0</v>
      </c>
      <c r="AZ37" s="46">
        <f t="shared" si="31"/>
        <v>0</v>
      </c>
      <c r="BA37" s="46">
        <f t="shared" si="31"/>
        <v>0</v>
      </c>
      <c r="BB37" s="46">
        <f t="shared" si="31"/>
        <v>0</v>
      </c>
      <c r="BC37" s="46">
        <f t="shared" si="31"/>
        <v>0</v>
      </c>
      <c r="BD37" s="46" t="e">
        <f t="shared" si="31"/>
        <v>#REF!</v>
      </c>
      <c r="BE37" s="46">
        <f t="shared" si="31"/>
        <v>0</v>
      </c>
      <c r="BF37" s="46">
        <f t="shared" si="31"/>
        <v>0</v>
      </c>
    </row>
    <row r="38" spans="1:58" ht="14.25" hidden="1" customHeight="1">
      <c r="A38" s="43">
        <v>32</v>
      </c>
      <c r="B38" s="44" t="s">
        <v>201</v>
      </c>
      <c r="C38" s="44" t="s">
        <v>127</v>
      </c>
      <c r="D38" s="44"/>
      <c r="E38" s="45" t="e">
        <f t="shared" si="0"/>
        <v>#REF!</v>
      </c>
      <c r="F38" s="48"/>
      <c r="G38" s="46"/>
      <c r="H38" s="47"/>
      <c r="I38" s="44"/>
      <c r="J38" s="44"/>
      <c r="K38" s="44"/>
      <c r="L38" s="44"/>
      <c r="M38" s="44"/>
      <c r="N38" s="44"/>
      <c r="O38" s="44"/>
      <c r="P38" s="44"/>
      <c r="Q38" s="44"/>
      <c r="R38" s="44"/>
      <c r="S38" s="44"/>
      <c r="T38" s="44"/>
      <c r="U38" s="44"/>
      <c r="V38" s="44"/>
      <c r="W38" s="44"/>
      <c r="X38" s="44"/>
      <c r="Y38" s="44"/>
      <c r="Z38" s="44"/>
      <c r="AA38" s="44"/>
      <c r="AB38" s="44"/>
      <c r="AC38" s="44"/>
      <c r="AD38" s="44"/>
      <c r="AE38" s="44" t="e">
        <f>AE4*#REF!</f>
        <v>#REF!</v>
      </c>
      <c r="AF38" s="44"/>
      <c r="AH38" s="46">
        <f t="shared" ref="AH38:BF38" si="32">$F38*H38</f>
        <v>0</v>
      </c>
      <c r="AI38" s="46">
        <f t="shared" si="32"/>
        <v>0</v>
      </c>
      <c r="AJ38" s="46">
        <f t="shared" si="32"/>
        <v>0</v>
      </c>
      <c r="AK38" s="46">
        <f t="shared" si="32"/>
        <v>0</v>
      </c>
      <c r="AL38" s="46">
        <f t="shared" si="32"/>
        <v>0</v>
      </c>
      <c r="AM38" s="46">
        <f t="shared" si="32"/>
        <v>0</v>
      </c>
      <c r="AN38" s="46">
        <f t="shared" si="32"/>
        <v>0</v>
      </c>
      <c r="AO38" s="46">
        <f t="shared" si="32"/>
        <v>0</v>
      </c>
      <c r="AP38" s="46">
        <f t="shared" si="32"/>
        <v>0</v>
      </c>
      <c r="AQ38" s="46">
        <f t="shared" si="32"/>
        <v>0</v>
      </c>
      <c r="AR38" s="46">
        <f t="shared" si="32"/>
        <v>0</v>
      </c>
      <c r="AS38" s="46">
        <f t="shared" si="32"/>
        <v>0</v>
      </c>
      <c r="AT38" s="46">
        <f t="shared" si="32"/>
        <v>0</v>
      </c>
      <c r="AU38" s="46">
        <f t="shared" si="32"/>
        <v>0</v>
      </c>
      <c r="AV38" s="46">
        <f t="shared" si="32"/>
        <v>0</v>
      </c>
      <c r="AW38" s="46">
        <f t="shared" si="32"/>
        <v>0</v>
      </c>
      <c r="AX38" s="46">
        <f t="shared" si="32"/>
        <v>0</v>
      </c>
      <c r="AY38" s="46">
        <f t="shared" si="32"/>
        <v>0</v>
      </c>
      <c r="AZ38" s="46">
        <f t="shared" si="32"/>
        <v>0</v>
      </c>
      <c r="BA38" s="46">
        <f t="shared" si="32"/>
        <v>0</v>
      </c>
      <c r="BB38" s="46">
        <f t="shared" si="32"/>
        <v>0</v>
      </c>
      <c r="BC38" s="46">
        <f t="shared" si="32"/>
        <v>0</v>
      </c>
      <c r="BD38" s="46">
        <f t="shared" si="32"/>
        <v>0</v>
      </c>
      <c r="BE38" s="46" t="e">
        <f t="shared" si="32"/>
        <v>#REF!</v>
      </c>
      <c r="BF38" s="46">
        <f t="shared" si="32"/>
        <v>0</v>
      </c>
    </row>
    <row r="39" spans="1:58" ht="14.25" customHeight="1">
      <c r="A39" s="43">
        <v>33</v>
      </c>
      <c r="B39" s="44" t="s">
        <v>202</v>
      </c>
      <c r="C39" s="44" t="s">
        <v>127</v>
      </c>
      <c r="D39" s="44"/>
      <c r="E39" s="45" t="e">
        <f t="shared" si="0"/>
        <v>#REF!</v>
      </c>
      <c r="F39" s="48"/>
      <c r="G39" s="46"/>
      <c r="Y39" s="50" t="e">
        <f>Y4*#REF!</f>
        <v>#REF!</v>
      </c>
      <c r="AD39" s="50" t="e">
        <f>AD4*#REF!</f>
        <v>#REF!</v>
      </c>
      <c r="AF39" s="44"/>
      <c r="AH39" s="46">
        <f t="shared" ref="AH39:BD39" si="33">$F39*H39</f>
        <v>0</v>
      </c>
      <c r="AI39" s="46">
        <f t="shared" si="33"/>
        <v>0</v>
      </c>
      <c r="AJ39" s="46">
        <f t="shared" si="33"/>
        <v>0</v>
      </c>
      <c r="AK39" s="46">
        <f t="shared" si="33"/>
        <v>0</v>
      </c>
      <c r="AL39" s="46">
        <f t="shared" si="33"/>
        <v>0</v>
      </c>
      <c r="AM39" s="46">
        <f t="shared" si="33"/>
        <v>0</v>
      </c>
      <c r="AN39" s="46">
        <f t="shared" si="33"/>
        <v>0</v>
      </c>
      <c r="AO39" s="46">
        <f t="shared" si="33"/>
        <v>0</v>
      </c>
      <c r="AP39" s="46">
        <f t="shared" si="33"/>
        <v>0</v>
      </c>
      <c r="AQ39" s="46">
        <f t="shared" si="33"/>
        <v>0</v>
      </c>
      <c r="AR39" s="46">
        <f t="shared" si="33"/>
        <v>0</v>
      </c>
      <c r="AS39" s="46">
        <f t="shared" si="33"/>
        <v>0</v>
      </c>
      <c r="AT39" s="46">
        <f t="shared" si="33"/>
        <v>0</v>
      </c>
      <c r="AU39" s="46">
        <f t="shared" si="33"/>
        <v>0</v>
      </c>
      <c r="AV39" s="46">
        <f t="shared" si="33"/>
        <v>0</v>
      </c>
      <c r="AW39" s="46">
        <f t="shared" si="33"/>
        <v>0</v>
      </c>
      <c r="AX39" s="46">
        <f t="shared" si="33"/>
        <v>0</v>
      </c>
      <c r="AY39" s="46" t="e">
        <f t="shared" si="33"/>
        <v>#REF!</v>
      </c>
      <c r="AZ39" s="46">
        <f t="shared" si="33"/>
        <v>0</v>
      </c>
      <c r="BA39" s="46">
        <f t="shared" si="33"/>
        <v>0</v>
      </c>
      <c r="BB39" s="46">
        <f t="shared" si="33"/>
        <v>0</v>
      </c>
      <c r="BC39" s="46">
        <f t="shared" si="33"/>
        <v>0</v>
      </c>
      <c r="BD39" s="46" t="e">
        <f t="shared" si="33"/>
        <v>#REF!</v>
      </c>
      <c r="BE39" s="46"/>
      <c r="BF39" s="46">
        <f>$F39*AF39</f>
        <v>0</v>
      </c>
    </row>
    <row r="40" spans="1:58" ht="14.25" customHeight="1">
      <c r="A40" s="1609"/>
      <c r="B40" s="1610"/>
      <c r="C40" s="1610"/>
      <c r="D40" s="1610"/>
      <c r="E40" s="1610"/>
      <c r="F40" s="1611"/>
      <c r="G40" s="51"/>
      <c r="AF40" s="51" t="e">
        <f>SUM(AH40:BF40)</f>
        <v>#REF!</v>
      </c>
      <c r="AH40" s="46" t="e">
        <f t="shared" ref="AH40:BD40" si="34">SUM(AH7:AH39)</f>
        <v>#REF!</v>
      </c>
      <c r="AI40" s="46">
        <f t="shared" si="34"/>
        <v>0</v>
      </c>
      <c r="AJ40" s="46">
        <f t="shared" si="34"/>
        <v>0</v>
      </c>
      <c r="AK40" s="46">
        <f t="shared" si="34"/>
        <v>0</v>
      </c>
      <c r="AL40" s="46">
        <f t="shared" si="34"/>
        <v>0</v>
      </c>
      <c r="AM40" s="46" t="e">
        <f t="shared" si="34"/>
        <v>#REF!</v>
      </c>
      <c r="AN40" s="46" t="e">
        <f t="shared" si="34"/>
        <v>#REF!</v>
      </c>
      <c r="AO40" s="46" t="e">
        <f t="shared" si="34"/>
        <v>#REF!</v>
      </c>
      <c r="AP40" s="46" t="e">
        <f t="shared" si="34"/>
        <v>#REF!</v>
      </c>
      <c r="AQ40" s="46" t="e">
        <f t="shared" si="34"/>
        <v>#REF!</v>
      </c>
      <c r="AR40" s="46" t="e">
        <f t="shared" si="34"/>
        <v>#REF!</v>
      </c>
      <c r="AS40" s="46" t="e">
        <f t="shared" si="34"/>
        <v>#REF!</v>
      </c>
      <c r="AT40" s="46" t="e">
        <f t="shared" si="34"/>
        <v>#REF!</v>
      </c>
      <c r="AU40" s="46" t="e">
        <f t="shared" si="34"/>
        <v>#REF!</v>
      </c>
      <c r="AV40" s="46" t="e">
        <f t="shared" si="34"/>
        <v>#REF!</v>
      </c>
      <c r="AW40" s="46" t="e">
        <f t="shared" si="34"/>
        <v>#REF!</v>
      </c>
      <c r="AX40" s="46" t="e">
        <f t="shared" si="34"/>
        <v>#REF!</v>
      </c>
      <c r="AY40" s="46" t="e">
        <f t="shared" si="34"/>
        <v>#REF!</v>
      </c>
      <c r="AZ40" s="46" t="e">
        <f t="shared" si="34"/>
        <v>#REF!</v>
      </c>
      <c r="BA40" s="46" t="e">
        <f t="shared" si="34"/>
        <v>#REF!</v>
      </c>
      <c r="BB40" s="46" t="e">
        <f t="shared" si="34"/>
        <v>#REF!</v>
      </c>
      <c r="BC40" s="46" t="e">
        <f t="shared" si="34"/>
        <v>#REF!</v>
      </c>
      <c r="BD40" s="46" t="e">
        <f t="shared" si="34"/>
        <v>#REF!</v>
      </c>
      <c r="BE40" s="46" t="e">
        <f>SUM(BE7:BE38)</f>
        <v>#REF!</v>
      </c>
      <c r="BF40" s="46">
        <f>SUM(BF7:BF39)</f>
        <v>0</v>
      </c>
    </row>
    <row r="41" spans="1:58" ht="14.25" customHeight="1">
      <c r="A41" s="52"/>
    </row>
    <row r="42" spans="1:58" ht="14.25" customHeight="1"/>
    <row r="43" spans="1:58" ht="14.25" customHeight="1">
      <c r="A43" s="41" t="s">
        <v>4</v>
      </c>
      <c r="B43" s="41" t="s">
        <v>150</v>
      </c>
      <c r="C43" s="41" t="s">
        <v>151</v>
      </c>
      <c r="D43" s="41"/>
      <c r="E43" s="41" t="s">
        <v>152</v>
      </c>
      <c r="F43" s="41" t="s">
        <v>153</v>
      </c>
      <c r="G43" s="41" t="s">
        <v>154</v>
      </c>
    </row>
    <row r="44" spans="1:58" ht="14.25" customHeight="1">
      <c r="A44" s="43">
        <v>2</v>
      </c>
      <c r="B44" s="44" t="s">
        <v>167</v>
      </c>
      <c r="C44" s="44" t="s">
        <v>120</v>
      </c>
      <c r="D44" s="44"/>
      <c r="E44" s="45">
        <v>14.4512</v>
      </c>
      <c r="F44" s="46"/>
      <c r="G44" s="46"/>
    </row>
    <row r="45" spans="1:58" ht="14.25" customHeight="1">
      <c r="A45" s="43">
        <v>3</v>
      </c>
      <c r="B45" s="44" t="s">
        <v>203</v>
      </c>
      <c r="C45" s="44" t="s">
        <v>120</v>
      </c>
      <c r="D45" s="44"/>
      <c r="E45" s="45">
        <v>18.064</v>
      </c>
      <c r="F45" s="46"/>
      <c r="G45" s="46"/>
    </row>
    <row r="46" spans="1:58" ht="14.25" customHeight="1"/>
    <row r="47" spans="1:58" ht="14.25" customHeight="1"/>
    <row r="48" spans="1:58" ht="14.25" customHeight="1">
      <c r="A48" s="41" t="s">
        <v>4</v>
      </c>
      <c r="B48" s="41" t="s">
        <v>150</v>
      </c>
      <c r="C48" s="41" t="s">
        <v>151</v>
      </c>
      <c r="D48" s="41"/>
      <c r="E48" s="41" t="s">
        <v>152</v>
      </c>
      <c r="F48" s="41" t="s">
        <v>153</v>
      </c>
      <c r="G48" s="41" t="s">
        <v>154</v>
      </c>
    </row>
    <row r="49" spans="1:58" ht="14.25" customHeight="1">
      <c r="A49" s="43">
        <v>6</v>
      </c>
      <c r="B49" s="44" t="s">
        <v>172</v>
      </c>
      <c r="C49" s="44" t="s">
        <v>116</v>
      </c>
      <c r="D49" s="44"/>
      <c r="E49" s="45">
        <v>94.847999999999999</v>
      </c>
      <c r="F49" s="48"/>
      <c r="G49" s="46"/>
    </row>
    <row r="50" spans="1:58" ht="14.25" customHeight="1">
      <c r="A50" s="43">
        <v>7</v>
      </c>
      <c r="B50" s="44" t="s">
        <v>173</v>
      </c>
      <c r="C50" s="44" t="s">
        <v>116</v>
      </c>
      <c r="D50" s="44"/>
      <c r="E50" s="45">
        <v>51.436</v>
      </c>
      <c r="F50" s="48"/>
      <c r="G50" s="46"/>
    </row>
    <row r="51" spans="1:58" ht="14.25" customHeight="1">
      <c r="A51" s="43">
        <v>11</v>
      </c>
      <c r="B51" s="44" t="s">
        <v>178</v>
      </c>
      <c r="C51" s="44" t="s">
        <v>116</v>
      </c>
      <c r="D51" s="44"/>
      <c r="E51" s="45">
        <v>121.48856000000002</v>
      </c>
      <c r="F51" s="48"/>
      <c r="G51" s="46"/>
      <c r="H51" s="47"/>
      <c r="I51" s="44"/>
      <c r="J51" s="44"/>
      <c r="K51" s="44"/>
      <c r="L51" s="44"/>
      <c r="M51" s="44"/>
      <c r="N51" s="44"/>
      <c r="O51" s="44"/>
      <c r="P51" s="44">
        <f>P43*'4 - CIMENTACIÓN - CONCRETOS'!$E$56</f>
        <v>0</v>
      </c>
      <c r="Q51" s="44">
        <f>Q43*'8 - PISOS - CONCRETO-ENCHAPES'!E286</f>
        <v>0</v>
      </c>
      <c r="R51" s="44"/>
      <c r="S51" s="44"/>
      <c r="T51" s="44"/>
      <c r="U51" s="44"/>
      <c r="V51" s="44"/>
      <c r="W51" s="44"/>
      <c r="X51" s="44"/>
      <c r="Y51" s="44"/>
      <c r="Z51" s="44"/>
      <c r="AA51" s="44"/>
      <c r="AB51" s="44"/>
      <c r="AC51" s="44"/>
      <c r="AD51" s="44"/>
      <c r="AE51" s="44"/>
      <c r="AF51" s="44"/>
      <c r="AH51" s="46">
        <f t="shared" ref="AH51:BF51" si="35">$F51*H51</f>
        <v>0</v>
      </c>
      <c r="AI51" s="46">
        <f t="shared" si="35"/>
        <v>0</v>
      </c>
      <c r="AJ51" s="46">
        <f t="shared" si="35"/>
        <v>0</v>
      </c>
      <c r="AK51" s="46">
        <f t="shared" si="35"/>
        <v>0</v>
      </c>
      <c r="AL51" s="46">
        <f t="shared" si="35"/>
        <v>0</v>
      </c>
      <c r="AM51" s="46">
        <f t="shared" si="35"/>
        <v>0</v>
      </c>
      <c r="AN51" s="46">
        <f t="shared" si="35"/>
        <v>0</v>
      </c>
      <c r="AO51" s="46">
        <f t="shared" si="35"/>
        <v>0</v>
      </c>
      <c r="AP51" s="46">
        <f t="shared" si="35"/>
        <v>0</v>
      </c>
      <c r="AQ51" s="46">
        <f t="shared" si="35"/>
        <v>0</v>
      </c>
      <c r="AR51" s="46">
        <f t="shared" si="35"/>
        <v>0</v>
      </c>
      <c r="AS51" s="46">
        <f t="shared" si="35"/>
        <v>0</v>
      </c>
      <c r="AT51" s="46">
        <f t="shared" si="35"/>
        <v>0</v>
      </c>
      <c r="AU51" s="46">
        <f t="shared" si="35"/>
        <v>0</v>
      </c>
      <c r="AV51" s="46">
        <f t="shared" si="35"/>
        <v>0</v>
      </c>
      <c r="AW51" s="46">
        <f t="shared" si="35"/>
        <v>0</v>
      </c>
      <c r="AX51" s="46">
        <f t="shared" si="35"/>
        <v>0</v>
      </c>
      <c r="AY51" s="46">
        <f t="shared" si="35"/>
        <v>0</v>
      </c>
      <c r="AZ51" s="46">
        <f t="shared" si="35"/>
        <v>0</v>
      </c>
      <c r="BA51" s="46">
        <f t="shared" si="35"/>
        <v>0</v>
      </c>
      <c r="BB51" s="46">
        <f t="shared" si="35"/>
        <v>0</v>
      </c>
      <c r="BC51" s="46">
        <f t="shared" si="35"/>
        <v>0</v>
      </c>
      <c r="BD51" s="46">
        <f t="shared" si="35"/>
        <v>0</v>
      </c>
      <c r="BE51" s="46">
        <f t="shared" si="35"/>
        <v>0</v>
      </c>
      <c r="BF51" s="46">
        <f t="shared" si="35"/>
        <v>0</v>
      </c>
    </row>
    <row r="52" spans="1:58" ht="14.25" customHeight="1">
      <c r="A52" s="43">
        <v>12</v>
      </c>
      <c r="B52" s="44" t="s">
        <v>179</v>
      </c>
      <c r="C52" s="44" t="s">
        <v>116</v>
      </c>
      <c r="D52" s="44"/>
      <c r="E52" s="45">
        <v>116.34280000000003</v>
      </c>
      <c r="F52" s="48"/>
      <c r="G52" s="46"/>
      <c r="H52" s="47"/>
      <c r="I52" s="44"/>
      <c r="J52" s="44"/>
      <c r="K52" s="44"/>
      <c r="L52" s="44"/>
      <c r="M52" s="44"/>
      <c r="N52" s="44"/>
      <c r="O52" s="44"/>
      <c r="P52" s="44">
        <f>P43*'4 - CIMENTACIÓN - CONCRETOS'!$E$57</f>
        <v>0</v>
      </c>
      <c r="Q52" s="44">
        <f>'8 - PISOS - CONCRETO-ENCHAPES'!E287*'COTIZACIÓN MATERIALES'!Q43</f>
        <v>0</v>
      </c>
      <c r="R52" s="44"/>
      <c r="S52" s="44"/>
      <c r="T52" s="44"/>
      <c r="U52" s="44"/>
      <c r="V52" s="44"/>
      <c r="W52" s="44"/>
      <c r="X52" s="44"/>
      <c r="Y52" s="44"/>
      <c r="Z52" s="44"/>
      <c r="AA52" s="44"/>
      <c r="AB52" s="44"/>
      <c r="AC52" s="44"/>
      <c r="AD52" s="44"/>
      <c r="AE52" s="44"/>
      <c r="AF52" s="44"/>
      <c r="AH52" s="46">
        <f t="shared" ref="AH52:BF52" si="36">$F52*H52</f>
        <v>0</v>
      </c>
      <c r="AI52" s="46">
        <f t="shared" si="36"/>
        <v>0</v>
      </c>
      <c r="AJ52" s="46">
        <f t="shared" si="36"/>
        <v>0</v>
      </c>
      <c r="AK52" s="46">
        <f t="shared" si="36"/>
        <v>0</v>
      </c>
      <c r="AL52" s="46">
        <f t="shared" si="36"/>
        <v>0</v>
      </c>
      <c r="AM52" s="46">
        <f t="shared" si="36"/>
        <v>0</v>
      </c>
      <c r="AN52" s="46">
        <f t="shared" si="36"/>
        <v>0</v>
      </c>
      <c r="AO52" s="46">
        <f t="shared" si="36"/>
        <v>0</v>
      </c>
      <c r="AP52" s="46">
        <f t="shared" si="36"/>
        <v>0</v>
      </c>
      <c r="AQ52" s="46">
        <f t="shared" si="36"/>
        <v>0</v>
      </c>
      <c r="AR52" s="46">
        <f t="shared" si="36"/>
        <v>0</v>
      </c>
      <c r="AS52" s="46">
        <f t="shared" si="36"/>
        <v>0</v>
      </c>
      <c r="AT52" s="46">
        <f t="shared" si="36"/>
        <v>0</v>
      </c>
      <c r="AU52" s="46">
        <f t="shared" si="36"/>
        <v>0</v>
      </c>
      <c r="AV52" s="46">
        <f t="shared" si="36"/>
        <v>0</v>
      </c>
      <c r="AW52" s="46">
        <f t="shared" si="36"/>
        <v>0</v>
      </c>
      <c r="AX52" s="46">
        <f t="shared" si="36"/>
        <v>0</v>
      </c>
      <c r="AY52" s="46">
        <f t="shared" si="36"/>
        <v>0</v>
      </c>
      <c r="AZ52" s="46">
        <f t="shared" si="36"/>
        <v>0</v>
      </c>
      <c r="BA52" s="46">
        <f t="shared" si="36"/>
        <v>0</v>
      </c>
      <c r="BB52" s="46">
        <f t="shared" si="36"/>
        <v>0</v>
      </c>
      <c r="BC52" s="46">
        <f t="shared" si="36"/>
        <v>0</v>
      </c>
      <c r="BD52" s="46">
        <f t="shared" si="36"/>
        <v>0</v>
      </c>
      <c r="BE52" s="46">
        <f t="shared" si="36"/>
        <v>0</v>
      </c>
      <c r="BF52" s="46">
        <f t="shared" si="36"/>
        <v>0</v>
      </c>
    </row>
    <row r="53" spans="1:58" ht="14.25" customHeight="1"/>
    <row r="54" spans="1:58" ht="14.25" customHeight="1"/>
    <row r="55" spans="1:58" ht="14.25" customHeight="1">
      <c r="A55" s="41" t="s">
        <v>4</v>
      </c>
      <c r="B55" s="41" t="s">
        <v>150</v>
      </c>
      <c r="C55" s="41" t="s">
        <v>151</v>
      </c>
      <c r="D55" s="41"/>
      <c r="E55" s="41" t="s">
        <v>152</v>
      </c>
      <c r="F55" s="41" t="s">
        <v>153</v>
      </c>
      <c r="G55" s="41" t="s">
        <v>154</v>
      </c>
    </row>
    <row r="56" spans="1:58" ht="14.25" customHeight="1">
      <c r="A56" s="43">
        <v>26</v>
      </c>
      <c r="B56" s="44" t="s">
        <v>195</v>
      </c>
      <c r="C56" s="44" t="s">
        <v>127</v>
      </c>
      <c r="D56" s="44"/>
      <c r="E56" s="45">
        <v>9</v>
      </c>
      <c r="F56" s="48"/>
      <c r="G56" s="46"/>
    </row>
    <row r="57" spans="1:58" ht="14.25" customHeight="1">
      <c r="A57" s="43">
        <v>27</v>
      </c>
      <c r="B57" s="44" t="s">
        <v>196</v>
      </c>
      <c r="C57" s="44" t="s">
        <v>127</v>
      </c>
      <c r="D57" s="44"/>
      <c r="E57" s="45">
        <v>3</v>
      </c>
      <c r="F57" s="48"/>
      <c r="G57" s="46"/>
    </row>
    <row r="58" spans="1:58" ht="14.25" customHeight="1">
      <c r="A58" s="43">
        <v>28</v>
      </c>
      <c r="B58" s="44" t="s">
        <v>197</v>
      </c>
      <c r="C58" s="44" t="s">
        <v>127</v>
      </c>
      <c r="D58" s="44"/>
      <c r="E58" s="45">
        <v>1</v>
      </c>
      <c r="F58" s="48"/>
      <c r="G58" s="46"/>
    </row>
    <row r="59" spans="1:58" ht="14.25" customHeight="1">
      <c r="A59" s="43">
        <v>29</v>
      </c>
      <c r="B59" s="44" t="s">
        <v>198</v>
      </c>
      <c r="C59" s="44" t="s">
        <v>127</v>
      </c>
      <c r="D59" s="44"/>
      <c r="E59" s="45">
        <v>3</v>
      </c>
      <c r="F59" s="48"/>
      <c r="G59" s="46"/>
    </row>
    <row r="60" spans="1:58" ht="14.25" customHeight="1">
      <c r="A60" s="43">
        <v>30</v>
      </c>
      <c r="B60" s="44" t="s">
        <v>199</v>
      </c>
      <c r="C60" s="44" t="s">
        <v>127</v>
      </c>
      <c r="D60" s="44"/>
      <c r="E60" s="45">
        <v>1</v>
      </c>
      <c r="F60" s="48"/>
      <c r="G60" s="46"/>
    </row>
    <row r="61" spans="1:58" ht="14.25" customHeight="1">
      <c r="A61" s="43">
        <v>31</v>
      </c>
      <c r="B61" s="44" t="s">
        <v>200</v>
      </c>
      <c r="C61" s="44" t="s">
        <v>127</v>
      </c>
      <c r="D61" s="44"/>
      <c r="E61" s="45">
        <v>18</v>
      </c>
      <c r="F61" s="48"/>
      <c r="G61" s="46"/>
    </row>
    <row r="62" spans="1:58" ht="14.25" customHeight="1">
      <c r="A62" s="43">
        <v>32</v>
      </c>
      <c r="B62" s="44" t="s">
        <v>1552</v>
      </c>
      <c r="C62" s="44" t="s">
        <v>127</v>
      </c>
      <c r="D62" s="44"/>
      <c r="E62" s="45">
        <v>4</v>
      </c>
      <c r="F62" s="48"/>
      <c r="G62" s="46"/>
    </row>
    <row r="66" spans="1:6" ht="14.25" customHeight="1">
      <c r="A66" s="41" t="s">
        <v>4</v>
      </c>
      <c r="B66" s="41" t="s">
        <v>204</v>
      </c>
      <c r="C66" s="41" t="s">
        <v>151</v>
      </c>
      <c r="D66" s="41" t="s">
        <v>152</v>
      </c>
      <c r="E66" s="41" t="s">
        <v>205</v>
      </c>
      <c r="F66" s="41" t="s">
        <v>154</v>
      </c>
    </row>
    <row r="67" spans="1:6" ht="14.25" customHeight="1">
      <c r="A67" s="43">
        <v>1</v>
      </c>
      <c r="B67" s="53" t="s">
        <v>206</v>
      </c>
      <c r="C67" s="43" t="s">
        <v>116</v>
      </c>
      <c r="D67" s="54">
        <f>SUM(G67:AE67)</f>
        <v>0</v>
      </c>
      <c r="E67" s="55"/>
      <c r="F67" s="55"/>
    </row>
    <row r="68" spans="1:6" ht="14.25" customHeight="1"/>
    <row r="69" spans="1:6" ht="14.25" customHeight="1"/>
    <row r="70" spans="1:6" ht="14.25" customHeight="1">
      <c r="A70" s="41" t="s">
        <v>4</v>
      </c>
      <c r="B70" s="41" t="s">
        <v>207</v>
      </c>
      <c r="C70" s="56"/>
      <c r="D70" s="41"/>
      <c r="E70" s="41" t="s">
        <v>208</v>
      </c>
      <c r="F70" s="41" t="s">
        <v>154</v>
      </c>
    </row>
    <row r="71" spans="1:6" ht="14.25" hidden="1" customHeight="1">
      <c r="A71" s="43">
        <v>1</v>
      </c>
      <c r="B71" s="53" t="s">
        <v>209</v>
      </c>
      <c r="C71" s="57"/>
      <c r="D71" s="54">
        <f t="shared" ref="D71:D78" si="37">SUM(G71:AE71)</f>
        <v>0</v>
      </c>
      <c r="E71" s="55"/>
      <c r="F71" s="55"/>
    </row>
    <row r="72" spans="1:6" ht="14.25" customHeight="1">
      <c r="A72" s="43">
        <v>2</v>
      </c>
      <c r="B72" s="53" t="s">
        <v>210</v>
      </c>
      <c r="C72" s="58">
        <v>1</v>
      </c>
      <c r="D72" s="54">
        <f t="shared" si="37"/>
        <v>0</v>
      </c>
      <c r="E72" s="55"/>
      <c r="F72" s="55"/>
    </row>
    <row r="73" spans="1:6" ht="14.25" hidden="1" customHeight="1">
      <c r="A73" s="43">
        <v>3</v>
      </c>
      <c r="B73" s="53" t="s">
        <v>211</v>
      </c>
      <c r="C73" s="58"/>
      <c r="D73" s="54">
        <f t="shared" si="37"/>
        <v>0</v>
      </c>
      <c r="E73" s="55"/>
      <c r="F73" s="55"/>
    </row>
    <row r="74" spans="1:6" ht="14.25" customHeight="1">
      <c r="A74" s="43">
        <v>4</v>
      </c>
      <c r="B74" s="53" t="s">
        <v>212</v>
      </c>
      <c r="C74" s="58">
        <v>1</v>
      </c>
      <c r="D74" s="54">
        <f t="shared" si="37"/>
        <v>0</v>
      </c>
      <c r="E74" s="55"/>
      <c r="F74" s="55"/>
    </row>
    <row r="75" spans="1:6" ht="14.25" customHeight="1">
      <c r="A75" s="43">
        <v>6</v>
      </c>
      <c r="B75" s="53" t="s">
        <v>213</v>
      </c>
      <c r="C75" s="58">
        <v>1</v>
      </c>
      <c r="D75" s="54">
        <f t="shared" si="37"/>
        <v>0</v>
      </c>
      <c r="E75" s="55"/>
      <c r="F75" s="55"/>
    </row>
    <row r="76" spans="1:6" ht="14.25" customHeight="1">
      <c r="A76" s="43">
        <v>7</v>
      </c>
      <c r="B76" s="53" t="s">
        <v>214</v>
      </c>
      <c r="C76" s="58">
        <v>1</v>
      </c>
      <c r="D76" s="54">
        <f t="shared" si="37"/>
        <v>0</v>
      </c>
      <c r="E76" s="55"/>
      <c r="F76" s="55"/>
    </row>
    <row r="77" spans="1:6" ht="14.25" customHeight="1">
      <c r="A77" s="43">
        <v>8</v>
      </c>
      <c r="B77" s="53" t="s">
        <v>215</v>
      </c>
      <c r="C77" s="58">
        <v>1</v>
      </c>
      <c r="D77" s="54">
        <f t="shared" si="37"/>
        <v>0</v>
      </c>
      <c r="E77" s="55"/>
      <c r="F77" s="55"/>
    </row>
    <row r="78" spans="1:6" ht="14.25" customHeight="1">
      <c r="A78" s="43">
        <v>9</v>
      </c>
      <c r="B78" s="53" t="s">
        <v>216</v>
      </c>
      <c r="C78" s="58">
        <v>1</v>
      </c>
      <c r="D78" s="54">
        <f t="shared" si="37"/>
        <v>0</v>
      </c>
      <c r="E78" s="55"/>
      <c r="F78" s="55"/>
    </row>
  </sheetData>
  <mergeCells count="8">
    <mergeCell ref="A5:G5"/>
    <mergeCell ref="H5:L5"/>
    <mergeCell ref="A40:F40"/>
    <mergeCell ref="A1:A4"/>
    <mergeCell ref="B1:D3"/>
    <mergeCell ref="E1:G3"/>
    <mergeCell ref="B4:D4"/>
    <mergeCell ref="E4:G4"/>
  </mergeCells>
  <pageMargins left="0.7" right="0.7" top="0.75" bottom="0.75" header="0" footer="0"/>
  <pageSetup orientation="portrait"/>
  <colBreaks count="1" manualBreakCount="1">
    <brk id="7" man="1"/>
  </col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13C92-335B-4202-8DDF-AAE4A6F2649A}">
  <dimension ref="A1:E4"/>
  <sheetViews>
    <sheetView workbookViewId="0">
      <selection activeCell="F33" sqref="F33"/>
    </sheetView>
  </sheetViews>
  <sheetFormatPr baseColWidth="10" defaultRowHeight="11.4"/>
  <cols>
    <col min="1" max="1" width="17" style="1436" bestFit="1" customWidth="1"/>
    <col min="2" max="16384" width="11.5546875" style="1436"/>
  </cols>
  <sheetData>
    <row r="1" spans="1:5">
      <c r="A1" s="1436" t="s">
        <v>4448</v>
      </c>
    </row>
    <row r="2" spans="1:5">
      <c r="A2" s="1436" t="s">
        <v>4449</v>
      </c>
      <c r="B2" s="1437">
        <v>1764</v>
      </c>
      <c r="C2" s="1437"/>
      <c r="D2" s="1437"/>
      <c r="E2" s="1437"/>
    </row>
    <row r="3" spans="1:5">
      <c r="A3" s="1436" t="s">
        <v>4456</v>
      </c>
      <c r="B3" s="1437" t="s">
        <v>4450</v>
      </c>
      <c r="C3" s="1437">
        <v>1780000.804</v>
      </c>
      <c r="D3" s="1437" t="s">
        <v>4451</v>
      </c>
      <c r="E3" s="1437">
        <v>4683505.1229999997</v>
      </c>
    </row>
    <row r="4" spans="1:5">
      <c r="A4" s="1436" t="s">
        <v>4455</v>
      </c>
      <c r="B4" s="1437">
        <v>360</v>
      </c>
      <c r="C4" s="1437" t="s">
        <v>20</v>
      </c>
      <c r="D4" s="1437"/>
      <c r="E4" s="1437"/>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A09A8-3484-4D6C-8CA1-50015405ABFC}">
  <dimension ref="A1:N74"/>
  <sheetViews>
    <sheetView showGridLines="0" tabSelected="1" zoomScale="60" zoomScaleNormal="60" zoomScaleSheetLayoutView="70" zoomScalePageLayoutView="70" workbookViewId="0">
      <selection activeCell="G43" sqref="G43:I48"/>
    </sheetView>
  </sheetViews>
  <sheetFormatPr baseColWidth="10" defaultColWidth="11.44140625" defaultRowHeight="13.8"/>
  <cols>
    <col min="1" max="2" width="4.44140625" style="2246" customWidth="1"/>
    <col min="3" max="3" width="14.6640625" style="2246" customWidth="1"/>
    <col min="4" max="4" width="14.33203125" style="2246" customWidth="1"/>
    <col min="5" max="5" width="16.109375" style="2306" customWidth="1"/>
    <col min="6" max="6" width="17.5546875" style="2246" customWidth="1"/>
    <col min="7" max="7" width="73.33203125" style="2246" customWidth="1"/>
    <col min="8" max="8" width="8.6640625" style="2246" customWidth="1"/>
    <col min="9" max="9" width="18.88671875" style="2246" customWidth="1"/>
    <col min="10" max="10" width="23.88671875" style="2246" customWidth="1"/>
    <col min="11" max="11" width="30" style="2246" customWidth="1"/>
    <col min="12" max="13" width="4.44140625" style="2246" customWidth="1"/>
    <col min="14" max="16384" width="11.44140625" style="2246"/>
  </cols>
  <sheetData>
    <row r="1" spans="1:14" ht="16.2" thickBot="1">
      <c r="A1" s="2243"/>
      <c r="B1" s="2244"/>
      <c r="C1" s="2245"/>
      <c r="D1" s="2244"/>
      <c r="E1" s="2245"/>
      <c r="F1" s="2243"/>
      <c r="G1" s="2243"/>
      <c r="H1" s="2243"/>
      <c r="I1" s="2243"/>
      <c r="J1" s="2243"/>
      <c r="K1" s="2243"/>
      <c r="L1" s="2243"/>
      <c r="M1" s="2243"/>
    </row>
    <row r="2" spans="1:14" ht="16.2" thickTop="1">
      <c r="A2" s="2243"/>
      <c r="B2" s="2247"/>
      <c r="C2" s="2248"/>
      <c r="D2" s="2248"/>
      <c r="E2" s="2248"/>
      <c r="F2" s="2248"/>
      <c r="G2" s="2248"/>
      <c r="H2" s="2248"/>
      <c r="I2" s="2248"/>
      <c r="J2" s="2248"/>
      <c r="K2" s="2248"/>
      <c r="L2" s="2249"/>
      <c r="M2" s="2243"/>
    </row>
    <row r="3" spans="1:14" ht="30.75" customHeight="1">
      <c r="A3" s="2243"/>
      <c r="B3" s="2250"/>
      <c r="C3" s="2251" t="s">
        <v>4476</v>
      </c>
      <c r="D3" s="2252"/>
      <c r="E3" s="2252"/>
      <c r="F3" s="2253"/>
      <c r="G3" s="2243"/>
      <c r="H3" s="2243"/>
      <c r="I3" s="2243"/>
      <c r="J3" s="2243"/>
      <c r="K3" s="2243"/>
      <c r="L3" s="2254"/>
      <c r="M3" s="2243"/>
    </row>
    <row r="4" spans="1:14" ht="15.6">
      <c r="A4" s="2243"/>
      <c r="B4" s="2250"/>
      <c r="C4" s="2255" t="s">
        <v>4477</v>
      </c>
      <c r="D4" s="2256" t="s">
        <v>4478</v>
      </c>
      <c r="E4" s="2255" t="s">
        <v>4479</v>
      </c>
      <c r="F4" s="2256">
        <v>2</v>
      </c>
      <c r="G4" s="2243"/>
      <c r="H4" s="2243"/>
      <c r="I4" s="2243"/>
      <c r="J4" s="2243"/>
      <c r="K4" s="2243"/>
      <c r="L4" s="2254"/>
      <c r="M4" s="2243"/>
    </row>
    <row r="5" spans="1:14" ht="16.2" thickBot="1">
      <c r="A5" s="2243"/>
      <c r="B5" s="2250"/>
      <c r="C5" s="2244"/>
      <c r="D5" s="2245"/>
      <c r="E5" s="2244"/>
      <c r="F5" s="2245"/>
      <c r="G5" s="2243"/>
      <c r="H5" s="2243"/>
      <c r="I5" s="2243"/>
      <c r="J5" s="2243"/>
      <c r="K5" s="2243"/>
      <c r="L5" s="2254"/>
      <c r="M5" s="2243"/>
    </row>
    <row r="6" spans="1:14" ht="31.5" customHeight="1" thickTop="1">
      <c r="A6" s="2243"/>
      <c r="B6" s="2250"/>
      <c r="C6" s="2257" t="s">
        <v>4480</v>
      </c>
      <c r="D6" s="2258"/>
      <c r="E6" s="2258"/>
      <c r="F6" s="2258"/>
      <c r="G6" s="2258"/>
      <c r="H6" s="2258"/>
      <c r="I6" s="2258"/>
      <c r="J6" s="2258"/>
      <c r="K6" s="2259"/>
      <c r="L6" s="2254"/>
      <c r="M6" s="2243"/>
    </row>
    <row r="7" spans="1:14" ht="15.6">
      <c r="A7" s="2243"/>
      <c r="B7" s="2260"/>
      <c r="C7" s="2261" t="s">
        <v>4481</v>
      </c>
      <c r="D7" s="2261"/>
      <c r="E7" s="2261"/>
      <c r="F7" s="2261"/>
      <c r="G7" s="2261"/>
      <c r="H7" s="2261"/>
      <c r="I7" s="2261"/>
      <c r="J7" s="2261"/>
      <c r="K7" s="2262"/>
      <c r="L7" s="2254"/>
      <c r="M7" s="2243"/>
    </row>
    <row r="8" spans="1:14" s="2269" customFormat="1" ht="15.6">
      <c r="A8" s="2263"/>
      <c r="B8" s="2264"/>
      <c r="C8" s="2265" t="s">
        <v>4482</v>
      </c>
      <c r="D8" s="2266"/>
      <c r="E8" s="2266"/>
      <c r="F8" s="2266"/>
      <c r="G8" s="2266"/>
      <c r="H8" s="2266"/>
      <c r="I8" s="2266"/>
      <c r="J8" s="2266"/>
      <c r="K8" s="2267"/>
      <c r="L8" s="2268"/>
      <c r="M8" s="2263"/>
    </row>
    <row r="9" spans="1:14" ht="15.6">
      <c r="A9" s="2243"/>
      <c r="B9" s="2260"/>
      <c r="C9" s="2265"/>
      <c r="D9" s="2266"/>
      <c r="E9" s="2266"/>
      <c r="F9" s="2266"/>
      <c r="G9" s="2266"/>
      <c r="H9" s="2266"/>
      <c r="I9" s="2266"/>
      <c r="J9" s="2266"/>
      <c r="K9" s="2267"/>
      <c r="L9" s="2254"/>
      <c r="M9" s="2243"/>
    </row>
    <row r="10" spans="1:14" ht="34.5" customHeight="1">
      <c r="A10" s="2243"/>
      <c r="B10" s="2260"/>
      <c r="C10" s="2270" t="s">
        <v>4483</v>
      </c>
      <c r="D10" s="2271"/>
      <c r="E10" s="2271"/>
      <c r="F10" s="2271"/>
      <c r="G10" s="2271"/>
      <c r="H10" s="2271"/>
      <c r="I10" s="2271"/>
      <c r="J10" s="2271"/>
      <c r="K10" s="2272"/>
      <c r="L10" s="2254"/>
      <c r="M10" s="2243"/>
    </row>
    <row r="11" spans="1:14" ht="30" customHeight="1" thickBot="1">
      <c r="A11" s="2243"/>
      <c r="B11" s="2250"/>
      <c r="C11" s="1642" t="s">
        <v>4503</v>
      </c>
      <c r="D11" s="1643"/>
      <c r="E11" s="1643"/>
      <c r="F11" s="1643"/>
      <c r="G11" s="1643"/>
      <c r="H11" s="1643"/>
      <c r="I11" s="1643"/>
      <c r="J11" s="1643"/>
      <c r="K11" s="1644"/>
      <c r="L11" s="2254"/>
      <c r="M11" s="2243"/>
    </row>
    <row r="12" spans="1:14" ht="30" customHeight="1">
      <c r="A12" s="2243"/>
      <c r="B12" s="2250"/>
      <c r="C12" s="1645" t="s">
        <v>4484</v>
      </c>
      <c r="D12" s="1647" t="s">
        <v>4485</v>
      </c>
      <c r="E12" s="1649" t="s">
        <v>4486</v>
      </c>
      <c r="F12" s="1649"/>
      <c r="G12" s="1645" t="s">
        <v>376</v>
      </c>
      <c r="H12" s="1647" t="s">
        <v>2526</v>
      </c>
      <c r="I12" s="1647" t="s">
        <v>673</v>
      </c>
      <c r="J12" s="1650" t="s">
        <v>1293</v>
      </c>
      <c r="K12" s="1652" t="s">
        <v>4487</v>
      </c>
      <c r="L12" s="2254"/>
      <c r="M12" s="2243"/>
    </row>
    <row r="13" spans="1:14" ht="30" customHeight="1" thickBot="1">
      <c r="A13" s="2243"/>
      <c r="B13" s="2250"/>
      <c r="C13" s="1646"/>
      <c r="D13" s="1648"/>
      <c r="E13" s="1440" t="s">
        <v>4488</v>
      </c>
      <c r="F13" s="1440" t="s">
        <v>4489</v>
      </c>
      <c r="G13" s="1646"/>
      <c r="H13" s="1648"/>
      <c r="I13" s="1648"/>
      <c r="J13" s="1651"/>
      <c r="K13" s="1653"/>
      <c r="L13" s="2254"/>
      <c r="M13" s="2243"/>
    </row>
    <row r="14" spans="1:14" ht="30" customHeight="1" thickBot="1">
      <c r="A14" s="2243"/>
      <c r="B14" s="2250"/>
      <c r="C14" s="1631" t="s">
        <v>4470</v>
      </c>
      <c r="D14" s="1632"/>
      <c r="E14" s="1632"/>
      <c r="F14" s="1632"/>
      <c r="G14" s="1632"/>
      <c r="H14" s="1632"/>
      <c r="I14" s="1632"/>
      <c r="J14" s="1632"/>
      <c r="K14" s="1633"/>
      <c r="L14" s="2254"/>
      <c r="M14" s="2243"/>
    </row>
    <row r="15" spans="1:14" ht="30" customHeight="1">
      <c r="A15" s="2243"/>
      <c r="B15" s="2250"/>
      <c r="C15" s="1441"/>
      <c r="D15" s="2273">
        <v>1.1000000000000001</v>
      </c>
      <c r="E15" s="1442"/>
      <c r="F15" s="1442"/>
      <c r="G15" s="2274" t="s">
        <v>4465</v>
      </c>
      <c r="H15" s="2275"/>
      <c r="I15" s="2275"/>
      <c r="J15" s="2276"/>
      <c r="K15" s="1446"/>
      <c r="L15" s="2254"/>
      <c r="M15" s="2243"/>
    </row>
    <row r="16" spans="1:14" ht="36" customHeight="1">
      <c r="A16" s="2243"/>
      <c r="B16" s="2250"/>
      <c r="C16" s="1441"/>
      <c r="D16" s="2273" t="s">
        <v>4462</v>
      </c>
      <c r="E16" s="1442"/>
      <c r="F16" s="1442"/>
      <c r="G16" s="2277" t="s">
        <v>4472</v>
      </c>
      <c r="H16" s="1442" t="s">
        <v>116</v>
      </c>
      <c r="I16" s="1444">
        <v>203.84</v>
      </c>
      <c r="J16" s="1445">
        <f>26017*1.3</f>
        <v>33822.1</v>
      </c>
      <c r="K16" s="1496">
        <f t="shared" ref="K16:K20" si="0">I16*J16</f>
        <v>6894296.8640000001</v>
      </c>
      <c r="L16" s="2254"/>
      <c r="M16" s="2243"/>
      <c r="N16" s="2278"/>
    </row>
    <row r="17" spans="1:14" ht="39.6" customHeight="1">
      <c r="A17" s="2243"/>
      <c r="B17" s="2250"/>
      <c r="C17" s="1441"/>
      <c r="D17" s="2273" t="s">
        <v>1226</v>
      </c>
      <c r="E17" s="1442"/>
      <c r="F17" s="1442"/>
      <c r="G17" s="2277" t="s">
        <v>4550</v>
      </c>
      <c r="H17" s="1442" t="s">
        <v>116</v>
      </c>
      <c r="I17" s="1444">
        <v>104</v>
      </c>
      <c r="J17" s="1445">
        <f>117871*1.3</f>
        <v>153232.30000000002</v>
      </c>
      <c r="K17" s="1496">
        <f t="shared" si="0"/>
        <v>15936159.200000001</v>
      </c>
      <c r="L17" s="2254"/>
      <c r="M17" s="2243"/>
      <c r="N17" s="2278"/>
    </row>
    <row r="18" spans="1:14" ht="38.4" customHeight="1">
      <c r="A18" s="2243"/>
      <c r="B18" s="2250"/>
      <c r="C18" s="1441"/>
      <c r="D18" s="2273" t="s">
        <v>1221</v>
      </c>
      <c r="E18" s="1442"/>
      <c r="F18" s="1442"/>
      <c r="G18" s="2277" t="s">
        <v>4469</v>
      </c>
      <c r="H18" s="1442" t="s">
        <v>116</v>
      </c>
      <c r="I18" s="1444">
        <v>99.84</v>
      </c>
      <c r="J18" s="1445">
        <f>886583*1.3</f>
        <v>1152557.9000000001</v>
      </c>
      <c r="K18" s="1496">
        <f t="shared" si="0"/>
        <v>115071380.73600002</v>
      </c>
      <c r="L18" s="2254"/>
      <c r="M18" s="2243"/>
      <c r="N18" s="2278"/>
    </row>
    <row r="19" spans="1:14" ht="48.6" customHeight="1">
      <c r="A19" s="2243"/>
      <c r="B19" s="2250"/>
      <c r="C19" s="1441"/>
      <c r="D19" s="2273" t="s">
        <v>1222</v>
      </c>
      <c r="E19" s="1442"/>
      <c r="F19" s="1442"/>
      <c r="G19" s="2279" t="s">
        <v>4466</v>
      </c>
      <c r="H19" s="1442" t="s">
        <v>242</v>
      </c>
      <c r="I19" s="1444">
        <v>2075.58</v>
      </c>
      <c r="J19" s="1445">
        <f>5633*1.3</f>
        <v>7322.9000000000005</v>
      </c>
      <c r="K19" s="1496">
        <f t="shared" si="0"/>
        <v>15199264.782000002</v>
      </c>
      <c r="L19" s="2254"/>
      <c r="M19" s="2243"/>
      <c r="N19" s="2278"/>
    </row>
    <row r="20" spans="1:14" ht="30" customHeight="1">
      <c r="A20" s="2243"/>
      <c r="B20" s="2250"/>
      <c r="C20" s="1441"/>
      <c r="D20" s="2273" t="s">
        <v>1223</v>
      </c>
      <c r="E20" s="1442"/>
      <c r="F20" s="1442"/>
      <c r="G20" s="2279" t="s">
        <v>4473</v>
      </c>
      <c r="H20" s="1442" t="s">
        <v>103</v>
      </c>
      <c r="I20" s="1444">
        <v>208</v>
      </c>
      <c r="J20" s="1445">
        <f>76401*1.3</f>
        <v>99321.3</v>
      </c>
      <c r="K20" s="1496">
        <f t="shared" si="0"/>
        <v>20658830.400000002</v>
      </c>
      <c r="L20" s="2254"/>
      <c r="M20" s="2243"/>
      <c r="N20" s="2278"/>
    </row>
    <row r="21" spans="1:14" ht="30" customHeight="1" thickBot="1">
      <c r="A21" s="2243"/>
      <c r="B21" s="2250"/>
      <c r="C21" s="1447" t="s">
        <v>4461</v>
      </c>
      <c r="D21" s="1448"/>
      <c r="E21" s="1448"/>
      <c r="F21" s="1448"/>
      <c r="G21" s="1449"/>
      <c r="H21" s="1448"/>
      <c r="I21" s="1444"/>
      <c r="J21" s="1450"/>
      <c r="K21" s="1451">
        <f>ROUND(SUM(K16:K20),0)</f>
        <v>173759932</v>
      </c>
      <c r="L21" s="2254"/>
      <c r="M21" s="2243"/>
    </row>
    <row r="22" spans="1:14" ht="30" customHeight="1">
      <c r="A22" s="2243"/>
      <c r="B22" s="2250"/>
      <c r="C22" s="1441"/>
      <c r="D22" s="1442">
        <v>1.2</v>
      </c>
      <c r="E22" s="1442"/>
      <c r="F22" s="1442"/>
      <c r="G22" s="2274" t="s">
        <v>4467</v>
      </c>
      <c r="H22" s="2275"/>
      <c r="I22" s="2275"/>
      <c r="J22" s="2276"/>
      <c r="K22" s="1452"/>
      <c r="L22" s="2254"/>
      <c r="M22" s="2243"/>
    </row>
    <row r="23" spans="1:14" ht="81.599999999999994" customHeight="1">
      <c r="A23" s="2243"/>
      <c r="B23" s="2250"/>
      <c r="C23" s="1441"/>
      <c r="D23" s="1442" t="s">
        <v>4463</v>
      </c>
      <c r="E23" s="1442"/>
      <c r="F23" s="1442"/>
      <c r="G23" s="1443" t="s">
        <v>4474</v>
      </c>
      <c r="H23" s="1442" t="s">
        <v>116</v>
      </c>
      <c r="I23" s="1444">
        <v>31.2</v>
      </c>
      <c r="J23" s="1445">
        <f>91899*1.3</f>
        <v>119468.7</v>
      </c>
      <c r="K23" s="1446">
        <f>I23*J23</f>
        <v>3727423.44</v>
      </c>
      <c r="L23" s="2254"/>
      <c r="M23" s="2243"/>
      <c r="N23" s="2278"/>
    </row>
    <row r="24" spans="1:14" s="2243" customFormat="1" ht="65.400000000000006" customHeight="1">
      <c r="B24" s="2250"/>
      <c r="C24" s="1441"/>
      <c r="D24" s="1453" t="s">
        <v>4464</v>
      </c>
      <c r="E24" s="1453"/>
      <c r="F24" s="1453"/>
      <c r="G24" s="1454" t="s">
        <v>4475</v>
      </c>
      <c r="H24" s="1453" t="s">
        <v>116</v>
      </c>
      <c r="I24" s="1444">
        <v>20.8</v>
      </c>
      <c r="J24" s="1445">
        <f>638285*1.3</f>
        <v>829770.5</v>
      </c>
      <c r="K24" s="1446">
        <f>I24*J24</f>
        <v>17259226.400000002</v>
      </c>
      <c r="L24" s="2254"/>
      <c r="N24" s="2278"/>
    </row>
    <row r="25" spans="1:14" ht="31.2">
      <c r="B25" s="2280"/>
      <c r="C25" s="1441"/>
      <c r="D25" s="1442" t="s">
        <v>1224</v>
      </c>
      <c r="E25" s="1442"/>
      <c r="F25" s="1442"/>
      <c r="G25" s="1443" t="s">
        <v>4468</v>
      </c>
      <c r="H25" s="1442" t="s">
        <v>242</v>
      </c>
      <c r="I25" s="1444">
        <v>800.8</v>
      </c>
      <c r="J25" s="1445">
        <f>5633*1.3</f>
        <v>7322.9000000000005</v>
      </c>
      <c r="K25" s="1446">
        <f>I25*J25</f>
        <v>5864178.3200000003</v>
      </c>
      <c r="L25" s="2281"/>
      <c r="N25" s="2278"/>
    </row>
    <row r="26" spans="1:14" ht="30" customHeight="1" thickBot="1">
      <c r="A26" s="2243"/>
      <c r="B26" s="2250"/>
      <c r="C26" s="1447" t="s">
        <v>4461</v>
      </c>
      <c r="D26" s="2282"/>
      <c r="E26" s="2283"/>
      <c r="F26" s="2282"/>
      <c r="G26" s="2282"/>
      <c r="H26" s="2282"/>
      <c r="I26" s="1444"/>
      <c r="J26" s="2282"/>
      <c r="K26" s="1451">
        <f>ROUND(SUM(K23:K25),0)</f>
        <v>26850828</v>
      </c>
      <c r="L26" s="2254"/>
      <c r="M26" s="2243"/>
    </row>
    <row r="27" spans="1:14" ht="30" customHeight="1" thickBot="1">
      <c r="A27" s="2243"/>
      <c r="B27" s="2250"/>
      <c r="C27" s="1631" t="s">
        <v>4551</v>
      </c>
      <c r="D27" s="1632"/>
      <c r="E27" s="1632"/>
      <c r="F27" s="1632"/>
      <c r="G27" s="1632"/>
      <c r="H27" s="1632"/>
      <c r="I27" s="1632"/>
      <c r="J27" s="1632"/>
      <c r="K27" s="1633"/>
      <c r="L27" s="2254"/>
      <c r="M27" s="2243"/>
    </row>
    <row r="28" spans="1:14" ht="30" customHeight="1">
      <c r="A28" s="2243"/>
      <c r="B28" s="2250"/>
      <c r="C28" s="1441"/>
      <c r="D28" s="2273">
        <v>1.1000000000000001</v>
      </c>
      <c r="E28" s="1442"/>
      <c r="F28" s="1442"/>
      <c r="G28" s="2274" t="s">
        <v>4465</v>
      </c>
      <c r="H28" s="2275"/>
      <c r="I28" s="2275"/>
      <c r="J28" s="2276"/>
      <c r="K28" s="1446"/>
      <c r="L28" s="2254"/>
      <c r="M28" s="2243"/>
    </row>
    <row r="29" spans="1:14" ht="38.4" customHeight="1">
      <c r="A29" s="2243"/>
      <c r="B29" s="2250"/>
      <c r="C29" s="1441"/>
      <c r="D29" s="2273" t="s">
        <v>4462</v>
      </c>
      <c r="E29" s="1442"/>
      <c r="F29" s="1442"/>
      <c r="G29" s="2277" t="s">
        <v>4472</v>
      </c>
      <c r="H29" s="1442" t="s">
        <v>116</v>
      </c>
      <c r="I29" s="1444">
        <v>83.3</v>
      </c>
      <c r="J29" s="1445">
        <f>26017*1.3</f>
        <v>33822.1</v>
      </c>
      <c r="K29" s="1446">
        <f>I29*J29</f>
        <v>2817380.9299999997</v>
      </c>
      <c r="L29" s="2254"/>
      <c r="M29" s="2243"/>
      <c r="N29" s="2278"/>
    </row>
    <row r="30" spans="1:14" ht="47.4" customHeight="1">
      <c r="A30" s="2243"/>
      <c r="B30" s="2250"/>
      <c r="C30" s="1441"/>
      <c r="D30" s="2273" t="s">
        <v>1226</v>
      </c>
      <c r="E30" s="1442"/>
      <c r="F30" s="1442"/>
      <c r="G30" s="2277" t="s">
        <v>4552</v>
      </c>
      <c r="H30" s="1442" t="s">
        <v>116</v>
      </c>
      <c r="I30" s="1444">
        <v>61.25</v>
      </c>
      <c r="J30" s="1445">
        <f>117871*1.3</f>
        <v>153232.30000000002</v>
      </c>
      <c r="K30" s="1446">
        <f>I30*J30</f>
        <v>9385478.3750000019</v>
      </c>
      <c r="L30" s="2254"/>
      <c r="M30" s="2243"/>
      <c r="N30" s="2278"/>
    </row>
    <row r="31" spans="1:14" s="2243" customFormat="1" ht="42.6" customHeight="1">
      <c r="B31" s="2250"/>
      <c r="C31" s="1441"/>
      <c r="D31" s="2273" t="s">
        <v>1221</v>
      </c>
      <c r="E31" s="1442"/>
      <c r="F31" s="1442"/>
      <c r="G31" s="2277" t="s">
        <v>4469</v>
      </c>
      <c r="H31" s="1442" t="s">
        <v>116</v>
      </c>
      <c r="I31" s="1444">
        <v>53.04</v>
      </c>
      <c r="J31" s="1445">
        <f>886583*1.3</f>
        <v>1152557.9000000001</v>
      </c>
      <c r="K31" s="1446">
        <f>I31*J31</f>
        <v>61131671.01600001</v>
      </c>
      <c r="L31" s="2254"/>
      <c r="N31" s="2278"/>
    </row>
    <row r="32" spans="1:14" ht="54.6" customHeight="1">
      <c r="A32" s="2243"/>
      <c r="B32" s="2250"/>
      <c r="C32" s="1441"/>
      <c r="D32" s="2273" t="s">
        <v>1222</v>
      </c>
      <c r="E32" s="1442"/>
      <c r="F32" s="1442"/>
      <c r="G32" s="2279" t="s">
        <v>4466</v>
      </c>
      <c r="H32" s="1442" t="s">
        <v>242</v>
      </c>
      <c r="I32" s="1444">
        <v>999.39</v>
      </c>
      <c r="J32" s="1445">
        <f>5633*1.3</f>
        <v>7322.9000000000005</v>
      </c>
      <c r="K32" s="1446">
        <f>I32*J32</f>
        <v>7318433.0310000004</v>
      </c>
      <c r="L32" s="2254"/>
      <c r="M32" s="2243"/>
      <c r="N32" s="2278"/>
    </row>
    <row r="33" spans="1:14" s="2243" customFormat="1" ht="15.6">
      <c r="B33" s="2250"/>
      <c r="C33" s="1441"/>
      <c r="D33" s="2273" t="s">
        <v>1223</v>
      </c>
      <c r="E33" s="1442"/>
      <c r="F33" s="1442"/>
      <c r="G33" s="2279" t="s">
        <v>4473</v>
      </c>
      <c r="H33" s="1442" t="s">
        <v>103</v>
      </c>
      <c r="I33" s="1444">
        <v>50</v>
      </c>
      <c r="J33" s="1445">
        <f>76401*1.3</f>
        <v>99321.3</v>
      </c>
      <c r="K33" s="1446">
        <f>I33*J33</f>
        <v>4966065</v>
      </c>
      <c r="L33" s="2254"/>
      <c r="N33" s="2278"/>
    </row>
    <row r="34" spans="1:14" s="2243" customFormat="1" ht="24.6" customHeight="1">
      <c r="B34" s="2250"/>
      <c r="C34" s="1441"/>
      <c r="D34" s="2273" t="s">
        <v>4553</v>
      </c>
      <c r="E34" s="1442"/>
      <c r="F34" s="1442"/>
      <c r="G34" s="2279" t="s">
        <v>4554</v>
      </c>
      <c r="H34" s="1442" t="s">
        <v>228</v>
      </c>
      <c r="I34" s="1444">
        <v>175</v>
      </c>
      <c r="J34" s="1445">
        <f>23737*1.3</f>
        <v>30858.100000000002</v>
      </c>
      <c r="K34" s="1446">
        <f>I34*J34</f>
        <v>5400167.5</v>
      </c>
      <c r="L34" s="2254"/>
      <c r="N34" s="2278"/>
    </row>
    <row r="35" spans="1:14" ht="30" customHeight="1" thickBot="1">
      <c r="A35" s="2243"/>
      <c r="B35" s="2250"/>
      <c r="C35" s="1447" t="s">
        <v>4461</v>
      </c>
      <c r="D35" s="1448"/>
      <c r="E35" s="1448"/>
      <c r="F35" s="1448"/>
      <c r="G35" s="1449"/>
      <c r="H35" s="1448"/>
      <c r="I35" s="1444"/>
      <c r="J35" s="1450"/>
      <c r="K35" s="1451">
        <f>ROUND(SUM(K29:K34),0)</f>
        <v>91019196</v>
      </c>
      <c r="L35" s="2254"/>
      <c r="M35" s="2243"/>
    </row>
    <row r="36" spans="1:14" ht="30" customHeight="1">
      <c r="A36" s="2243"/>
      <c r="B36" s="2250"/>
      <c r="C36" s="1441"/>
      <c r="D36" s="1442">
        <v>1.2</v>
      </c>
      <c r="E36" s="1442"/>
      <c r="F36" s="1442"/>
      <c r="G36" s="2274" t="s">
        <v>4467</v>
      </c>
      <c r="H36" s="2275"/>
      <c r="I36" s="2275"/>
      <c r="J36" s="2276"/>
      <c r="K36" s="1452"/>
      <c r="L36" s="2254"/>
      <c r="M36" s="2243"/>
    </row>
    <row r="37" spans="1:14" ht="84" customHeight="1">
      <c r="A37" s="2243"/>
      <c r="B37" s="2250"/>
      <c r="C37" s="1441"/>
      <c r="D37" s="1442" t="s">
        <v>4463</v>
      </c>
      <c r="E37" s="1442"/>
      <c r="F37" s="1442"/>
      <c r="G37" s="1443" t="s">
        <v>4474</v>
      </c>
      <c r="H37" s="1442" t="s">
        <v>116</v>
      </c>
      <c r="I37" s="1444">
        <v>0</v>
      </c>
      <c r="J37" s="1445">
        <f>91899*1.3</f>
        <v>119468.7</v>
      </c>
      <c r="K37" s="1446">
        <f>I37*J37</f>
        <v>0</v>
      </c>
      <c r="L37" s="2254"/>
      <c r="M37" s="2243"/>
      <c r="N37" s="2278"/>
    </row>
    <row r="38" spans="1:14" ht="63" customHeight="1">
      <c r="A38" s="2243"/>
      <c r="B38" s="2250"/>
      <c r="C38" s="1441"/>
      <c r="D38" s="1453" t="s">
        <v>4464</v>
      </c>
      <c r="E38" s="1453"/>
      <c r="F38" s="1453"/>
      <c r="G38" s="1454" t="s">
        <v>4475</v>
      </c>
      <c r="H38" s="1453" t="s">
        <v>116</v>
      </c>
      <c r="I38" s="1444">
        <v>0</v>
      </c>
      <c r="J38" s="1445">
        <f>638285*1.3</f>
        <v>829770.5</v>
      </c>
      <c r="K38" s="1446">
        <f>I38*J38</f>
        <v>0</v>
      </c>
      <c r="L38" s="2254"/>
      <c r="M38" s="2243"/>
      <c r="N38" s="2278"/>
    </row>
    <row r="39" spans="1:14" ht="41.4" customHeight="1">
      <c r="A39" s="2243"/>
      <c r="B39" s="2250"/>
      <c r="C39" s="1441"/>
      <c r="D39" s="1442" t="s">
        <v>1224</v>
      </c>
      <c r="E39" s="1442"/>
      <c r="F39" s="1442"/>
      <c r="G39" s="1443" t="s">
        <v>4468</v>
      </c>
      <c r="H39" s="1442" t="s">
        <v>242</v>
      </c>
      <c r="I39" s="1444">
        <v>0</v>
      </c>
      <c r="J39" s="1445">
        <f>5633*1.3</f>
        <v>7322.9000000000005</v>
      </c>
      <c r="K39" s="1446">
        <f>I39*J39</f>
        <v>0</v>
      </c>
      <c r="L39" s="2254"/>
      <c r="M39" s="2243"/>
      <c r="N39" s="2278"/>
    </row>
    <row r="40" spans="1:14" ht="30" customHeight="1" thickBot="1">
      <c r="A40" s="2243"/>
      <c r="B40" s="2250"/>
      <c r="C40" s="1447" t="s">
        <v>4461</v>
      </c>
      <c r="D40" s="2282"/>
      <c r="E40" s="2283"/>
      <c r="F40" s="2282"/>
      <c r="G40" s="2282"/>
      <c r="H40" s="2282"/>
      <c r="I40" s="1444"/>
      <c r="J40" s="2282"/>
      <c r="K40" s="1451">
        <f>SUM(K37:K39)</f>
        <v>0</v>
      </c>
      <c r="L40" s="2254"/>
      <c r="M40" s="2243"/>
    </row>
    <row r="41" spans="1:14" ht="30" customHeight="1" thickBot="1">
      <c r="A41" s="2243"/>
      <c r="B41" s="2250"/>
      <c r="C41" s="1631" t="s">
        <v>4471</v>
      </c>
      <c r="D41" s="1632"/>
      <c r="E41" s="1632"/>
      <c r="F41" s="1632"/>
      <c r="G41" s="1632"/>
      <c r="H41" s="1632"/>
      <c r="I41" s="1632"/>
      <c r="J41" s="1632"/>
      <c r="K41" s="1633"/>
      <c r="L41" s="2254"/>
      <c r="M41" s="2243"/>
    </row>
    <row r="42" spans="1:14" ht="30" customHeight="1">
      <c r="A42" s="2243"/>
      <c r="B42" s="2250"/>
      <c r="C42" s="1441"/>
      <c r="D42" s="2273">
        <v>1.1000000000000001</v>
      </c>
      <c r="E42" s="1442"/>
      <c r="F42" s="1442"/>
      <c r="G42" s="2274" t="s">
        <v>4465</v>
      </c>
      <c r="H42" s="2275"/>
      <c r="I42" s="2275"/>
      <c r="J42" s="2276"/>
      <c r="K42" s="1446"/>
      <c r="L42" s="2254"/>
      <c r="M42" s="2243"/>
    </row>
    <row r="43" spans="1:14" ht="30" customHeight="1">
      <c r="A43" s="2243"/>
      <c r="B43" s="2250"/>
      <c r="C43" s="1441"/>
      <c r="D43" s="2273" t="s">
        <v>4462</v>
      </c>
      <c r="E43" s="1442"/>
      <c r="F43" s="1442"/>
      <c r="G43" s="2277" t="s">
        <v>4472</v>
      </c>
      <c r="H43" s="1442" t="s">
        <v>116</v>
      </c>
      <c r="I43" s="1444">
        <v>151.01</v>
      </c>
      <c r="J43" s="1445">
        <f>26017*1.3</f>
        <v>33822.1</v>
      </c>
      <c r="K43" s="1446">
        <f>I43*J43</f>
        <v>5107475.3209999995</v>
      </c>
      <c r="L43" s="2254"/>
      <c r="M43" s="2243"/>
      <c r="N43" s="2278"/>
    </row>
    <row r="44" spans="1:14" ht="42.6" customHeight="1">
      <c r="A44" s="2243"/>
      <c r="B44" s="2250"/>
      <c r="C44" s="1441"/>
      <c r="D44" s="2273" t="s">
        <v>1226</v>
      </c>
      <c r="E44" s="1442"/>
      <c r="F44" s="1442"/>
      <c r="G44" s="2277" t="s">
        <v>4552</v>
      </c>
      <c r="H44" s="1442" t="s">
        <v>116</v>
      </c>
      <c r="I44" s="1444">
        <v>111.04</v>
      </c>
      <c r="J44" s="1445">
        <f>117871*1.3</f>
        <v>153232.30000000002</v>
      </c>
      <c r="K44" s="1446">
        <f>I44*J44</f>
        <v>17014914.592000004</v>
      </c>
      <c r="L44" s="2254"/>
      <c r="M44" s="2243"/>
      <c r="N44" s="2278"/>
    </row>
    <row r="45" spans="1:14" ht="37.799999999999997" customHeight="1">
      <c r="A45" s="2243"/>
      <c r="B45" s="2250"/>
      <c r="C45" s="1441"/>
      <c r="D45" s="2273" t="s">
        <v>1221</v>
      </c>
      <c r="E45" s="1442"/>
      <c r="F45" s="1442"/>
      <c r="G45" s="2277" t="s">
        <v>4469</v>
      </c>
      <c r="H45" s="1442" t="s">
        <v>116</v>
      </c>
      <c r="I45" s="1444">
        <v>106.59</v>
      </c>
      <c r="J45" s="1445">
        <f>886583*1.3</f>
        <v>1152557.9000000001</v>
      </c>
      <c r="K45" s="1446">
        <f>I45*J45</f>
        <v>122851146.56100002</v>
      </c>
      <c r="L45" s="2254"/>
      <c r="M45" s="2243"/>
      <c r="N45" s="2278"/>
    </row>
    <row r="46" spans="1:14" ht="55.2" customHeight="1">
      <c r="A46" s="2243"/>
      <c r="B46" s="2250"/>
      <c r="C46" s="1441"/>
      <c r="D46" s="2273" t="s">
        <v>1222</v>
      </c>
      <c r="E46" s="1442"/>
      <c r="F46" s="1442"/>
      <c r="G46" s="2279" t="s">
        <v>4466</v>
      </c>
      <c r="H46" s="1442" t="s">
        <v>242</v>
      </c>
      <c r="I46" s="1444">
        <v>2115.5</v>
      </c>
      <c r="J46" s="1445">
        <f>5633*1.3</f>
        <v>7322.9000000000005</v>
      </c>
      <c r="K46" s="1446">
        <f>I46*J46</f>
        <v>15491594.950000001</v>
      </c>
      <c r="L46" s="2254"/>
      <c r="M46" s="2243"/>
      <c r="N46" s="2278"/>
    </row>
    <row r="47" spans="1:14" ht="32.4" customHeight="1">
      <c r="A47" s="2243"/>
      <c r="B47" s="2250"/>
      <c r="C47" s="1441"/>
      <c r="D47" s="2273" t="s">
        <v>1223</v>
      </c>
      <c r="E47" s="1442"/>
      <c r="F47" s="1442"/>
      <c r="G47" s="2279" t="s">
        <v>4473</v>
      </c>
      <c r="H47" s="1442" t="s">
        <v>103</v>
      </c>
      <c r="I47" s="1444">
        <v>106</v>
      </c>
      <c r="J47" s="1445">
        <f>76401*1.3</f>
        <v>99321.3</v>
      </c>
      <c r="K47" s="1446">
        <f>I47*J47</f>
        <v>10528057.800000001</v>
      </c>
      <c r="L47" s="2254"/>
      <c r="M47" s="2243"/>
      <c r="N47" s="2278"/>
    </row>
    <row r="48" spans="1:14" ht="32.4" customHeight="1">
      <c r="A48" s="2243"/>
      <c r="B48" s="2250"/>
      <c r="C48" s="1441"/>
      <c r="D48" s="2273" t="s">
        <v>4553</v>
      </c>
      <c r="E48" s="1442"/>
      <c r="F48" s="1442"/>
      <c r="G48" s="2279" t="s">
        <v>4554</v>
      </c>
      <c r="H48" s="1442" t="s">
        <v>228</v>
      </c>
      <c r="I48" s="1444">
        <v>444.14</v>
      </c>
      <c r="J48" s="1445">
        <f>23737*1.3</f>
        <v>30858.100000000002</v>
      </c>
      <c r="K48" s="1446">
        <f>I48*J48</f>
        <v>13705316.534</v>
      </c>
      <c r="L48" s="2254"/>
      <c r="M48" s="2243"/>
      <c r="N48" s="2278"/>
    </row>
    <row r="49" spans="1:14" ht="30" customHeight="1" thickBot="1">
      <c r="A49" s="2243"/>
      <c r="B49" s="2250"/>
      <c r="C49" s="1447" t="s">
        <v>4461</v>
      </c>
      <c r="D49" s="1448"/>
      <c r="E49" s="1448"/>
      <c r="F49" s="1448"/>
      <c r="G49" s="1449"/>
      <c r="H49" s="1448"/>
      <c r="I49" s="1444"/>
      <c r="J49" s="1450"/>
      <c r="K49" s="1451">
        <f>ROUND(SUM(K43:K48),0)</f>
        <v>184698506</v>
      </c>
      <c r="L49" s="2254"/>
      <c r="M49" s="2243"/>
    </row>
    <row r="50" spans="1:14" ht="30" customHeight="1">
      <c r="A50" s="2243"/>
      <c r="B50" s="2250"/>
      <c r="C50" s="1441"/>
      <c r="D50" s="1442">
        <v>1.2</v>
      </c>
      <c r="E50" s="1442"/>
      <c r="F50" s="1442"/>
      <c r="G50" s="2274" t="s">
        <v>4467</v>
      </c>
      <c r="H50" s="2275"/>
      <c r="I50" s="2275"/>
      <c r="J50" s="2276"/>
      <c r="K50" s="1452"/>
      <c r="L50" s="2254"/>
      <c r="M50" s="2243"/>
    </row>
    <row r="51" spans="1:14" ht="76.8" customHeight="1">
      <c r="A51" s="2243"/>
      <c r="B51" s="2250"/>
      <c r="C51" s="1441"/>
      <c r="D51" s="1442" t="s">
        <v>4463</v>
      </c>
      <c r="E51" s="1442"/>
      <c r="F51" s="1442"/>
      <c r="G51" s="1443" t="s">
        <v>4474</v>
      </c>
      <c r="H51" s="1442" t="s">
        <v>116</v>
      </c>
      <c r="I51" s="1444">
        <v>15.9</v>
      </c>
      <c r="J51" s="1445">
        <f>91899*1.3</f>
        <v>119468.7</v>
      </c>
      <c r="K51" s="1446">
        <f>I51*J51</f>
        <v>1899552.33</v>
      </c>
      <c r="L51" s="2254"/>
      <c r="M51" s="2243"/>
      <c r="N51" s="2278"/>
    </row>
    <row r="52" spans="1:14" ht="62.4" customHeight="1">
      <c r="A52" s="2243"/>
      <c r="B52" s="2250"/>
      <c r="C52" s="1441"/>
      <c r="D52" s="1453" t="s">
        <v>4464</v>
      </c>
      <c r="E52" s="1453"/>
      <c r="F52" s="1453"/>
      <c r="G52" s="1454" t="s">
        <v>4475</v>
      </c>
      <c r="H52" s="1453" t="s">
        <v>116</v>
      </c>
      <c r="I52" s="1444">
        <v>10.6</v>
      </c>
      <c r="J52" s="1445">
        <f>638285*1.3</f>
        <v>829770.5</v>
      </c>
      <c r="K52" s="1446">
        <f>I52*J52</f>
        <v>8795567.2999999989</v>
      </c>
      <c r="L52" s="2254"/>
      <c r="M52" s="2243"/>
      <c r="N52" s="2278"/>
    </row>
    <row r="53" spans="1:14" ht="30" customHeight="1">
      <c r="A53" s="2243"/>
      <c r="B53" s="2250"/>
      <c r="C53" s="1441"/>
      <c r="D53" s="1442" t="s">
        <v>1224</v>
      </c>
      <c r="E53" s="1442"/>
      <c r="F53" s="1442"/>
      <c r="G53" s="1443" t="s">
        <v>4468</v>
      </c>
      <c r="H53" s="1442" t="s">
        <v>242</v>
      </c>
      <c r="I53" s="1444">
        <v>408.1</v>
      </c>
      <c r="J53" s="1445">
        <f>5633*1.3</f>
        <v>7322.9000000000005</v>
      </c>
      <c r="K53" s="1446">
        <f>I53*J53</f>
        <v>2988475.49</v>
      </c>
      <c r="L53" s="2254"/>
      <c r="M53" s="2243"/>
      <c r="N53" s="2278"/>
    </row>
    <row r="54" spans="1:14" ht="30" customHeight="1" thickBot="1">
      <c r="A54" s="2243"/>
      <c r="B54" s="2250"/>
      <c r="C54" s="1447" t="s">
        <v>4461</v>
      </c>
      <c r="D54" s="2282"/>
      <c r="E54" s="2283"/>
      <c r="F54" s="2282"/>
      <c r="G54" s="2282"/>
      <c r="H54" s="2282"/>
      <c r="I54" s="1444"/>
      <c r="J54" s="2282"/>
      <c r="K54" s="1451">
        <f>ROUND(SUM(K51:K53),0)</f>
        <v>13683595</v>
      </c>
      <c r="L54" s="2254"/>
      <c r="M54" s="2243"/>
    </row>
    <row r="55" spans="1:14" s="1459" customFormat="1" ht="30" customHeight="1" thickBot="1">
      <c r="A55" s="1455"/>
      <c r="B55" s="1456"/>
      <c r="C55" s="1634" t="s">
        <v>4490</v>
      </c>
      <c r="D55" s="1635"/>
      <c r="E55" s="1635"/>
      <c r="F55" s="1635"/>
      <c r="G55" s="1635"/>
      <c r="H55" s="1635"/>
      <c r="I55" s="1635"/>
      <c r="J55" s="1636"/>
      <c r="K55" s="1457">
        <f>ROUND(K54+K49+K40+K35+K26+K21,0)</f>
        <v>490012057</v>
      </c>
      <c r="L55" s="1458"/>
      <c r="M55" s="1455"/>
    </row>
    <row r="56" spans="1:14" s="1459" customFormat="1" ht="16.2" thickBot="1">
      <c r="A56" s="1455"/>
      <c r="B56" s="1456"/>
      <c r="C56" s="1460"/>
      <c r="D56" s="1460"/>
      <c r="E56" s="1460"/>
      <c r="F56" s="1460"/>
      <c r="G56" s="1460"/>
      <c r="H56" s="1460"/>
      <c r="I56" s="1460"/>
      <c r="J56" s="1460"/>
      <c r="K56" s="1461"/>
      <c r="L56" s="1458"/>
      <c r="M56" s="1455"/>
    </row>
    <row r="57" spans="1:14" s="1459" customFormat="1" ht="30" customHeight="1">
      <c r="A57" s="1455"/>
      <c r="B57" s="1456"/>
      <c r="C57" s="1455"/>
      <c r="D57" s="1462"/>
      <c r="E57" s="1455"/>
      <c r="F57" s="1455"/>
      <c r="G57" s="1637"/>
      <c r="H57" s="1638"/>
      <c r="I57" s="1639"/>
      <c r="J57" s="1463"/>
      <c r="K57" s="1464"/>
      <c r="L57" s="1458"/>
      <c r="M57" s="1455"/>
    </row>
    <row r="58" spans="1:14" s="1459" customFormat="1" ht="30" customHeight="1">
      <c r="A58" s="1455"/>
      <c r="B58" s="1456"/>
      <c r="C58" s="1455"/>
      <c r="D58" s="1462"/>
      <c r="E58" s="1455"/>
      <c r="F58" s="1455"/>
      <c r="G58" s="1465"/>
      <c r="H58" s="1466"/>
      <c r="I58" s="1467"/>
      <c r="J58" s="1468"/>
      <c r="K58" s="1469"/>
      <c r="L58" s="1458"/>
      <c r="M58" s="1455"/>
    </row>
    <row r="59" spans="1:14" s="1459" customFormat="1" ht="30" customHeight="1">
      <c r="A59" s="1455"/>
      <c r="B59" s="1456"/>
      <c r="C59" s="1455"/>
      <c r="D59" s="1470"/>
      <c r="E59" s="1470"/>
      <c r="F59" s="1470"/>
      <c r="G59" s="1465"/>
      <c r="H59" s="1471"/>
      <c r="I59" s="1472"/>
      <c r="J59" s="1473"/>
      <c r="K59" s="1469"/>
      <c r="L59" s="1458"/>
      <c r="M59" s="1455"/>
    </row>
    <row r="60" spans="1:14" s="1459" customFormat="1" ht="30" customHeight="1">
      <c r="A60" s="1455"/>
      <c r="B60" s="1456"/>
      <c r="C60" s="1455"/>
      <c r="D60" s="1470"/>
      <c r="E60" s="1470"/>
      <c r="F60" s="1470"/>
      <c r="G60" s="1474" t="s">
        <v>4491</v>
      </c>
      <c r="H60" s="1471"/>
      <c r="I60" s="1472"/>
      <c r="J60" s="1473"/>
      <c r="K60" s="1475"/>
      <c r="L60" s="1458"/>
      <c r="M60" s="1455"/>
    </row>
    <row r="61" spans="1:14" s="1459" customFormat="1" ht="30" customHeight="1">
      <c r="A61" s="1455"/>
      <c r="B61" s="1456"/>
      <c r="C61" s="1455"/>
      <c r="D61" s="1462"/>
      <c r="E61" s="1455"/>
      <c r="F61" s="1455"/>
      <c r="G61" s="1465"/>
      <c r="H61" s="1465"/>
      <c r="I61" s="1465"/>
      <c r="J61" s="1465"/>
      <c r="K61" s="1469"/>
      <c r="L61" s="1458"/>
      <c r="M61" s="1455"/>
    </row>
    <row r="62" spans="1:14" s="1459" customFormat="1" ht="30" customHeight="1">
      <c r="A62" s="1455"/>
      <c r="B62" s="1456"/>
      <c r="C62" s="1455"/>
      <c r="D62" s="1462"/>
      <c r="E62" s="1455"/>
      <c r="F62" s="1455"/>
      <c r="G62" s="1476"/>
      <c r="H62" s="1471"/>
      <c r="I62" s="1472"/>
      <c r="J62" s="1477"/>
      <c r="K62" s="1469"/>
      <c r="L62" s="1458"/>
      <c r="M62" s="1455"/>
    </row>
    <row r="63" spans="1:14" s="1459" customFormat="1" ht="30" customHeight="1" thickBot="1">
      <c r="A63" s="1455"/>
      <c r="B63" s="1456"/>
      <c r="C63" s="1455"/>
      <c r="D63" s="1462"/>
      <c r="E63" s="1455"/>
      <c r="F63" s="1478"/>
      <c r="G63" s="1476"/>
      <c r="H63" s="1471"/>
      <c r="I63" s="1472"/>
      <c r="J63" s="1477"/>
      <c r="K63" s="1475"/>
      <c r="L63" s="1458"/>
      <c r="M63" s="1455"/>
    </row>
    <row r="64" spans="1:14" s="1459" customFormat="1" ht="30" customHeight="1" thickBot="1">
      <c r="A64" s="1455"/>
      <c r="B64" s="1456"/>
      <c r="C64" s="1455"/>
      <c r="D64" s="1462"/>
      <c r="E64" s="1455"/>
      <c r="F64" s="1455"/>
      <c r="G64" s="1479" t="s">
        <v>1295</v>
      </c>
      <c r="H64" s="1480"/>
      <c r="I64" s="1481"/>
      <c r="J64" s="1482"/>
      <c r="K64" s="1457">
        <f>K55</f>
        <v>490012057</v>
      </c>
      <c r="L64" s="1458"/>
      <c r="M64" s="1455"/>
    </row>
    <row r="65" spans="1:13" s="1459" customFormat="1" ht="16.2" thickBot="1">
      <c r="A65" s="1455"/>
      <c r="B65" s="1456"/>
      <c r="C65" s="1455"/>
      <c r="D65" s="1462"/>
      <c r="E65" s="1462"/>
      <c r="F65" s="1462"/>
      <c r="G65" s="1455"/>
      <c r="H65" s="1455"/>
      <c r="I65" s="1483"/>
      <c r="J65" s="1484"/>
      <c r="K65" s="1485"/>
      <c r="L65" s="1458"/>
      <c r="M65" s="1455"/>
    </row>
    <row r="66" spans="1:13" s="1459" customFormat="1" ht="15.6">
      <c r="A66" s="1455"/>
      <c r="B66" s="1456"/>
      <c r="C66" s="1486"/>
      <c r="D66" s="1640"/>
      <c r="E66" s="1640"/>
      <c r="F66" s="1640"/>
      <c r="G66" s="1640"/>
      <c r="H66" s="1640"/>
      <c r="I66" s="1640"/>
      <c r="J66" s="1640"/>
      <c r="K66" s="1641"/>
      <c r="L66" s="1487"/>
      <c r="M66" s="1455"/>
    </row>
    <row r="67" spans="1:13" s="1459" customFormat="1" ht="46.5" customHeight="1">
      <c r="A67" s="1455"/>
      <c r="B67" s="1456"/>
      <c r="C67" s="2284" t="s">
        <v>4492</v>
      </c>
      <c r="D67" s="2285"/>
      <c r="E67" s="2285"/>
      <c r="F67" s="2285"/>
      <c r="G67" s="2285"/>
      <c r="H67" s="2286" t="s">
        <v>376</v>
      </c>
      <c r="I67" s="2286"/>
      <c r="J67" s="2286"/>
      <c r="K67" s="1488" t="s">
        <v>1323</v>
      </c>
      <c r="L67" s="1489"/>
      <c r="M67" s="1455"/>
    </row>
    <row r="68" spans="1:13" s="1459" customFormat="1" ht="32.25" customHeight="1">
      <c r="A68" s="1455"/>
      <c r="B68" s="1456"/>
      <c r="C68" s="2284" t="s">
        <v>4493</v>
      </c>
      <c r="D68" s="2285"/>
      <c r="E68" s="2285"/>
      <c r="F68" s="2285"/>
      <c r="G68" s="2285"/>
      <c r="H68" s="2287" t="s">
        <v>4494</v>
      </c>
      <c r="I68" s="2287"/>
      <c r="J68" s="1490" t="s">
        <v>4495</v>
      </c>
      <c r="K68" s="1491">
        <v>0.23</v>
      </c>
      <c r="L68" s="1489"/>
      <c r="M68" s="1455"/>
    </row>
    <row r="69" spans="1:13" s="1459" customFormat="1" ht="30" customHeight="1">
      <c r="A69" s="1455"/>
      <c r="B69" s="1456"/>
      <c r="C69" s="2284" t="s">
        <v>4496</v>
      </c>
      <c r="D69" s="2285"/>
      <c r="E69" s="2285"/>
      <c r="F69" s="2285"/>
      <c r="G69" s="2285"/>
      <c r="H69" s="2288" t="s">
        <v>4497</v>
      </c>
      <c r="I69" s="2289"/>
      <c r="J69" s="1490" t="s">
        <v>4498</v>
      </c>
      <c r="K69" s="1491">
        <v>0.02</v>
      </c>
      <c r="L69" s="1489"/>
      <c r="M69" s="1455"/>
    </row>
    <row r="70" spans="1:13" s="1492" customFormat="1" ht="58.5" customHeight="1">
      <c r="A70" s="1455"/>
      <c r="B70" s="1456"/>
      <c r="C70" s="2290"/>
      <c r="D70" s="2291"/>
      <c r="E70" s="2291"/>
      <c r="F70" s="2291"/>
      <c r="G70" s="2292"/>
      <c r="H70" s="2293" t="s">
        <v>4499</v>
      </c>
      <c r="I70" s="2287"/>
      <c r="J70" s="1490" t="s">
        <v>4500</v>
      </c>
      <c r="K70" s="1491">
        <v>0.05</v>
      </c>
      <c r="L70" s="1458"/>
      <c r="M70" s="1455"/>
    </row>
    <row r="71" spans="1:13" ht="39" customHeight="1">
      <c r="A71" s="2243"/>
      <c r="B71" s="2250"/>
      <c r="C71" s="2294"/>
      <c r="D71" s="2295"/>
      <c r="E71" s="2295"/>
      <c r="F71" s="2295"/>
      <c r="G71" s="2296"/>
      <c r="H71" s="2287" t="s">
        <v>4501</v>
      </c>
      <c r="I71" s="2287"/>
      <c r="J71" s="1490" t="s">
        <v>4502</v>
      </c>
      <c r="K71" s="1491">
        <f>SUM(K68:K70)</f>
        <v>0.3</v>
      </c>
      <c r="L71" s="2254"/>
      <c r="M71" s="2243"/>
    </row>
    <row r="72" spans="1:13" ht="47.25" customHeight="1" thickBot="1">
      <c r="A72" s="2243"/>
      <c r="B72" s="2250"/>
      <c r="C72" s="2297"/>
      <c r="D72" s="2298"/>
      <c r="E72" s="2298"/>
      <c r="F72" s="2298"/>
      <c r="G72" s="2299"/>
      <c r="H72" s="2300"/>
      <c r="I72" s="2300"/>
      <c r="J72" s="2300"/>
      <c r="K72" s="2301"/>
      <c r="L72" s="2254"/>
      <c r="M72" s="2243"/>
    </row>
    <row r="73" spans="1:13" ht="16.2" thickBot="1">
      <c r="A73" s="2243"/>
      <c r="B73" s="1493"/>
      <c r="C73" s="2302"/>
      <c r="D73" s="2302"/>
      <c r="E73" s="2303"/>
      <c r="F73" s="2302"/>
      <c r="G73" s="1494"/>
      <c r="H73" s="2302"/>
      <c r="I73" s="2302"/>
      <c r="J73" s="2302"/>
      <c r="K73" s="2302"/>
      <c r="L73" s="2304"/>
      <c r="M73" s="2243"/>
    </row>
    <row r="74" spans="1:13" ht="16.2" thickTop="1">
      <c r="A74" s="2243"/>
      <c r="B74" s="2243"/>
      <c r="C74" s="2243"/>
      <c r="D74" s="2243"/>
      <c r="E74" s="2305"/>
      <c r="F74" s="2243"/>
      <c r="G74" s="2243"/>
      <c r="H74" s="2243"/>
      <c r="I74" s="2243"/>
      <c r="J74" s="2243"/>
      <c r="K74" s="2243"/>
      <c r="L74" s="2243"/>
      <c r="M74" s="2243"/>
    </row>
  </sheetData>
  <mergeCells count="37">
    <mergeCell ref="C70:G72"/>
    <mergeCell ref="H70:I70"/>
    <mergeCell ref="H71:I71"/>
    <mergeCell ref="H72:K72"/>
    <mergeCell ref="C67:G67"/>
    <mergeCell ref="H67:J67"/>
    <mergeCell ref="C68:G68"/>
    <mergeCell ref="H68:I68"/>
    <mergeCell ref="C69:G69"/>
    <mergeCell ref="H69:I69"/>
    <mergeCell ref="C41:K41"/>
    <mergeCell ref="G42:J42"/>
    <mergeCell ref="G50:J50"/>
    <mergeCell ref="C55:J55"/>
    <mergeCell ref="G57:I57"/>
    <mergeCell ref="D66:K66"/>
    <mergeCell ref="C14:K14"/>
    <mergeCell ref="G15:J15"/>
    <mergeCell ref="G22:J22"/>
    <mergeCell ref="C27:K27"/>
    <mergeCell ref="G28:J28"/>
    <mergeCell ref="G36:J36"/>
    <mergeCell ref="C11:K11"/>
    <mergeCell ref="C12:C13"/>
    <mergeCell ref="D12:D13"/>
    <mergeCell ref="E12:F12"/>
    <mergeCell ref="G12:G13"/>
    <mergeCell ref="H12:H13"/>
    <mergeCell ref="I12:I13"/>
    <mergeCell ref="J12:J13"/>
    <mergeCell ref="K12:K13"/>
    <mergeCell ref="B2:L2"/>
    <mergeCell ref="C3:F3"/>
    <mergeCell ref="C6:K6"/>
    <mergeCell ref="C7:K7"/>
    <mergeCell ref="C8:K9"/>
    <mergeCell ref="C10:K1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D9918-8788-4CF0-959C-22DA15137F85}">
  <dimension ref="A1:N76"/>
  <sheetViews>
    <sheetView showGridLines="0" view="pageBreakPreview" topLeftCell="D3" zoomScale="70" zoomScaleNormal="100" zoomScaleSheetLayoutView="70" zoomScalePageLayoutView="145" workbookViewId="0">
      <selection activeCell="H16" sqref="H16"/>
    </sheetView>
  </sheetViews>
  <sheetFormatPr baseColWidth="10" defaultColWidth="11.44140625" defaultRowHeight="13.8"/>
  <cols>
    <col min="1" max="2" width="2.88671875" style="2308" customWidth="1"/>
    <col min="3" max="3" width="11.109375" style="2308" customWidth="1"/>
    <col min="4" max="4" width="22.44140625" style="2308" customWidth="1"/>
    <col min="5" max="5" width="16.109375" style="2339" customWidth="1"/>
    <col min="6" max="6" width="21.5546875" style="2308" customWidth="1"/>
    <col min="7" max="7" width="73.33203125" style="2308" customWidth="1"/>
    <col min="8" max="8" width="8.6640625" style="2308" customWidth="1"/>
    <col min="9" max="9" width="18.88671875" style="2308" customWidth="1"/>
    <col min="10" max="10" width="23.88671875" style="2308" customWidth="1"/>
    <col min="11" max="11" width="30" style="2308" customWidth="1"/>
    <col min="12" max="13" width="2.88671875" style="2308" customWidth="1"/>
    <col min="14" max="16384" width="11.44140625" style="2308"/>
  </cols>
  <sheetData>
    <row r="1" spans="1:14" ht="16.2" thickBot="1">
      <c r="A1" s="2307"/>
      <c r="B1" s="2307"/>
      <c r="C1" s="1497"/>
      <c r="D1" s="1498"/>
      <c r="E1" s="1497"/>
      <c r="F1" s="1498"/>
      <c r="G1" s="2307"/>
      <c r="H1" s="2307"/>
      <c r="I1" s="2307"/>
      <c r="J1" s="2307"/>
      <c r="K1" s="2307"/>
      <c r="L1" s="2307"/>
      <c r="M1" s="2307"/>
    </row>
    <row r="2" spans="1:14" ht="16.2" thickTop="1">
      <c r="A2" s="2307"/>
      <c r="B2" s="2309"/>
      <c r="C2" s="2310"/>
      <c r="D2" s="2310"/>
      <c r="E2" s="2310"/>
      <c r="F2" s="2310"/>
      <c r="G2" s="2310"/>
      <c r="H2" s="2310"/>
      <c r="I2" s="2310"/>
      <c r="J2" s="2310"/>
      <c r="K2" s="2310"/>
      <c r="L2" s="2311"/>
      <c r="M2" s="2307"/>
    </row>
    <row r="3" spans="1:14" ht="33" customHeight="1">
      <c r="A3" s="2307"/>
      <c r="B3" s="2312"/>
      <c r="C3" s="1674" t="s">
        <v>4476</v>
      </c>
      <c r="D3" s="1675"/>
      <c r="E3" s="1675"/>
      <c r="F3" s="1676"/>
      <c r="G3" s="2307"/>
      <c r="H3" s="2307"/>
      <c r="I3" s="2307"/>
      <c r="J3" s="2307"/>
      <c r="K3" s="2307"/>
      <c r="L3" s="2313"/>
      <c r="M3" s="2307"/>
    </row>
    <row r="4" spans="1:14" ht="15.6">
      <c r="A4" s="2307"/>
      <c r="B4" s="2312"/>
      <c r="C4" s="1499" t="s">
        <v>4477</v>
      </c>
      <c r="D4" s="1500" t="s">
        <v>4478</v>
      </c>
      <c r="E4" s="1501" t="s">
        <v>4479</v>
      </c>
      <c r="F4" s="1502">
        <v>2</v>
      </c>
      <c r="G4" s="2307"/>
      <c r="H4" s="2307"/>
      <c r="I4" s="2307"/>
      <c r="J4" s="2307"/>
      <c r="K4" s="2307"/>
      <c r="L4" s="2313"/>
      <c r="M4" s="2307"/>
    </row>
    <row r="5" spans="1:14" ht="16.2" thickBot="1">
      <c r="A5" s="2307"/>
      <c r="B5" s="2312"/>
      <c r="C5" s="1497"/>
      <c r="D5" s="1503"/>
      <c r="E5" s="1497"/>
      <c r="F5" s="1498"/>
      <c r="G5" s="2307"/>
      <c r="H5" s="2307"/>
      <c r="I5" s="2307"/>
      <c r="J5" s="2307"/>
      <c r="K5" s="2307"/>
      <c r="L5" s="2313"/>
      <c r="M5" s="2307"/>
    </row>
    <row r="6" spans="1:14" ht="31.5" customHeight="1">
      <c r="A6" s="2307"/>
      <c r="B6" s="2312"/>
      <c r="C6" s="2314" t="s">
        <v>4480</v>
      </c>
      <c r="D6" s="2315"/>
      <c r="E6" s="2315"/>
      <c r="F6" s="2315"/>
      <c r="G6" s="2315"/>
      <c r="H6" s="2315"/>
      <c r="I6" s="2315"/>
      <c r="J6" s="2315"/>
      <c r="K6" s="2316"/>
      <c r="L6" s="2313"/>
      <c r="M6" s="2307"/>
    </row>
    <row r="7" spans="1:14" ht="15.6">
      <c r="A7" s="2307"/>
      <c r="B7" s="2312"/>
      <c r="C7" s="2317" t="s">
        <v>4504</v>
      </c>
      <c r="D7" s="2318"/>
      <c r="E7" s="2318"/>
      <c r="F7" s="2318"/>
      <c r="G7" s="2318"/>
      <c r="H7" s="2318"/>
      <c r="I7" s="2318"/>
      <c r="J7" s="2318"/>
      <c r="K7" s="2319"/>
      <c r="L7" s="2313"/>
      <c r="M7" s="2307"/>
    </row>
    <row r="8" spans="1:14" s="2324" customFormat="1" ht="15.6">
      <c r="A8" s="2320"/>
      <c r="B8" s="2321"/>
      <c r="C8" s="2322" t="s">
        <v>4505</v>
      </c>
      <c r="D8" s="2322"/>
      <c r="E8" s="2322"/>
      <c r="F8" s="2322"/>
      <c r="G8" s="2322"/>
      <c r="H8" s="2322"/>
      <c r="I8" s="2322"/>
      <c r="J8" s="2322"/>
      <c r="K8" s="2322"/>
      <c r="L8" s="2323"/>
      <c r="M8" s="2320"/>
    </row>
    <row r="9" spans="1:14" ht="55.5" customHeight="1">
      <c r="A9" s="2307"/>
      <c r="B9" s="2312"/>
      <c r="C9" s="2322"/>
      <c r="D9" s="2322"/>
      <c r="E9" s="2322"/>
      <c r="F9" s="2322"/>
      <c r="G9" s="2322"/>
      <c r="H9" s="2322"/>
      <c r="I9" s="2322"/>
      <c r="J9" s="2322"/>
      <c r="K9" s="2322"/>
      <c r="L9" s="2313"/>
      <c r="M9" s="2307"/>
    </row>
    <row r="10" spans="1:14" ht="34.5" customHeight="1">
      <c r="A10" s="2307"/>
      <c r="B10" s="2312"/>
      <c r="C10" s="2325" t="s">
        <v>4506</v>
      </c>
      <c r="D10" s="2326"/>
      <c r="E10" s="2326"/>
      <c r="F10" s="2326"/>
      <c r="G10" s="2326"/>
      <c r="H10" s="2326"/>
      <c r="I10" s="2326"/>
      <c r="J10" s="2326"/>
      <c r="K10" s="2327"/>
      <c r="L10" s="2313"/>
      <c r="M10" s="2307"/>
    </row>
    <row r="11" spans="1:14" ht="30" customHeight="1" thickBot="1">
      <c r="A11" s="2307"/>
      <c r="B11" s="2312"/>
      <c r="C11" s="1663"/>
      <c r="D11" s="1664"/>
      <c r="E11" s="1664"/>
      <c r="F11" s="1664"/>
      <c r="G11" s="1664"/>
      <c r="H11" s="1664"/>
      <c r="I11" s="1664"/>
      <c r="J11" s="1664"/>
      <c r="K11" s="1665"/>
      <c r="L11" s="2313"/>
      <c r="M11" s="2307"/>
    </row>
    <row r="12" spans="1:14" ht="30" customHeight="1">
      <c r="A12" s="2307"/>
      <c r="B12" s="2312"/>
      <c r="C12" s="1666" t="s">
        <v>4484</v>
      </c>
      <c r="D12" s="1668" t="s">
        <v>4485</v>
      </c>
      <c r="E12" s="1649" t="s">
        <v>4486</v>
      </c>
      <c r="F12" s="1649"/>
      <c r="G12" s="1666" t="s">
        <v>376</v>
      </c>
      <c r="H12" s="1668" t="s">
        <v>2526</v>
      </c>
      <c r="I12" s="1668" t="s">
        <v>673</v>
      </c>
      <c r="J12" s="1670" t="s">
        <v>1293</v>
      </c>
      <c r="K12" s="1672" t="s">
        <v>4487</v>
      </c>
      <c r="L12" s="2313"/>
      <c r="M12" s="2307"/>
    </row>
    <row r="13" spans="1:14" ht="30" customHeight="1" thickBot="1">
      <c r="A13" s="2307"/>
      <c r="B13" s="2312"/>
      <c r="C13" s="1667"/>
      <c r="D13" s="1669"/>
      <c r="E13" s="1440" t="s">
        <v>4488</v>
      </c>
      <c r="F13" s="1440" t="s">
        <v>4489</v>
      </c>
      <c r="G13" s="1667"/>
      <c r="H13" s="1669"/>
      <c r="I13" s="1669"/>
      <c r="J13" s="1671"/>
      <c r="K13" s="1673"/>
      <c r="L13" s="2313"/>
      <c r="M13" s="2307"/>
    </row>
    <row r="14" spans="1:14" ht="30" customHeight="1" thickBot="1">
      <c r="A14" s="2307"/>
      <c r="B14" s="2312"/>
      <c r="C14" s="1631" t="s">
        <v>4470</v>
      </c>
      <c r="D14" s="1632"/>
      <c r="E14" s="1632"/>
      <c r="F14" s="1632"/>
      <c r="G14" s="1632"/>
      <c r="H14" s="1632"/>
      <c r="I14" s="1632"/>
      <c r="J14" s="1632"/>
      <c r="K14" s="1633"/>
      <c r="L14" s="2313"/>
      <c r="M14" s="2307"/>
    </row>
    <row r="15" spans="1:14" ht="15.6">
      <c r="A15" s="2307"/>
      <c r="B15" s="2312"/>
      <c r="C15" s="1441"/>
      <c r="D15" s="2328">
        <v>1.1000000000000001</v>
      </c>
      <c r="E15" s="1442"/>
      <c r="F15" s="1442"/>
      <c r="G15" s="2329" t="s">
        <v>4465</v>
      </c>
      <c r="H15" s="2330"/>
      <c r="I15" s="2330"/>
      <c r="J15" s="2331"/>
      <c r="K15" s="1446"/>
      <c r="L15" s="2313"/>
      <c r="M15" s="2307"/>
    </row>
    <row r="16" spans="1:14" ht="38.4" customHeight="1">
      <c r="A16" s="2307"/>
      <c r="B16" s="2312"/>
      <c r="C16" s="1441"/>
      <c r="D16" s="2328" t="s">
        <v>4462</v>
      </c>
      <c r="E16" s="1442"/>
      <c r="F16" s="1442"/>
      <c r="G16" s="2277" t="s">
        <v>4472</v>
      </c>
      <c r="H16" s="1442" t="s">
        <v>116</v>
      </c>
      <c r="I16" s="1495">
        <v>203.84</v>
      </c>
      <c r="J16" s="1445"/>
      <c r="K16" s="1496"/>
      <c r="L16" s="2313"/>
      <c r="M16" s="2307"/>
      <c r="N16" s="2332"/>
    </row>
    <row r="17" spans="1:14" ht="42.6" customHeight="1">
      <c r="A17" s="2307"/>
      <c r="B17" s="2312"/>
      <c r="C17" s="1441"/>
      <c r="D17" s="2328" t="s">
        <v>1226</v>
      </c>
      <c r="E17" s="1442"/>
      <c r="F17" s="1442"/>
      <c r="G17" s="2277" t="s">
        <v>4550</v>
      </c>
      <c r="H17" s="1442" t="s">
        <v>116</v>
      </c>
      <c r="I17" s="1495">
        <v>104</v>
      </c>
      <c r="J17" s="1445"/>
      <c r="K17" s="1496"/>
      <c r="L17" s="2313"/>
      <c r="M17" s="2307"/>
      <c r="N17" s="2332"/>
    </row>
    <row r="18" spans="1:14" ht="40.799999999999997" customHeight="1">
      <c r="A18" s="2307"/>
      <c r="B18" s="2312"/>
      <c r="C18" s="1441"/>
      <c r="D18" s="2328" t="s">
        <v>1221</v>
      </c>
      <c r="E18" s="1442"/>
      <c r="F18" s="1442"/>
      <c r="G18" s="2277" t="s">
        <v>4469</v>
      </c>
      <c r="H18" s="1442" t="s">
        <v>116</v>
      </c>
      <c r="I18" s="1495">
        <v>99.84</v>
      </c>
      <c r="J18" s="1445"/>
      <c r="K18" s="1496"/>
      <c r="L18" s="2313"/>
      <c r="M18" s="2307"/>
      <c r="N18" s="2332"/>
    </row>
    <row r="19" spans="1:14" ht="67.2" customHeight="1">
      <c r="A19" s="2307"/>
      <c r="B19" s="2312"/>
      <c r="C19" s="1441"/>
      <c r="D19" s="2328" t="s">
        <v>1222</v>
      </c>
      <c r="E19" s="1442"/>
      <c r="F19" s="1442"/>
      <c r="G19" s="2279" t="s">
        <v>4466</v>
      </c>
      <c r="H19" s="1442" t="s">
        <v>242</v>
      </c>
      <c r="I19" s="1495">
        <v>2075.58</v>
      </c>
      <c r="J19" s="1445"/>
      <c r="K19" s="1496"/>
      <c r="L19" s="2313"/>
      <c r="M19" s="2307"/>
      <c r="N19" s="2332"/>
    </row>
    <row r="20" spans="1:14" ht="30" customHeight="1">
      <c r="A20" s="2307"/>
      <c r="B20" s="2312"/>
      <c r="C20" s="1441"/>
      <c r="D20" s="2328" t="s">
        <v>1223</v>
      </c>
      <c r="E20" s="1442"/>
      <c r="F20" s="1442"/>
      <c r="G20" s="2279" t="s">
        <v>4473</v>
      </c>
      <c r="H20" s="1442" t="s">
        <v>103</v>
      </c>
      <c r="I20" s="1495">
        <v>208</v>
      </c>
      <c r="J20" s="1445"/>
      <c r="K20" s="1496"/>
      <c r="L20" s="2313"/>
      <c r="M20" s="2307"/>
      <c r="N20" s="2332"/>
    </row>
    <row r="21" spans="1:14" ht="30" customHeight="1" thickBot="1">
      <c r="A21" s="2307"/>
      <c r="B21" s="2312"/>
      <c r="C21" s="1447" t="s">
        <v>4461</v>
      </c>
      <c r="D21" s="1448"/>
      <c r="E21" s="1448"/>
      <c r="F21" s="1448"/>
      <c r="G21" s="1449"/>
      <c r="H21" s="1448"/>
      <c r="I21" s="1444"/>
      <c r="J21" s="1450"/>
      <c r="K21" s="1451"/>
      <c r="L21" s="2313"/>
      <c r="M21" s="2307"/>
      <c r="N21" s="2332"/>
    </row>
    <row r="22" spans="1:14" ht="30" customHeight="1">
      <c r="A22" s="2307"/>
      <c r="B22" s="2312"/>
      <c r="C22" s="1441"/>
      <c r="D22" s="1442">
        <v>1.2</v>
      </c>
      <c r="E22" s="1442"/>
      <c r="F22" s="1442"/>
      <c r="G22" s="2329" t="s">
        <v>4467</v>
      </c>
      <c r="H22" s="2330"/>
      <c r="I22" s="2330"/>
      <c r="J22" s="2331"/>
      <c r="K22" s="1452"/>
      <c r="L22" s="2313"/>
      <c r="M22" s="2307"/>
      <c r="N22" s="2332"/>
    </row>
    <row r="23" spans="1:14" ht="81.599999999999994" customHeight="1">
      <c r="A23" s="2307"/>
      <c r="B23" s="2312"/>
      <c r="C23" s="1441"/>
      <c r="D23" s="1442" t="s">
        <v>4463</v>
      </c>
      <c r="E23" s="1442"/>
      <c r="F23" s="1442"/>
      <c r="G23" s="1443" t="s">
        <v>4474</v>
      </c>
      <c r="H23" s="1442" t="s">
        <v>116</v>
      </c>
      <c r="I23" s="1495">
        <v>31.2</v>
      </c>
      <c r="J23" s="1445"/>
      <c r="K23" s="1446"/>
      <c r="L23" s="2313"/>
      <c r="M23" s="2307"/>
      <c r="N23" s="2332"/>
    </row>
    <row r="24" spans="1:14" ht="63.6" customHeight="1">
      <c r="A24" s="2307"/>
      <c r="B24" s="2312"/>
      <c r="C24" s="1441"/>
      <c r="D24" s="1453" t="s">
        <v>4464</v>
      </c>
      <c r="E24" s="1453"/>
      <c r="F24" s="1453"/>
      <c r="G24" s="1454" t="s">
        <v>4475</v>
      </c>
      <c r="H24" s="1453" t="s">
        <v>116</v>
      </c>
      <c r="I24" s="1495">
        <v>20.8</v>
      </c>
      <c r="J24" s="1445"/>
      <c r="K24" s="1446"/>
      <c r="L24" s="2313"/>
      <c r="M24" s="2307"/>
      <c r="N24" s="2332"/>
    </row>
    <row r="25" spans="1:14" ht="31.2">
      <c r="A25" s="2307"/>
      <c r="B25" s="2312"/>
      <c r="C25" s="1441"/>
      <c r="D25" s="1442" t="s">
        <v>1224</v>
      </c>
      <c r="E25" s="1442"/>
      <c r="F25" s="1442"/>
      <c r="G25" s="1443" t="s">
        <v>4468</v>
      </c>
      <c r="H25" s="1442" t="s">
        <v>242</v>
      </c>
      <c r="I25" s="1495">
        <v>800.8</v>
      </c>
      <c r="J25" s="1445"/>
      <c r="K25" s="1446"/>
      <c r="L25" s="2313"/>
      <c r="M25" s="2307"/>
      <c r="N25" s="2332"/>
    </row>
    <row r="26" spans="1:14" ht="30" customHeight="1" thickBot="1">
      <c r="A26" s="2307"/>
      <c r="B26" s="2312"/>
      <c r="C26" s="1447" t="s">
        <v>4461</v>
      </c>
      <c r="D26" s="2282"/>
      <c r="E26" s="2283"/>
      <c r="F26" s="2282"/>
      <c r="G26" s="2282"/>
      <c r="H26" s="2282"/>
      <c r="I26" s="1444"/>
      <c r="J26" s="2282"/>
      <c r="K26" s="1451"/>
      <c r="L26" s="2313"/>
      <c r="M26" s="2307"/>
      <c r="N26" s="2332"/>
    </row>
    <row r="27" spans="1:14" ht="30" customHeight="1" thickBot="1">
      <c r="A27" s="2307"/>
      <c r="B27" s="2312"/>
      <c r="C27" s="1631" t="s">
        <v>4551</v>
      </c>
      <c r="D27" s="1632"/>
      <c r="E27" s="1632"/>
      <c r="F27" s="1632"/>
      <c r="G27" s="1632"/>
      <c r="H27" s="1632"/>
      <c r="I27" s="1632"/>
      <c r="J27" s="1632"/>
      <c r="K27" s="1633"/>
      <c r="L27" s="2313"/>
      <c r="M27" s="2307"/>
      <c r="N27" s="2332"/>
    </row>
    <row r="28" spans="1:14" ht="30" customHeight="1">
      <c r="A28" s="2307"/>
      <c r="B28" s="2312"/>
      <c r="C28" s="1441"/>
      <c r="D28" s="2328">
        <v>1.1000000000000001</v>
      </c>
      <c r="E28" s="1442"/>
      <c r="F28" s="1442"/>
      <c r="G28" s="2329" t="s">
        <v>4465</v>
      </c>
      <c r="H28" s="2330"/>
      <c r="I28" s="2330"/>
      <c r="J28" s="2331"/>
      <c r="K28" s="1446"/>
      <c r="L28" s="2313"/>
      <c r="M28" s="2307"/>
      <c r="N28" s="2332"/>
    </row>
    <row r="29" spans="1:14" ht="36.6" customHeight="1">
      <c r="A29" s="2307"/>
      <c r="B29" s="2312"/>
      <c r="C29" s="1441"/>
      <c r="D29" s="2328" t="s">
        <v>4462</v>
      </c>
      <c r="E29" s="1442"/>
      <c r="F29" s="1442"/>
      <c r="G29" s="2277" t="s">
        <v>4472</v>
      </c>
      <c r="H29" s="1442" t="s">
        <v>116</v>
      </c>
      <c r="I29" s="1495">
        <v>83.3</v>
      </c>
      <c r="J29" s="1445"/>
      <c r="K29" s="1446"/>
      <c r="L29" s="2313"/>
      <c r="M29" s="2307"/>
      <c r="N29" s="2332"/>
    </row>
    <row r="30" spans="1:14" ht="34.200000000000003" customHeight="1">
      <c r="A30" s="2307"/>
      <c r="B30" s="2312"/>
      <c r="C30" s="1441"/>
      <c r="D30" s="2328" t="s">
        <v>1226</v>
      </c>
      <c r="E30" s="1442"/>
      <c r="F30" s="1442"/>
      <c r="G30" s="2277" t="s">
        <v>4552</v>
      </c>
      <c r="H30" s="1442" t="s">
        <v>116</v>
      </c>
      <c r="I30" s="1495">
        <v>61.25</v>
      </c>
      <c r="J30" s="1445"/>
      <c r="K30" s="1446"/>
      <c r="L30" s="2313"/>
      <c r="M30" s="2307"/>
      <c r="N30" s="2332"/>
    </row>
    <row r="31" spans="1:14" ht="62.4" customHeight="1">
      <c r="A31" s="2307"/>
      <c r="B31" s="2312"/>
      <c r="C31" s="1441"/>
      <c r="D31" s="2328" t="s">
        <v>1221</v>
      </c>
      <c r="E31" s="1442"/>
      <c r="F31" s="1442"/>
      <c r="G31" s="2277" t="s">
        <v>4469</v>
      </c>
      <c r="H31" s="1442" t="s">
        <v>116</v>
      </c>
      <c r="I31" s="1495">
        <v>53.04</v>
      </c>
      <c r="J31" s="1445"/>
      <c r="K31" s="1446"/>
      <c r="L31" s="2313"/>
      <c r="M31" s="2307"/>
      <c r="N31" s="2332"/>
    </row>
    <row r="32" spans="1:14" ht="59.4" customHeight="1">
      <c r="A32" s="2307"/>
      <c r="B32" s="2312"/>
      <c r="C32" s="1441"/>
      <c r="D32" s="2328" t="s">
        <v>1222</v>
      </c>
      <c r="E32" s="1442"/>
      <c r="F32" s="1442"/>
      <c r="G32" s="2279" t="s">
        <v>4466</v>
      </c>
      <c r="H32" s="1442" t="s">
        <v>242</v>
      </c>
      <c r="I32" s="1495">
        <v>999.39</v>
      </c>
      <c r="J32" s="1445"/>
      <c r="K32" s="1446"/>
      <c r="L32" s="2313"/>
      <c r="M32" s="2307"/>
      <c r="N32" s="2332"/>
    </row>
    <row r="33" spans="1:14" ht="30" customHeight="1">
      <c r="A33" s="2307"/>
      <c r="B33" s="2312"/>
      <c r="C33" s="1441"/>
      <c r="D33" s="2328" t="s">
        <v>1223</v>
      </c>
      <c r="E33" s="1442"/>
      <c r="F33" s="1442"/>
      <c r="G33" s="2279" t="s">
        <v>4473</v>
      </c>
      <c r="H33" s="1442" t="s">
        <v>103</v>
      </c>
      <c r="I33" s="1495">
        <v>50</v>
      </c>
      <c r="J33" s="1445"/>
      <c r="K33" s="1446"/>
      <c r="L33" s="2313"/>
      <c r="M33" s="2307"/>
      <c r="N33" s="2332"/>
    </row>
    <row r="34" spans="1:14" ht="43.2" customHeight="1">
      <c r="A34" s="2307"/>
      <c r="B34" s="2312"/>
      <c r="C34" s="1441"/>
      <c r="D34" s="2328" t="s">
        <v>4553</v>
      </c>
      <c r="E34" s="1442"/>
      <c r="F34" s="1442"/>
      <c r="G34" s="2279" t="s">
        <v>4554</v>
      </c>
      <c r="H34" s="1442" t="s">
        <v>228</v>
      </c>
      <c r="I34" s="1495">
        <v>175</v>
      </c>
      <c r="J34" s="1445"/>
      <c r="K34" s="1446"/>
      <c r="L34" s="2313"/>
      <c r="M34" s="2307"/>
      <c r="N34" s="2332"/>
    </row>
    <row r="35" spans="1:14" ht="30" customHeight="1" thickBot="1">
      <c r="A35" s="2307"/>
      <c r="B35" s="2312"/>
      <c r="C35" s="1447" t="s">
        <v>4461</v>
      </c>
      <c r="D35" s="1448"/>
      <c r="E35" s="1448"/>
      <c r="F35" s="1448"/>
      <c r="G35" s="1449"/>
      <c r="H35" s="1448"/>
      <c r="I35" s="1444"/>
      <c r="J35" s="1450"/>
      <c r="K35" s="1451"/>
      <c r="L35" s="2313"/>
      <c r="M35" s="2307"/>
      <c r="N35" s="2332"/>
    </row>
    <row r="36" spans="1:14" ht="30" customHeight="1">
      <c r="A36" s="2307"/>
      <c r="B36" s="2312"/>
      <c r="C36" s="1441"/>
      <c r="D36" s="1442">
        <v>1.2</v>
      </c>
      <c r="E36" s="1442"/>
      <c r="F36" s="1442"/>
      <c r="G36" s="2329" t="s">
        <v>4467</v>
      </c>
      <c r="H36" s="2330"/>
      <c r="I36" s="2330"/>
      <c r="J36" s="2331"/>
      <c r="K36" s="1452"/>
      <c r="L36" s="2313"/>
      <c r="M36" s="2307"/>
      <c r="N36" s="2332"/>
    </row>
    <row r="37" spans="1:14" ht="83.4" customHeight="1">
      <c r="A37" s="2307"/>
      <c r="B37" s="2312"/>
      <c r="C37" s="1441"/>
      <c r="D37" s="1442" t="s">
        <v>4463</v>
      </c>
      <c r="E37" s="1442"/>
      <c r="F37" s="1442"/>
      <c r="G37" s="1443" t="s">
        <v>4474</v>
      </c>
      <c r="H37" s="1442" t="s">
        <v>116</v>
      </c>
      <c r="I37" s="1495">
        <v>0</v>
      </c>
      <c r="J37" s="1445"/>
      <c r="K37" s="1446"/>
      <c r="L37" s="2313"/>
      <c r="M37" s="2307"/>
      <c r="N37" s="2332"/>
    </row>
    <row r="38" spans="1:14" ht="66" customHeight="1">
      <c r="A38" s="2307"/>
      <c r="B38" s="2312"/>
      <c r="C38" s="1441"/>
      <c r="D38" s="1453" t="s">
        <v>4464</v>
      </c>
      <c r="E38" s="1453"/>
      <c r="F38" s="1453"/>
      <c r="G38" s="1454" t="s">
        <v>4475</v>
      </c>
      <c r="H38" s="1453" t="s">
        <v>116</v>
      </c>
      <c r="I38" s="1495">
        <v>0</v>
      </c>
      <c r="J38" s="1445"/>
      <c r="K38" s="1446"/>
      <c r="L38" s="2313"/>
      <c r="M38" s="2307"/>
      <c r="N38" s="2332"/>
    </row>
    <row r="39" spans="1:14" ht="37.799999999999997" customHeight="1">
      <c r="A39" s="2307"/>
      <c r="B39" s="2312"/>
      <c r="C39" s="1441"/>
      <c r="D39" s="1442" t="s">
        <v>1224</v>
      </c>
      <c r="E39" s="1442"/>
      <c r="F39" s="1442"/>
      <c r="G39" s="1443" t="s">
        <v>4468</v>
      </c>
      <c r="H39" s="1442" t="s">
        <v>242</v>
      </c>
      <c r="I39" s="1495">
        <v>0</v>
      </c>
      <c r="J39" s="1445"/>
      <c r="K39" s="1446"/>
      <c r="L39" s="2313"/>
      <c r="M39" s="2307"/>
      <c r="N39" s="2332"/>
    </row>
    <row r="40" spans="1:14" ht="30" customHeight="1" thickBot="1">
      <c r="A40" s="2307"/>
      <c r="B40" s="2312"/>
      <c r="C40" s="1447" t="s">
        <v>4461</v>
      </c>
      <c r="D40" s="2282"/>
      <c r="E40" s="2283"/>
      <c r="F40" s="2282"/>
      <c r="G40" s="2282"/>
      <c r="H40" s="2282"/>
      <c r="I40" s="1444"/>
      <c r="J40" s="2282"/>
      <c r="K40" s="1451"/>
      <c r="L40" s="2313"/>
      <c r="M40" s="2307"/>
      <c r="N40" s="2332"/>
    </row>
    <row r="41" spans="1:14" ht="30" customHeight="1" thickBot="1">
      <c r="A41" s="2307"/>
      <c r="B41" s="2312"/>
      <c r="C41" s="1631" t="s">
        <v>4471</v>
      </c>
      <c r="D41" s="1632"/>
      <c r="E41" s="1632"/>
      <c r="F41" s="1632"/>
      <c r="G41" s="1632"/>
      <c r="H41" s="1632"/>
      <c r="I41" s="1632"/>
      <c r="J41" s="1632"/>
      <c r="K41" s="1633"/>
      <c r="L41" s="2313"/>
      <c r="M41" s="2307"/>
      <c r="N41" s="2332"/>
    </row>
    <row r="42" spans="1:14" ht="30" customHeight="1">
      <c r="A42" s="2307"/>
      <c r="B42" s="2312"/>
      <c r="C42" s="1441"/>
      <c r="D42" s="2328">
        <v>1.1000000000000001</v>
      </c>
      <c r="E42" s="1442"/>
      <c r="F42" s="1442"/>
      <c r="G42" s="2329" t="s">
        <v>4465</v>
      </c>
      <c r="H42" s="2330"/>
      <c r="I42" s="2330"/>
      <c r="J42" s="2331"/>
      <c r="K42" s="1446"/>
      <c r="L42" s="2313"/>
      <c r="M42" s="2307"/>
      <c r="N42" s="2332"/>
    </row>
    <row r="43" spans="1:14" ht="37.799999999999997" customHeight="1">
      <c r="A43" s="2307"/>
      <c r="B43" s="2312"/>
      <c r="C43" s="1441"/>
      <c r="D43" s="2328" t="s">
        <v>4462</v>
      </c>
      <c r="E43" s="1442"/>
      <c r="F43" s="1442"/>
      <c r="G43" s="2277" t="s">
        <v>4472</v>
      </c>
      <c r="H43" s="1442" t="s">
        <v>116</v>
      </c>
      <c r="I43" s="1495">
        <v>151.01</v>
      </c>
      <c r="J43" s="1445"/>
      <c r="K43" s="1446"/>
      <c r="L43" s="2313"/>
      <c r="M43" s="2307"/>
      <c r="N43" s="2332"/>
    </row>
    <row r="44" spans="1:14" ht="38.4" customHeight="1">
      <c r="A44" s="2307"/>
      <c r="B44" s="2312"/>
      <c r="C44" s="1441"/>
      <c r="D44" s="2328" t="s">
        <v>1226</v>
      </c>
      <c r="E44" s="1442"/>
      <c r="F44" s="1442"/>
      <c r="G44" s="2277" t="s">
        <v>4552</v>
      </c>
      <c r="H44" s="1442" t="s">
        <v>116</v>
      </c>
      <c r="I44" s="1495">
        <v>111.04</v>
      </c>
      <c r="J44" s="1445"/>
      <c r="K44" s="1446"/>
      <c r="L44" s="2313"/>
      <c r="M44" s="2307"/>
      <c r="N44" s="2332"/>
    </row>
    <row r="45" spans="1:14" ht="49.2" customHeight="1">
      <c r="A45" s="2307"/>
      <c r="B45" s="2312"/>
      <c r="C45" s="1441"/>
      <c r="D45" s="2328" t="s">
        <v>1221</v>
      </c>
      <c r="E45" s="1442"/>
      <c r="F45" s="1442"/>
      <c r="G45" s="2277" t="s">
        <v>4469</v>
      </c>
      <c r="H45" s="1442" t="s">
        <v>116</v>
      </c>
      <c r="I45" s="1495">
        <v>106.59</v>
      </c>
      <c r="J45" s="1445"/>
      <c r="K45" s="1446"/>
      <c r="L45" s="2313"/>
      <c r="M45" s="2307"/>
      <c r="N45" s="2332"/>
    </row>
    <row r="46" spans="1:14" ht="59.4" customHeight="1">
      <c r="A46" s="2307"/>
      <c r="B46" s="2312"/>
      <c r="C46" s="1441"/>
      <c r="D46" s="2328" t="s">
        <v>1222</v>
      </c>
      <c r="E46" s="1442"/>
      <c r="F46" s="1442"/>
      <c r="G46" s="2279" t="s">
        <v>4466</v>
      </c>
      <c r="H46" s="1442" t="s">
        <v>242</v>
      </c>
      <c r="I46" s="1495">
        <v>2115.5</v>
      </c>
      <c r="J46" s="1445"/>
      <c r="K46" s="1446"/>
      <c r="L46" s="2313"/>
      <c r="M46" s="2307"/>
      <c r="N46" s="2332"/>
    </row>
    <row r="47" spans="1:14" ht="30" customHeight="1">
      <c r="A47" s="2307"/>
      <c r="B47" s="2312"/>
      <c r="C47" s="1441"/>
      <c r="D47" s="2328" t="s">
        <v>1223</v>
      </c>
      <c r="E47" s="1442"/>
      <c r="F47" s="1442"/>
      <c r="G47" s="2279" t="s">
        <v>4473</v>
      </c>
      <c r="H47" s="1442" t="s">
        <v>103</v>
      </c>
      <c r="I47" s="1495">
        <v>106</v>
      </c>
      <c r="J47" s="1445"/>
      <c r="K47" s="1446"/>
      <c r="L47" s="2313"/>
      <c r="M47" s="2307"/>
      <c r="N47" s="2332"/>
    </row>
    <row r="48" spans="1:14" ht="39.6" customHeight="1">
      <c r="A48" s="2307"/>
      <c r="B48" s="2312"/>
      <c r="C48" s="1441"/>
      <c r="D48" s="2328" t="s">
        <v>1223</v>
      </c>
      <c r="E48" s="1442"/>
      <c r="F48" s="1442"/>
      <c r="G48" s="2279" t="s">
        <v>4554</v>
      </c>
      <c r="H48" s="1442" t="s">
        <v>228</v>
      </c>
      <c r="I48" s="1495">
        <v>444.14</v>
      </c>
      <c r="J48" s="1445"/>
      <c r="K48" s="1446"/>
      <c r="L48" s="2313"/>
      <c r="M48" s="2307"/>
      <c r="N48" s="2332"/>
    </row>
    <row r="49" spans="1:14" ht="30" customHeight="1" thickBot="1">
      <c r="A49" s="2307"/>
      <c r="B49" s="2312"/>
      <c r="C49" s="1447" t="s">
        <v>4461</v>
      </c>
      <c r="D49" s="1448"/>
      <c r="E49" s="1448"/>
      <c r="F49" s="1448"/>
      <c r="G49" s="1449"/>
      <c r="H49" s="1448"/>
      <c r="I49" s="1444"/>
      <c r="J49" s="1450"/>
      <c r="K49" s="1451"/>
      <c r="L49" s="2313"/>
      <c r="M49" s="2307"/>
      <c r="N49" s="2332"/>
    </row>
    <row r="50" spans="1:14" ht="30" customHeight="1">
      <c r="A50" s="2307"/>
      <c r="B50" s="2312"/>
      <c r="C50" s="1441"/>
      <c r="D50" s="1442">
        <v>1.2</v>
      </c>
      <c r="E50" s="1442"/>
      <c r="F50" s="1442"/>
      <c r="G50" s="2329" t="s">
        <v>4467</v>
      </c>
      <c r="H50" s="2330"/>
      <c r="I50" s="2330"/>
      <c r="J50" s="2331"/>
      <c r="K50" s="1452"/>
      <c r="L50" s="2313"/>
      <c r="M50" s="2307"/>
      <c r="N50" s="2332"/>
    </row>
    <row r="51" spans="1:14" ht="84" customHeight="1">
      <c r="A51" s="2307"/>
      <c r="B51" s="2312"/>
      <c r="C51" s="1441"/>
      <c r="D51" s="1442" t="s">
        <v>4463</v>
      </c>
      <c r="E51" s="1442"/>
      <c r="F51" s="1442"/>
      <c r="G51" s="1443" t="s">
        <v>4474</v>
      </c>
      <c r="H51" s="1442" t="s">
        <v>116</v>
      </c>
      <c r="I51" s="1495">
        <v>15.9</v>
      </c>
      <c r="J51" s="1445"/>
      <c r="K51" s="1446"/>
      <c r="L51" s="2313"/>
      <c r="M51" s="2307"/>
      <c r="N51" s="2332"/>
    </row>
    <row r="52" spans="1:14" ht="67.2" customHeight="1">
      <c r="A52" s="2307"/>
      <c r="B52" s="2312"/>
      <c r="C52" s="1441"/>
      <c r="D52" s="1453" t="s">
        <v>4464</v>
      </c>
      <c r="E52" s="1453"/>
      <c r="F52" s="1453"/>
      <c r="G52" s="1454" t="s">
        <v>4475</v>
      </c>
      <c r="H52" s="1453" t="s">
        <v>116</v>
      </c>
      <c r="I52" s="1495">
        <v>10.6</v>
      </c>
      <c r="J52" s="1445"/>
      <c r="K52" s="1446"/>
      <c r="L52" s="2313"/>
      <c r="M52" s="2307"/>
      <c r="N52" s="2332"/>
    </row>
    <row r="53" spans="1:14" ht="43.8" customHeight="1">
      <c r="A53" s="2307"/>
      <c r="B53" s="2312"/>
      <c r="C53" s="1441"/>
      <c r="D53" s="1442" t="s">
        <v>1224</v>
      </c>
      <c r="E53" s="1442"/>
      <c r="F53" s="1442"/>
      <c r="G53" s="1443" t="s">
        <v>4468</v>
      </c>
      <c r="H53" s="1442" t="s">
        <v>242</v>
      </c>
      <c r="I53" s="1495">
        <v>408.1</v>
      </c>
      <c r="J53" s="1445"/>
      <c r="K53" s="1446"/>
      <c r="L53" s="2313"/>
      <c r="M53" s="2307"/>
      <c r="N53" s="2332"/>
    </row>
    <row r="54" spans="1:14" ht="30" customHeight="1" thickBot="1">
      <c r="A54" s="2307"/>
      <c r="B54" s="2312"/>
      <c r="C54" s="1447" t="s">
        <v>4461</v>
      </c>
      <c r="D54" s="2282"/>
      <c r="E54" s="2283"/>
      <c r="F54" s="2282"/>
      <c r="G54" s="2282"/>
      <c r="H54" s="2282"/>
      <c r="I54" s="1444"/>
      <c r="J54" s="2282"/>
      <c r="K54" s="1451"/>
      <c r="L54" s="2313"/>
      <c r="M54" s="2307"/>
    </row>
    <row r="55" spans="1:14" ht="30" customHeight="1" thickBot="1">
      <c r="A55" s="2307"/>
      <c r="B55" s="2312"/>
      <c r="C55" s="1634" t="s">
        <v>4490</v>
      </c>
      <c r="D55" s="1635"/>
      <c r="E55" s="1635"/>
      <c r="F55" s="1635"/>
      <c r="G55" s="1635"/>
      <c r="H55" s="1635"/>
      <c r="I55" s="1635"/>
      <c r="J55" s="1636"/>
      <c r="K55" s="1457"/>
      <c r="L55" s="2313"/>
      <c r="M55" s="2307"/>
    </row>
    <row r="56" spans="1:14" s="1459" customFormat="1" ht="16.2" thickBot="1">
      <c r="A56" s="1455"/>
      <c r="B56" s="1456"/>
      <c r="C56" s="1460"/>
      <c r="D56" s="1460"/>
      <c r="E56" s="1460"/>
      <c r="F56" s="1460"/>
      <c r="G56" s="1460"/>
      <c r="H56" s="1460"/>
      <c r="I56" s="1460"/>
      <c r="J56" s="1460"/>
      <c r="K56" s="1461"/>
      <c r="L56" s="1458"/>
      <c r="M56" s="1455"/>
    </row>
    <row r="57" spans="1:14" s="1459" customFormat="1" ht="30" customHeight="1">
      <c r="A57" s="1455"/>
      <c r="B57" s="1456"/>
      <c r="C57" s="1455"/>
      <c r="D57" s="1462"/>
      <c r="E57" s="1455"/>
      <c r="F57" s="1455"/>
      <c r="G57" s="1637"/>
      <c r="H57" s="1638"/>
      <c r="I57" s="1639"/>
      <c r="J57" s="1463"/>
      <c r="K57" s="1464"/>
      <c r="L57" s="1458"/>
      <c r="M57" s="1455"/>
    </row>
    <row r="58" spans="1:14" s="1459" customFormat="1" ht="30" customHeight="1">
      <c r="A58" s="1455"/>
      <c r="B58" s="1456"/>
      <c r="C58" s="1455"/>
      <c r="D58" s="1462"/>
      <c r="E58" s="1455"/>
      <c r="F58" s="1455"/>
      <c r="G58" s="1465"/>
      <c r="H58" s="1466"/>
      <c r="I58" s="1467"/>
      <c r="J58" s="1468"/>
      <c r="K58" s="1469"/>
      <c r="L58" s="1458"/>
      <c r="M58" s="1455"/>
    </row>
    <row r="59" spans="1:14" s="1459" customFormat="1" ht="30" customHeight="1">
      <c r="A59" s="1455"/>
      <c r="B59" s="1456"/>
      <c r="C59" s="1455"/>
      <c r="D59" s="1470"/>
      <c r="E59" s="1470"/>
      <c r="F59" s="1470"/>
      <c r="G59" s="1465"/>
      <c r="H59" s="1471"/>
      <c r="I59" s="1472"/>
      <c r="J59" s="1473"/>
      <c r="K59" s="1469"/>
      <c r="L59" s="1458"/>
      <c r="M59" s="1455"/>
    </row>
    <row r="60" spans="1:14" s="1459" customFormat="1" ht="30" customHeight="1">
      <c r="A60" s="1455"/>
      <c r="B60" s="1456"/>
      <c r="C60" s="1455"/>
      <c r="D60" s="1470"/>
      <c r="E60" s="1470"/>
      <c r="F60" s="1470"/>
      <c r="G60" s="1474" t="s">
        <v>4491</v>
      </c>
      <c r="H60" s="1471"/>
      <c r="I60" s="1472"/>
      <c r="J60" s="1473"/>
      <c r="K60" s="1475"/>
      <c r="L60" s="1458"/>
      <c r="M60" s="1455"/>
    </row>
    <row r="61" spans="1:14" s="1459" customFormat="1" ht="30" customHeight="1">
      <c r="A61" s="1455"/>
      <c r="B61" s="1456"/>
      <c r="C61" s="1455"/>
      <c r="D61" s="1462"/>
      <c r="E61" s="1455"/>
      <c r="F61" s="1455"/>
      <c r="G61" s="1476"/>
      <c r="H61" s="1471"/>
      <c r="I61" s="1472"/>
      <c r="J61" s="1477"/>
      <c r="K61" s="1469"/>
      <c r="L61" s="1458"/>
      <c r="M61" s="1455"/>
    </row>
    <row r="62" spans="1:14" s="1459" customFormat="1" ht="30" customHeight="1">
      <c r="A62" s="1455"/>
      <c r="B62" s="1456"/>
      <c r="C62" s="1455"/>
      <c r="D62" s="1462"/>
      <c r="E62" s="1455"/>
      <c r="F62" s="1455"/>
      <c r="G62" s="1476"/>
      <c r="H62" s="1471"/>
      <c r="I62" s="1472"/>
      <c r="J62" s="1477"/>
      <c r="K62" s="1469"/>
      <c r="L62" s="1458"/>
      <c r="M62" s="1455"/>
    </row>
    <row r="63" spans="1:14" s="1459" customFormat="1" ht="30" customHeight="1" thickBot="1">
      <c r="A63" s="1455"/>
      <c r="B63" s="1456"/>
      <c r="C63" s="1455"/>
      <c r="D63" s="1462"/>
      <c r="E63" s="1455"/>
      <c r="F63" s="1455"/>
      <c r="G63" s="1505"/>
      <c r="H63" s="1471"/>
      <c r="I63" s="1472"/>
      <c r="J63" s="1477"/>
      <c r="K63" s="1475"/>
      <c r="L63" s="1458"/>
      <c r="M63" s="1455"/>
    </row>
    <row r="64" spans="1:14" s="1459" customFormat="1" ht="30" customHeight="1" thickBot="1">
      <c r="A64" s="1455"/>
      <c r="B64" s="1456"/>
      <c r="C64" s="1455"/>
      <c r="D64" s="1462"/>
      <c r="E64" s="1455"/>
      <c r="F64" s="1455"/>
      <c r="G64" s="1479" t="s">
        <v>1295</v>
      </c>
      <c r="H64" s="1480"/>
      <c r="I64" s="1481"/>
      <c r="J64" s="1482"/>
      <c r="K64" s="1504"/>
      <c r="L64" s="1458"/>
      <c r="M64" s="1455"/>
    </row>
    <row r="65" spans="1:13" s="1459" customFormat="1" ht="16.2" thickBot="1">
      <c r="A65" s="1455"/>
      <c r="B65" s="1456"/>
      <c r="C65" s="1455"/>
      <c r="D65" s="1462"/>
      <c r="E65" s="1462"/>
      <c r="F65" s="1462"/>
      <c r="G65" s="1455"/>
      <c r="H65" s="1455"/>
      <c r="I65" s="1483"/>
      <c r="J65" s="1484"/>
      <c r="K65" s="1485"/>
      <c r="L65" s="1458"/>
      <c r="M65" s="1455"/>
    </row>
    <row r="66" spans="1:13" s="1459" customFormat="1" ht="15.6">
      <c r="A66" s="1455"/>
      <c r="B66" s="1456"/>
      <c r="C66" s="1486"/>
      <c r="D66" s="1640"/>
      <c r="E66" s="1640"/>
      <c r="F66" s="1640"/>
      <c r="G66" s="1640"/>
      <c r="H66" s="1640"/>
      <c r="I66" s="1640"/>
      <c r="J66" s="1640"/>
      <c r="K66" s="1641"/>
      <c r="L66" s="1487"/>
      <c r="M66" s="1455"/>
    </row>
    <row r="67" spans="1:13" s="1459" customFormat="1" ht="46.5" customHeight="1">
      <c r="A67" s="1455"/>
      <c r="B67" s="1456"/>
      <c r="C67" s="2284" t="s">
        <v>4492</v>
      </c>
      <c r="D67" s="2285"/>
      <c r="E67" s="2285"/>
      <c r="F67" s="2285"/>
      <c r="G67" s="2285"/>
      <c r="H67" s="2286" t="s">
        <v>376</v>
      </c>
      <c r="I67" s="2286"/>
      <c r="J67" s="2286"/>
      <c r="K67" s="1488" t="s">
        <v>1323</v>
      </c>
      <c r="L67" s="1489"/>
      <c r="M67" s="1455"/>
    </row>
    <row r="68" spans="1:13" s="1459" customFormat="1" ht="32.25" customHeight="1">
      <c r="A68" s="1455"/>
      <c r="B68" s="1456"/>
      <c r="C68" s="2284" t="s">
        <v>4493</v>
      </c>
      <c r="D68" s="2285"/>
      <c r="E68" s="2285"/>
      <c r="F68" s="2285"/>
      <c r="G68" s="2285"/>
      <c r="H68" s="2287" t="s">
        <v>4494</v>
      </c>
      <c r="I68" s="2287"/>
      <c r="J68" s="1490" t="s">
        <v>4495</v>
      </c>
      <c r="K68" s="1491" t="s">
        <v>4507</v>
      </c>
      <c r="L68" s="1489"/>
      <c r="M68" s="1455"/>
    </row>
    <row r="69" spans="1:13" s="1459" customFormat="1" ht="30" customHeight="1">
      <c r="A69" s="1455"/>
      <c r="B69" s="1456"/>
      <c r="C69" s="2284" t="s">
        <v>4496</v>
      </c>
      <c r="D69" s="2285"/>
      <c r="E69" s="2285"/>
      <c r="F69" s="2285"/>
      <c r="G69" s="2285"/>
      <c r="H69" s="2288" t="s">
        <v>4497</v>
      </c>
      <c r="I69" s="2289"/>
      <c r="J69" s="1490" t="s">
        <v>4498</v>
      </c>
      <c r="K69" s="1491" t="s">
        <v>4507</v>
      </c>
      <c r="L69" s="1489"/>
      <c r="M69" s="1455"/>
    </row>
    <row r="70" spans="1:13" s="1492" customFormat="1" ht="58.5" customHeight="1">
      <c r="A70" s="1455"/>
      <c r="B70" s="1456"/>
      <c r="C70" s="1654"/>
      <c r="D70" s="1655"/>
      <c r="E70" s="1655"/>
      <c r="F70" s="1655"/>
      <c r="G70" s="1656"/>
      <c r="H70" s="2293" t="s">
        <v>4499</v>
      </c>
      <c r="I70" s="2287"/>
      <c r="J70" s="1490" t="s">
        <v>4500</v>
      </c>
      <c r="K70" s="1491" t="s">
        <v>4507</v>
      </c>
      <c r="L70" s="1458"/>
      <c r="M70" s="1455"/>
    </row>
    <row r="71" spans="1:13" ht="39" customHeight="1">
      <c r="A71" s="2307"/>
      <c r="B71" s="2312"/>
      <c r="C71" s="1657"/>
      <c r="D71" s="1658"/>
      <c r="E71" s="1658"/>
      <c r="F71" s="1658"/>
      <c r="G71" s="1659"/>
      <c r="H71" s="2287" t="s">
        <v>4501</v>
      </c>
      <c r="I71" s="2287"/>
      <c r="J71" s="1490" t="s">
        <v>4502</v>
      </c>
      <c r="K71" s="1491" t="s">
        <v>4507</v>
      </c>
      <c r="L71" s="2313"/>
      <c r="M71" s="2307"/>
    </row>
    <row r="72" spans="1:13" ht="47.25" customHeight="1" thickBot="1">
      <c r="A72" s="2307"/>
      <c r="B72" s="2312"/>
      <c r="C72" s="1660"/>
      <c r="D72" s="1661"/>
      <c r="E72" s="1661"/>
      <c r="F72" s="1661"/>
      <c r="G72" s="1662"/>
      <c r="H72" s="2300"/>
      <c r="I72" s="2300"/>
      <c r="J72" s="2300"/>
      <c r="K72" s="2301"/>
      <c r="L72" s="2313"/>
      <c r="M72" s="2307"/>
    </row>
    <row r="73" spans="1:13" ht="47.25" customHeight="1">
      <c r="A73" s="2307"/>
      <c r="B73" s="2312"/>
      <c r="C73" s="2333"/>
      <c r="D73" s="2333"/>
      <c r="E73" s="2333"/>
      <c r="F73" s="2333"/>
      <c r="G73" s="2333"/>
      <c r="H73" s="2333"/>
      <c r="I73" s="2333"/>
      <c r="J73" s="2333"/>
      <c r="K73" s="2333"/>
      <c r="L73" s="2313"/>
      <c r="M73" s="2307"/>
    </row>
    <row r="74" spans="1:13" ht="47.25" customHeight="1">
      <c r="A74" s="2307"/>
      <c r="B74" s="2312"/>
      <c r="C74" s="2333"/>
      <c r="D74" s="2333"/>
      <c r="E74" s="2333"/>
      <c r="F74" s="2333"/>
      <c r="G74" s="2334" t="s">
        <v>4508</v>
      </c>
      <c r="H74" s="2333"/>
      <c r="I74" s="2333"/>
      <c r="J74" s="2333"/>
      <c r="K74" s="2333"/>
      <c r="L74" s="2313"/>
      <c r="M74" s="2307"/>
    </row>
    <row r="75" spans="1:13" ht="16.2" thickBot="1">
      <c r="A75" s="2307"/>
      <c r="B75" s="1493"/>
      <c r="C75" s="2335"/>
      <c r="D75" s="2335"/>
      <c r="E75" s="2336"/>
      <c r="F75" s="2335"/>
      <c r="G75" s="1494"/>
      <c r="H75" s="2335"/>
      <c r="I75" s="2335"/>
      <c r="J75" s="2335"/>
      <c r="K75" s="2335"/>
      <c r="L75" s="2337"/>
      <c r="M75" s="2307"/>
    </row>
    <row r="76" spans="1:13" ht="16.2" thickTop="1">
      <c r="A76" s="2307"/>
      <c r="B76" s="2307"/>
      <c r="C76" s="2307"/>
      <c r="D76" s="2307"/>
      <c r="E76" s="2338"/>
      <c r="F76" s="2307"/>
      <c r="G76" s="2307"/>
      <c r="H76" s="2307"/>
      <c r="I76" s="2307"/>
      <c r="J76" s="2307"/>
      <c r="K76" s="2307"/>
      <c r="L76" s="2307"/>
      <c r="M76" s="2307"/>
    </row>
  </sheetData>
  <mergeCells count="37">
    <mergeCell ref="C70:G72"/>
    <mergeCell ref="H70:I70"/>
    <mergeCell ref="H71:I71"/>
    <mergeCell ref="H72:K72"/>
    <mergeCell ref="C67:G67"/>
    <mergeCell ref="H67:J67"/>
    <mergeCell ref="C68:G68"/>
    <mergeCell ref="H68:I68"/>
    <mergeCell ref="C69:G69"/>
    <mergeCell ref="H69:I69"/>
    <mergeCell ref="C41:K41"/>
    <mergeCell ref="G42:J42"/>
    <mergeCell ref="G50:J50"/>
    <mergeCell ref="C55:J55"/>
    <mergeCell ref="G57:I57"/>
    <mergeCell ref="D66:K66"/>
    <mergeCell ref="C14:K14"/>
    <mergeCell ref="G15:J15"/>
    <mergeCell ref="G22:J22"/>
    <mergeCell ref="C27:K27"/>
    <mergeCell ref="G28:J28"/>
    <mergeCell ref="G36:J36"/>
    <mergeCell ref="C11:K11"/>
    <mergeCell ref="C12:C13"/>
    <mergeCell ref="D12:D13"/>
    <mergeCell ref="E12:F12"/>
    <mergeCell ref="G12:G13"/>
    <mergeCell ref="H12:H13"/>
    <mergeCell ref="I12:I13"/>
    <mergeCell ref="J12:J13"/>
    <mergeCell ref="K12:K13"/>
    <mergeCell ref="B2:L2"/>
    <mergeCell ref="C3:F3"/>
    <mergeCell ref="C6:K6"/>
    <mergeCell ref="C7:K7"/>
    <mergeCell ref="C8:K9"/>
    <mergeCell ref="C10:K10"/>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FE766-4C61-4C61-A6E4-5EBA2AB24E92}">
  <dimension ref="B1:P94"/>
  <sheetViews>
    <sheetView showGridLines="0" view="pageBreakPreview" topLeftCell="A4" zoomScale="80" zoomScaleNormal="80" zoomScaleSheetLayoutView="80" zoomScalePageLayoutView="85" workbookViewId="0">
      <selection activeCell="E5" sqref="E5"/>
    </sheetView>
  </sheetViews>
  <sheetFormatPr baseColWidth="10" defaultColWidth="11.44140625" defaultRowHeight="13.8"/>
  <cols>
    <col min="1" max="2" width="3.109375" style="1506" customWidth="1"/>
    <col min="3" max="3" width="14.6640625" style="1506" customWidth="1"/>
    <col min="4" max="4" width="15.5546875" style="1506" customWidth="1"/>
    <col min="5" max="11" width="11.44140625" style="1506"/>
    <col min="12" max="12" width="12.88671875" style="1506" customWidth="1"/>
    <col min="13" max="14" width="11.44140625" style="1506"/>
    <col min="15" max="15" width="13" style="1506" customWidth="1"/>
    <col min="16" max="17" width="3.109375" style="1506" customWidth="1"/>
    <col min="18" max="16384" width="11.44140625" style="1506"/>
  </cols>
  <sheetData>
    <row r="1" spans="2:16" ht="14.4" thickBot="1"/>
    <row r="2" spans="2:16" ht="25.5" customHeight="1" thickTop="1">
      <c r="B2" s="1761"/>
      <c r="C2" s="1762"/>
      <c r="D2" s="1762"/>
      <c r="E2" s="1762"/>
      <c r="F2" s="1762"/>
      <c r="G2" s="1762"/>
      <c r="H2" s="1762"/>
      <c r="I2" s="1762"/>
      <c r="J2" s="1762"/>
      <c r="K2" s="1762"/>
      <c r="L2" s="1762"/>
      <c r="M2" s="1762"/>
      <c r="N2" s="1762"/>
      <c r="O2" s="1762"/>
      <c r="P2" s="1763"/>
    </row>
    <row r="3" spans="2:16" ht="25.5" customHeight="1">
      <c r="B3" s="1507"/>
      <c r="C3" s="1764" t="s">
        <v>4509</v>
      </c>
      <c r="D3" s="1765"/>
      <c r="E3" s="1765"/>
      <c r="F3" s="1766"/>
      <c r="P3" s="1508"/>
    </row>
    <row r="4" spans="2:16" ht="25.5" customHeight="1">
      <c r="B4" s="1507"/>
      <c r="C4" s="1509" t="s">
        <v>4477</v>
      </c>
      <c r="D4" s="1510" t="s">
        <v>4478</v>
      </c>
      <c r="E4" s="1509" t="s">
        <v>4479</v>
      </c>
      <c r="F4" s="1510">
        <v>3</v>
      </c>
      <c r="P4" s="1508"/>
    </row>
    <row r="5" spans="2:16" ht="25.5" customHeight="1">
      <c r="B5" s="1507"/>
      <c r="C5" s="1497"/>
      <c r="D5" s="1498"/>
      <c r="E5" s="1497"/>
      <c r="F5" s="1498"/>
      <c r="P5" s="1508"/>
    </row>
    <row r="6" spans="2:16" ht="36.75" customHeight="1">
      <c r="B6" s="1511"/>
      <c r="C6" s="1767" t="s">
        <v>4510</v>
      </c>
      <c r="D6" s="1767"/>
      <c r="E6" s="1767"/>
      <c r="F6" s="1767"/>
      <c r="G6" s="1767"/>
      <c r="H6" s="1767"/>
      <c r="I6" s="1767"/>
      <c r="J6" s="1767"/>
      <c r="K6" s="1767"/>
      <c r="L6" s="1767"/>
      <c r="M6" s="1767"/>
      <c r="N6" s="1767"/>
      <c r="O6" s="1767"/>
      <c r="P6" s="1508"/>
    </row>
    <row r="7" spans="2:16" ht="14.4" thickBot="1">
      <c r="B7" s="1511"/>
      <c r="P7" s="1508"/>
    </row>
    <row r="8" spans="2:16">
      <c r="B8" s="1511"/>
      <c r="C8" s="1768"/>
      <c r="D8" s="1770"/>
      <c r="E8" s="1771"/>
      <c r="F8" s="1771"/>
      <c r="G8" s="1771"/>
      <c r="H8" s="1771"/>
      <c r="I8" s="1771"/>
      <c r="J8" s="1771"/>
      <c r="K8" s="1772"/>
      <c r="L8" s="1773"/>
      <c r="M8" s="1774"/>
      <c r="N8" s="1774"/>
      <c r="O8" s="1775"/>
      <c r="P8" s="1508"/>
    </row>
    <row r="9" spans="2:16">
      <c r="B9" s="1511"/>
      <c r="C9" s="1769"/>
      <c r="D9" s="1751" t="s">
        <v>4511</v>
      </c>
      <c r="E9" s="1752"/>
      <c r="F9" s="1752"/>
      <c r="G9" s="1752"/>
      <c r="H9" s="1752"/>
      <c r="I9" s="1752"/>
      <c r="J9" s="1752"/>
      <c r="K9" s="1753"/>
      <c r="L9" s="1776"/>
      <c r="M9" s="1777"/>
      <c r="N9" s="1777"/>
      <c r="O9" s="1778"/>
      <c r="P9" s="1508"/>
    </row>
    <row r="10" spans="2:16">
      <c r="B10" s="1511"/>
      <c r="C10" s="1769"/>
      <c r="D10" s="1779"/>
      <c r="E10" s="1780"/>
      <c r="F10" s="1780"/>
      <c r="G10" s="1780"/>
      <c r="H10" s="1780"/>
      <c r="I10" s="1780"/>
      <c r="J10" s="1780"/>
      <c r="K10" s="1781"/>
      <c r="L10" s="1757" t="s">
        <v>4512</v>
      </c>
      <c r="M10" s="1783"/>
      <c r="N10" s="1784"/>
      <c r="O10" s="1785"/>
      <c r="P10" s="1508"/>
    </row>
    <row r="11" spans="2:16">
      <c r="B11" s="1511"/>
      <c r="C11" s="1769"/>
      <c r="D11" s="1751" t="s">
        <v>4513</v>
      </c>
      <c r="E11" s="1752"/>
      <c r="F11" s="1752"/>
      <c r="G11" s="1752"/>
      <c r="H11" s="1752"/>
      <c r="I11" s="1752"/>
      <c r="J11" s="1752"/>
      <c r="K11" s="1753"/>
      <c r="L11" s="1782"/>
      <c r="M11" s="1786"/>
      <c r="N11" s="1787"/>
      <c r="O11" s="1788"/>
      <c r="P11" s="1508"/>
    </row>
    <row r="12" spans="2:16" ht="12.75" customHeight="1">
      <c r="B12" s="1511"/>
      <c r="C12" s="1769"/>
      <c r="D12" s="1754"/>
      <c r="E12" s="1755"/>
      <c r="F12" s="1755"/>
      <c r="G12" s="1755"/>
      <c r="H12" s="1755"/>
      <c r="I12" s="1755"/>
      <c r="J12" s="1755"/>
      <c r="K12" s="1756"/>
      <c r="L12" s="1757" t="s">
        <v>4514</v>
      </c>
      <c r="M12" s="1757">
        <v>1</v>
      </c>
      <c r="N12" s="1757" t="s">
        <v>4515</v>
      </c>
      <c r="O12" s="1759">
        <v>1</v>
      </c>
      <c r="P12" s="1508"/>
    </row>
    <row r="13" spans="2:16">
      <c r="B13" s="1511"/>
      <c r="C13" s="1769"/>
      <c r="D13" s="1754"/>
      <c r="E13" s="1755"/>
      <c r="F13" s="1755"/>
      <c r="G13" s="1755"/>
      <c r="H13" s="1755"/>
      <c r="I13" s="1755"/>
      <c r="J13" s="1755"/>
      <c r="K13" s="1756"/>
      <c r="L13" s="1758"/>
      <c r="M13" s="1758"/>
      <c r="N13" s="1758"/>
      <c r="O13" s="1760"/>
      <c r="P13" s="1508"/>
    </row>
    <row r="14" spans="2:16">
      <c r="B14" s="1511"/>
      <c r="C14" s="1769"/>
      <c r="D14" s="1751" t="s">
        <v>4516</v>
      </c>
      <c r="E14" s="1752"/>
      <c r="F14" s="1752"/>
      <c r="G14" s="1752"/>
      <c r="H14" s="1752"/>
      <c r="I14" s="1752"/>
      <c r="J14" s="1752"/>
      <c r="K14" s="1753"/>
      <c r="L14" s="1758"/>
      <c r="M14" s="1758"/>
      <c r="N14" s="1758"/>
      <c r="O14" s="1760"/>
      <c r="P14" s="1508"/>
    </row>
    <row r="15" spans="2:16" ht="14.4" thickBot="1">
      <c r="B15" s="1511"/>
      <c r="C15" s="1513"/>
      <c r="D15" s="1514"/>
      <c r="E15" s="1514"/>
      <c r="F15" s="1514"/>
      <c r="G15" s="1514"/>
      <c r="H15" s="1514"/>
      <c r="I15" s="1514"/>
      <c r="J15" s="1514"/>
      <c r="K15" s="1514"/>
      <c r="L15" s="1514"/>
      <c r="M15" s="1515"/>
      <c r="N15" s="1515"/>
      <c r="O15" s="1516"/>
      <c r="P15" s="1508"/>
    </row>
    <row r="16" spans="2:16">
      <c r="B16" s="1511"/>
      <c r="C16" s="1517"/>
      <c r="D16" s="1518"/>
      <c r="E16" s="1518"/>
      <c r="F16" s="1518"/>
      <c r="G16" s="1518"/>
      <c r="H16" s="1518"/>
      <c r="I16" s="1518"/>
      <c r="J16" s="1518"/>
      <c r="K16" s="1518"/>
      <c r="L16" s="1519" t="s">
        <v>4517</v>
      </c>
      <c r="M16" s="1520" t="s">
        <v>4518</v>
      </c>
      <c r="N16" s="1520" t="s">
        <v>4519</v>
      </c>
      <c r="O16" s="1521" t="s">
        <v>4520</v>
      </c>
      <c r="P16" s="1508"/>
    </row>
    <row r="17" spans="2:16">
      <c r="B17" s="1511"/>
      <c r="C17" s="1522"/>
      <c r="D17" s="1512"/>
      <c r="E17" s="1512"/>
      <c r="F17" s="1512"/>
      <c r="G17" s="1512"/>
      <c r="H17" s="1512"/>
      <c r="I17" s="1512"/>
      <c r="J17" s="1512"/>
      <c r="K17" s="1512"/>
      <c r="L17" s="1523"/>
      <c r="M17" s="1524"/>
      <c r="N17" s="1524"/>
      <c r="O17" s="1525"/>
      <c r="P17" s="1508"/>
    </row>
    <row r="18" spans="2:16" ht="18" customHeight="1">
      <c r="B18" s="1511"/>
      <c r="C18" s="1738" t="s">
        <v>4521</v>
      </c>
      <c r="D18" s="1739"/>
      <c r="E18" s="1739"/>
      <c r="F18" s="1739"/>
      <c r="G18" s="1512"/>
      <c r="H18" s="1512"/>
      <c r="I18" s="1512" t="s">
        <v>4522</v>
      </c>
      <c r="K18" s="1512"/>
      <c r="L18" s="1523"/>
      <c r="O18" s="1526"/>
      <c r="P18" s="1508"/>
    </row>
    <row r="19" spans="2:16">
      <c r="B19" s="1511"/>
      <c r="C19" s="1527"/>
      <c r="D19" s="1528"/>
      <c r="E19" s="1528"/>
      <c r="F19" s="1528"/>
      <c r="G19" s="1528"/>
      <c r="H19" s="1528"/>
      <c r="I19" s="1528"/>
      <c r="J19" s="1528"/>
      <c r="K19" s="1528"/>
      <c r="L19" s="1528"/>
      <c r="M19" s="1528"/>
      <c r="N19" s="1528"/>
      <c r="O19" s="1529"/>
      <c r="P19" s="1508"/>
    </row>
    <row r="20" spans="2:16" ht="14.4" thickBot="1">
      <c r="B20" s="1511"/>
      <c r="C20" s="1530"/>
      <c r="D20" s="1531"/>
      <c r="E20" s="1531"/>
      <c r="F20" s="1531"/>
      <c r="G20" s="1531"/>
      <c r="H20" s="1531"/>
      <c r="I20" s="1531"/>
      <c r="J20" s="1531"/>
      <c r="K20" s="1531"/>
      <c r="L20" s="1531"/>
      <c r="M20" s="1531"/>
      <c r="N20" s="1531"/>
      <c r="O20" s="1532"/>
      <c r="P20" s="1508"/>
    </row>
    <row r="21" spans="2:16" ht="14.4" thickBot="1">
      <c r="B21" s="1511"/>
      <c r="C21" s="1533"/>
      <c r="D21" s="1534"/>
      <c r="E21" s="1534"/>
      <c r="F21" s="1534"/>
      <c r="G21" s="1534"/>
      <c r="H21" s="1534"/>
      <c r="K21" s="1534"/>
      <c r="L21" s="1534"/>
      <c r="M21" s="1534"/>
      <c r="N21" s="1534"/>
      <c r="O21" s="1535"/>
      <c r="P21" s="1508"/>
    </row>
    <row r="22" spans="2:16">
      <c r="B22" s="1511"/>
      <c r="C22" s="1740" t="s">
        <v>4523</v>
      </c>
      <c r="D22" s="1741"/>
      <c r="E22" s="1741"/>
      <c r="F22" s="1741"/>
      <c r="G22" s="1741"/>
      <c r="H22" s="1741"/>
      <c r="I22" s="1741"/>
      <c r="J22" s="1741"/>
      <c r="K22" s="1741"/>
      <c r="L22" s="1741"/>
      <c r="M22" s="1741"/>
      <c r="N22" s="1741"/>
      <c r="O22" s="1742"/>
      <c r="P22" s="1508"/>
    </row>
    <row r="23" spans="2:16" ht="14.4" thickBot="1">
      <c r="B23" s="1511"/>
      <c r="C23" s="1536"/>
      <c r="O23" s="1537"/>
      <c r="P23" s="1508"/>
    </row>
    <row r="24" spans="2:16">
      <c r="B24" s="1511"/>
      <c r="C24" s="1538" t="s">
        <v>375</v>
      </c>
      <c r="D24" s="1743" t="s">
        <v>1218</v>
      </c>
      <c r="E24" s="1744"/>
      <c r="F24" s="1744"/>
      <c r="G24" s="1744"/>
      <c r="H24" s="1744"/>
      <c r="I24" s="1744"/>
      <c r="J24" s="1744"/>
      <c r="K24" s="1744"/>
      <c r="L24" s="1745"/>
      <c r="M24" s="1746" t="s">
        <v>1219</v>
      </c>
      <c r="N24" s="1747"/>
      <c r="O24" s="1538" t="s">
        <v>673</v>
      </c>
      <c r="P24" s="1508"/>
    </row>
    <row r="25" spans="2:16" ht="14.4" thickBot="1">
      <c r="B25" s="1511"/>
      <c r="C25" s="1539"/>
      <c r="D25" s="1748"/>
      <c r="E25" s="1749"/>
      <c r="F25" s="1749"/>
      <c r="G25" s="1749"/>
      <c r="H25" s="1749"/>
      <c r="I25" s="1749"/>
      <c r="J25" s="1749"/>
      <c r="K25" s="1749"/>
      <c r="L25" s="1750"/>
      <c r="M25" s="1748"/>
      <c r="N25" s="1750"/>
      <c r="O25" s="1540"/>
      <c r="P25" s="1508"/>
    </row>
    <row r="26" spans="2:16">
      <c r="B26" s="1511"/>
      <c r="C26" s="1699" t="s">
        <v>1555</v>
      </c>
      <c r="D26" s="1700"/>
      <c r="E26" s="1700"/>
      <c r="F26" s="1700"/>
      <c r="G26" s="1700"/>
      <c r="H26" s="1700"/>
      <c r="I26" s="1700"/>
      <c r="J26" s="1700"/>
      <c r="K26" s="1700"/>
      <c r="L26" s="1700"/>
      <c r="M26" s="1700"/>
      <c r="N26" s="1700"/>
      <c r="O26" s="1701"/>
      <c r="P26" s="1508"/>
    </row>
    <row r="27" spans="2:16">
      <c r="B27" s="1511"/>
      <c r="C27" s="1702"/>
      <c r="D27" s="1703"/>
      <c r="E27" s="1703"/>
      <c r="F27" s="1703"/>
      <c r="G27" s="1703"/>
      <c r="H27" s="1703"/>
      <c r="I27" s="1703"/>
      <c r="J27" s="1703"/>
      <c r="K27" s="1703"/>
      <c r="L27" s="1703"/>
      <c r="M27" s="1703"/>
      <c r="N27" s="1703"/>
      <c r="O27" s="1704"/>
      <c r="P27" s="1508"/>
    </row>
    <row r="28" spans="2:16" ht="14.4" thickBot="1">
      <c r="B28" s="1511"/>
      <c r="C28" s="1705"/>
      <c r="D28" s="1706"/>
      <c r="E28" s="1706"/>
      <c r="F28" s="1706"/>
      <c r="G28" s="1706"/>
      <c r="H28" s="1706"/>
      <c r="I28" s="1706"/>
      <c r="J28" s="1706"/>
      <c r="K28" s="1706"/>
      <c r="L28" s="1706"/>
      <c r="M28" s="1706"/>
      <c r="N28" s="1706"/>
      <c r="O28" s="1707"/>
      <c r="P28" s="1508"/>
    </row>
    <row r="29" spans="2:16">
      <c r="B29" s="1511"/>
      <c r="C29" s="1708" t="s">
        <v>1218</v>
      </c>
      <c r="D29" s="1733"/>
      <c r="E29" s="1733"/>
      <c r="F29" s="1733"/>
      <c r="G29" s="1734"/>
      <c r="H29" s="1722" t="s">
        <v>4524</v>
      </c>
      <c r="I29" s="1733"/>
      <c r="J29" s="1735" t="s">
        <v>4525</v>
      </c>
      <c r="K29" s="1736"/>
      <c r="L29" s="1542" t="s">
        <v>4526</v>
      </c>
      <c r="M29" s="1722" t="s">
        <v>1843</v>
      </c>
      <c r="N29" s="1723"/>
      <c r="O29" s="1543" t="s">
        <v>4527</v>
      </c>
      <c r="P29" s="1508"/>
    </row>
    <row r="30" spans="2:16">
      <c r="B30" s="1511"/>
      <c r="C30" s="1712"/>
      <c r="D30" s="1713"/>
      <c r="E30" s="1713"/>
      <c r="F30" s="1713"/>
      <c r="G30" s="1724"/>
      <c r="H30" s="1737"/>
      <c r="I30" s="1724"/>
      <c r="J30" s="1737"/>
      <c r="K30" s="1724"/>
      <c r="L30" s="1545"/>
      <c r="M30" s="1728"/>
      <c r="N30" s="1729"/>
      <c r="O30" s="1546"/>
      <c r="P30" s="1508"/>
    </row>
    <row r="31" spans="2:16">
      <c r="B31" s="1511"/>
      <c r="C31" s="1547"/>
      <c r="D31" s="1548"/>
      <c r="E31" s="1548"/>
      <c r="F31" s="1548"/>
      <c r="G31" s="1549"/>
      <c r="H31" s="1550"/>
      <c r="I31" s="1549"/>
      <c r="J31" s="1550"/>
      <c r="K31" s="1549"/>
      <c r="L31" s="1545"/>
      <c r="M31" s="1728"/>
      <c r="N31" s="1729"/>
      <c r="O31" s="1546"/>
      <c r="P31" s="1508"/>
    </row>
    <row r="32" spans="2:16" ht="14.4" thickBot="1">
      <c r="B32" s="1511"/>
      <c r="C32" s="1718"/>
      <c r="D32" s="1719"/>
      <c r="E32" s="1719"/>
      <c r="F32" s="1719"/>
      <c r="G32" s="1727"/>
      <c r="H32" s="1730"/>
      <c r="I32" s="1727"/>
      <c r="J32" s="1730"/>
      <c r="K32" s="1727"/>
      <c r="L32" s="1551"/>
      <c r="M32" s="1731"/>
      <c r="N32" s="1732"/>
      <c r="O32" s="1546"/>
      <c r="P32" s="1508"/>
    </row>
    <row r="33" spans="2:16" ht="14.4" thickBot="1">
      <c r="B33" s="1511"/>
      <c r="C33" s="1690" t="s">
        <v>4528</v>
      </c>
      <c r="D33" s="1691"/>
      <c r="E33" s="1691"/>
      <c r="F33" s="1691"/>
      <c r="G33" s="1691"/>
      <c r="H33" s="1691"/>
      <c r="I33" s="1691"/>
      <c r="J33" s="1691"/>
      <c r="K33" s="1691"/>
      <c r="L33" s="1691"/>
      <c r="M33" s="1691"/>
      <c r="N33" s="1692"/>
      <c r="O33" s="1552"/>
      <c r="P33" s="1508"/>
    </row>
    <row r="34" spans="2:16" ht="13.5" customHeight="1">
      <c r="B34" s="1511"/>
      <c r="C34" s="1699" t="s">
        <v>4529</v>
      </c>
      <c r="D34" s="1700"/>
      <c r="E34" s="1700"/>
      <c r="F34" s="1700"/>
      <c r="G34" s="1700"/>
      <c r="H34" s="1700"/>
      <c r="I34" s="1700"/>
      <c r="J34" s="1700"/>
      <c r="K34" s="1700"/>
      <c r="L34" s="1700"/>
      <c r="M34" s="1700"/>
      <c r="N34" s="1700"/>
      <c r="O34" s="1701"/>
      <c r="P34" s="1508"/>
    </row>
    <row r="35" spans="2:16">
      <c r="B35" s="1511"/>
      <c r="C35" s="1702"/>
      <c r="D35" s="1703"/>
      <c r="E35" s="1703"/>
      <c r="F35" s="1703"/>
      <c r="G35" s="1703"/>
      <c r="H35" s="1703"/>
      <c r="I35" s="1703"/>
      <c r="J35" s="1703"/>
      <c r="K35" s="1703"/>
      <c r="L35" s="1703"/>
      <c r="M35" s="1703"/>
      <c r="N35" s="1703"/>
      <c r="O35" s="1704"/>
      <c r="P35" s="1508"/>
    </row>
    <row r="36" spans="2:16" ht="14.4" thickBot="1">
      <c r="B36" s="1511"/>
      <c r="C36" s="1705"/>
      <c r="D36" s="1706"/>
      <c r="E36" s="1706"/>
      <c r="F36" s="1706"/>
      <c r="G36" s="1706"/>
      <c r="H36" s="1706"/>
      <c r="I36" s="1706"/>
      <c r="J36" s="1706"/>
      <c r="K36" s="1706"/>
      <c r="L36" s="1706"/>
      <c r="M36" s="1706"/>
      <c r="N36" s="1706"/>
      <c r="O36" s="1707"/>
      <c r="P36" s="1508"/>
    </row>
    <row r="37" spans="2:16">
      <c r="B37" s="1511"/>
      <c r="C37" s="1708" t="s">
        <v>1218</v>
      </c>
      <c r="D37" s="1709"/>
      <c r="E37" s="1709"/>
      <c r="F37" s="1709"/>
      <c r="G37" s="1709"/>
      <c r="H37" s="1709"/>
      <c r="I37" s="1709"/>
      <c r="J37" s="1723"/>
      <c r="K37" s="1541" t="s">
        <v>1219</v>
      </c>
      <c r="L37" s="1542" t="s">
        <v>673</v>
      </c>
      <c r="M37" s="1722" t="s">
        <v>4530</v>
      </c>
      <c r="N37" s="1723"/>
      <c r="O37" s="1543" t="s">
        <v>4527</v>
      </c>
      <c r="P37" s="1508"/>
    </row>
    <row r="38" spans="2:16">
      <c r="B38" s="1511"/>
      <c r="C38" s="1712"/>
      <c r="D38" s="1713"/>
      <c r="E38" s="1713"/>
      <c r="F38" s="1713"/>
      <c r="G38" s="1713"/>
      <c r="H38" s="1713"/>
      <c r="I38" s="1713"/>
      <c r="J38" s="1724"/>
      <c r="K38" s="1554"/>
      <c r="L38" s="1555"/>
      <c r="M38" s="1725"/>
      <c r="N38" s="1726"/>
      <c r="O38" s="1546"/>
      <c r="P38" s="1508"/>
    </row>
    <row r="39" spans="2:16" ht="14.4" thickBot="1">
      <c r="B39" s="1511"/>
      <c r="C39" s="1718"/>
      <c r="D39" s="1719"/>
      <c r="E39" s="1719"/>
      <c r="F39" s="1719"/>
      <c r="G39" s="1719"/>
      <c r="H39" s="1719"/>
      <c r="I39" s="1719"/>
      <c r="J39" s="1727"/>
      <c r="K39" s="1548"/>
      <c r="L39" s="1556"/>
      <c r="M39" s="1720"/>
      <c r="N39" s="1721"/>
      <c r="O39" s="1557"/>
      <c r="P39" s="1508"/>
    </row>
    <row r="40" spans="2:16" ht="14.4" thickBot="1">
      <c r="B40" s="1511"/>
      <c r="C40" s="1690" t="s">
        <v>4528</v>
      </c>
      <c r="D40" s="1691"/>
      <c r="E40" s="1691"/>
      <c r="F40" s="1691"/>
      <c r="G40" s="1691"/>
      <c r="H40" s="1691"/>
      <c r="I40" s="1691"/>
      <c r="J40" s="1691"/>
      <c r="K40" s="1691"/>
      <c r="L40" s="1691"/>
      <c r="M40" s="1691"/>
      <c r="N40" s="1692"/>
      <c r="O40" s="1558">
        <v>0</v>
      </c>
      <c r="P40" s="1508"/>
    </row>
    <row r="41" spans="2:16">
      <c r="B41" s="1511"/>
      <c r="C41" s="1699" t="s">
        <v>1563</v>
      </c>
      <c r="D41" s="1700"/>
      <c r="E41" s="1700"/>
      <c r="F41" s="1700"/>
      <c r="G41" s="1700"/>
      <c r="H41" s="1700"/>
      <c r="I41" s="1700"/>
      <c r="J41" s="1700"/>
      <c r="K41" s="1700"/>
      <c r="L41" s="1700"/>
      <c r="M41" s="1700"/>
      <c r="N41" s="1700"/>
      <c r="O41" s="1701"/>
      <c r="P41" s="1508"/>
    </row>
    <row r="42" spans="2:16">
      <c r="B42" s="1511"/>
      <c r="C42" s="1702"/>
      <c r="D42" s="1703"/>
      <c r="E42" s="1703"/>
      <c r="F42" s="1703"/>
      <c r="G42" s="1703"/>
      <c r="H42" s="1703"/>
      <c r="I42" s="1703"/>
      <c r="J42" s="1703"/>
      <c r="K42" s="1703"/>
      <c r="L42" s="1703"/>
      <c r="M42" s="1703"/>
      <c r="N42" s="1703"/>
      <c r="O42" s="1704"/>
      <c r="P42" s="1508"/>
    </row>
    <row r="43" spans="2:16" ht="14.4" thickBot="1">
      <c r="B43" s="1511"/>
      <c r="C43" s="1705"/>
      <c r="D43" s="1706"/>
      <c r="E43" s="1706"/>
      <c r="F43" s="1706"/>
      <c r="G43" s="1706"/>
      <c r="H43" s="1706"/>
      <c r="I43" s="1706"/>
      <c r="J43" s="1706"/>
      <c r="K43" s="1706"/>
      <c r="L43" s="1706"/>
      <c r="M43" s="1706"/>
      <c r="N43" s="1706"/>
      <c r="O43" s="1707"/>
      <c r="P43" s="1508"/>
    </row>
    <row r="44" spans="2:16">
      <c r="B44" s="1511"/>
      <c r="C44" s="1708" t="s">
        <v>670</v>
      </c>
      <c r="D44" s="1709"/>
      <c r="E44" s="1709"/>
      <c r="F44" s="1709"/>
      <c r="G44" s="1709"/>
      <c r="H44" s="1709"/>
      <c r="I44" s="1709"/>
      <c r="J44" s="1542" t="s">
        <v>4531</v>
      </c>
      <c r="K44" s="1553" t="s">
        <v>4532</v>
      </c>
      <c r="L44" s="1559" t="s">
        <v>4533</v>
      </c>
      <c r="M44" s="1722" t="s">
        <v>2548</v>
      </c>
      <c r="N44" s="1723"/>
      <c r="O44" s="1543" t="s">
        <v>4527</v>
      </c>
      <c r="P44" s="1508"/>
    </row>
    <row r="45" spans="2:16">
      <c r="B45" s="1511"/>
      <c r="C45" s="1712"/>
      <c r="D45" s="1713"/>
      <c r="E45" s="1713"/>
      <c r="F45" s="1713"/>
      <c r="G45" s="1713"/>
      <c r="H45" s="1713"/>
      <c r="I45" s="1713"/>
      <c r="J45" s="1560"/>
      <c r="K45" s="1561"/>
      <c r="L45" s="1560"/>
      <c r="M45" s="1716"/>
      <c r="N45" s="1717"/>
      <c r="O45" s="1546"/>
      <c r="P45" s="1508"/>
    </row>
    <row r="46" spans="2:16" ht="14.4" thickBot="1">
      <c r="B46" s="1511"/>
      <c r="C46" s="1718"/>
      <c r="D46" s="1719"/>
      <c r="E46" s="1719"/>
      <c r="F46" s="1719"/>
      <c r="G46" s="1719"/>
      <c r="H46" s="1719"/>
      <c r="I46" s="1719"/>
      <c r="J46" s="1562"/>
      <c r="K46" s="1563"/>
      <c r="L46" s="1562"/>
      <c r="M46" s="1720"/>
      <c r="N46" s="1721"/>
      <c r="O46" s="1564"/>
      <c r="P46" s="1508"/>
    </row>
    <row r="47" spans="2:16" ht="14.4" thickBot="1">
      <c r="B47" s="1511"/>
      <c r="C47" s="1690" t="s">
        <v>4528</v>
      </c>
      <c r="D47" s="1691"/>
      <c r="E47" s="1691"/>
      <c r="F47" s="1691"/>
      <c r="G47" s="1691"/>
      <c r="H47" s="1691"/>
      <c r="I47" s="1691"/>
      <c r="J47" s="1691"/>
      <c r="K47" s="1691"/>
      <c r="L47" s="1691"/>
      <c r="M47" s="1691"/>
      <c r="N47" s="1692"/>
      <c r="O47" s="1552"/>
      <c r="P47" s="1508"/>
    </row>
    <row r="48" spans="2:16">
      <c r="B48" s="1511"/>
      <c r="C48" s="1699" t="s">
        <v>1564</v>
      </c>
      <c r="D48" s="1700"/>
      <c r="E48" s="1700"/>
      <c r="F48" s="1700"/>
      <c r="G48" s="1700"/>
      <c r="H48" s="1700"/>
      <c r="I48" s="1700"/>
      <c r="J48" s="1700"/>
      <c r="K48" s="1700"/>
      <c r="L48" s="1700"/>
      <c r="M48" s="1700"/>
      <c r="N48" s="1700"/>
      <c r="O48" s="1701"/>
      <c r="P48" s="1508"/>
    </row>
    <row r="49" spans="2:16">
      <c r="B49" s="1511"/>
      <c r="C49" s="1702"/>
      <c r="D49" s="1703"/>
      <c r="E49" s="1703"/>
      <c r="F49" s="1703"/>
      <c r="G49" s="1703"/>
      <c r="H49" s="1703"/>
      <c r="I49" s="1703"/>
      <c r="J49" s="1703"/>
      <c r="K49" s="1703"/>
      <c r="L49" s="1703"/>
      <c r="M49" s="1703"/>
      <c r="N49" s="1703"/>
      <c r="O49" s="1704"/>
      <c r="P49" s="1508"/>
    </row>
    <row r="50" spans="2:16" ht="14.4" thickBot="1">
      <c r="B50" s="1511"/>
      <c r="C50" s="1705"/>
      <c r="D50" s="1706"/>
      <c r="E50" s="1706"/>
      <c r="F50" s="1706"/>
      <c r="G50" s="1706"/>
      <c r="H50" s="1706"/>
      <c r="I50" s="1706"/>
      <c r="J50" s="1706"/>
      <c r="K50" s="1706"/>
      <c r="L50" s="1706"/>
      <c r="M50" s="1706"/>
      <c r="N50" s="1706"/>
      <c r="O50" s="1707"/>
      <c r="P50" s="1508"/>
    </row>
    <row r="51" spans="2:16">
      <c r="B51" s="1511"/>
      <c r="C51" s="1708" t="s">
        <v>1854</v>
      </c>
      <c r="D51" s="1709"/>
      <c r="E51" s="1709"/>
      <c r="F51" s="1709"/>
      <c r="G51" s="1709"/>
      <c r="H51" s="1709"/>
      <c r="I51" s="1709"/>
      <c r="J51" s="1542" t="s">
        <v>1855</v>
      </c>
      <c r="K51" s="1565" t="s">
        <v>4534</v>
      </c>
      <c r="L51" s="1566" t="s">
        <v>1856</v>
      </c>
      <c r="M51" s="1710" t="s">
        <v>1843</v>
      </c>
      <c r="N51" s="1711"/>
      <c r="O51" s="1568" t="s">
        <v>4527</v>
      </c>
      <c r="P51" s="1508"/>
    </row>
    <row r="52" spans="2:16">
      <c r="B52" s="1511"/>
      <c r="C52" s="1569"/>
      <c r="D52" s="1570"/>
      <c r="E52" s="1570"/>
      <c r="F52" s="1570"/>
      <c r="G52" s="1570"/>
      <c r="H52" s="1570"/>
      <c r="I52" s="1570"/>
      <c r="J52" s="1571"/>
      <c r="K52" s="1572"/>
      <c r="L52" s="1573"/>
      <c r="M52" s="1714"/>
      <c r="N52" s="1715"/>
      <c r="O52" s="1574"/>
      <c r="P52" s="1508"/>
    </row>
    <row r="53" spans="2:16">
      <c r="B53" s="1511"/>
      <c r="C53" s="1569"/>
      <c r="D53" s="1570"/>
      <c r="E53" s="1570"/>
      <c r="F53" s="1570"/>
      <c r="G53" s="1570"/>
      <c r="H53" s="1570"/>
      <c r="I53" s="1570"/>
      <c r="J53" s="1571"/>
      <c r="K53" s="1572"/>
      <c r="L53" s="1573"/>
      <c r="M53" s="1714"/>
      <c r="N53" s="1715"/>
      <c r="O53" s="1574"/>
      <c r="P53" s="1508"/>
    </row>
    <row r="54" spans="2:16">
      <c r="B54" s="1511"/>
      <c r="C54" s="1569"/>
      <c r="D54" s="1570"/>
      <c r="E54" s="1570"/>
      <c r="F54" s="1570"/>
      <c r="G54" s="1570"/>
      <c r="H54" s="1570"/>
      <c r="I54" s="1570"/>
      <c r="J54" s="1571"/>
      <c r="K54" s="1572"/>
      <c r="L54" s="1573"/>
      <c r="M54" s="1716"/>
      <c r="N54" s="1717"/>
      <c r="O54" s="1574"/>
      <c r="P54" s="1508"/>
    </row>
    <row r="55" spans="2:16" ht="14.4" thickBot="1">
      <c r="B55" s="1511"/>
      <c r="C55" s="1718"/>
      <c r="D55" s="1719"/>
      <c r="E55" s="1719"/>
      <c r="F55" s="1719"/>
      <c r="G55" s="1719"/>
      <c r="H55" s="1719"/>
      <c r="I55" s="1719"/>
      <c r="J55" s="1562"/>
      <c r="K55" s="1563"/>
      <c r="L55" s="1562"/>
      <c r="M55" s="1720"/>
      <c r="N55" s="1721"/>
      <c r="O55" s="1564"/>
      <c r="P55" s="1508"/>
    </row>
    <row r="56" spans="2:16" ht="14.4" thickBot="1">
      <c r="B56" s="1511"/>
      <c r="C56" s="1690" t="s">
        <v>4528</v>
      </c>
      <c r="D56" s="1691"/>
      <c r="E56" s="1691"/>
      <c r="F56" s="1691"/>
      <c r="G56" s="1691"/>
      <c r="H56" s="1691"/>
      <c r="I56" s="1691"/>
      <c r="J56" s="1691"/>
      <c r="K56" s="1691"/>
      <c r="L56" s="1691"/>
      <c r="M56" s="1691"/>
      <c r="N56" s="1692"/>
      <c r="O56" s="1558"/>
      <c r="P56" s="1508"/>
    </row>
    <row r="57" spans="2:16" ht="14.4" thickBot="1">
      <c r="B57" s="1511"/>
      <c r="C57" s="1536"/>
      <c r="O57" s="1537"/>
      <c r="P57" s="1508"/>
    </row>
    <row r="58" spans="2:16" ht="14.4" thickBot="1">
      <c r="B58" s="1511"/>
      <c r="C58" s="1693" t="s">
        <v>4535</v>
      </c>
      <c r="D58" s="1694"/>
      <c r="E58" s="1694"/>
      <c r="F58" s="1694"/>
      <c r="G58" s="1694"/>
      <c r="H58" s="1694"/>
      <c r="I58" s="1694"/>
      <c r="J58" s="1694"/>
      <c r="K58" s="1694"/>
      <c r="L58" s="1694"/>
      <c r="M58" s="1694"/>
      <c r="N58" s="1695"/>
      <c r="O58" s="1575"/>
      <c r="P58" s="1508"/>
    </row>
    <row r="59" spans="2:16">
      <c r="B59" s="1511"/>
      <c r="C59" s="1699" t="s">
        <v>4536</v>
      </c>
      <c r="D59" s="1700"/>
      <c r="E59" s="1700"/>
      <c r="F59" s="1700"/>
      <c r="G59" s="1700"/>
      <c r="H59" s="1700"/>
      <c r="I59" s="1700"/>
      <c r="J59" s="1700"/>
      <c r="K59" s="1700"/>
      <c r="L59" s="1700"/>
      <c r="M59" s="1700"/>
      <c r="N59" s="1700"/>
      <c r="O59" s="1701"/>
      <c r="P59" s="1508"/>
    </row>
    <row r="60" spans="2:16">
      <c r="B60" s="1511"/>
      <c r="C60" s="1702"/>
      <c r="D60" s="1703"/>
      <c r="E60" s="1703"/>
      <c r="F60" s="1703"/>
      <c r="G60" s="1703"/>
      <c r="H60" s="1703"/>
      <c r="I60" s="1703"/>
      <c r="J60" s="1703"/>
      <c r="K60" s="1703"/>
      <c r="L60" s="1703"/>
      <c r="M60" s="1703"/>
      <c r="N60" s="1703"/>
      <c r="O60" s="1704"/>
      <c r="P60" s="1508"/>
    </row>
    <row r="61" spans="2:16" ht="14.4" thickBot="1">
      <c r="B61" s="1511"/>
      <c r="C61" s="1705"/>
      <c r="D61" s="1706"/>
      <c r="E61" s="1706"/>
      <c r="F61" s="1706"/>
      <c r="G61" s="1706"/>
      <c r="H61" s="1706"/>
      <c r="I61" s="1706"/>
      <c r="J61" s="1706"/>
      <c r="K61" s="1706"/>
      <c r="L61" s="1706"/>
      <c r="M61" s="1706"/>
      <c r="N61" s="1706"/>
      <c r="O61" s="1707"/>
      <c r="P61" s="1508"/>
    </row>
    <row r="62" spans="2:16">
      <c r="B62" s="1511"/>
      <c r="C62" s="1708" t="s">
        <v>1556</v>
      </c>
      <c r="D62" s="1709"/>
      <c r="E62" s="1709"/>
      <c r="F62" s="1709"/>
      <c r="G62" s="1709"/>
      <c r="H62" s="1709"/>
      <c r="I62" s="1709"/>
      <c r="J62" s="1553"/>
      <c r="K62" s="1567"/>
      <c r="L62" s="1566" t="s">
        <v>4537</v>
      </c>
      <c r="M62" s="1710" t="s">
        <v>4538</v>
      </c>
      <c r="N62" s="1711"/>
      <c r="O62" s="1568"/>
      <c r="P62" s="1508"/>
    </row>
    <row r="63" spans="2:16">
      <c r="B63" s="1511"/>
      <c r="C63" s="1712" t="s">
        <v>4494</v>
      </c>
      <c r="D63" s="1713"/>
      <c r="E63" s="1713"/>
      <c r="F63" s="1713"/>
      <c r="G63" s="1713"/>
      <c r="H63" s="1713"/>
      <c r="I63" s="1713"/>
      <c r="J63" s="1576"/>
      <c r="K63" s="1577"/>
      <c r="L63" s="1578"/>
      <c r="M63" s="1686"/>
      <c r="N63" s="1687"/>
      <c r="O63" s="1579"/>
      <c r="P63" s="1508"/>
    </row>
    <row r="64" spans="2:16">
      <c r="B64" s="1511"/>
      <c r="C64" s="1547" t="s">
        <v>1198</v>
      </c>
      <c r="D64" s="1548"/>
      <c r="E64" s="1548"/>
      <c r="F64" s="1548"/>
      <c r="G64" s="1548"/>
      <c r="H64" s="1548"/>
      <c r="I64" s="1548"/>
      <c r="J64" s="1576"/>
      <c r="K64" s="1577"/>
      <c r="L64" s="1578"/>
      <c r="M64" s="1686"/>
      <c r="N64" s="1687"/>
      <c r="O64" s="1579"/>
      <c r="P64" s="1508"/>
    </row>
    <row r="65" spans="2:16" ht="14.4" thickBot="1">
      <c r="B65" s="1511"/>
      <c r="C65" s="1530" t="s">
        <v>4539</v>
      </c>
      <c r="D65" s="1531"/>
      <c r="E65" s="1531"/>
      <c r="F65" s="1531"/>
      <c r="G65" s="1531"/>
      <c r="H65" s="1531"/>
      <c r="I65" s="1531"/>
      <c r="J65" s="1580"/>
      <c r="K65" s="1581"/>
      <c r="L65" s="1578"/>
      <c r="M65" s="1688"/>
      <c r="N65" s="1689"/>
      <c r="O65" s="1579"/>
      <c r="P65" s="1508"/>
    </row>
    <row r="66" spans="2:16" ht="14.4" thickBot="1">
      <c r="B66" s="1511"/>
      <c r="C66" s="1690" t="s">
        <v>4528</v>
      </c>
      <c r="D66" s="1691"/>
      <c r="E66" s="1691"/>
      <c r="F66" s="1691"/>
      <c r="G66" s="1691"/>
      <c r="H66" s="1691"/>
      <c r="I66" s="1691"/>
      <c r="J66" s="1691"/>
      <c r="K66" s="1691"/>
      <c r="L66" s="1691"/>
      <c r="M66" s="1691"/>
      <c r="N66" s="1692"/>
      <c r="O66" s="1582"/>
      <c r="P66" s="1508"/>
    </row>
    <row r="67" spans="2:16" ht="14.4" thickBot="1">
      <c r="B67" s="1511"/>
      <c r="C67" s="1536"/>
      <c r="O67" s="1537"/>
      <c r="P67" s="1508"/>
    </row>
    <row r="68" spans="2:16" ht="14.4" thickBot="1">
      <c r="B68" s="1511"/>
      <c r="C68" s="1693" t="s">
        <v>4540</v>
      </c>
      <c r="D68" s="1694"/>
      <c r="E68" s="1694"/>
      <c r="F68" s="1694"/>
      <c r="G68" s="1694"/>
      <c r="H68" s="1694"/>
      <c r="I68" s="1694"/>
      <c r="J68" s="1694"/>
      <c r="K68" s="1694"/>
      <c r="L68" s="1694"/>
      <c r="M68" s="1694"/>
      <c r="N68" s="1695"/>
      <c r="O68" s="1583"/>
      <c r="P68" s="1508"/>
    </row>
    <row r="69" spans="2:16">
      <c r="B69" s="1511"/>
      <c r="C69" s="1533"/>
      <c r="D69" s="1534"/>
      <c r="E69" s="1534"/>
      <c r="F69" s="1534"/>
      <c r="G69" s="1534"/>
      <c r="H69" s="1534"/>
      <c r="I69" s="1534"/>
      <c r="J69" s="1534"/>
      <c r="K69" s="1534"/>
      <c r="L69" s="1534"/>
      <c r="M69" s="1534"/>
      <c r="N69" s="1534"/>
      <c r="O69" s="1535"/>
      <c r="P69" s="1508"/>
    </row>
    <row r="70" spans="2:16">
      <c r="B70" s="1511"/>
      <c r="C70" s="1536"/>
      <c r="O70" s="1537"/>
      <c r="P70" s="1508"/>
    </row>
    <row r="71" spans="2:16">
      <c r="B71" s="1511"/>
      <c r="C71" s="1536"/>
      <c r="O71" s="1537"/>
      <c r="P71" s="1508"/>
    </row>
    <row r="72" spans="2:16">
      <c r="B72" s="1511"/>
      <c r="C72" s="1536"/>
      <c r="H72" s="1584" t="s">
        <v>4541</v>
      </c>
      <c r="I72" s="1584"/>
      <c r="J72" s="1584"/>
      <c r="K72" s="1584"/>
      <c r="O72" s="1537"/>
      <c r="P72" s="1508"/>
    </row>
    <row r="73" spans="2:16">
      <c r="B73" s="1511"/>
      <c r="C73" s="1585"/>
      <c r="D73" s="1586"/>
      <c r="E73" s="1586"/>
      <c r="F73" s="1586"/>
      <c r="G73" s="1586"/>
      <c r="H73" s="1584" t="s">
        <v>4542</v>
      </c>
      <c r="I73" s="1586"/>
      <c r="J73" s="1586"/>
      <c r="K73" s="1586"/>
      <c r="L73" s="1586"/>
      <c r="M73" s="1586"/>
      <c r="N73" s="1586"/>
      <c r="O73" s="1587"/>
      <c r="P73" s="1508"/>
    </row>
    <row r="74" spans="2:16">
      <c r="B74" s="1511"/>
      <c r="C74" s="1585"/>
      <c r="D74" s="1586"/>
      <c r="E74" s="1586"/>
      <c r="F74" s="1586"/>
      <c r="G74" s="1586"/>
      <c r="H74" s="1584" t="s">
        <v>4543</v>
      </c>
      <c r="K74" s="1586"/>
      <c r="L74" s="1586"/>
      <c r="M74" s="1586"/>
      <c r="N74" s="1586"/>
      <c r="O74" s="1587"/>
      <c r="P74" s="1508"/>
    </row>
    <row r="75" spans="2:16">
      <c r="B75" s="1511"/>
      <c r="C75" s="1522"/>
      <c r="D75" s="1588"/>
      <c r="E75" s="1588"/>
      <c r="F75" s="1588"/>
      <c r="G75" s="1588"/>
      <c r="H75" s="1584" t="s">
        <v>4544</v>
      </c>
      <c r="I75" s="1588"/>
      <c r="J75" s="1588"/>
      <c r="K75" s="1588"/>
      <c r="L75" s="1588"/>
      <c r="M75" s="1588"/>
      <c r="N75" s="1588"/>
      <c r="O75" s="1589"/>
      <c r="P75" s="1508"/>
    </row>
    <row r="76" spans="2:16">
      <c r="B76" s="1511"/>
      <c r="C76" s="1536"/>
      <c r="H76" s="1506" t="s">
        <v>1206</v>
      </c>
      <c r="O76" s="1537"/>
      <c r="P76" s="1508"/>
    </row>
    <row r="77" spans="2:16">
      <c r="B77" s="1511"/>
      <c r="C77" s="1590" t="s">
        <v>4545</v>
      </c>
      <c r="D77" s="1544"/>
      <c r="E77" s="1544"/>
      <c r="F77" s="1544"/>
      <c r="G77" s="1544"/>
      <c r="H77" s="1544"/>
      <c r="I77" s="1544"/>
      <c r="J77" s="1544"/>
      <c r="K77" s="1544"/>
      <c r="L77" s="1544"/>
      <c r="M77" s="1544"/>
      <c r="N77" s="1544"/>
      <c r="O77" s="1591"/>
      <c r="P77" s="1508"/>
    </row>
    <row r="78" spans="2:16">
      <c r="B78" s="1511"/>
      <c r="C78" s="1696"/>
      <c r="D78" s="1697"/>
      <c r="E78" s="1697"/>
      <c r="F78" s="1697"/>
      <c r="G78" s="1697"/>
      <c r="H78" s="1697"/>
      <c r="I78" s="1697"/>
      <c r="J78" s="1697"/>
      <c r="K78" s="1697"/>
      <c r="L78" s="1697"/>
      <c r="M78" s="1697"/>
      <c r="N78" s="1697"/>
      <c r="O78" s="1698"/>
      <c r="P78" s="1508"/>
    </row>
    <row r="79" spans="2:16">
      <c r="B79" s="1511"/>
      <c r="C79" s="1696"/>
      <c r="D79" s="1697"/>
      <c r="E79" s="1697"/>
      <c r="F79" s="1697"/>
      <c r="G79" s="1697"/>
      <c r="H79" s="1697"/>
      <c r="I79" s="1697"/>
      <c r="J79" s="1697"/>
      <c r="K79" s="1697"/>
      <c r="L79" s="1697"/>
      <c r="M79" s="1697"/>
      <c r="N79" s="1697"/>
      <c r="O79" s="1698"/>
      <c r="P79" s="1508"/>
    </row>
    <row r="80" spans="2:16">
      <c r="B80" s="1511"/>
      <c r="C80" s="1522"/>
      <c r="D80" s="1588"/>
      <c r="E80" s="1588"/>
      <c r="F80" s="1588"/>
      <c r="G80" s="1588"/>
      <c r="H80" s="1588"/>
      <c r="I80" s="1588"/>
      <c r="J80" s="1588"/>
      <c r="K80" s="1588"/>
      <c r="L80" s="1588"/>
      <c r="M80" s="1588"/>
      <c r="N80" s="1588"/>
      <c r="O80" s="1589"/>
      <c r="P80" s="1508"/>
    </row>
    <row r="81" spans="2:16">
      <c r="B81" s="1511"/>
      <c r="C81" s="1592" t="s">
        <v>4546</v>
      </c>
      <c r="D81" s="1588"/>
      <c r="E81" s="1588"/>
      <c r="F81" s="1588"/>
      <c r="G81" s="1588"/>
      <c r="H81" s="1588"/>
      <c r="I81" s="1588"/>
      <c r="J81" s="1588"/>
      <c r="K81" s="1588"/>
      <c r="L81" s="1588"/>
      <c r="M81" s="1588"/>
      <c r="N81" s="1588"/>
      <c r="O81" s="1589"/>
      <c r="P81" s="1508"/>
    </row>
    <row r="82" spans="2:16" ht="12.75" customHeight="1">
      <c r="B82" s="1511"/>
      <c r="C82" s="1677" t="s">
        <v>4547</v>
      </c>
      <c r="D82" s="1678"/>
      <c r="E82" s="1678"/>
      <c r="F82" s="1678"/>
      <c r="G82" s="1678"/>
      <c r="H82" s="1678"/>
      <c r="I82" s="1678"/>
      <c r="J82" s="1678"/>
      <c r="K82" s="1678"/>
      <c r="L82" s="1678"/>
      <c r="M82" s="1678"/>
      <c r="N82" s="1678"/>
      <c r="O82" s="1679"/>
      <c r="P82" s="1508"/>
    </row>
    <row r="83" spans="2:16">
      <c r="B83" s="1511"/>
      <c r="C83" s="1677"/>
      <c r="D83" s="1678"/>
      <c r="E83" s="1678"/>
      <c r="F83" s="1678"/>
      <c r="G83" s="1678"/>
      <c r="H83" s="1678"/>
      <c r="I83" s="1678"/>
      <c r="J83" s="1678"/>
      <c r="K83" s="1678"/>
      <c r="L83" s="1678"/>
      <c r="M83" s="1678"/>
      <c r="N83" s="1678"/>
      <c r="O83" s="1679"/>
      <c r="P83" s="1508"/>
    </row>
    <row r="84" spans="2:16" ht="12.9" customHeight="1">
      <c r="B84" s="1511"/>
      <c r="C84" s="1677" t="s">
        <v>4548</v>
      </c>
      <c r="D84" s="1678"/>
      <c r="E84" s="1678"/>
      <c r="F84" s="1678"/>
      <c r="G84" s="1678"/>
      <c r="H84" s="1678"/>
      <c r="I84" s="1678"/>
      <c r="J84" s="1678"/>
      <c r="K84" s="1678"/>
      <c r="L84" s="1678"/>
      <c r="M84" s="1678"/>
      <c r="N84" s="1678"/>
      <c r="O84" s="1679"/>
      <c r="P84" s="1508"/>
    </row>
    <row r="85" spans="2:16">
      <c r="B85" s="1511"/>
      <c r="C85" s="1677"/>
      <c r="D85" s="1678"/>
      <c r="E85" s="1678"/>
      <c r="F85" s="1678"/>
      <c r="G85" s="1678"/>
      <c r="H85" s="1678"/>
      <c r="I85" s="1678"/>
      <c r="J85" s="1678"/>
      <c r="K85" s="1678"/>
      <c r="L85" s="1678"/>
      <c r="M85" s="1678"/>
      <c r="N85" s="1678"/>
      <c r="O85" s="1679"/>
      <c r="P85" s="1508"/>
    </row>
    <row r="86" spans="2:16">
      <c r="B86" s="1511"/>
      <c r="C86" s="1522"/>
      <c r="D86" s="1588"/>
      <c r="E86" s="1588"/>
      <c r="F86" s="1588"/>
      <c r="G86" s="1588"/>
      <c r="H86" s="1588"/>
      <c r="I86" s="1588"/>
      <c r="J86" s="1588"/>
      <c r="K86" s="1588"/>
      <c r="L86" s="1588"/>
      <c r="M86" s="1588"/>
      <c r="N86" s="1588"/>
      <c r="O86" s="1589"/>
      <c r="P86" s="1508"/>
    </row>
    <row r="87" spans="2:16">
      <c r="B87" s="1511"/>
      <c r="C87" s="1536"/>
      <c r="H87" s="1584" t="s">
        <v>4541</v>
      </c>
      <c r="O87" s="1537"/>
      <c r="P87" s="1508"/>
    </row>
    <row r="88" spans="2:16">
      <c r="B88" s="1511"/>
      <c r="C88" s="1536"/>
      <c r="H88" s="1506" t="s">
        <v>4542</v>
      </c>
      <c r="I88" s="1548"/>
      <c r="J88" s="1548"/>
      <c r="K88" s="1548"/>
      <c r="O88" s="1537"/>
      <c r="P88" s="1508"/>
    </row>
    <row r="89" spans="2:16">
      <c r="B89" s="1511"/>
      <c r="C89" s="1536"/>
      <c r="H89" s="1506" t="s">
        <v>4549</v>
      </c>
      <c r="I89" s="1593"/>
      <c r="J89" s="1593"/>
      <c r="K89" s="1593"/>
      <c r="O89" s="1537"/>
      <c r="P89" s="1508"/>
    </row>
    <row r="90" spans="2:16">
      <c r="B90" s="1511"/>
      <c r="C90" s="1594"/>
      <c r="D90" s="1588"/>
      <c r="E90" s="1588"/>
      <c r="F90" s="1588"/>
      <c r="G90" s="1588"/>
      <c r="H90" s="1506" t="s">
        <v>4544</v>
      </c>
      <c r="L90" s="1588"/>
      <c r="M90" s="1588"/>
      <c r="N90" s="1588"/>
      <c r="O90" s="1589"/>
      <c r="P90" s="1508"/>
    </row>
    <row r="91" spans="2:16" ht="17.25" customHeight="1">
      <c r="B91" s="1511"/>
      <c r="C91" s="1595"/>
      <c r="D91" s="1596"/>
      <c r="E91" s="1596"/>
      <c r="K91" s="1680"/>
      <c r="L91" s="1680"/>
      <c r="M91" s="1680"/>
      <c r="N91" s="1680"/>
      <c r="O91" s="1681"/>
      <c r="P91" s="1508"/>
    </row>
    <row r="92" spans="2:16" ht="18.75" customHeight="1" thickBot="1">
      <c r="B92" s="1511"/>
      <c r="C92" s="1684"/>
      <c r="D92" s="1685"/>
      <c r="E92" s="1685"/>
      <c r="F92" s="1563"/>
      <c r="G92" s="1563"/>
      <c r="H92" s="1563"/>
      <c r="I92" s="1563"/>
      <c r="J92" s="1563"/>
      <c r="K92" s="1682"/>
      <c r="L92" s="1682"/>
      <c r="M92" s="1682"/>
      <c r="N92" s="1682"/>
      <c r="O92" s="1683"/>
      <c r="P92" s="1508"/>
    </row>
    <row r="93" spans="2:16" ht="14.4" thickBot="1">
      <c r="B93" s="1597"/>
      <c r="C93" s="1598"/>
      <c r="D93" s="1598"/>
      <c r="E93" s="1598"/>
      <c r="F93" s="1598"/>
      <c r="G93" s="1598"/>
      <c r="H93" s="1598"/>
      <c r="I93" s="1598"/>
      <c r="J93" s="1598"/>
      <c r="K93" s="1598"/>
      <c r="L93" s="1598"/>
      <c r="M93" s="1598"/>
      <c r="N93" s="1598"/>
      <c r="O93" s="1598"/>
      <c r="P93" s="1599"/>
    </row>
    <row r="94" spans="2:16" ht="14.4"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BE9"/>
  <sheetViews>
    <sheetView workbookViewId="0">
      <selection activeCell="A6" sqref="A6:A12"/>
    </sheetView>
  </sheetViews>
  <sheetFormatPr baseColWidth="10" defaultColWidth="14.44140625" defaultRowHeight="15" customHeight="1"/>
  <cols>
    <col min="1" max="1" width="13" style="123" customWidth="1"/>
    <col min="2" max="2" width="50.5546875" style="123" bestFit="1" customWidth="1"/>
    <col min="3" max="3" width="9.5546875" style="123" customWidth="1"/>
    <col min="4" max="4" width="11.6640625" style="123" hidden="1" customWidth="1"/>
    <col min="5" max="5" width="13.33203125" style="123" customWidth="1"/>
    <col min="6" max="6" width="12.33203125" style="123" hidden="1" customWidth="1"/>
    <col min="7" max="7" width="7.5546875" style="123" hidden="1" customWidth="1"/>
    <col min="8" max="8" width="7.33203125" style="123" hidden="1" customWidth="1"/>
    <col min="9" max="13" width="11.5546875" style="123" hidden="1" customWidth="1"/>
    <col min="14" max="14" width="12.109375" style="123" hidden="1" customWidth="1"/>
    <col min="15" max="19" width="11.5546875" style="123" hidden="1" customWidth="1"/>
    <col min="20" max="20" width="5.33203125" style="123" hidden="1" customWidth="1"/>
    <col min="21" max="29" width="11.5546875" style="123" hidden="1" customWidth="1"/>
    <col min="30" max="30" width="10.6640625" style="123" hidden="1" customWidth="1"/>
    <col min="31" max="31" width="14" style="123" hidden="1" customWidth="1"/>
    <col min="32" max="32" width="1.33203125" style="123" hidden="1" customWidth="1"/>
    <col min="33" max="35" width="11.6640625" style="123" hidden="1" customWidth="1"/>
    <col min="36" max="36" width="13" style="123" hidden="1" customWidth="1"/>
    <col min="37" max="37" width="11.6640625" style="123" hidden="1" customWidth="1"/>
    <col min="38" max="39" width="13" style="123" hidden="1" customWidth="1"/>
    <col min="40" max="41" width="11.6640625" style="123" hidden="1" customWidth="1"/>
    <col min="42" max="42" width="14" style="123" hidden="1" customWidth="1"/>
    <col min="43" max="56" width="11.6640625" style="123" hidden="1" customWidth="1"/>
    <col min="57" max="57" width="14" style="123" hidden="1" customWidth="1"/>
    <col min="58" max="16384" width="14.44140625" style="123"/>
  </cols>
  <sheetData>
    <row r="1" spans="1:57" s="1315" customFormat="1" ht="17.399999999999999" customHeight="1">
      <c r="A1" s="1794"/>
      <c r="B1" s="1796" t="s">
        <v>4424</v>
      </c>
      <c r="C1" s="1796"/>
      <c r="D1" s="1796"/>
      <c r="E1" s="1796"/>
      <c r="F1" s="1797"/>
      <c r="G1" s="1328"/>
    </row>
    <row r="2" spans="1:57" s="1315" customFormat="1" ht="17.399999999999999" customHeight="1">
      <c r="A2" s="1795"/>
      <c r="B2" s="1798" t="s">
        <v>1194</v>
      </c>
      <c r="C2" s="1798"/>
      <c r="D2" s="1798"/>
      <c r="E2" s="1798"/>
      <c r="F2" s="1799"/>
      <c r="G2" s="1328"/>
    </row>
    <row r="3" spans="1:57" s="1315" customFormat="1" ht="17.399999999999999" customHeight="1">
      <c r="A3" s="1795"/>
      <c r="B3" s="1798" t="s">
        <v>1195</v>
      </c>
      <c r="C3" s="1798"/>
      <c r="D3" s="1798"/>
      <c r="E3" s="1798"/>
      <c r="F3" s="1799"/>
      <c r="G3" s="1328"/>
    </row>
    <row r="4" spans="1:57" s="1315" customFormat="1" ht="16.8" customHeight="1">
      <c r="A4" s="1795"/>
      <c r="B4" s="1798" t="s">
        <v>4422</v>
      </c>
      <c r="C4" s="1798"/>
      <c r="D4" s="1798"/>
      <c r="E4" s="1798"/>
      <c r="F4" s="1799"/>
      <c r="G4" s="1329" t="e">
        <f>#REF!</f>
        <v>#REF!</v>
      </c>
      <c r="H4" s="1324" t="e">
        <f>#REF!</f>
        <v>#REF!</v>
      </c>
      <c r="I4" s="1324" t="e">
        <f>#REF!</f>
        <v>#REF!</v>
      </c>
      <c r="J4" s="1324" t="e">
        <f>#REF!</f>
        <v>#REF!</v>
      </c>
      <c r="K4" s="1324" t="e">
        <f>#REF!</f>
        <v>#REF!</v>
      </c>
      <c r="L4" s="1324" t="e">
        <f>#REF!</f>
        <v>#REF!</v>
      </c>
      <c r="M4" s="1324" t="e">
        <f>#REF!</f>
        <v>#REF!</v>
      </c>
      <c r="N4" s="1324" t="e">
        <f>#REF!</f>
        <v>#REF!</v>
      </c>
      <c r="O4" s="1324" t="e">
        <f>#REF!</f>
        <v>#REF!</v>
      </c>
      <c r="P4" s="1324" t="e">
        <f>#REF!</f>
        <v>#REF!</v>
      </c>
      <c r="Q4" s="1324" t="e">
        <f>#REF!</f>
        <v>#REF!</v>
      </c>
      <c r="R4" s="1324" t="e">
        <f>#REF!</f>
        <v>#REF!</v>
      </c>
      <c r="S4" s="1324" t="e">
        <f>#REF!</f>
        <v>#REF!</v>
      </c>
      <c r="T4" s="1324" t="e">
        <f>#REF!</f>
        <v>#REF!</v>
      </c>
      <c r="U4" s="1324" t="e">
        <f>#REF!</f>
        <v>#REF!</v>
      </c>
      <c r="V4" s="1324" t="e">
        <f>#REF!</f>
        <v>#REF!</v>
      </c>
      <c r="W4" s="1324" t="e">
        <f>#REF!</f>
        <v>#REF!</v>
      </c>
      <c r="X4" s="1324" t="e">
        <f>#REF!</f>
        <v>#REF!</v>
      </c>
      <c r="Y4" s="1324" t="e">
        <f>#REF!</f>
        <v>#REF!</v>
      </c>
      <c r="Z4" s="1324" t="e">
        <f>#REF!</f>
        <v>#REF!</v>
      </c>
      <c r="AA4" s="1324" t="e">
        <f>#REF!</f>
        <v>#REF!</v>
      </c>
      <c r="AB4" s="1324" t="e">
        <f>#REF!</f>
        <v>#REF!</v>
      </c>
      <c r="AC4" s="1324" t="e">
        <f>#REF!</f>
        <v>#REF!</v>
      </c>
      <c r="AD4" s="1324" t="e">
        <f>#REF!</f>
        <v>#REF!</v>
      </c>
    </row>
    <row r="5" spans="1:57" ht="48" customHeight="1">
      <c r="A5" s="1789" t="e">
        <f>+#REF!</f>
        <v>#REF!</v>
      </c>
      <c r="B5" s="1790"/>
      <c r="C5" s="1790"/>
      <c r="D5" s="1790"/>
      <c r="E5" s="1790"/>
      <c r="F5" s="1791"/>
      <c r="G5" s="1792" t="s">
        <v>1545</v>
      </c>
      <c r="H5" s="1793"/>
      <c r="I5" s="1793"/>
      <c r="J5" s="1793"/>
      <c r="K5" s="1793"/>
      <c r="L5" s="1793"/>
      <c r="M5" s="1793"/>
      <c r="N5" s="1314"/>
      <c r="O5" s="1314"/>
    </row>
    <row r="6" spans="1:57" ht="14.25" customHeight="1">
      <c r="A6" s="1330" t="s">
        <v>4</v>
      </c>
      <c r="B6" s="1321" t="s">
        <v>1544</v>
      </c>
      <c r="C6" s="1321" t="s">
        <v>151</v>
      </c>
      <c r="D6" s="1321" t="s">
        <v>152</v>
      </c>
      <c r="E6" s="1321" t="s">
        <v>205</v>
      </c>
      <c r="F6" s="1331" t="s">
        <v>154</v>
      </c>
      <c r="G6" s="1322" t="s">
        <v>11</v>
      </c>
      <c r="H6" s="1321" t="s">
        <v>18</v>
      </c>
      <c r="I6" s="1321" t="s">
        <v>21</v>
      </c>
      <c r="J6" s="1321" t="s">
        <v>23</v>
      </c>
      <c r="K6" s="1321" t="s">
        <v>25</v>
      </c>
      <c r="L6" s="1321" t="s">
        <v>27</v>
      </c>
      <c r="M6" s="1321" t="s">
        <v>29</v>
      </c>
      <c r="N6" s="1321" t="s">
        <v>36</v>
      </c>
      <c r="O6" s="1321" t="s">
        <v>38</v>
      </c>
      <c r="P6" s="1321" t="s">
        <v>40</v>
      </c>
      <c r="Q6" s="1321" t="s">
        <v>42</v>
      </c>
      <c r="R6" s="1321" t="s">
        <v>45</v>
      </c>
      <c r="S6" s="1321" t="s">
        <v>155</v>
      </c>
      <c r="T6" s="1321" t="s">
        <v>48</v>
      </c>
      <c r="U6" s="1321" t="s">
        <v>51</v>
      </c>
      <c r="V6" s="1321" t="s">
        <v>156</v>
      </c>
      <c r="W6" s="1321" t="s">
        <v>157</v>
      </c>
      <c r="X6" s="1321" t="s">
        <v>158</v>
      </c>
      <c r="Y6" s="1321" t="s">
        <v>159</v>
      </c>
      <c r="Z6" s="1321" t="s">
        <v>160</v>
      </c>
      <c r="AA6" s="1321" t="s">
        <v>161</v>
      </c>
      <c r="AB6" s="1321" t="s">
        <v>162</v>
      </c>
      <c r="AC6" s="1321" t="s">
        <v>163</v>
      </c>
      <c r="AD6" s="1321" t="s">
        <v>164</v>
      </c>
      <c r="AE6" s="1321" t="s">
        <v>54</v>
      </c>
      <c r="AG6" s="1321" t="s">
        <v>11</v>
      </c>
      <c r="AH6" s="1321" t="s">
        <v>18</v>
      </c>
      <c r="AI6" s="1321" t="s">
        <v>21</v>
      </c>
      <c r="AJ6" s="1321" t="s">
        <v>23</v>
      </c>
      <c r="AK6" s="1321" t="s">
        <v>25</v>
      </c>
      <c r="AL6" s="1321" t="s">
        <v>27</v>
      </c>
      <c r="AM6" s="1321" t="s">
        <v>29</v>
      </c>
      <c r="AN6" s="1321" t="s">
        <v>36</v>
      </c>
      <c r="AO6" s="1321" t="s">
        <v>38</v>
      </c>
      <c r="AP6" s="1321" t="s">
        <v>40</v>
      </c>
      <c r="AQ6" s="1321" t="s">
        <v>42</v>
      </c>
      <c r="AR6" s="1321" t="s">
        <v>45</v>
      </c>
      <c r="AS6" s="1321" t="s">
        <v>155</v>
      </c>
      <c r="AT6" s="1321" t="s">
        <v>48</v>
      </c>
      <c r="AU6" s="1321" t="s">
        <v>51</v>
      </c>
      <c r="AV6" s="1321" t="s">
        <v>156</v>
      </c>
      <c r="AW6" s="1321" t="s">
        <v>157</v>
      </c>
      <c r="AX6" s="1321" t="s">
        <v>158</v>
      </c>
      <c r="AY6" s="1321" t="s">
        <v>159</v>
      </c>
      <c r="AZ6" s="1321" t="s">
        <v>160</v>
      </c>
      <c r="BA6" s="1321" t="s">
        <v>161</v>
      </c>
      <c r="BB6" s="1321" t="s">
        <v>162</v>
      </c>
      <c r="BC6" s="1321" t="s">
        <v>163</v>
      </c>
      <c r="BD6" s="1321" t="s">
        <v>164</v>
      </c>
      <c r="BE6" s="1321" t="s">
        <v>54</v>
      </c>
    </row>
    <row r="7" spans="1:57" ht="14.25" customHeight="1">
      <c r="A7" s="1325">
        <v>1</v>
      </c>
      <c r="B7" s="1339" t="s">
        <v>4423</v>
      </c>
      <c r="C7" s="214" t="s">
        <v>116</v>
      </c>
      <c r="D7" s="1340" t="e">
        <f>SUM(G7:AE7)</f>
        <v>#REF!</v>
      </c>
      <c r="E7" s="1341">
        <v>4500</v>
      </c>
      <c r="F7" s="1332" t="e">
        <f>D7*E7</f>
        <v>#REF!</v>
      </c>
      <c r="G7" s="1333"/>
      <c r="H7" s="1179"/>
      <c r="I7" s="1319"/>
      <c r="J7" s="1179" t="e">
        <f>#REF!*#REF!</f>
        <v>#REF!</v>
      </c>
      <c r="K7" s="1179"/>
      <c r="L7" s="1179" t="e">
        <f>#REF!*#REF!</f>
        <v>#REF!</v>
      </c>
      <c r="M7" s="1319" t="e">
        <f>#REF!*#REF!</f>
        <v>#REF!</v>
      </c>
      <c r="N7" s="1179"/>
      <c r="O7" s="1323"/>
      <c r="P7" s="1323" t="e">
        <f>#REF!*'8 - PISOS - CONCRETO-ENCHAPES'!E254</f>
        <v>#REF!</v>
      </c>
      <c r="Q7" s="1323"/>
      <c r="R7" s="1323"/>
      <c r="S7" s="1323"/>
      <c r="T7" s="1323"/>
      <c r="U7" s="1323"/>
      <c r="V7" s="1323"/>
      <c r="W7" s="1323"/>
      <c r="X7" s="1323"/>
      <c r="Y7" s="1323"/>
      <c r="Z7" s="1323"/>
      <c r="AA7" s="1323"/>
      <c r="AB7" s="1323"/>
      <c r="AC7" s="1323"/>
      <c r="AD7" s="1323"/>
      <c r="AE7" s="1323"/>
      <c r="AG7" s="1318">
        <f t="shared" ref="AG7:BE7" si="0">$E7*G7</f>
        <v>0</v>
      </c>
      <c r="AH7" s="1318">
        <f t="shared" si="0"/>
        <v>0</v>
      </c>
      <c r="AI7" s="1318">
        <f t="shared" si="0"/>
        <v>0</v>
      </c>
      <c r="AJ7" s="1318" t="e">
        <f t="shared" si="0"/>
        <v>#REF!</v>
      </c>
      <c r="AK7" s="1318">
        <f t="shared" si="0"/>
        <v>0</v>
      </c>
      <c r="AL7" s="1318" t="e">
        <f t="shared" si="0"/>
        <v>#REF!</v>
      </c>
      <c r="AM7" s="1318" t="e">
        <f t="shared" si="0"/>
        <v>#REF!</v>
      </c>
      <c r="AN7" s="1318">
        <f t="shared" si="0"/>
        <v>0</v>
      </c>
      <c r="AO7" s="1318">
        <f t="shared" si="0"/>
        <v>0</v>
      </c>
      <c r="AP7" s="1318" t="e">
        <f t="shared" si="0"/>
        <v>#REF!</v>
      </c>
      <c r="AQ7" s="1318">
        <f t="shared" si="0"/>
        <v>0</v>
      </c>
      <c r="AR7" s="1318">
        <f t="shared" si="0"/>
        <v>0</v>
      </c>
      <c r="AS7" s="1318">
        <f t="shared" si="0"/>
        <v>0</v>
      </c>
      <c r="AT7" s="1318">
        <f t="shared" si="0"/>
        <v>0</v>
      </c>
      <c r="AU7" s="1318">
        <f t="shared" si="0"/>
        <v>0</v>
      </c>
      <c r="AV7" s="1318">
        <f t="shared" si="0"/>
        <v>0</v>
      </c>
      <c r="AW7" s="1318">
        <f t="shared" si="0"/>
        <v>0</v>
      </c>
      <c r="AX7" s="1318">
        <f t="shared" si="0"/>
        <v>0</v>
      </c>
      <c r="AY7" s="1318">
        <f t="shared" si="0"/>
        <v>0</v>
      </c>
      <c r="AZ7" s="1318">
        <f t="shared" si="0"/>
        <v>0</v>
      </c>
      <c r="BA7" s="1318">
        <f t="shared" si="0"/>
        <v>0</v>
      </c>
      <c r="BB7" s="1318">
        <f t="shared" si="0"/>
        <v>0</v>
      </c>
      <c r="BC7" s="1318">
        <f t="shared" si="0"/>
        <v>0</v>
      </c>
      <c r="BD7" s="1318">
        <f t="shared" si="0"/>
        <v>0</v>
      </c>
      <c r="BE7" s="1318">
        <f t="shared" si="0"/>
        <v>0</v>
      </c>
    </row>
    <row r="8" spans="1:57" ht="27" thickBot="1">
      <c r="A8" s="1326">
        <v>2</v>
      </c>
      <c r="B8" s="1342" t="s">
        <v>4425</v>
      </c>
      <c r="C8" s="1327" t="s">
        <v>116</v>
      </c>
      <c r="D8" s="1343">
        <v>1</v>
      </c>
      <c r="E8" s="1344">
        <f>420000/6</f>
        <v>70000</v>
      </c>
      <c r="F8" s="1334"/>
      <c r="G8" s="1335"/>
      <c r="H8" s="1179"/>
      <c r="I8" s="1319"/>
      <c r="J8" s="1179"/>
      <c r="K8" s="1179"/>
      <c r="L8" s="1179"/>
      <c r="M8" s="1319"/>
      <c r="N8" s="1179"/>
      <c r="O8" s="1323"/>
      <c r="P8" s="1323"/>
      <c r="Q8" s="1323"/>
      <c r="R8" s="1323"/>
      <c r="S8" s="1323"/>
      <c r="T8" s="1323"/>
      <c r="U8" s="1323"/>
      <c r="V8" s="1323"/>
      <c r="W8" s="1323"/>
      <c r="X8" s="1323"/>
      <c r="Y8" s="1323"/>
      <c r="Z8" s="1323"/>
      <c r="AA8" s="1323"/>
      <c r="AB8" s="1323"/>
      <c r="AC8" s="1323"/>
      <c r="AD8" s="1323"/>
      <c r="AE8" s="1323"/>
      <c r="AG8" s="1318"/>
      <c r="AH8" s="1318"/>
      <c r="AI8" s="1318"/>
      <c r="AJ8" s="1318"/>
      <c r="AK8" s="1318"/>
      <c r="AL8" s="1318"/>
      <c r="AM8" s="1318"/>
      <c r="AN8" s="1318"/>
      <c r="AO8" s="1318"/>
      <c r="AP8" s="1318"/>
      <c r="AQ8" s="1318"/>
      <c r="AR8" s="1318"/>
      <c r="AS8" s="1318"/>
      <c r="AT8" s="1318"/>
      <c r="AU8" s="1318"/>
      <c r="AV8" s="1318"/>
      <c r="AW8" s="1318"/>
      <c r="AX8" s="1318"/>
      <c r="AY8" s="1318"/>
      <c r="AZ8" s="1318"/>
      <c r="BA8" s="1318"/>
      <c r="BB8" s="1318"/>
      <c r="BC8" s="1318"/>
      <c r="BD8" s="1318"/>
      <c r="BE8" s="1318"/>
    </row>
    <row r="9" spans="1:57" ht="14.25" customHeight="1">
      <c r="F9" s="1336" t="e">
        <f>SUM(F7:F8)</f>
        <v>#REF!</v>
      </c>
      <c r="AE9" s="1337" t="e">
        <f>SUM(AG9:BE9)</f>
        <v>#REF!</v>
      </c>
      <c r="AG9" s="1338">
        <f t="shared" ref="AG9:BE9" si="1">SUM(AG7:AG8)</f>
        <v>0</v>
      </c>
      <c r="AH9" s="1338">
        <f t="shared" si="1"/>
        <v>0</v>
      </c>
      <c r="AI9" s="1338">
        <f t="shared" si="1"/>
        <v>0</v>
      </c>
      <c r="AJ9" s="1338" t="e">
        <f t="shared" si="1"/>
        <v>#REF!</v>
      </c>
      <c r="AK9" s="1338">
        <f t="shared" si="1"/>
        <v>0</v>
      </c>
      <c r="AL9" s="1338" t="e">
        <f t="shared" si="1"/>
        <v>#REF!</v>
      </c>
      <c r="AM9" s="1338" t="e">
        <f t="shared" si="1"/>
        <v>#REF!</v>
      </c>
      <c r="AN9" s="1338">
        <f t="shared" si="1"/>
        <v>0</v>
      </c>
      <c r="AO9" s="1338">
        <f t="shared" si="1"/>
        <v>0</v>
      </c>
      <c r="AP9" s="1338" t="e">
        <f t="shared" si="1"/>
        <v>#REF!</v>
      </c>
      <c r="AQ9" s="1338">
        <f t="shared" si="1"/>
        <v>0</v>
      </c>
      <c r="AR9" s="1338">
        <f t="shared" si="1"/>
        <v>0</v>
      </c>
      <c r="AS9" s="1338">
        <f t="shared" si="1"/>
        <v>0</v>
      </c>
      <c r="AT9" s="1338">
        <f t="shared" si="1"/>
        <v>0</v>
      </c>
      <c r="AU9" s="1338">
        <f t="shared" si="1"/>
        <v>0</v>
      </c>
      <c r="AV9" s="1338">
        <f t="shared" si="1"/>
        <v>0</v>
      </c>
      <c r="AW9" s="1338">
        <f t="shared" si="1"/>
        <v>0</v>
      </c>
      <c r="AX9" s="1338">
        <f t="shared" si="1"/>
        <v>0</v>
      </c>
      <c r="AY9" s="1338">
        <f t="shared" si="1"/>
        <v>0</v>
      </c>
      <c r="AZ9" s="1338">
        <f t="shared" si="1"/>
        <v>0</v>
      </c>
      <c r="BA9" s="1338">
        <f t="shared" si="1"/>
        <v>0</v>
      </c>
      <c r="BB9" s="1338">
        <f t="shared" si="1"/>
        <v>0</v>
      </c>
      <c r="BC9" s="1338">
        <f t="shared" si="1"/>
        <v>0</v>
      </c>
      <c r="BD9" s="1338">
        <f t="shared" si="1"/>
        <v>0</v>
      </c>
      <c r="BE9" s="1338">
        <f t="shared" si="1"/>
        <v>0</v>
      </c>
    </row>
  </sheetData>
  <mergeCells count="7">
    <mergeCell ref="A5:F5"/>
    <mergeCell ref="G5:M5"/>
    <mergeCell ref="A1:A4"/>
    <mergeCell ref="B1:F1"/>
    <mergeCell ref="B2:F2"/>
    <mergeCell ref="B3:F3"/>
    <mergeCell ref="B4:F4"/>
  </mergeCells>
  <pageMargins left="0.7" right="0.7" top="0.75" bottom="0.75" header="0" footer="0"/>
  <pageSetup orientation="portrait"/>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V363"/>
  <sheetViews>
    <sheetView workbookViewId="0"/>
  </sheetViews>
  <sheetFormatPr baseColWidth="10" defaultColWidth="14.44140625" defaultRowHeight="15" customHeight="1"/>
  <cols>
    <col min="1" max="1" width="6" customWidth="1"/>
    <col min="2" max="2" width="41.5546875" customWidth="1"/>
    <col min="3" max="3" width="8.44140625" customWidth="1"/>
    <col min="4" max="4" width="12.5546875" customWidth="1"/>
    <col min="5" max="6" width="18.5546875" customWidth="1"/>
    <col min="7" max="7" width="0.6640625" customWidth="1"/>
    <col min="8" max="47" width="1.6640625" customWidth="1"/>
    <col min="48" max="48" width="11.44140625" customWidth="1"/>
  </cols>
  <sheetData>
    <row r="1" spans="1:48" ht="14.25" customHeight="1">
      <c r="A1" s="1803" t="s">
        <v>277</v>
      </c>
      <c r="B1" s="1601"/>
      <c r="C1" s="1601"/>
      <c r="D1" s="1601"/>
      <c r="E1" s="1601"/>
      <c r="F1" s="1602"/>
    </row>
    <row r="2" spans="1:48" ht="14.25" customHeight="1">
      <c r="D2" s="77"/>
    </row>
    <row r="3" spans="1:48" ht="45.75" customHeight="1">
      <c r="A3" s="1804" t="s">
        <v>278</v>
      </c>
      <c r="B3" s="1601"/>
      <c r="C3" s="1601"/>
      <c r="D3" s="1601"/>
      <c r="E3" s="1601"/>
      <c r="F3" s="1602"/>
    </row>
    <row r="4" spans="1:48" ht="18.75" customHeight="1">
      <c r="A4" s="78" t="s">
        <v>2</v>
      </c>
      <c r="B4" s="78" t="s">
        <v>279</v>
      </c>
      <c r="C4" s="78"/>
      <c r="D4" s="79"/>
      <c r="E4" s="78"/>
      <c r="F4" s="78"/>
      <c r="H4" s="1609" t="s">
        <v>280</v>
      </c>
      <c r="I4" s="1610"/>
      <c r="J4" s="1610"/>
      <c r="K4" s="1611"/>
      <c r="L4" s="1609" t="s">
        <v>281</v>
      </c>
      <c r="M4" s="1610"/>
      <c r="N4" s="1610"/>
      <c r="O4" s="1611"/>
      <c r="P4" s="1609" t="s">
        <v>282</v>
      </c>
      <c r="Q4" s="1610"/>
      <c r="R4" s="1610"/>
      <c r="S4" s="1611"/>
      <c r="T4" s="1609" t="s">
        <v>283</v>
      </c>
      <c r="U4" s="1610"/>
      <c r="V4" s="1610"/>
      <c r="W4" s="1611"/>
      <c r="X4" s="1609" t="s">
        <v>284</v>
      </c>
      <c r="Y4" s="1610"/>
      <c r="Z4" s="1610"/>
      <c r="AA4" s="1611"/>
      <c r="AB4" s="1609" t="s">
        <v>285</v>
      </c>
      <c r="AC4" s="1610"/>
      <c r="AD4" s="1610"/>
      <c r="AE4" s="1611"/>
      <c r="AF4" s="1609" t="s">
        <v>286</v>
      </c>
      <c r="AG4" s="1610"/>
      <c r="AH4" s="1610"/>
      <c r="AI4" s="1611"/>
      <c r="AJ4" s="1609" t="s">
        <v>287</v>
      </c>
      <c r="AK4" s="1610"/>
      <c r="AL4" s="1610"/>
      <c r="AM4" s="1611"/>
      <c r="AN4" s="1609" t="s">
        <v>288</v>
      </c>
      <c r="AO4" s="1610"/>
      <c r="AP4" s="1610"/>
      <c r="AQ4" s="1611"/>
      <c r="AR4" s="1609" t="s">
        <v>289</v>
      </c>
      <c r="AS4" s="1610"/>
      <c r="AT4" s="1610"/>
      <c r="AU4" s="1611"/>
      <c r="AV4" s="43" t="s">
        <v>227</v>
      </c>
    </row>
    <row r="5" spans="1:48" ht="14.25" customHeight="1">
      <c r="A5" s="80" t="s">
        <v>4</v>
      </c>
      <c r="B5" s="81" t="s">
        <v>5</v>
      </c>
      <c r="C5" s="81" t="s">
        <v>6</v>
      </c>
      <c r="D5" s="82" t="s">
        <v>7</v>
      </c>
      <c r="E5" s="81" t="s">
        <v>8</v>
      </c>
      <c r="F5" s="83" t="s">
        <v>9</v>
      </c>
      <c r="H5" s="84"/>
      <c r="I5" s="84"/>
      <c r="J5" s="84"/>
      <c r="K5" s="84"/>
      <c r="L5" s="44"/>
      <c r="M5" s="44"/>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row>
    <row r="6" spans="1:48" ht="14.25" customHeight="1">
      <c r="A6" s="85">
        <v>1</v>
      </c>
      <c r="B6" s="86" t="s">
        <v>10</v>
      </c>
      <c r="C6" s="44"/>
      <c r="D6" s="87"/>
      <c r="E6" s="44"/>
      <c r="F6" s="88"/>
      <c r="H6" s="89"/>
      <c r="I6" s="89"/>
      <c r="J6" s="89"/>
      <c r="K6" s="89"/>
      <c r="L6" s="84"/>
      <c r="M6" s="84"/>
      <c r="N6" s="84"/>
      <c r="O6" s="84"/>
      <c r="P6" s="84"/>
      <c r="Q6" s="84"/>
      <c r="R6" s="84"/>
      <c r="S6" s="8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row>
    <row r="7" spans="1:48" ht="14.25" hidden="1" customHeight="1">
      <c r="A7" s="90" t="s">
        <v>11</v>
      </c>
      <c r="B7" s="91" t="s">
        <v>12</v>
      </c>
      <c r="C7" s="43" t="s">
        <v>290</v>
      </c>
      <c r="D7" s="87">
        <v>60</v>
      </c>
      <c r="E7" s="87">
        <v>480000</v>
      </c>
      <c r="F7" s="92">
        <f t="shared" ref="F7:F75" si="0">+ROUND(D7*E7,0)</f>
        <v>28800000</v>
      </c>
      <c r="H7" s="44"/>
      <c r="I7" s="44"/>
      <c r="J7" s="44"/>
      <c r="K7" s="44"/>
      <c r="L7" s="44"/>
      <c r="M7" s="44"/>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row>
    <row r="8" spans="1:48" ht="14.25" hidden="1" customHeight="1">
      <c r="A8" s="90" t="s">
        <v>14</v>
      </c>
      <c r="B8" s="91" t="s">
        <v>15</v>
      </c>
      <c r="C8" s="43" t="s">
        <v>16</v>
      </c>
      <c r="D8" s="87">
        <v>1</v>
      </c>
      <c r="E8" s="87">
        <v>15000000</v>
      </c>
      <c r="F8" s="92">
        <f t="shared" si="0"/>
        <v>15000000</v>
      </c>
      <c r="H8" s="44"/>
      <c r="I8" s="44"/>
      <c r="J8" s="44"/>
      <c r="K8" s="44"/>
      <c r="L8" s="44"/>
      <c r="M8" s="44"/>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row>
    <row r="9" spans="1:48" ht="14.25" customHeight="1">
      <c r="A9" s="85">
        <v>2</v>
      </c>
      <c r="B9" s="93" t="s">
        <v>17</v>
      </c>
      <c r="C9" s="43"/>
      <c r="D9" s="87"/>
      <c r="E9" s="87"/>
      <c r="F9" s="92">
        <f t="shared" si="0"/>
        <v>0</v>
      </c>
      <c r="H9" s="44"/>
      <c r="I9" s="44"/>
      <c r="J9" s="89"/>
      <c r="K9" s="89"/>
      <c r="L9" s="89"/>
      <c r="M9" s="89"/>
      <c r="N9" s="89"/>
      <c r="O9" s="89"/>
      <c r="P9" s="89"/>
      <c r="Q9" s="89"/>
      <c r="R9" s="89"/>
      <c r="S9" s="89"/>
      <c r="T9" s="84"/>
      <c r="U9" s="84"/>
      <c r="V9" s="84"/>
      <c r="W9" s="84"/>
      <c r="X9" s="84"/>
      <c r="Y9" s="84"/>
      <c r="Z9" s="84"/>
      <c r="AA9" s="84"/>
      <c r="AB9" s="84"/>
      <c r="AC9" s="84"/>
      <c r="AD9" s="84"/>
      <c r="AE9" s="84"/>
      <c r="AF9" s="44"/>
      <c r="AG9" s="44"/>
      <c r="AH9" s="44"/>
      <c r="AI9" s="44"/>
      <c r="AJ9" s="44"/>
      <c r="AK9" s="44"/>
      <c r="AL9" s="44"/>
      <c r="AM9" s="44"/>
      <c r="AN9" s="44"/>
      <c r="AO9" s="44"/>
      <c r="AP9" s="44"/>
      <c r="AQ9" s="44"/>
      <c r="AR9" s="44"/>
      <c r="AS9" s="44"/>
      <c r="AT9" s="44"/>
      <c r="AU9" s="44"/>
      <c r="AV9" s="44"/>
    </row>
    <row r="10" spans="1:48" ht="14.25" hidden="1" customHeight="1">
      <c r="A10" s="90" t="s">
        <v>18</v>
      </c>
      <c r="B10" s="91" t="s">
        <v>19</v>
      </c>
      <c r="C10" s="43" t="s">
        <v>20</v>
      </c>
      <c r="D10" s="87">
        <v>350</v>
      </c>
      <c r="E10" s="87">
        <v>25200</v>
      </c>
      <c r="F10" s="92">
        <f t="shared" si="0"/>
        <v>8820000</v>
      </c>
      <c r="H10" s="44"/>
      <c r="I10" s="44"/>
      <c r="J10" s="44"/>
      <c r="K10" s="44"/>
      <c r="L10" s="44"/>
      <c r="M10" s="44"/>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row>
    <row r="11" spans="1:48" ht="14.25" hidden="1" customHeight="1">
      <c r="A11" s="90" t="s">
        <v>21</v>
      </c>
      <c r="B11" s="91" t="s">
        <v>22</v>
      </c>
      <c r="C11" s="43" t="s">
        <v>20</v>
      </c>
      <c r="D11" s="87">
        <v>250</v>
      </c>
      <c r="E11" s="87">
        <v>30500</v>
      </c>
      <c r="F11" s="92">
        <f t="shared" si="0"/>
        <v>7625000</v>
      </c>
      <c r="H11" s="44"/>
      <c r="I11" s="44"/>
      <c r="J11" s="44"/>
      <c r="K11" s="44"/>
      <c r="L11" s="44"/>
      <c r="M11" s="44"/>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row>
    <row r="12" spans="1:48" ht="14.25" hidden="1" customHeight="1">
      <c r="A12" s="90" t="s">
        <v>23</v>
      </c>
      <c r="B12" s="91" t="s">
        <v>24</v>
      </c>
      <c r="C12" s="43" t="s">
        <v>20</v>
      </c>
      <c r="D12" s="87">
        <v>150</v>
      </c>
      <c r="E12" s="87">
        <v>30500</v>
      </c>
      <c r="F12" s="92">
        <f t="shared" si="0"/>
        <v>4575000</v>
      </c>
      <c r="H12" s="44"/>
      <c r="I12" s="44"/>
      <c r="J12" s="44"/>
      <c r="K12" s="44"/>
      <c r="L12" s="44"/>
      <c r="M12" s="44"/>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row>
    <row r="13" spans="1:48" ht="14.25" hidden="1" customHeight="1">
      <c r="A13" s="90" t="s">
        <v>25</v>
      </c>
      <c r="B13" s="91" t="s">
        <v>26</v>
      </c>
      <c r="C13" s="43" t="s">
        <v>20</v>
      </c>
      <c r="D13" s="87">
        <v>100</v>
      </c>
      <c r="E13" s="87">
        <v>35600</v>
      </c>
      <c r="F13" s="92">
        <f t="shared" si="0"/>
        <v>3560000</v>
      </c>
      <c r="H13" s="44"/>
      <c r="I13" s="44"/>
      <c r="J13" s="44"/>
      <c r="K13" s="44"/>
      <c r="L13" s="44"/>
      <c r="M13" s="44"/>
      <c r="N13" s="44"/>
      <c r="O13" s="44"/>
      <c r="P13" s="44"/>
      <c r="Q13" s="44"/>
      <c r="R13" s="44"/>
      <c r="S13" s="44"/>
      <c r="T13" s="44"/>
      <c r="U13" s="44"/>
      <c r="V13" s="44"/>
      <c r="W13" s="44"/>
      <c r="X13" s="44"/>
      <c r="Y13" s="44"/>
      <c r="Z13" s="44"/>
      <c r="AA13" s="44"/>
      <c r="AB13" s="44"/>
      <c r="AC13" s="44"/>
      <c r="AD13" s="44"/>
      <c r="AE13" s="44"/>
      <c r="AF13" s="44"/>
      <c r="AG13" s="44"/>
      <c r="AH13" s="44"/>
      <c r="AI13" s="44"/>
      <c r="AJ13" s="44"/>
      <c r="AK13" s="44"/>
      <c r="AL13" s="44"/>
      <c r="AM13" s="44"/>
      <c r="AN13" s="44"/>
      <c r="AO13" s="44"/>
      <c r="AP13" s="44"/>
      <c r="AQ13" s="44"/>
      <c r="AR13" s="44"/>
      <c r="AS13" s="44"/>
      <c r="AT13" s="44"/>
      <c r="AU13" s="44"/>
      <c r="AV13" s="44"/>
    </row>
    <row r="14" spans="1:48" ht="14.25" hidden="1" customHeight="1">
      <c r="A14" s="90" t="s">
        <v>27</v>
      </c>
      <c r="B14" s="91" t="s">
        <v>291</v>
      </c>
      <c r="C14" s="43" t="s">
        <v>103</v>
      </c>
      <c r="D14" s="87">
        <f>140*5</f>
        <v>700</v>
      </c>
      <c r="E14" s="87">
        <v>185000</v>
      </c>
      <c r="F14" s="92">
        <f t="shared" si="0"/>
        <v>129500000</v>
      </c>
      <c r="H14" s="44"/>
      <c r="I14" s="44"/>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row>
    <row r="15" spans="1:48" ht="14.25" hidden="1" customHeight="1">
      <c r="A15" s="90" t="s">
        <v>29</v>
      </c>
      <c r="B15" s="91" t="s">
        <v>28</v>
      </c>
      <c r="C15" s="43" t="s">
        <v>20</v>
      </c>
      <c r="D15" s="87">
        <v>94</v>
      </c>
      <c r="E15" s="87">
        <v>224000</v>
      </c>
      <c r="F15" s="92">
        <f t="shared" si="0"/>
        <v>21056000</v>
      </c>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row>
    <row r="16" spans="1:48" ht="15" hidden="1" customHeight="1">
      <c r="A16" s="90" t="s">
        <v>31</v>
      </c>
      <c r="B16" s="91" t="s">
        <v>30</v>
      </c>
      <c r="C16" s="43" t="s">
        <v>20</v>
      </c>
      <c r="D16" s="87">
        <v>180</v>
      </c>
      <c r="E16" s="87">
        <v>45000</v>
      </c>
      <c r="F16" s="92">
        <f t="shared" si="0"/>
        <v>8100000</v>
      </c>
      <c r="H16" s="44"/>
      <c r="I16" s="44"/>
      <c r="J16" s="44"/>
      <c r="K16" s="44"/>
      <c r="L16" s="44"/>
      <c r="M16" s="44"/>
      <c r="N16" s="44"/>
      <c r="O16" s="44"/>
      <c r="P16" s="44"/>
      <c r="Q16" s="44"/>
      <c r="R16" s="44"/>
      <c r="S16" s="44"/>
      <c r="T16" s="44"/>
      <c r="U16" s="44"/>
      <c r="V16" s="44"/>
      <c r="W16" s="44"/>
      <c r="X16" s="44"/>
      <c r="Y16" s="44"/>
      <c r="Z16" s="44"/>
      <c r="AA16" s="44"/>
      <c r="AB16" s="44"/>
      <c r="AC16" s="44"/>
      <c r="AD16" s="44"/>
      <c r="AE16" s="44"/>
      <c r="AF16" s="44"/>
      <c r="AG16" s="44"/>
      <c r="AH16" s="44"/>
      <c r="AI16" s="44"/>
      <c r="AJ16" s="44"/>
      <c r="AK16" s="44"/>
      <c r="AL16" s="44"/>
      <c r="AM16" s="44"/>
      <c r="AN16" s="44"/>
      <c r="AO16" s="44"/>
      <c r="AP16" s="44"/>
      <c r="AQ16" s="44"/>
      <c r="AR16" s="44"/>
      <c r="AS16" s="44"/>
      <c r="AT16" s="44"/>
      <c r="AU16" s="44"/>
      <c r="AV16" s="44"/>
    </row>
    <row r="17" spans="1:6" ht="14.25" hidden="1" customHeight="1">
      <c r="A17" s="90" t="s">
        <v>33</v>
      </c>
      <c r="B17" s="91" t="s">
        <v>32</v>
      </c>
      <c r="C17" s="43" t="s">
        <v>20</v>
      </c>
      <c r="D17" s="87">
        <v>120</v>
      </c>
      <c r="E17" s="87">
        <v>65000</v>
      </c>
      <c r="F17" s="92">
        <f t="shared" si="0"/>
        <v>7800000</v>
      </c>
    </row>
    <row r="18" spans="1:6" ht="14.25" hidden="1" customHeight="1">
      <c r="A18" s="90" t="s">
        <v>292</v>
      </c>
      <c r="B18" s="91" t="s">
        <v>34</v>
      </c>
      <c r="C18" s="43" t="s">
        <v>20</v>
      </c>
      <c r="D18" s="87">
        <v>120</v>
      </c>
      <c r="E18" s="87">
        <v>24500</v>
      </c>
      <c r="F18" s="92">
        <f t="shared" si="0"/>
        <v>2940000</v>
      </c>
    </row>
    <row r="19" spans="1:6" ht="14.25" customHeight="1">
      <c r="A19" s="94">
        <v>3</v>
      </c>
      <c r="B19" s="93" t="s">
        <v>35</v>
      </c>
      <c r="C19" s="43"/>
      <c r="D19" s="87"/>
      <c r="E19" s="87"/>
      <c r="F19" s="92">
        <f t="shared" si="0"/>
        <v>0</v>
      </c>
    </row>
    <row r="20" spans="1:6" ht="14.25" hidden="1" customHeight="1">
      <c r="A20" s="90" t="s">
        <v>36</v>
      </c>
      <c r="B20" s="91" t="s">
        <v>37</v>
      </c>
      <c r="C20" s="43" t="s">
        <v>20</v>
      </c>
      <c r="D20" s="87">
        <v>180</v>
      </c>
      <c r="E20" s="87">
        <v>485000</v>
      </c>
      <c r="F20" s="92">
        <f t="shared" si="0"/>
        <v>87300000</v>
      </c>
    </row>
    <row r="21" spans="1:6" ht="14.25" hidden="1" customHeight="1">
      <c r="A21" s="90" t="s">
        <v>38</v>
      </c>
      <c r="B21" s="91" t="s">
        <v>39</v>
      </c>
      <c r="C21" s="43" t="s">
        <v>20</v>
      </c>
      <c r="D21" s="87">
        <f>23.6*1*0.6*80</f>
        <v>1132.8</v>
      </c>
      <c r="E21" s="87">
        <v>620000</v>
      </c>
      <c r="F21" s="92">
        <f t="shared" si="0"/>
        <v>702336000</v>
      </c>
    </row>
    <row r="22" spans="1:6" ht="14.25" hidden="1" customHeight="1">
      <c r="A22" s="90" t="s">
        <v>40</v>
      </c>
      <c r="B22" s="91" t="s">
        <v>41</v>
      </c>
      <c r="C22" s="43" t="s">
        <v>20</v>
      </c>
      <c r="D22" s="87">
        <v>423.5</v>
      </c>
      <c r="E22" s="87">
        <v>520000</v>
      </c>
      <c r="F22" s="92">
        <f t="shared" si="0"/>
        <v>220220000</v>
      </c>
    </row>
    <row r="23" spans="1:6" ht="14.25" hidden="1" customHeight="1">
      <c r="A23" s="90" t="s">
        <v>42</v>
      </c>
      <c r="B23" s="91" t="s">
        <v>293</v>
      </c>
      <c r="C23" s="43" t="s">
        <v>44</v>
      </c>
      <c r="D23" s="87">
        <f>180*9.5*2+(66.4*2+66.4*3.4)*2+(113.6*2*2+113.6*3.4)</f>
        <v>4977.76</v>
      </c>
      <c r="E23" s="87">
        <v>262500</v>
      </c>
      <c r="F23" s="92">
        <f t="shared" si="0"/>
        <v>1306662000</v>
      </c>
    </row>
    <row r="24" spans="1:6" ht="14.25" hidden="1" customHeight="1">
      <c r="A24" s="90" t="s">
        <v>45</v>
      </c>
      <c r="B24" s="91" t="s">
        <v>46</v>
      </c>
      <c r="C24" s="43" t="s">
        <v>44</v>
      </c>
      <c r="D24" s="87">
        <f>180*21.5*2</f>
        <v>7740</v>
      </c>
      <c r="E24" s="87">
        <v>360200</v>
      </c>
      <c r="F24" s="92">
        <f t="shared" si="0"/>
        <v>2787948000</v>
      </c>
    </row>
    <row r="25" spans="1:6" ht="14.25" customHeight="1">
      <c r="A25" s="94">
        <v>4</v>
      </c>
      <c r="B25" s="93" t="s">
        <v>47</v>
      </c>
      <c r="C25" s="43"/>
      <c r="D25" s="87"/>
      <c r="E25" s="87"/>
      <c r="F25" s="92">
        <f t="shared" si="0"/>
        <v>0</v>
      </c>
    </row>
    <row r="26" spans="1:6" ht="14.25" hidden="1" customHeight="1">
      <c r="A26" s="90" t="s">
        <v>48</v>
      </c>
      <c r="B26" s="91" t="s">
        <v>49</v>
      </c>
      <c r="C26" s="43" t="s">
        <v>50</v>
      </c>
      <c r="D26" s="87">
        <f>+ROUND((D20+D21+D22+D23*1.1+D24*1.1)*35+8000,0)</f>
        <v>558404</v>
      </c>
      <c r="E26" s="87">
        <v>3850</v>
      </c>
      <c r="F26" s="92">
        <f t="shared" si="0"/>
        <v>2149855400</v>
      </c>
    </row>
    <row r="27" spans="1:6" ht="14.25" hidden="1" customHeight="1">
      <c r="A27" s="90" t="s">
        <v>51</v>
      </c>
      <c r="B27" s="91" t="s">
        <v>52</v>
      </c>
      <c r="C27" s="43" t="s">
        <v>44</v>
      </c>
      <c r="D27" s="87">
        <f>+D23+D24+180*30*2</f>
        <v>23517.760000000002</v>
      </c>
      <c r="E27" s="87">
        <v>4850</v>
      </c>
      <c r="F27" s="92">
        <f t="shared" si="0"/>
        <v>114061136</v>
      </c>
    </row>
    <row r="28" spans="1:6" ht="14.25" customHeight="1">
      <c r="A28" s="94">
        <v>5</v>
      </c>
      <c r="B28" s="93" t="s">
        <v>53</v>
      </c>
      <c r="C28" s="43"/>
      <c r="D28" s="87"/>
      <c r="E28" s="87"/>
      <c r="F28" s="92">
        <f t="shared" si="0"/>
        <v>0</v>
      </c>
    </row>
    <row r="29" spans="1:6" ht="14.25" hidden="1" customHeight="1">
      <c r="A29" s="90" t="s">
        <v>54</v>
      </c>
      <c r="B29" s="91" t="s">
        <v>55</v>
      </c>
      <c r="C29" s="43" t="s">
        <v>44</v>
      </c>
      <c r="D29" s="87">
        <v>10092.19</v>
      </c>
      <c r="E29" s="87">
        <v>134500</v>
      </c>
      <c r="F29" s="92">
        <f t="shared" si="0"/>
        <v>1357399555</v>
      </c>
    </row>
    <row r="30" spans="1:6" ht="14.25" hidden="1" customHeight="1">
      <c r="A30" s="90" t="s">
        <v>294</v>
      </c>
      <c r="B30" s="91" t="s">
        <v>295</v>
      </c>
      <c r="C30" s="43" t="s">
        <v>44</v>
      </c>
      <c r="D30" s="87">
        <v>1280.42</v>
      </c>
      <c r="E30" s="87">
        <v>90500</v>
      </c>
      <c r="F30" s="92">
        <f t="shared" si="0"/>
        <v>115878010</v>
      </c>
    </row>
    <row r="31" spans="1:6" ht="14.25" customHeight="1">
      <c r="A31" s="94">
        <v>6</v>
      </c>
      <c r="B31" s="93" t="s">
        <v>56</v>
      </c>
      <c r="C31" s="43"/>
      <c r="D31" s="87"/>
      <c r="E31" s="87"/>
      <c r="F31" s="92">
        <f t="shared" si="0"/>
        <v>0</v>
      </c>
    </row>
    <row r="32" spans="1:6" ht="14.25" hidden="1" customHeight="1">
      <c r="A32" s="90" t="s">
        <v>58</v>
      </c>
      <c r="B32" s="91" t="s">
        <v>296</v>
      </c>
      <c r="C32" s="43" t="s">
        <v>88</v>
      </c>
      <c r="D32" s="87">
        <v>4</v>
      </c>
      <c r="E32" s="87">
        <v>348500000</v>
      </c>
      <c r="F32" s="92">
        <f t="shared" si="0"/>
        <v>1394000000</v>
      </c>
    </row>
    <row r="33" spans="1:6" ht="14.25" hidden="1" customHeight="1">
      <c r="A33" s="90" t="s">
        <v>60</v>
      </c>
      <c r="B33" s="18" t="s">
        <v>297</v>
      </c>
      <c r="C33" s="19" t="s">
        <v>16</v>
      </c>
      <c r="D33" s="23">
        <v>2</v>
      </c>
      <c r="E33" s="95">
        <v>290000000</v>
      </c>
      <c r="F33" s="92">
        <f t="shared" si="0"/>
        <v>580000000</v>
      </c>
    </row>
    <row r="34" spans="1:6" ht="14.25" hidden="1" customHeight="1">
      <c r="A34" s="90" t="s">
        <v>62</v>
      </c>
      <c r="B34" s="18" t="s">
        <v>298</v>
      </c>
      <c r="C34" s="19" t="s">
        <v>16</v>
      </c>
      <c r="D34" s="23">
        <v>1</v>
      </c>
      <c r="E34" s="95">
        <v>15600000</v>
      </c>
      <c r="F34" s="92">
        <f t="shared" si="0"/>
        <v>15600000</v>
      </c>
    </row>
    <row r="35" spans="1:6" ht="14.25" hidden="1" customHeight="1">
      <c r="A35" s="90" t="s">
        <v>64</v>
      </c>
      <c r="B35" s="18" t="s">
        <v>299</v>
      </c>
      <c r="C35" s="19" t="s">
        <v>16</v>
      </c>
      <c r="D35" s="23">
        <v>1</v>
      </c>
      <c r="E35" s="95">
        <v>46000000</v>
      </c>
      <c r="F35" s="92">
        <f t="shared" si="0"/>
        <v>46000000</v>
      </c>
    </row>
    <row r="36" spans="1:6" ht="14.25" hidden="1" customHeight="1">
      <c r="A36" s="90" t="s">
        <v>300</v>
      </c>
      <c r="B36" s="18" t="s">
        <v>301</v>
      </c>
      <c r="C36" s="19" t="s">
        <v>16</v>
      </c>
      <c r="D36" s="23">
        <v>1</v>
      </c>
      <c r="E36" s="95">
        <v>630000000</v>
      </c>
      <c r="F36" s="92">
        <f t="shared" si="0"/>
        <v>630000000</v>
      </c>
    </row>
    <row r="37" spans="1:6" ht="14.25" hidden="1" customHeight="1">
      <c r="A37" s="90" t="s">
        <v>66</v>
      </c>
      <c r="B37" s="18" t="s">
        <v>302</v>
      </c>
      <c r="C37" s="19" t="s">
        <v>16</v>
      </c>
      <c r="D37" s="23">
        <v>1</v>
      </c>
      <c r="E37" s="95">
        <v>1200000000</v>
      </c>
      <c r="F37" s="92">
        <f t="shared" si="0"/>
        <v>1200000000</v>
      </c>
    </row>
    <row r="38" spans="1:6" ht="14.25" hidden="1" customHeight="1">
      <c r="A38" s="90" t="s">
        <v>303</v>
      </c>
      <c r="B38" s="18" t="s">
        <v>304</v>
      </c>
      <c r="C38" s="19" t="s">
        <v>16</v>
      </c>
      <c r="D38" s="23">
        <v>1</v>
      </c>
      <c r="E38" s="95">
        <v>85000000</v>
      </c>
      <c r="F38" s="92">
        <f t="shared" si="0"/>
        <v>85000000</v>
      </c>
    </row>
    <row r="39" spans="1:6" ht="14.25" hidden="1" customHeight="1">
      <c r="A39" s="90" t="s">
        <v>305</v>
      </c>
      <c r="B39" s="18" t="s">
        <v>306</v>
      </c>
      <c r="C39" s="19" t="s">
        <v>16</v>
      </c>
      <c r="D39" s="23">
        <v>1</v>
      </c>
      <c r="E39" s="95">
        <v>46000000</v>
      </c>
      <c r="F39" s="92">
        <f t="shared" si="0"/>
        <v>46000000</v>
      </c>
    </row>
    <row r="40" spans="1:6" ht="14.25" hidden="1" customHeight="1">
      <c r="A40" s="90" t="s">
        <v>307</v>
      </c>
      <c r="B40" s="18" t="s">
        <v>308</v>
      </c>
      <c r="C40" s="19" t="s">
        <v>16</v>
      </c>
      <c r="D40" s="23">
        <v>1</v>
      </c>
      <c r="E40" s="95">
        <v>52000000</v>
      </c>
      <c r="F40" s="92">
        <f t="shared" si="0"/>
        <v>52000000</v>
      </c>
    </row>
    <row r="41" spans="1:6" ht="14.25" hidden="1" customHeight="1">
      <c r="A41" s="90" t="s">
        <v>309</v>
      </c>
      <c r="B41" s="18" t="s">
        <v>310</v>
      </c>
      <c r="C41" s="19" t="s">
        <v>16</v>
      </c>
      <c r="D41" s="23">
        <v>1</v>
      </c>
      <c r="E41" s="95">
        <v>124000000</v>
      </c>
      <c r="F41" s="92">
        <f t="shared" si="0"/>
        <v>124000000</v>
      </c>
    </row>
    <row r="42" spans="1:6" ht="14.25" hidden="1" customHeight="1">
      <c r="A42" s="90" t="s">
        <v>311</v>
      </c>
      <c r="B42" s="18" t="s">
        <v>312</v>
      </c>
      <c r="C42" s="19" t="s">
        <v>16</v>
      </c>
      <c r="D42" s="23">
        <v>1</v>
      </c>
      <c r="E42" s="95">
        <v>38500000</v>
      </c>
      <c r="F42" s="92">
        <f t="shared" si="0"/>
        <v>38500000</v>
      </c>
    </row>
    <row r="43" spans="1:6" ht="14.25" hidden="1" customHeight="1">
      <c r="A43" s="90" t="s">
        <v>313</v>
      </c>
      <c r="B43" s="18" t="s">
        <v>314</v>
      </c>
      <c r="C43" s="19" t="s">
        <v>16</v>
      </c>
      <c r="D43" s="23">
        <v>1</v>
      </c>
      <c r="E43" s="95">
        <v>184200000</v>
      </c>
      <c r="F43" s="92">
        <f t="shared" si="0"/>
        <v>184200000</v>
      </c>
    </row>
    <row r="44" spans="1:6" ht="14.25" hidden="1" customHeight="1">
      <c r="A44" s="90" t="s">
        <v>315</v>
      </c>
      <c r="B44" s="18" t="s">
        <v>316</v>
      </c>
      <c r="C44" s="19" t="s">
        <v>16</v>
      </c>
      <c r="D44" s="23">
        <v>1</v>
      </c>
      <c r="E44" s="95">
        <v>62500000</v>
      </c>
      <c r="F44" s="92">
        <f t="shared" si="0"/>
        <v>62500000</v>
      </c>
    </row>
    <row r="45" spans="1:6" ht="14.25" hidden="1" customHeight="1">
      <c r="A45" s="90" t="s">
        <v>317</v>
      </c>
      <c r="B45" s="18" t="s">
        <v>318</v>
      </c>
      <c r="C45" s="19" t="s">
        <v>16</v>
      </c>
      <c r="D45" s="23">
        <v>1</v>
      </c>
      <c r="E45" s="95">
        <v>38000000</v>
      </c>
      <c r="F45" s="92">
        <f t="shared" si="0"/>
        <v>38000000</v>
      </c>
    </row>
    <row r="46" spans="1:6" ht="14.25" hidden="1" customHeight="1">
      <c r="A46" s="90" t="s">
        <v>319</v>
      </c>
      <c r="B46" s="18" t="s">
        <v>320</v>
      </c>
      <c r="C46" s="19" t="s">
        <v>16</v>
      </c>
      <c r="D46" s="23">
        <v>1</v>
      </c>
      <c r="E46" s="95">
        <v>28500000</v>
      </c>
      <c r="F46" s="92">
        <f t="shared" si="0"/>
        <v>28500000</v>
      </c>
    </row>
    <row r="47" spans="1:6" ht="14.25" hidden="1" customHeight="1">
      <c r="A47" s="90" t="s">
        <v>321</v>
      </c>
      <c r="B47" s="18" t="s">
        <v>322</v>
      </c>
      <c r="C47" s="19" t="s">
        <v>16</v>
      </c>
      <c r="D47" s="23">
        <v>1</v>
      </c>
      <c r="E47" s="95">
        <v>5200000</v>
      </c>
      <c r="F47" s="92">
        <f t="shared" si="0"/>
        <v>5200000</v>
      </c>
    </row>
    <row r="48" spans="1:6" ht="14.25" hidden="1" customHeight="1">
      <c r="A48" s="90" t="s">
        <v>323</v>
      </c>
      <c r="B48" s="18" t="s">
        <v>324</v>
      </c>
      <c r="C48" s="19" t="s">
        <v>16</v>
      </c>
      <c r="D48" s="23">
        <v>1</v>
      </c>
      <c r="E48" s="95">
        <v>40000000</v>
      </c>
      <c r="F48" s="92">
        <f t="shared" si="0"/>
        <v>40000000</v>
      </c>
    </row>
    <row r="49" spans="1:6" ht="14.25" hidden="1" customHeight="1">
      <c r="A49" s="90" t="s">
        <v>325</v>
      </c>
      <c r="B49" s="18" t="s">
        <v>326</v>
      </c>
      <c r="C49" s="19" t="s">
        <v>16</v>
      </c>
      <c r="D49" s="23">
        <v>1</v>
      </c>
      <c r="E49" s="95">
        <v>48000000</v>
      </c>
      <c r="F49" s="92">
        <f t="shared" si="0"/>
        <v>48000000</v>
      </c>
    </row>
    <row r="50" spans="1:6" ht="14.25" hidden="1" customHeight="1">
      <c r="A50" s="90" t="s">
        <v>327</v>
      </c>
      <c r="B50" s="18" t="s">
        <v>328</v>
      </c>
      <c r="C50" s="19" t="s">
        <v>16</v>
      </c>
      <c r="D50" s="23">
        <v>1</v>
      </c>
      <c r="E50" s="95">
        <v>80000000</v>
      </c>
      <c r="F50" s="92">
        <f t="shared" si="0"/>
        <v>80000000</v>
      </c>
    </row>
    <row r="51" spans="1:6" ht="14.25" hidden="1" customHeight="1">
      <c r="A51" s="90" t="s">
        <v>329</v>
      </c>
      <c r="B51" s="18" t="s">
        <v>330</v>
      </c>
      <c r="C51" s="19" t="s">
        <v>16</v>
      </c>
      <c r="D51" s="23">
        <v>1</v>
      </c>
      <c r="E51" s="95">
        <v>60000000</v>
      </c>
      <c r="F51" s="92">
        <f t="shared" si="0"/>
        <v>60000000</v>
      </c>
    </row>
    <row r="52" spans="1:6" ht="14.25" hidden="1" customHeight="1">
      <c r="A52" s="90" t="s">
        <v>331</v>
      </c>
      <c r="B52" s="18" t="s">
        <v>332</v>
      </c>
      <c r="C52" s="19" t="s">
        <v>16</v>
      </c>
      <c r="D52" s="23">
        <v>1</v>
      </c>
      <c r="E52" s="95">
        <v>7500000</v>
      </c>
      <c r="F52" s="92">
        <f t="shared" si="0"/>
        <v>7500000</v>
      </c>
    </row>
    <row r="53" spans="1:6" ht="14.25" hidden="1" customHeight="1">
      <c r="A53" s="90" t="s">
        <v>333</v>
      </c>
      <c r="B53" s="18" t="s">
        <v>334</v>
      </c>
      <c r="C53" s="19" t="s">
        <v>16</v>
      </c>
      <c r="D53" s="23">
        <v>1</v>
      </c>
      <c r="E53" s="95">
        <v>7000000</v>
      </c>
      <c r="F53" s="92">
        <f t="shared" si="0"/>
        <v>7000000</v>
      </c>
    </row>
    <row r="54" spans="1:6" ht="14.25" hidden="1" customHeight="1">
      <c r="A54" s="90" t="s">
        <v>335</v>
      </c>
      <c r="B54" s="18" t="s">
        <v>336</v>
      </c>
      <c r="C54" s="19" t="s">
        <v>16</v>
      </c>
      <c r="D54" s="23">
        <v>1</v>
      </c>
      <c r="E54" s="95">
        <v>125000000</v>
      </c>
      <c r="F54" s="92">
        <f t="shared" si="0"/>
        <v>125000000</v>
      </c>
    </row>
    <row r="55" spans="1:6" ht="14.25" hidden="1" customHeight="1">
      <c r="A55" s="90" t="s">
        <v>337</v>
      </c>
      <c r="B55" s="18" t="s">
        <v>338</v>
      </c>
      <c r="C55" s="19" t="s">
        <v>16</v>
      </c>
      <c r="D55" s="23">
        <v>1</v>
      </c>
      <c r="E55" s="95">
        <v>8200000</v>
      </c>
      <c r="F55" s="92">
        <f t="shared" si="0"/>
        <v>8200000</v>
      </c>
    </row>
    <row r="56" spans="1:6" ht="14.25" hidden="1" customHeight="1">
      <c r="A56" s="90" t="s">
        <v>339</v>
      </c>
      <c r="B56" s="91" t="s">
        <v>340</v>
      </c>
      <c r="C56" s="43" t="s">
        <v>16</v>
      </c>
      <c r="D56" s="23">
        <v>1</v>
      </c>
      <c r="E56" s="87">
        <v>265500000</v>
      </c>
      <c r="F56" s="92">
        <f t="shared" si="0"/>
        <v>265500000</v>
      </c>
    </row>
    <row r="57" spans="1:6" ht="14.25" hidden="1" customHeight="1">
      <c r="A57" s="90" t="s">
        <v>341</v>
      </c>
      <c r="B57" s="91" t="s">
        <v>342</v>
      </c>
      <c r="C57" s="43" t="s">
        <v>16</v>
      </c>
      <c r="D57" s="23">
        <v>1</v>
      </c>
      <c r="E57" s="87">
        <v>650000000</v>
      </c>
      <c r="F57" s="92">
        <f t="shared" si="0"/>
        <v>650000000</v>
      </c>
    </row>
    <row r="58" spans="1:6" ht="14.25" customHeight="1">
      <c r="A58" s="85">
        <v>7</v>
      </c>
      <c r="B58" s="93" t="s">
        <v>343</v>
      </c>
      <c r="C58" s="43"/>
      <c r="D58" s="23"/>
      <c r="E58" s="87"/>
      <c r="F58" s="92">
        <f t="shared" si="0"/>
        <v>0</v>
      </c>
    </row>
    <row r="59" spans="1:6" ht="14.25" hidden="1" customHeight="1">
      <c r="A59" s="90" t="s">
        <v>80</v>
      </c>
      <c r="B59" s="91" t="s">
        <v>344</v>
      </c>
      <c r="C59" s="43" t="s">
        <v>44</v>
      </c>
      <c r="D59" s="87">
        <f>85*126</f>
        <v>10710</v>
      </c>
      <c r="E59" s="96">
        <v>80400</v>
      </c>
      <c r="F59" s="92">
        <f t="shared" si="0"/>
        <v>861084000</v>
      </c>
    </row>
    <row r="60" spans="1:6" ht="14.25" hidden="1" customHeight="1">
      <c r="A60" s="90" t="s">
        <v>82</v>
      </c>
      <c r="B60" s="91" t="s">
        <v>345</v>
      </c>
      <c r="C60" s="43" t="s">
        <v>44</v>
      </c>
      <c r="D60" s="23">
        <f>109*144-D59</f>
        <v>4986</v>
      </c>
      <c r="E60" s="87">
        <v>64500</v>
      </c>
      <c r="F60" s="92">
        <f t="shared" si="0"/>
        <v>321597000</v>
      </c>
    </row>
    <row r="61" spans="1:6" ht="14.25" customHeight="1">
      <c r="A61" s="94">
        <v>8</v>
      </c>
      <c r="B61" s="93" t="s">
        <v>130</v>
      </c>
      <c r="C61" s="43"/>
      <c r="D61" s="23"/>
      <c r="E61" s="87"/>
      <c r="F61" s="92">
        <f t="shared" si="0"/>
        <v>0</v>
      </c>
    </row>
    <row r="62" spans="1:6" ht="14.25" hidden="1" customHeight="1">
      <c r="A62" s="94" t="s">
        <v>131</v>
      </c>
      <c r="B62" s="91" t="s">
        <v>346</v>
      </c>
      <c r="C62" s="43" t="s">
        <v>16</v>
      </c>
      <c r="D62" s="87">
        <v>1</v>
      </c>
      <c r="E62" s="87">
        <v>285600000</v>
      </c>
      <c r="F62" s="92">
        <f t="shared" si="0"/>
        <v>285600000</v>
      </c>
    </row>
    <row r="63" spans="1:6" ht="14.25" hidden="1" customHeight="1">
      <c r="A63" s="94" t="s">
        <v>347</v>
      </c>
      <c r="B63" s="91" t="s">
        <v>348</v>
      </c>
      <c r="C63" s="43" t="s">
        <v>16</v>
      </c>
      <c r="D63" s="87">
        <v>1</v>
      </c>
      <c r="E63" s="87">
        <v>494500000</v>
      </c>
      <c r="F63" s="92">
        <f t="shared" si="0"/>
        <v>494500000</v>
      </c>
    </row>
    <row r="64" spans="1:6" ht="14.25" hidden="1" customHeight="1">
      <c r="A64" s="94" t="s">
        <v>349</v>
      </c>
      <c r="B64" s="91" t="s">
        <v>350</v>
      </c>
      <c r="C64" s="43" t="s">
        <v>16</v>
      </c>
      <c r="D64" s="87">
        <v>1</v>
      </c>
      <c r="E64" s="87">
        <v>647600000</v>
      </c>
      <c r="F64" s="92">
        <f t="shared" si="0"/>
        <v>647600000</v>
      </c>
    </row>
    <row r="65" spans="1:6" ht="14.25" hidden="1" customHeight="1">
      <c r="A65" s="94" t="s">
        <v>351</v>
      </c>
      <c r="B65" s="91" t="s">
        <v>352</v>
      </c>
      <c r="C65" s="43" t="s">
        <v>16</v>
      </c>
      <c r="D65" s="87">
        <v>1</v>
      </c>
      <c r="E65" s="87">
        <v>984200000</v>
      </c>
      <c r="F65" s="92">
        <f t="shared" si="0"/>
        <v>984200000</v>
      </c>
    </row>
    <row r="66" spans="1:6" ht="14.25" hidden="1" customHeight="1">
      <c r="A66" s="94" t="s">
        <v>353</v>
      </c>
      <c r="B66" s="91" t="s">
        <v>354</v>
      </c>
      <c r="C66" s="43" t="s">
        <v>16</v>
      </c>
      <c r="D66" s="87">
        <v>1</v>
      </c>
      <c r="E66" s="87">
        <v>942000000</v>
      </c>
      <c r="F66" s="92">
        <f t="shared" si="0"/>
        <v>942000000</v>
      </c>
    </row>
    <row r="67" spans="1:6" ht="14.25" hidden="1" customHeight="1">
      <c r="A67" s="94" t="s">
        <v>355</v>
      </c>
      <c r="B67" s="91" t="s">
        <v>356</v>
      </c>
      <c r="C67" s="43" t="s">
        <v>16</v>
      </c>
      <c r="D67" s="87">
        <v>1</v>
      </c>
      <c r="E67" s="87">
        <v>640000000</v>
      </c>
      <c r="F67" s="92">
        <f t="shared" si="0"/>
        <v>640000000</v>
      </c>
    </row>
    <row r="68" spans="1:6" ht="14.25" hidden="1" customHeight="1">
      <c r="A68" s="94" t="s">
        <v>357</v>
      </c>
      <c r="B68" s="91" t="s">
        <v>358</v>
      </c>
      <c r="C68" s="43" t="s">
        <v>16</v>
      </c>
      <c r="D68" s="87">
        <v>2</v>
      </c>
      <c r="E68" s="96">
        <v>650000000</v>
      </c>
      <c r="F68" s="92">
        <f t="shared" si="0"/>
        <v>1300000000</v>
      </c>
    </row>
    <row r="69" spans="1:6" ht="14.25" customHeight="1">
      <c r="A69" s="94">
        <v>9</v>
      </c>
      <c r="B69" s="93" t="s">
        <v>133</v>
      </c>
      <c r="C69" s="43"/>
      <c r="D69" s="87"/>
      <c r="E69" s="87"/>
      <c r="F69" s="92">
        <f t="shared" si="0"/>
        <v>0</v>
      </c>
    </row>
    <row r="70" spans="1:6" ht="14.25" hidden="1" customHeight="1">
      <c r="A70" s="94" t="s">
        <v>134</v>
      </c>
      <c r="B70" s="91" t="s">
        <v>135</v>
      </c>
      <c r="C70" s="43" t="s">
        <v>16</v>
      </c>
      <c r="D70" s="87">
        <v>1</v>
      </c>
      <c r="E70" s="87">
        <v>456800000</v>
      </c>
      <c r="F70" s="92">
        <f t="shared" si="0"/>
        <v>456800000</v>
      </c>
    </row>
    <row r="71" spans="1:6" ht="14.25" hidden="1" customHeight="1">
      <c r="A71" s="94" t="s">
        <v>136</v>
      </c>
      <c r="B71" s="91" t="s">
        <v>137</v>
      </c>
      <c r="C71" s="43" t="s">
        <v>16</v>
      </c>
      <c r="D71" s="87">
        <v>1</v>
      </c>
      <c r="E71" s="87">
        <v>595500000</v>
      </c>
      <c r="F71" s="92">
        <f t="shared" si="0"/>
        <v>595500000</v>
      </c>
    </row>
    <row r="72" spans="1:6" ht="14.25" customHeight="1">
      <c r="A72" s="94">
        <v>10</v>
      </c>
      <c r="B72" s="93" t="s">
        <v>139</v>
      </c>
      <c r="C72" s="43"/>
      <c r="D72" s="87"/>
      <c r="E72" s="87"/>
      <c r="F72" s="92">
        <f t="shared" si="0"/>
        <v>0</v>
      </c>
    </row>
    <row r="73" spans="1:6" ht="14.25" hidden="1" customHeight="1">
      <c r="A73" s="90" t="s">
        <v>359</v>
      </c>
      <c r="B73" s="91" t="s">
        <v>360</v>
      </c>
      <c r="C73" s="43" t="s">
        <v>88</v>
      </c>
      <c r="D73" s="87">
        <f>10665+8157</f>
        <v>18822</v>
      </c>
      <c r="E73" s="96">
        <v>68440</v>
      </c>
      <c r="F73" s="92">
        <f t="shared" si="0"/>
        <v>1288177680</v>
      </c>
    </row>
    <row r="74" spans="1:6" ht="14.25" hidden="1" customHeight="1">
      <c r="A74" s="90" t="s">
        <v>361</v>
      </c>
      <c r="B74" s="91" t="s">
        <v>362</v>
      </c>
      <c r="C74" s="43" t="s">
        <v>88</v>
      </c>
      <c r="D74" s="87">
        <f>60+195+416</f>
        <v>671</v>
      </c>
      <c r="E74" s="87">
        <v>145000</v>
      </c>
      <c r="F74" s="92">
        <f t="shared" si="0"/>
        <v>97295000</v>
      </c>
    </row>
    <row r="75" spans="1:6" ht="14.25" hidden="1" customHeight="1">
      <c r="A75" s="90" t="s">
        <v>140</v>
      </c>
      <c r="B75" s="91" t="s">
        <v>141</v>
      </c>
      <c r="C75" s="43" t="s">
        <v>16</v>
      </c>
      <c r="D75" s="87">
        <v>1</v>
      </c>
      <c r="E75" s="87">
        <v>205000000</v>
      </c>
      <c r="F75" s="92">
        <f t="shared" si="0"/>
        <v>205000000</v>
      </c>
    </row>
    <row r="76" spans="1:6" ht="14.25" customHeight="1">
      <c r="A76" s="94">
        <v>11</v>
      </c>
      <c r="B76" s="93" t="e">
        <f>+PPTOETAPAS!#REF!</f>
        <v>#REF!</v>
      </c>
      <c r="C76" s="43"/>
      <c r="D76" s="87"/>
      <c r="E76" s="87"/>
      <c r="F76" s="92"/>
    </row>
    <row r="77" spans="1:6" ht="14.25" hidden="1" customHeight="1">
      <c r="A77" s="90" t="s">
        <v>363</v>
      </c>
      <c r="B77" s="91" t="e">
        <f>+PPTOETAPAS!#REF!</f>
        <v>#REF!</v>
      </c>
      <c r="C77" s="43" t="s">
        <v>44</v>
      </c>
      <c r="D77" s="87" t="e">
        <f>+PPTOETAPAS!#REF!</f>
        <v>#REF!</v>
      </c>
      <c r="E77" s="87" t="e">
        <f>+PPTOETAPAS!#REF!</f>
        <v>#REF!</v>
      </c>
      <c r="F77" s="92" t="e">
        <f>+ROUND(D77*E77,0)</f>
        <v>#REF!</v>
      </c>
    </row>
    <row r="78" spans="1:6" ht="14.25" hidden="1" customHeight="1">
      <c r="A78" s="90"/>
      <c r="B78" s="91"/>
      <c r="C78" s="43"/>
      <c r="D78" s="87"/>
      <c r="E78" s="87"/>
      <c r="F78" s="92"/>
    </row>
    <row r="79" spans="1:6" ht="14.25" hidden="1" customHeight="1">
      <c r="A79" s="97"/>
      <c r="B79" s="98" t="s">
        <v>142</v>
      </c>
      <c r="C79" s="99"/>
      <c r="D79" s="100"/>
      <c r="E79" s="100"/>
      <c r="F79" s="101" t="e">
        <f>+SUM(F7:F78)</f>
        <v>#REF!</v>
      </c>
    </row>
    <row r="80" spans="1:6" ht="14.25" hidden="1" customHeight="1">
      <c r="A80" s="97"/>
      <c r="B80" s="98" t="s">
        <v>364</v>
      </c>
      <c r="C80" s="102">
        <v>0.3</v>
      </c>
      <c r="D80" s="100"/>
      <c r="E80" s="100"/>
      <c r="F80" s="101" t="e">
        <f>+ROUND(F79*C80,0)</f>
        <v>#REF!</v>
      </c>
    </row>
    <row r="82" spans="1:48" ht="14.25" customHeight="1">
      <c r="A82" s="103"/>
      <c r="B82" s="104" t="s">
        <v>365</v>
      </c>
      <c r="C82" s="105"/>
      <c r="D82" s="106"/>
      <c r="E82" s="106"/>
      <c r="F82" s="107" t="e">
        <f>+F79+F80</f>
        <v>#REF!</v>
      </c>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row>
    <row r="83" spans="1:48" ht="8.25" customHeight="1">
      <c r="B83" s="108"/>
      <c r="C83" s="52"/>
      <c r="D83" s="77"/>
      <c r="E83" s="77"/>
      <c r="F83" s="77"/>
    </row>
    <row r="84" spans="1:48" ht="15" customHeight="1">
      <c r="A84" s="1802" t="s">
        <v>366</v>
      </c>
      <c r="B84" s="1601"/>
      <c r="C84" s="1601"/>
      <c r="D84" s="1601"/>
      <c r="E84" s="1601"/>
      <c r="F84" s="1602"/>
    </row>
    <row r="85" spans="1:48" ht="24.75" customHeight="1">
      <c r="A85" s="78" t="s">
        <v>2</v>
      </c>
      <c r="B85" s="78" t="s">
        <v>367</v>
      </c>
      <c r="C85" s="78"/>
      <c r="D85" s="79"/>
      <c r="E85" s="78"/>
      <c r="F85" s="78"/>
      <c r="H85" s="1609" t="s">
        <v>280</v>
      </c>
      <c r="I85" s="1610"/>
      <c r="J85" s="1610"/>
      <c r="K85" s="1611"/>
      <c r="L85" s="1609" t="s">
        <v>281</v>
      </c>
      <c r="M85" s="1610"/>
      <c r="N85" s="1610"/>
      <c r="O85" s="1611"/>
      <c r="P85" s="1609" t="s">
        <v>282</v>
      </c>
      <c r="Q85" s="1610"/>
      <c r="R85" s="1610"/>
      <c r="S85" s="1611"/>
      <c r="T85" s="1609" t="s">
        <v>283</v>
      </c>
      <c r="U85" s="1610"/>
      <c r="V85" s="1610"/>
      <c r="W85" s="1611"/>
      <c r="X85" s="1609" t="s">
        <v>284</v>
      </c>
      <c r="Y85" s="1610"/>
      <c r="Z85" s="1610"/>
      <c r="AA85" s="1611"/>
      <c r="AB85" s="1609" t="s">
        <v>285</v>
      </c>
      <c r="AC85" s="1610"/>
      <c r="AD85" s="1610"/>
      <c r="AE85" s="1611"/>
      <c r="AF85" s="1609" t="s">
        <v>286</v>
      </c>
      <c r="AG85" s="1610"/>
      <c r="AH85" s="1610"/>
      <c r="AI85" s="1611"/>
      <c r="AJ85" s="1609" t="s">
        <v>287</v>
      </c>
      <c r="AK85" s="1610"/>
      <c r="AL85" s="1610"/>
      <c r="AM85" s="1611"/>
      <c r="AN85" s="1609" t="s">
        <v>288</v>
      </c>
      <c r="AO85" s="1610"/>
      <c r="AP85" s="1610"/>
      <c r="AQ85" s="1611"/>
      <c r="AR85" s="1609" t="s">
        <v>289</v>
      </c>
      <c r="AS85" s="1610"/>
      <c r="AT85" s="1610"/>
      <c r="AU85" s="1611"/>
      <c r="AV85" s="43" t="s">
        <v>227</v>
      </c>
    </row>
    <row r="86" spans="1:48" ht="14.25" customHeight="1">
      <c r="A86" s="80" t="s">
        <v>4</v>
      </c>
      <c r="B86" s="81" t="s">
        <v>5</v>
      </c>
      <c r="C86" s="81" t="s">
        <v>6</v>
      </c>
      <c r="D86" s="82" t="s">
        <v>7</v>
      </c>
      <c r="E86" s="81" t="s">
        <v>8</v>
      </c>
      <c r="F86" s="83" t="s">
        <v>9</v>
      </c>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row>
    <row r="87" spans="1:48" ht="14.25" customHeight="1">
      <c r="A87" s="85">
        <v>1</v>
      </c>
      <c r="B87" s="86" t="s">
        <v>10</v>
      </c>
      <c r="C87" s="44"/>
      <c r="D87" s="87"/>
      <c r="E87" s="44"/>
      <c r="F87" s="88"/>
      <c r="H87" s="109"/>
      <c r="I87" s="109"/>
      <c r="J87" s="109"/>
      <c r="K87" s="109"/>
      <c r="L87" s="109"/>
      <c r="M87" s="109"/>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row>
    <row r="88" spans="1:48" ht="14.25" hidden="1" customHeight="1">
      <c r="A88" s="90" t="s">
        <v>11</v>
      </c>
      <c r="B88" s="91" t="s">
        <v>12</v>
      </c>
      <c r="C88" s="43" t="s">
        <v>290</v>
      </c>
      <c r="D88" s="87">
        <v>45</v>
      </c>
      <c r="E88" s="87">
        <v>480000</v>
      </c>
      <c r="F88" s="92">
        <f t="shared" ref="F88:F124" si="1">+ROUND(D88*E88,0)</f>
        <v>21600000</v>
      </c>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row>
    <row r="89" spans="1:48" ht="14.25" hidden="1" customHeight="1">
      <c r="A89" s="90" t="s">
        <v>14</v>
      </c>
      <c r="B89" s="91" t="s">
        <v>15</v>
      </c>
      <c r="C89" s="43" t="s">
        <v>16</v>
      </c>
      <c r="D89" s="87">
        <v>1</v>
      </c>
      <c r="E89" s="87">
        <v>85000000</v>
      </c>
      <c r="F89" s="92">
        <f t="shared" si="1"/>
        <v>85000000</v>
      </c>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row>
    <row r="90" spans="1:48" ht="14.25" customHeight="1">
      <c r="A90" s="85">
        <v>2</v>
      </c>
      <c r="B90" s="93" t="s">
        <v>17</v>
      </c>
      <c r="C90" s="43"/>
      <c r="D90" s="87"/>
      <c r="E90" s="87"/>
      <c r="F90" s="92">
        <f t="shared" si="1"/>
        <v>0</v>
      </c>
      <c r="H90" s="44"/>
      <c r="I90" s="44"/>
      <c r="J90" s="109"/>
      <c r="K90" s="109"/>
      <c r="L90" s="109"/>
      <c r="M90" s="109"/>
      <c r="N90" s="109"/>
      <c r="O90" s="109"/>
      <c r="P90" s="109"/>
      <c r="Q90" s="109"/>
      <c r="R90" s="109"/>
      <c r="S90" s="109"/>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row>
    <row r="91" spans="1:48" ht="14.25" hidden="1" customHeight="1">
      <c r="A91" s="90" t="s">
        <v>18</v>
      </c>
      <c r="B91" s="91" t="s">
        <v>19</v>
      </c>
      <c r="C91" s="43" t="s">
        <v>20</v>
      </c>
      <c r="D91" s="87">
        <v>320</v>
      </c>
      <c r="E91" s="87">
        <v>25200</v>
      </c>
      <c r="F91" s="92">
        <f t="shared" si="1"/>
        <v>8064000</v>
      </c>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row>
    <row r="92" spans="1:48" ht="14.25" hidden="1" customHeight="1">
      <c r="A92" s="90" t="s">
        <v>21</v>
      </c>
      <c r="B92" s="91" t="s">
        <v>22</v>
      </c>
      <c r="C92" s="43" t="s">
        <v>20</v>
      </c>
      <c r="D92" s="87">
        <v>220</v>
      </c>
      <c r="E92" s="87">
        <v>30500</v>
      </c>
      <c r="F92" s="92">
        <f t="shared" si="1"/>
        <v>6710000</v>
      </c>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row>
    <row r="93" spans="1:48" ht="14.25" hidden="1" customHeight="1">
      <c r="A93" s="90" t="s">
        <v>23</v>
      </c>
      <c r="B93" s="91" t="s">
        <v>24</v>
      </c>
      <c r="C93" s="43" t="s">
        <v>20</v>
      </c>
      <c r="D93" s="87">
        <v>85</v>
      </c>
      <c r="E93" s="87">
        <v>30500</v>
      </c>
      <c r="F93" s="92">
        <f t="shared" si="1"/>
        <v>2592500</v>
      </c>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row>
    <row r="94" spans="1:48" ht="14.25" hidden="1" customHeight="1">
      <c r="A94" s="90" t="s">
        <v>25</v>
      </c>
      <c r="B94" s="91" t="s">
        <v>26</v>
      </c>
      <c r="C94" s="43" t="s">
        <v>20</v>
      </c>
      <c r="D94" s="87">
        <v>105</v>
      </c>
      <c r="E94" s="87">
        <v>35600</v>
      </c>
      <c r="F94" s="92">
        <f t="shared" si="1"/>
        <v>3738000</v>
      </c>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row>
    <row r="95" spans="1:48" ht="14.25" hidden="1" customHeight="1">
      <c r="A95" s="90" t="s">
        <v>27</v>
      </c>
      <c r="B95" s="91" t="s">
        <v>291</v>
      </c>
      <c r="C95" s="43" t="s">
        <v>103</v>
      </c>
      <c r="D95" s="87">
        <f>80*5</f>
        <v>400</v>
      </c>
      <c r="E95" s="87">
        <v>185000</v>
      </c>
      <c r="F95" s="92">
        <f t="shared" si="1"/>
        <v>74000000</v>
      </c>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row>
    <row r="96" spans="1:48" ht="14.25" hidden="1" customHeight="1">
      <c r="A96" s="90" t="s">
        <v>29</v>
      </c>
      <c r="B96" s="91" t="s">
        <v>28</v>
      </c>
      <c r="C96" s="43" t="s">
        <v>20</v>
      </c>
      <c r="D96" s="87">
        <v>80</v>
      </c>
      <c r="E96" s="87">
        <v>224000</v>
      </c>
      <c r="F96" s="92">
        <f t="shared" si="1"/>
        <v>17920000</v>
      </c>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row>
    <row r="97" spans="1:10" ht="18.75" hidden="1" customHeight="1">
      <c r="A97" s="90" t="s">
        <v>31</v>
      </c>
      <c r="B97" s="91" t="s">
        <v>30</v>
      </c>
      <c r="C97" s="43" t="s">
        <v>20</v>
      </c>
      <c r="D97" s="87">
        <v>265</v>
      </c>
      <c r="E97" s="87">
        <v>45000</v>
      </c>
      <c r="F97" s="92">
        <f t="shared" si="1"/>
        <v>11925000</v>
      </c>
      <c r="H97" s="44"/>
      <c r="I97" s="44"/>
      <c r="J97" s="44"/>
    </row>
    <row r="98" spans="1:10" ht="14.25" hidden="1" customHeight="1">
      <c r="A98" s="90" t="s">
        <v>33</v>
      </c>
      <c r="B98" s="91" t="s">
        <v>32</v>
      </c>
      <c r="C98" s="43" t="s">
        <v>20</v>
      </c>
      <c r="D98" s="87">
        <v>150</v>
      </c>
      <c r="E98" s="87">
        <v>65000</v>
      </c>
      <c r="F98" s="92">
        <f t="shared" si="1"/>
        <v>9750000</v>
      </c>
      <c r="H98" s="44"/>
      <c r="I98" s="44"/>
      <c r="J98" s="44" t="s">
        <v>368</v>
      </c>
    </row>
    <row r="99" spans="1:10" ht="14.25" hidden="1" customHeight="1">
      <c r="A99" s="90" t="s">
        <v>292</v>
      </c>
      <c r="B99" s="91" t="s">
        <v>34</v>
      </c>
      <c r="C99" s="43" t="s">
        <v>20</v>
      </c>
      <c r="D99" s="87">
        <v>160</v>
      </c>
      <c r="E99" s="87">
        <v>24500</v>
      </c>
      <c r="F99" s="92">
        <f t="shared" si="1"/>
        <v>3920000</v>
      </c>
      <c r="H99" s="44"/>
      <c r="I99" s="44"/>
      <c r="J99" s="44"/>
    </row>
    <row r="100" spans="1:10" ht="14.25" customHeight="1">
      <c r="A100" s="94">
        <v>3</v>
      </c>
      <c r="B100" s="93" t="s">
        <v>35</v>
      </c>
      <c r="C100" s="43"/>
      <c r="D100" s="87"/>
      <c r="E100" s="87"/>
      <c r="F100" s="92">
        <f t="shared" si="1"/>
        <v>0</v>
      </c>
      <c r="H100" s="44"/>
      <c r="I100" s="44"/>
      <c r="J100" s="44"/>
    </row>
    <row r="101" spans="1:10" ht="14.25" hidden="1" customHeight="1">
      <c r="A101" s="90" t="s">
        <v>36</v>
      </c>
      <c r="B101" s="91" t="s">
        <v>37</v>
      </c>
      <c r="C101" s="43" t="s">
        <v>20</v>
      </c>
      <c r="D101" s="87">
        <v>220</v>
      </c>
      <c r="E101" s="87">
        <v>485000</v>
      </c>
      <c r="F101" s="92">
        <f t="shared" si="1"/>
        <v>106700000</v>
      </c>
      <c r="H101" s="44"/>
      <c r="I101" s="44"/>
      <c r="J101" s="44"/>
    </row>
    <row r="102" spans="1:10" ht="14.25" hidden="1" customHeight="1">
      <c r="A102" s="90" t="s">
        <v>38</v>
      </c>
      <c r="B102" s="91" t="s">
        <v>39</v>
      </c>
      <c r="C102" s="43" t="s">
        <v>20</v>
      </c>
      <c r="D102" s="87">
        <f>80*1*0.6*23.6</f>
        <v>1132.8000000000002</v>
      </c>
      <c r="E102" s="87">
        <v>620000</v>
      </c>
      <c r="F102" s="92">
        <f t="shared" si="1"/>
        <v>702336000</v>
      </c>
      <c r="H102" s="44"/>
      <c r="I102" s="44"/>
      <c r="J102" s="44"/>
    </row>
    <row r="103" spans="1:10" ht="14.25" hidden="1" customHeight="1">
      <c r="A103" s="90" t="s">
        <v>40</v>
      </c>
      <c r="B103" s="91" t="s">
        <v>41</v>
      </c>
      <c r="C103" s="43" t="s">
        <v>20</v>
      </c>
      <c r="D103" s="87">
        <v>423.5</v>
      </c>
      <c r="E103" s="87">
        <v>520000</v>
      </c>
      <c r="F103" s="92">
        <f t="shared" si="1"/>
        <v>220220000</v>
      </c>
      <c r="H103" s="44"/>
      <c r="I103" s="44"/>
      <c r="J103" s="44"/>
    </row>
    <row r="104" spans="1:10" ht="14.25" hidden="1" customHeight="1">
      <c r="A104" s="90" t="s">
        <v>42</v>
      </c>
      <c r="B104" s="91" t="s">
        <v>293</v>
      </c>
      <c r="C104" s="43" t="s">
        <v>44</v>
      </c>
      <c r="D104" s="87">
        <f>180*9.5*2+(66.4*2+66.4*3.4)*2+(113.6*2*2+113.6*3.4)</f>
        <v>4977.76</v>
      </c>
      <c r="E104" s="87">
        <v>262500</v>
      </c>
      <c r="F104" s="92">
        <f t="shared" si="1"/>
        <v>1306662000</v>
      </c>
      <c r="H104" s="44"/>
      <c r="I104" s="44"/>
      <c r="J104" s="44"/>
    </row>
    <row r="105" spans="1:10" ht="14.25" hidden="1" customHeight="1">
      <c r="A105" s="90" t="s">
        <v>45</v>
      </c>
      <c r="B105" s="91" t="s">
        <v>46</v>
      </c>
      <c r="C105" s="43" t="s">
        <v>44</v>
      </c>
      <c r="D105" s="87">
        <f>180*21.5*2</f>
        <v>7740</v>
      </c>
      <c r="E105" s="87">
        <v>360200</v>
      </c>
      <c r="F105" s="92">
        <f t="shared" si="1"/>
        <v>2787948000</v>
      </c>
      <c r="H105" s="44"/>
      <c r="I105" s="44"/>
      <c r="J105" s="44"/>
    </row>
    <row r="106" spans="1:10" ht="14.25" customHeight="1">
      <c r="A106" s="94">
        <v>4</v>
      </c>
      <c r="B106" s="93" t="s">
        <v>47</v>
      </c>
      <c r="C106" s="43"/>
      <c r="D106" s="87"/>
      <c r="E106" s="87"/>
      <c r="F106" s="92">
        <f t="shared" si="1"/>
        <v>0</v>
      </c>
      <c r="H106" s="44"/>
      <c r="I106" s="44"/>
      <c r="J106" s="44"/>
    </row>
    <row r="107" spans="1:10" ht="14.25" hidden="1" customHeight="1">
      <c r="A107" s="90" t="s">
        <v>48</v>
      </c>
      <c r="B107" s="91" t="s">
        <v>49</v>
      </c>
      <c r="C107" s="43" t="s">
        <v>50</v>
      </c>
      <c r="D107" s="87">
        <v>489630</v>
      </c>
      <c r="E107" s="87">
        <v>3850</v>
      </c>
      <c r="F107" s="92">
        <f t="shared" si="1"/>
        <v>1885075500</v>
      </c>
      <c r="H107" s="44"/>
      <c r="I107" s="44"/>
      <c r="J107" s="44"/>
    </row>
    <row r="108" spans="1:10" ht="14.25" hidden="1" customHeight="1">
      <c r="A108" s="90" t="s">
        <v>51</v>
      </c>
      <c r="B108" s="91" t="s">
        <v>52</v>
      </c>
      <c r="C108" s="43" t="s">
        <v>44</v>
      </c>
      <c r="D108" s="87">
        <v>14560</v>
      </c>
      <c r="E108" s="87">
        <v>4850</v>
      </c>
      <c r="F108" s="92">
        <f t="shared" si="1"/>
        <v>70616000</v>
      </c>
      <c r="H108" s="44"/>
      <c r="I108" s="44"/>
      <c r="J108" s="44"/>
    </row>
    <row r="109" spans="1:10" ht="14.25" customHeight="1">
      <c r="A109" s="94">
        <v>5</v>
      </c>
      <c r="B109" s="93" t="s">
        <v>53</v>
      </c>
      <c r="C109" s="43"/>
      <c r="D109" s="87"/>
      <c r="E109" s="87"/>
      <c r="F109" s="92">
        <f t="shared" si="1"/>
        <v>0</v>
      </c>
      <c r="H109" s="44"/>
      <c r="I109" s="44"/>
      <c r="J109" s="44"/>
    </row>
    <row r="110" spans="1:10" ht="14.25" hidden="1" customHeight="1">
      <c r="A110" s="90" t="s">
        <v>54</v>
      </c>
      <c r="B110" s="91" t="s">
        <v>55</v>
      </c>
      <c r="C110" s="43" t="s">
        <v>44</v>
      </c>
      <c r="D110" s="87">
        <v>7203.02</v>
      </c>
      <c r="E110" s="87">
        <v>134500</v>
      </c>
      <c r="F110" s="92">
        <f t="shared" si="1"/>
        <v>968806190</v>
      </c>
      <c r="H110" s="44"/>
      <c r="I110" s="44"/>
      <c r="J110" s="44"/>
    </row>
    <row r="111" spans="1:10" ht="14.25" hidden="1" customHeight="1">
      <c r="A111" s="90" t="s">
        <v>294</v>
      </c>
      <c r="B111" s="91" t="s">
        <v>295</v>
      </c>
      <c r="C111" s="43" t="s">
        <v>44</v>
      </c>
      <c r="D111" s="87">
        <v>1197.0599999999995</v>
      </c>
      <c r="E111" s="87">
        <v>90500</v>
      </c>
      <c r="F111" s="92">
        <f t="shared" si="1"/>
        <v>108333930</v>
      </c>
      <c r="H111" s="44"/>
      <c r="I111" s="44"/>
      <c r="J111" s="44"/>
    </row>
    <row r="112" spans="1:10" ht="14.25" customHeight="1">
      <c r="A112" s="94">
        <v>6</v>
      </c>
      <c r="B112" s="93" t="s">
        <v>56</v>
      </c>
      <c r="C112" s="43"/>
      <c r="D112" s="87"/>
      <c r="E112" s="87"/>
      <c r="F112" s="92">
        <f t="shared" si="1"/>
        <v>0</v>
      </c>
      <c r="H112" s="44"/>
      <c r="I112" s="44"/>
      <c r="J112" s="44"/>
    </row>
    <row r="113" spans="1:6" ht="14.25" hidden="1" customHeight="1">
      <c r="A113" s="90" t="s">
        <v>58</v>
      </c>
      <c r="B113" s="91" t="s">
        <v>340</v>
      </c>
      <c r="C113" s="43" t="s">
        <v>16</v>
      </c>
      <c r="D113" s="23">
        <v>1</v>
      </c>
      <c r="E113" s="87">
        <v>205000000</v>
      </c>
      <c r="F113" s="92">
        <f t="shared" si="1"/>
        <v>205000000</v>
      </c>
    </row>
    <row r="114" spans="1:6" ht="14.25" hidden="1" customHeight="1">
      <c r="A114" s="90" t="s">
        <v>60</v>
      </c>
      <c r="B114" s="91" t="s">
        <v>342</v>
      </c>
      <c r="C114" s="43" t="s">
        <v>16</v>
      </c>
      <c r="D114" s="23">
        <v>1</v>
      </c>
      <c r="E114" s="87">
        <v>385000000</v>
      </c>
      <c r="F114" s="92">
        <f t="shared" si="1"/>
        <v>385000000</v>
      </c>
    </row>
    <row r="115" spans="1:6" ht="14.25" customHeight="1">
      <c r="A115" s="94">
        <v>8</v>
      </c>
      <c r="B115" s="93" t="s">
        <v>130</v>
      </c>
      <c r="C115" s="43"/>
      <c r="D115" s="23"/>
      <c r="E115" s="87"/>
      <c r="F115" s="92">
        <f t="shared" si="1"/>
        <v>0</v>
      </c>
    </row>
    <row r="116" spans="1:6" ht="14.25" hidden="1" customHeight="1">
      <c r="A116" s="90" t="s">
        <v>131</v>
      </c>
      <c r="B116" s="91" t="s">
        <v>350</v>
      </c>
      <c r="C116" s="43" t="s">
        <v>16</v>
      </c>
      <c r="D116" s="87">
        <v>1</v>
      </c>
      <c r="E116" s="87">
        <v>396000000</v>
      </c>
      <c r="F116" s="92">
        <f t="shared" si="1"/>
        <v>396000000</v>
      </c>
    </row>
    <row r="117" spans="1:6" ht="14.25" hidden="1" customHeight="1">
      <c r="A117" s="90" t="s">
        <v>347</v>
      </c>
      <c r="B117" s="91" t="s">
        <v>352</v>
      </c>
      <c r="C117" s="43" t="s">
        <v>16</v>
      </c>
      <c r="D117" s="87">
        <v>1</v>
      </c>
      <c r="E117" s="87">
        <v>198000000</v>
      </c>
      <c r="F117" s="92">
        <f t="shared" si="1"/>
        <v>198000000</v>
      </c>
    </row>
    <row r="118" spans="1:6" ht="14.25" hidden="1" customHeight="1">
      <c r="A118" s="90" t="s">
        <v>349</v>
      </c>
      <c r="B118" s="91" t="s">
        <v>354</v>
      </c>
      <c r="C118" s="43" t="s">
        <v>16</v>
      </c>
      <c r="D118" s="87">
        <v>1</v>
      </c>
      <c r="E118" s="87">
        <v>154600000</v>
      </c>
      <c r="F118" s="92">
        <f t="shared" si="1"/>
        <v>154600000</v>
      </c>
    </row>
    <row r="119" spans="1:6" ht="14.25" hidden="1" customHeight="1">
      <c r="A119" s="90" t="s">
        <v>351</v>
      </c>
      <c r="B119" s="91" t="s">
        <v>356</v>
      </c>
      <c r="C119" s="43" t="s">
        <v>16</v>
      </c>
      <c r="D119" s="87">
        <v>1</v>
      </c>
      <c r="E119" s="87">
        <v>85600000</v>
      </c>
      <c r="F119" s="92">
        <f t="shared" si="1"/>
        <v>85600000</v>
      </c>
    </row>
    <row r="120" spans="1:6" ht="14.25" hidden="1" customHeight="1">
      <c r="A120" s="90">
        <v>9</v>
      </c>
      <c r="B120" s="91" t="s">
        <v>133</v>
      </c>
      <c r="C120" s="43"/>
      <c r="D120" s="87"/>
      <c r="E120" s="87"/>
      <c r="F120" s="92">
        <f t="shared" si="1"/>
        <v>0</v>
      </c>
    </row>
    <row r="121" spans="1:6" ht="14.25" hidden="1" customHeight="1">
      <c r="A121" s="90" t="s">
        <v>134</v>
      </c>
      <c r="B121" s="91" t="s">
        <v>135</v>
      </c>
      <c r="C121" s="43" t="s">
        <v>16</v>
      </c>
      <c r="D121" s="87">
        <v>1</v>
      </c>
      <c r="E121" s="87">
        <v>175000000</v>
      </c>
      <c r="F121" s="92">
        <f t="shared" si="1"/>
        <v>175000000</v>
      </c>
    </row>
    <row r="122" spans="1:6" ht="14.25" hidden="1" customHeight="1">
      <c r="A122" s="90" t="s">
        <v>136</v>
      </c>
      <c r="B122" s="91" t="s">
        <v>137</v>
      </c>
      <c r="C122" s="43" t="s">
        <v>16</v>
      </c>
      <c r="D122" s="87">
        <v>1</v>
      </c>
      <c r="E122" s="87">
        <v>135000000</v>
      </c>
      <c r="F122" s="92">
        <f t="shared" si="1"/>
        <v>135000000</v>
      </c>
    </row>
    <row r="123" spans="1:6" ht="14.25" customHeight="1">
      <c r="A123" s="94">
        <v>10</v>
      </c>
      <c r="B123" s="93" t="s">
        <v>139</v>
      </c>
      <c r="C123" s="43"/>
      <c r="D123" s="87"/>
      <c r="E123" s="87"/>
      <c r="F123" s="92">
        <f t="shared" si="1"/>
        <v>0</v>
      </c>
    </row>
    <row r="124" spans="1:6" ht="14.25" hidden="1" customHeight="1">
      <c r="A124" s="90" t="s">
        <v>359</v>
      </c>
      <c r="B124" s="91" t="s">
        <v>360</v>
      </c>
      <c r="C124" s="43" t="s">
        <v>88</v>
      </c>
      <c r="D124" s="87">
        <f>7057*2</f>
        <v>14114</v>
      </c>
      <c r="E124" s="96">
        <v>68440</v>
      </c>
      <c r="F124" s="92">
        <f t="shared" si="1"/>
        <v>965962160</v>
      </c>
    </row>
    <row r="125" spans="1:6" ht="14.25" customHeight="1">
      <c r="A125" s="94">
        <v>11</v>
      </c>
      <c r="B125" s="93" t="s">
        <v>369</v>
      </c>
      <c r="C125" s="43"/>
      <c r="D125" s="87"/>
      <c r="E125" s="87"/>
      <c r="F125" s="92">
        <v>0</v>
      </c>
    </row>
    <row r="126" spans="1:6" ht="14.25" hidden="1" customHeight="1">
      <c r="A126" s="90" t="s">
        <v>363</v>
      </c>
      <c r="B126" s="91" t="s">
        <v>370</v>
      </c>
      <c r="C126" s="43" t="s">
        <v>44</v>
      </c>
      <c r="D126" s="87">
        <v>20182</v>
      </c>
      <c r="E126" s="87">
        <v>224500</v>
      </c>
      <c r="F126" s="92">
        <f t="shared" ref="F126:F127" si="2">+ROUND(D126*E126,0)</f>
        <v>4530859000</v>
      </c>
    </row>
    <row r="127" spans="1:6" ht="14.25" customHeight="1">
      <c r="A127" s="110"/>
      <c r="B127" s="91"/>
      <c r="C127" s="43"/>
      <c r="D127" s="87"/>
      <c r="E127" s="87"/>
      <c r="F127" s="92">
        <f t="shared" si="2"/>
        <v>0</v>
      </c>
    </row>
    <row r="128" spans="1:6" ht="14.25" customHeight="1">
      <c r="A128" s="111"/>
      <c r="B128" s="112" t="s">
        <v>142</v>
      </c>
      <c r="C128" s="113"/>
      <c r="D128" s="114"/>
      <c r="E128" s="114"/>
      <c r="F128" s="115">
        <f>+SUM(F88:F127)</f>
        <v>15632938280</v>
      </c>
    </row>
    <row r="129" spans="1:6" ht="14.25" customHeight="1">
      <c r="A129" s="111"/>
      <c r="B129" s="112" t="s">
        <v>364</v>
      </c>
      <c r="C129" s="116">
        <v>0.3</v>
      </c>
      <c r="D129" s="114"/>
      <c r="E129" s="114"/>
      <c r="F129" s="115">
        <f>+ROUND(F128*C129,0)</f>
        <v>4689881484</v>
      </c>
    </row>
    <row r="130" spans="1:6" ht="14.25" customHeight="1">
      <c r="A130" s="117"/>
      <c r="B130" s="118" t="s">
        <v>365</v>
      </c>
      <c r="C130" s="119"/>
      <c r="D130" s="120"/>
      <c r="E130" s="120"/>
      <c r="F130" s="121">
        <f>+F128+F129</f>
        <v>20322819764</v>
      </c>
    </row>
    <row r="131" spans="1:6" ht="14.25" customHeight="1">
      <c r="B131" s="108"/>
      <c r="C131" s="52"/>
      <c r="D131" s="77"/>
      <c r="E131" s="77"/>
      <c r="F131" s="77">
        <f>+ROUND(D131*E131,0)</f>
        <v>0</v>
      </c>
    </row>
    <row r="132" spans="1:6" ht="14.25" customHeight="1">
      <c r="D132" s="77"/>
    </row>
    <row r="133" spans="1:6" ht="14.25" customHeight="1">
      <c r="A133" s="1800" t="s">
        <v>371</v>
      </c>
      <c r="B133" s="1601"/>
      <c r="C133" s="1601"/>
      <c r="D133" s="1601"/>
      <c r="E133" s="1801"/>
      <c r="F133" s="122" t="e">
        <f>+F82+F130</f>
        <v>#REF!</v>
      </c>
    </row>
    <row r="134" spans="1:6" ht="14.25" customHeight="1">
      <c r="B134" s="108"/>
      <c r="C134" s="52"/>
      <c r="D134" s="77"/>
      <c r="E134" s="77"/>
      <c r="F134" s="77">
        <f t="shared" ref="F134:F363" si="3">+ROUND(D134*E134,0)</f>
        <v>0</v>
      </c>
    </row>
    <row r="135" spans="1:6" ht="14.25" customHeight="1">
      <c r="B135" s="108"/>
      <c r="C135" s="52"/>
      <c r="D135" s="77"/>
      <c r="E135" s="77"/>
      <c r="F135" s="77">
        <f t="shared" si="3"/>
        <v>0</v>
      </c>
    </row>
    <row r="136" spans="1:6" ht="14.25" customHeight="1">
      <c r="B136" s="108"/>
      <c r="C136" s="52"/>
      <c r="D136" s="77"/>
      <c r="E136" s="77"/>
      <c r="F136" s="77">
        <f t="shared" si="3"/>
        <v>0</v>
      </c>
    </row>
    <row r="137" spans="1:6" ht="14.25" customHeight="1">
      <c r="B137" s="108"/>
      <c r="C137" s="52"/>
      <c r="D137" s="77"/>
      <c r="E137" s="77"/>
      <c r="F137" s="77">
        <f t="shared" si="3"/>
        <v>0</v>
      </c>
    </row>
    <row r="138" spans="1:6" ht="14.25" customHeight="1">
      <c r="B138" s="108"/>
      <c r="C138" s="52"/>
      <c r="D138" s="77"/>
      <c r="E138" s="77"/>
      <c r="F138" s="77">
        <f t="shared" si="3"/>
        <v>0</v>
      </c>
    </row>
    <row r="139" spans="1:6" ht="14.25" customHeight="1">
      <c r="B139" s="108"/>
      <c r="C139" s="52"/>
      <c r="D139" s="77"/>
      <c r="E139" s="77"/>
      <c r="F139" s="77">
        <f t="shared" si="3"/>
        <v>0</v>
      </c>
    </row>
    <row r="140" spans="1:6" ht="14.25" customHeight="1">
      <c r="B140" s="108"/>
      <c r="C140" s="52"/>
      <c r="D140" s="77"/>
      <c r="E140" s="77"/>
      <c r="F140" s="77">
        <f t="shared" si="3"/>
        <v>0</v>
      </c>
    </row>
    <row r="141" spans="1:6" ht="14.25" customHeight="1">
      <c r="B141" s="108"/>
      <c r="C141" s="52"/>
      <c r="D141" s="77"/>
      <c r="E141" s="77"/>
      <c r="F141" s="77">
        <f t="shared" si="3"/>
        <v>0</v>
      </c>
    </row>
    <row r="142" spans="1:6" ht="14.25" customHeight="1">
      <c r="B142" s="108"/>
      <c r="C142" s="52"/>
      <c r="D142" s="77"/>
      <c r="E142" s="77"/>
      <c r="F142" s="77">
        <f t="shared" si="3"/>
        <v>0</v>
      </c>
    </row>
    <row r="143" spans="1:6" ht="14.25" customHeight="1">
      <c r="B143" s="108"/>
      <c r="C143" s="52"/>
      <c r="D143" s="77"/>
      <c r="E143" s="77"/>
      <c r="F143" s="77">
        <f t="shared" si="3"/>
        <v>0</v>
      </c>
    </row>
    <row r="144" spans="1:6" ht="14.25" customHeight="1">
      <c r="B144" s="108"/>
      <c r="C144" s="52"/>
      <c r="D144" s="77"/>
      <c r="E144" s="77"/>
      <c r="F144" s="77">
        <f t="shared" si="3"/>
        <v>0</v>
      </c>
    </row>
    <row r="145" spans="2:6" ht="14.25" customHeight="1">
      <c r="B145" s="108"/>
      <c r="C145" s="52"/>
      <c r="D145" s="77"/>
      <c r="E145" s="77"/>
      <c r="F145" s="77">
        <f t="shared" si="3"/>
        <v>0</v>
      </c>
    </row>
    <row r="146" spans="2:6" ht="14.25" customHeight="1">
      <c r="B146" s="108"/>
      <c r="C146" s="52"/>
      <c r="D146" s="77"/>
      <c r="E146" s="77"/>
      <c r="F146" s="77">
        <f t="shared" si="3"/>
        <v>0</v>
      </c>
    </row>
    <row r="147" spans="2:6" ht="14.25" customHeight="1">
      <c r="B147" s="108"/>
      <c r="C147" s="52"/>
      <c r="D147" s="77"/>
      <c r="E147" s="77"/>
      <c r="F147" s="77">
        <f t="shared" si="3"/>
        <v>0</v>
      </c>
    </row>
    <row r="148" spans="2:6" ht="14.25" customHeight="1">
      <c r="B148" s="108"/>
      <c r="C148" s="52"/>
      <c r="D148" s="77"/>
      <c r="E148" s="77"/>
      <c r="F148" s="77">
        <f t="shared" si="3"/>
        <v>0</v>
      </c>
    </row>
    <row r="149" spans="2:6" ht="14.25" customHeight="1">
      <c r="B149" s="108"/>
      <c r="C149" s="52"/>
      <c r="D149" s="77"/>
      <c r="E149" s="77"/>
      <c r="F149" s="77">
        <f t="shared" si="3"/>
        <v>0</v>
      </c>
    </row>
    <row r="150" spans="2:6" ht="14.25" customHeight="1">
      <c r="B150" s="108"/>
      <c r="C150" s="52"/>
      <c r="D150" s="77"/>
      <c r="E150" s="77"/>
      <c r="F150" s="77">
        <f t="shared" si="3"/>
        <v>0</v>
      </c>
    </row>
    <row r="151" spans="2:6" ht="14.25" customHeight="1">
      <c r="B151" s="108"/>
      <c r="C151" s="52"/>
      <c r="D151" s="77"/>
      <c r="E151" s="77"/>
      <c r="F151" s="77">
        <f t="shared" si="3"/>
        <v>0</v>
      </c>
    </row>
    <row r="152" spans="2:6" ht="14.25" customHeight="1">
      <c r="B152" s="108"/>
      <c r="C152" s="52"/>
      <c r="D152" s="77"/>
      <c r="E152" s="77"/>
      <c r="F152" s="77">
        <f t="shared" si="3"/>
        <v>0</v>
      </c>
    </row>
    <row r="153" spans="2:6" ht="14.25" customHeight="1">
      <c r="B153" s="108"/>
      <c r="C153" s="52"/>
      <c r="D153" s="77"/>
      <c r="E153" s="77"/>
      <c r="F153" s="77">
        <f t="shared" si="3"/>
        <v>0</v>
      </c>
    </row>
    <row r="154" spans="2:6" ht="14.25" customHeight="1">
      <c r="B154" s="108"/>
      <c r="C154" s="52"/>
      <c r="D154" s="77"/>
      <c r="E154" s="77"/>
      <c r="F154" s="77">
        <f t="shared" si="3"/>
        <v>0</v>
      </c>
    </row>
    <row r="155" spans="2:6" ht="14.25" customHeight="1">
      <c r="B155" s="108"/>
      <c r="C155" s="52"/>
      <c r="D155" s="77"/>
      <c r="E155" s="77"/>
      <c r="F155" s="77">
        <f t="shared" si="3"/>
        <v>0</v>
      </c>
    </row>
    <row r="156" spans="2:6" ht="14.25" customHeight="1">
      <c r="B156" s="108"/>
      <c r="C156" s="52"/>
      <c r="D156" s="77"/>
      <c r="E156" s="77"/>
      <c r="F156" s="77">
        <f t="shared" si="3"/>
        <v>0</v>
      </c>
    </row>
    <row r="157" spans="2:6" ht="14.25" customHeight="1">
      <c r="B157" s="108"/>
      <c r="C157" s="52"/>
      <c r="D157" s="77"/>
      <c r="E157" s="77"/>
      <c r="F157" s="77">
        <f t="shared" si="3"/>
        <v>0</v>
      </c>
    </row>
    <row r="158" spans="2:6" ht="14.25" customHeight="1">
      <c r="B158" s="108"/>
      <c r="C158" s="52"/>
      <c r="D158" s="77"/>
      <c r="E158" s="77"/>
      <c r="F158" s="77">
        <f t="shared" si="3"/>
        <v>0</v>
      </c>
    </row>
    <row r="159" spans="2:6" ht="14.25" customHeight="1">
      <c r="B159" s="108"/>
      <c r="C159" s="52"/>
      <c r="D159" s="77"/>
      <c r="E159" s="77"/>
      <c r="F159" s="77">
        <f t="shared" si="3"/>
        <v>0</v>
      </c>
    </row>
    <row r="160" spans="2:6" ht="14.25" customHeight="1">
      <c r="B160" s="108"/>
      <c r="C160" s="52"/>
      <c r="D160" s="77"/>
      <c r="E160" s="77"/>
      <c r="F160" s="77">
        <f t="shared" si="3"/>
        <v>0</v>
      </c>
    </row>
    <row r="161" spans="2:6" ht="14.25" customHeight="1">
      <c r="B161" s="108"/>
      <c r="C161" s="52"/>
      <c r="D161" s="77"/>
      <c r="E161" s="77"/>
      <c r="F161" s="77">
        <f t="shared" si="3"/>
        <v>0</v>
      </c>
    </row>
    <row r="162" spans="2:6" ht="14.25" customHeight="1">
      <c r="B162" s="108"/>
      <c r="C162" s="52"/>
      <c r="D162" s="77"/>
      <c r="E162" s="77"/>
      <c r="F162" s="77">
        <f t="shared" si="3"/>
        <v>0</v>
      </c>
    </row>
    <row r="163" spans="2:6" ht="14.25" customHeight="1">
      <c r="B163" s="108"/>
      <c r="C163" s="52"/>
      <c r="D163" s="77"/>
      <c r="E163" s="77"/>
      <c r="F163" s="77">
        <f t="shared" si="3"/>
        <v>0</v>
      </c>
    </row>
    <row r="164" spans="2:6" ht="14.25" customHeight="1">
      <c r="B164" s="108"/>
      <c r="C164" s="52"/>
      <c r="D164" s="77"/>
      <c r="E164" s="77"/>
      <c r="F164" s="77">
        <f t="shared" si="3"/>
        <v>0</v>
      </c>
    </row>
    <row r="165" spans="2:6" ht="14.25" customHeight="1">
      <c r="B165" s="108"/>
      <c r="C165" s="52"/>
      <c r="D165" s="77"/>
      <c r="E165" s="77"/>
      <c r="F165" s="77">
        <f t="shared" si="3"/>
        <v>0</v>
      </c>
    </row>
    <row r="166" spans="2:6" ht="14.25" customHeight="1">
      <c r="B166" s="108"/>
      <c r="C166" s="52"/>
      <c r="D166" s="77"/>
      <c r="E166" s="77"/>
      <c r="F166" s="77">
        <f t="shared" si="3"/>
        <v>0</v>
      </c>
    </row>
    <row r="167" spans="2:6" ht="14.25" customHeight="1">
      <c r="B167" s="108"/>
      <c r="C167" s="52"/>
      <c r="D167" s="77"/>
      <c r="E167" s="77"/>
      <c r="F167" s="77">
        <f t="shared" si="3"/>
        <v>0</v>
      </c>
    </row>
    <row r="168" spans="2:6" ht="14.25" customHeight="1">
      <c r="B168" s="108"/>
      <c r="C168" s="52"/>
      <c r="D168" s="77"/>
      <c r="E168" s="77"/>
      <c r="F168" s="77">
        <f t="shared" si="3"/>
        <v>0</v>
      </c>
    </row>
    <row r="169" spans="2:6" ht="14.25" customHeight="1">
      <c r="B169" s="108"/>
      <c r="C169" s="52"/>
      <c r="D169" s="77"/>
      <c r="E169" s="77"/>
      <c r="F169" s="77">
        <f t="shared" si="3"/>
        <v>0</v>
      </c>
    </row>
    <row r="170" spans="2:6" ht="14.25" customHeight="1">
      <c r="B170" s="108"/>
      <c r="C170" s="52"/>
      <c r="D170" s="77"/>
      <c r="E170" s="77"/>
      <c r="F170" s="77">
        <f t="shared" si="3"/>
        <v>0</v>
      </c>
    </row>
    <row r="171" spans="2:6" ht="14.25" customHeight="1">
      <c r="B171" s="108"/>
      <c r="C171" s="52"/>
      <c r="D171" s="77"/>
      <c r="E171" s="77"/>
      <c r="F171" s="77">
        <f t="shared" si="3"/>
        <v>0</v>
      </c>
    </row>
    <row r="172" spans="2:6" ht="14.25" customHeight="1">
      <c r="B172" s="108"/>
      <c r="C172" s="52"/>
      <c r="D172" s="77"/>
      <c r="E172" s="77"/>
      <c r="F172" s="77">
        <f t="shared" si="3"/>
        <v>0</v>
      </c>
    </row>
    <row r="173" spans="2:6" ht="14.25" customHeight="1">
      <c r="B173" s="108"/>
      <c r="C173" s="52"/>
      <c r="D173" s="77"/>
      <c r="E173" s="77"/>
      <c r="F173" s="77">
        <f t="shared" si="3"/>
        <v>0</v>
      </c>
    </row>
    <row r="174" spans="2:6" ht="14.25" customHeight="1">
      <c r="B174" s="108"/>
      <c r="C174" s="52"/>
      <c r="D174" s="77"/>
      <c r="E174" s="77"/>
      <c r="F174" s="77">
        <f t="shared" si="3"/>
        <v>0</v>
      </c>
    </row>
    <row r="175" spans="2:6" ht="14.25" customHeight="1">
      <c r="B175" s="108"/>
      <c r="C175" s="52"/>
      <c r="D175" s="77"/>
      <c r="E175" s="77"/>
      <c r="F175" s="77">
        <f t="shared" si="3"/>
        <v>0</v>
      </c>
    </row>
    <row r="176" spans="2:6" ht="14.25" customHeight="1">
      <c r="B176" s="108"/>
      <c r="C176" s="52"/>
      <c r="D176" s="77"/>
      <c r="E176" s="77"/>
      <c r="F176" s="77">
        <f t="shared" si="3"/>
        <v>0</v>
      </c>
    </row>
    <row r="177" spans="2:6" ht="14.25" customHeight="1">
      <c r="B177" s="108"/>
      <c r="C177" s="52"/>
      <c r="D177" s="77"/>
      <c r="E177" s="77"/>
      <c r="F177" s="77">
        <f t="shared" si="3"/>
        <v>0</v>
      </c>
    </row>
    <row r="178" spans="2:6" ht="14.25" customHeight="1">
      <c r="B178" s="108"/>
      <c r="C178" s="52"/>
      <c r="D178" s="77"/>
      <c r="E178" s="77"/>
      <c r="F178" s="77">
        <f t="shared" si="3"/>
        <v>0</v>
      </c>
    </row>
    <row r="179" spans="2:6" ht="14.25" customHeight="1">
      <c r="B179" s="108"/>
      <c r="C179" s="52"/>
      <c r="D179" s="77"/>
      <c r="E179" s="77"/>
      <c r="F179" s="77">
        <f t="shared" si="3"/>
        <v>0</v>
      </c>
    </row>
    <row r="180" spans="2:6" ht="14.25" customHeight="1">
      <c r="B180" s="108"/>
      <c r="C180" s="52"/>
      <c r="D180" s="77"/>
      <c r="E180" s="77"/>
      <c r="F180" s="77">
        <f t="shared" si="3"/>
        <v>0</v>
      </c>
    </row>
    <row r="181" spans="2:6" ht="14.25" customHeight="1">
      <c r="B181" s="108"/>
      <c r="C181" s="52"/>
      <c r="D181" s="77"/>
      <c r="E181" s="77"/>
      <c r="F181" s="77">
        <f t="shared" si="3"/>
        <v>0</v>
      </c>
    </row>
    <row r="182" spans="2:6" ht="14.25" customHeight="1">
      <c r="B182" s="108"/>
      <c r="C182" s="52"/>
      <c r="D182" s="77"/>
      <c r="E182" s="77"/>
      <c r="F182" s="77">
        <f t="shared" si="3"/>
        <v>0</v>
      </c>
    </row>
    <row r="183" spans="2:6" ht="14.25" customHeight="1">
      <c r="B183" s="108"/>
      <c r="C183" s="52"/>
      <c r="D183" s="77"/>
      <c r="E183" s="77"/>
      <c r="F183" s="77">
        <f t="shared" si="3"/>
        <v>0</v>
      </c>
    </row>
    <row r="184" spans="2:6" ht="14.25" customHeight="1">
      <c r="B184" s="108"/>
      <c r="C184" s="52"/>
      <c r="D184" s="77"/>
      <c r="E184" s="77"/>
      <c r="F184" s="77">
        <f t="shared" si="3"/>
        <v>0</v>
      </c>
    </row>
    <row r="185" spans="2:6" ht="14.25" customHeight="1">
      <c r="B185" s="108"/>
      <c r="C185" s="52"/>
      <c r="D185" s="77"/>
      <c r="E185" s="77"/>
      <c r="F185" s="77">
        <f t="shared" si="3"/>
        <v>0</v>
      </c>
    </row>
    <row r="186" spans="2:6" ht="14.25" customHeight="1">
      <c r="B186" s="108"/>
      <c r="C186" s="52"/>
      <c r="D186" s="77"/>
      <c r="E186" s="77"/>
      <c r="F186" s="77">
        <f t="shared" si="3"/>
        <v>0</v>
      </c>
    </row>
    <row r="187" spans="2:6" ht="14.25" customHeight="1">
      <c r="B187" s="108"/>
      <c r="C187" s="52"/>
      <c r="D187" s="77"/>
      <c r="E187" s="77"/>
      <c r="F187" s="77">
        <f t="shared" si="3"/>
        <v>0</v>
      </c>
    </row>
    <row r="188" spans="2:6" ht="14.25" customHeight="1">
      <c r="B188" s="108"/>
      <c r="C188" s="52"/>
      <c r="D188" s="77"/>
      <c r="E188" s="77"/>
      <c r="F188" s="77">
        <f t="shared" si="3"/>
        <v>0</v>
      </c>
    </row>
    <row r="189" spans="2:6" ht="14.25" customHeight="1">
      <c r="B189" s="108"/>
      <c r="C189" s="52"/>
      <c r="D189" s="77"/>
      <c r="E189" s="77"/>
      <c r="F189" s="77">
        <f t="shared" si="3"/>
        <v>0</v>
      </c>
    </row>
    <row r="190" spans="2:6" ht="14.25" customHeight="1">
      <c r="B190" s="108"/>
      <c r="C190" s="52"/>
      <c r="D190" s="77"/>
      <c r="E190" s="77"/>
      <c r="F190" s="77">
        <f t="shared" si="3"/>
        <v>0</v>
      </c>
    </row>
    <row r="191" spans="2:6" ht="14.25" customHeight="1">
      <c r="B191" s="108"/>
      <c r="C191" s="52"/>
      <c r="D191" s="77"/>
      <c r="E191" s="77"/>
      <c r="F191" s="77">
        <f t="shared" si="3"/>
        <v>0</v>
      </c>
    </row>
    <row r="192" spans="2:6" ht="14.25" customHeight="1">
      <c r="B192" s="108"/>
      <c r="C192" s="52"/>
      <c r="D192" s="77"/>
      <c r="E192" s="77"/>
      <c r="F192" s="77">
        <f t="shared" si="3"/>
        <v>0</v>
      </c>
    </row>
    <row r="193" spans="2:6" ht="14.25" customHeight="1">
      <c r="B193" s="108"/>
      <c r="C193" s="52"/>
      <c r="D193" s="77"/>
      <c r="E193" s="77"/>
      <c r="F193" s="77">
        <f t="shared" si="3"/>
        <v>0</v>
      </c>
    </row>
    <row r="194" spans="2:6" ht="14.25" customHeight="1">
      <c r="B194" s="108"/>
      <c r="C194" s="52"/>
      <c r="D194" s="77"/>
      <c r="E194" s="77"/>
      <c r="F194" s="77">
        <f t="shared" si="3"/>
        <v>0</v>
      </c>
    </row>
    <row r="195" spans="2:6" ht="14.25" customHeight="1">
      <c r="B195" s="108"/>
      <c r="C195" s="52"/>
      <c r="D195" s="77"/>
      <c r="E195" s="77"/>
      <c r="F195" s="77">
        <f t="shared" si="3"/>
        <v>0</v>
      </c>
    </row>
    <row r="196" spans="2:6" ht="14.25" customHeight="1">
      <c r="B196" s="108"/>
      <c r="C196" s="52"/>
      <c r="D196" s="77"/>
      <c r="E196" s="77"/>
      <c r="F196" s="77">
        <f t="shared" si="3"/>
        <v>0</v>
      </c>
    </row>
    <row r="197" spans="2:6" ht="14.25" customHeight="1">
      <c r="B197" s="108"/>
      <c r="C197" s="52"/>
      <c r="D197" s="77"/>
      <c r="E197" s="77"/>
      <c r="F197" s="77">
        <f t="shared" si="3"/>
        <v>0</v>
      </c>
    </row>
    <row r="198" spans="2:6" ht="14.25" customHeight="1">
      <c r="B198" s="108"/>
      <c r="C198" s="52"/>
      <c r="D198" s="77"/>
      <c r="E198" s="77"/>
      <c r="F198" s="77">
        <f t="shared" si="3"/>
        <v>0</v>
      </c>
    </row>
    <row r="199" spans="2:6" ht="14.25" customHeight="1">
      <c r="B199" s="108"/>
      <c r="C199" s="52"/>
      <c r="D199" s="77"/>
      <c r="E199" s="77"/>
      <c r="F199" s="77">
        <f t="shared" si="3"/>
        <v>0</v>
      </c>
    </row>
    <row r="200" spans="2:6" ht="14.25" customHeight="1">
      <c r="B200" s="108"/>
      <c r="C200" s="52"/>
      <c r="D200" s="77"/>
      <c r="E200" s="77"/>
      <c r="F200" s="77">
        <f t="shared" si="3"/>
        <v>0</v>
      </c>
    </row>
    <row r="201" spans="2:6" ht="14.25" customHeight="1">
      <c r="B201" s="108"/>
      <c r="C201" s="52"/>
      <c r="D201" s="77"/>
      <c r="E201" s="77"/>
      <c r="F201" s="77">
        <f t="shared" si="3"/>
        <v>0</v>
      </c>
    </row>
    <row r="202" spans="2:6" ht="14.25" customHeight="1">
      <c r="B202" s="108"/>
      <c r="C202" s="52"/>
      <c r="D202" s="77"/>
      <c r="E202" s="77"/>
      <c r="F202" s="77">
        <f t="shared" si="3"/>
        <v>0</v>
      </c>
    </row>
    <row r="203" spans="2:6" ht="14.25" customHeight="1">
      <c r="B203" s="108"/>
      <c r="C203" s="52"/>
      <c r="D203" s="77"/>
      <c r="E203" s="77"/>
      <c r="F203" s="77">
        <f t="shared" si="3"/>
        <v>0</v>
      </c>
    </row>
    <row r="204" spans="2:6" ht="14.25" customHeight="1">
      <c r="B204" s="108"/>
      <c r="C204" s="52"/>
      <c r="D204" s="77"/>
      <c r="E204" s="77"/>
      <c r="F204" s="77">
        <f t="shared" si="3"/>
        <v>0</v>
      </c>
    </row>
    <row r="205" spans="2:6" ht="14.25" customHeight="1">
      <c r="B205" s="108"/>
      <c r="C205" s="52"/>
      <c r="D205" s="77"/>
      <c r="E205" s="77"/>
      <c r="F205" s="77">
        <f t="shared" si="3"/>
        <v>0</v>
      </c>
    </row>
    <row r="206" spans="2:6" ht="14.25" customHeight="1">
      <c r="B206" s="108"/>
      <c r="C206" s="52"/>
      <c r="D206" s="77"/>
      <c r="E206" s="77"/>
      <c r="F206" s="77">
        <f t="shared" si="3"/>
        <v>0</v>
      </c>
    </row>
    <row r="207" spans="2:6" ht="14.25" customHeight="1">
      <c r="B207" s="108"/>
      <c r="C207" s="52"/>
      <c r="D207" s="77"/>
      <c r="E207" s="77"/>
      <c r="F207" s="77">
        <f t="shared" si="3"/>
        <v>0</v>
      </c>
    </row>
    <row r="208" spans="2:6" ht="14.25" customHeight="1">
      <c r="B208" s="108"/>
      <c r="C208" s="52"/>
      <c r="D208" s="77"/>
      <c r="E208" s="77"/>
      <c r="F208" s="77">
        <f t="shared" si="3"/>
        <v>0</v>
      </c>
    </row>
    <row r="209" spans="2:6" ht="14.25" customHeight="1">
      <c r="B209" s="108"/>
      <c r="C209" s="52"/>
      <c r="D209" s="77"/>
      <c r="E209" s="77"/>
      <c r="F209" s="77">
        <f t="shared" si="3"/>
        <v>0</v>
      </c>
    </row>
    <row r="210" spans="2:6" ht="14.25" customHeight="1">
      <c r="B210" s="108"/>
      <c r="C210" s="52"/>
      <c r="D210" s="77"/>
      <c r="E210" s="77"/>
      <c r="F210" s="77">
        <f t="shared" si="3"/>
        <v>0</v>
      </c>
    </row>
    <row r="211" spans="2:6" ht="14.25" customHeight="1">
      <c r="B211" s="108"/>
      <c r="C211" s="52"/>
      <c r="D211" s="77"/>
      <c r="E211" s="77"/>
      <c r="F211" s="77">
        <f t="shared" si="3"/>
        <v>0</v>
      </c>
    </row>
    <row r="212" spans="2:6" ht="14.25" customHeight="1">
      <c r="B212" s="108"/>
      <c r="C212" s="52"/>
      <c r="D212" s="77"/>
      <c r="E212" s="77"/>
      <c r="F212" s="77">
        <f t="shared" si="3"/>
        <v>0</v>
      </c>
    </row>
    <row r="213" spans="2:6" ht="14.25" customHeight="1">
      <c r="B213" s="108"/>
      <c r="C213" s="52"/>
      <c r="D213" s="77"/>
      <c r="E213" s="77"/>
      <c r="F213" s="77">
        <f t="shared" si="3"/>
        <v>0</v>
      </c>
    </row>
    <row r="214" spans="2:6" ht="14.25" customHeight="1">
      <c r="B214" s="108"/>
      <c r="C214" s="52"/>
      <c r="D214" s="77"/>
      <c r="E214" s="77"/>
      <c r="F214" s="77">
        <f t="shared" si="3"/>
        <v>0</v>
      </c>
    </row>
    <row r="215" spans="2:6" ht="14.25" customHeight="1">
      <c r="B215" s="108"/>
      <c r="C215" s="52"/>
      <c r="D215" s="77"/>
      <c r="E215" s="77"/>
      <c r="F215" s="77">
        <f t="shared" si="3"/>
        <v>0</v>
      </c>
    </row>
    <row r="216" spans="2:6" ht="14.25" customHeight="1">
      <c r="B216" s="108"/>
      <c r="C216" s="52"/>
      <c r="D216" s="77"/>
      <c r="E216" s="77"/>
      <c r="F216" s="77">
        <f t="shared" si="3"/>
        <v>0</v>
      </c>
    </row>
    <row r="217" spans="2:6" ht="14.25" customHeight="1">
      <c r="B217" s="108"/>
      <c r="C217" s="52"/>
      <c r="D217" s="77"/>
      <c r="E217" s="77"/>
      <c r="F217" s="77">
        <f t="shared" si="3"/>
        <v>0</v>
      </c>
    </row>
    <row r="218" spans="2:6" ht="14.25" customHeight="1">
      <c r="B218" s="108"/>
      <c r="C218" s="52"/>
      <c r="D218" s="77"/>
      <c r="E218" s="77"/>
      <c r="F218" s="77">
        <f t="shared" si="3"/>
        <v>0</v>
      </c>
    </row>
    <row r="219" spans="2:6" ht="14.25" customHeight="1">
      <c r="B219" s="108"/>
      <c r="C219" s="52"/>
      <c r="D219" s="77"/>
      <c r="E219" s="77"/>
      <c r="F219" s="77">
        <f t="shared" si="3"/>
        <v>0</v>
      </c>
    </row>
    <row r="220" spans="2:6" ht="14.25" customHeight="1">
      <c r="B220" s="108"/>
      <c r="C220" s="52"/>
      <c r="D220" s="77"/>
      <c r="E220" s="77"/>
      <c r="F220" s="77">
        <f t="shared" si="3"/>
        <v>0</v>
      </c>
    </row>
    <row r="221" spans="2:6" ht="14.25" customHeight="1">
      <c r="B221" s="108"/>
      <c r="C221" s="52"/>
      <c r="D221" s="77"/>
      <c r="E221" s="77"/>
      <c r="F221" s="77">
        <f t="shared" si="3"/>
        <v>0</v>
      </c>
    </row>
    <row r="222" spans="2:6" ht="14.25" customHeight="1">
      <c r="B222" s="108"/>
      <c r="C222" s="52"/>
      <c r="D222" s="77"/>
      <c r="E222" s="77"/>
      <c r="F222" s="77">
        <f t="shared" si="3"/>
        <v>0</v>
      </c>
    </row>
    <row r="223" spans="2:6" ht="14.25" customHeight="1">
      <c r="B223" s="108"/>
      <c r="C223" s="52"/>
      <c r="D223" s="77"/>
      <c r="E223" s="77"/>
      <c r="F223" s="77">
        <f t="shared" si="3"/>
        <v>0</v>
      </c>
    </row>
    <row r="224" spans="2:6" ht="14.25" customHeight="1">
      <c r="B224" s="108"/>
      <c r="C224" s="52"/>
      <c r="D224" s="77"/>
      <c r="E224" s="77"/>
      <c r="F224" s="77">
        <f t="shared" si="3"/>
        <v>0</v>
      </c>
    </row>
    <row r="225" spans="2:6" ht="14.25" customHeight="1">
      <c r="B225" s="108"/>
      <c r="C225" s="52"/>
      <c r="D225" s="77"/>
      <c r="E225" s="77"/>
      <c r="F225" s="77">
        <f t="shared" si="3"/>
        <v>0</v>
      </c>
    </row>
    <row r="226" spans="2:6" ht="14.25" customHeight="1">
      <c r="B226" s="108"/>
      <c r="C226" s="52"/>
      <c r="D226" s="77"/>
      <c r="E226" s="77"/>
      <c r="F226" s="77">
        <f t="shared" si="3"/>
        <v>0</v>
      </c>
    </row>
    <row r="227" spans="2:6" ht="14.25" customHeight="1">
      <c r="B227" s="108"/>
      <c r="C227" s="52"/>
      <c r="D227" s="77"/>
      <c r="E227" s="77"/>
      <c r="F227" s="77">
        <f t="shared" si="3"/>
        <v>0</v>
      </c>
    </row>
    <row r="228" spans="2:6" ht="14.25" customHeight="1">
      <c r="B228" s="108"/>
      <c r="C228" s="52"/>
      <c r="D228" s="77"/>
      <c r="E228" s="77"/>
      <c r="F228" s="77">
        <f t="shared" si="3"/>
        <v>0</v>
      </c>
    </row>
    <row r="229" spans="2:6" ht="14.25" customHeight="1">
      <c r="B229" s="108"/>
      <c r="C229" s="52"/>
      <c r="D229" s="77"/>
      <c r="E229" s="77"/>
      <c r="F229" s="77">
        <f t="shared" si="3"/>
        <v>0</v>
      </c>
    </row>
    <row r="230" spans="2:6" ht="14.25" customHeight="1">
      <c r="B230" s="108"/>
      <c r="C230" s="52"/>
      <c r="D230" s="77"/>
      <c r="E230" s="77"/>
      <c r="F230" s="77">
        <f t="shared" si="3"/>
        <v>0</v>
      </c>
    </row>
    <row r="231" spans="2:6" ht="14.25" customHeight="1">
      <c r="B231" s="108"/>
      <c r="C231" s="52"/>
      <c r="D231" s="77"/>
      <c r="E231" s="77"/>
      <c r="F231" s="77">
        <f t="shared" si="3"/>
        <v>0</v>
      </c>
    </row>
    <row r="232" spans="2:6" ht="14.25" customHeight="1">
      <c r="B232" s="108"/>
      <c r="C232" s="52"/>
      <c r="D232" s="77"/>
      <c r="E232" s="77"/>
      <c r="F232" s="77">
        <f t="shared" si="3"/>
        <v>0</v>
      </c>
    </row>
    <row r="233" spans="2:6" ht="14.25" customHeight="1">
      <c r="B233" s="108"/>
      <c r="C233" s="52"/>
      <c r="D233" s="77"/>
      <c r="E233" s="77"/>
      <c r="F233" s="77">
        <f t="shared" si="3"/>
        <v>0</v>
      </c>
    </row>
    <row r="234" spans="2:6" ht="14.25" customHeight="1">
      <c r="B234" s="108"/>
      <c r="C234" s="52"/>
      <c r="D234" s="77"/>
      <c r="E234" s="77"/>
      <c r="F234" s="77">
        <f t="shared" si="3"/>
        <v>0</v>
      </c>
    </row>
    <row r="235" spans="2:6" ht="14.25" customHeight="1">
      <c r="B235" s="108"/>
      <c r="C235" s="52"/>
      <c r="D235" s="77"/>
      <c r="E235" s="77"/>
      <c r="F235" s="77">
        <f t="shared" si="3"/>
        <v>0</v>
      </c>
    </row>
    <row r="236" spans="2:6" ht="14.25" customHeight="1">
      <c r="B236" s="108"/>
      <c r="C236" s="52"/>
      <c r="D236" s="77"/>
      <c r="E236" s="77"/>
      <c r="F236" s="77">
        <f t="shared" si="3"/>
        <v>0</v>
      </c>
    </row>
    <row r="237" spans="2:6" ht="14.25" customHeight="1">
      <c r="B237" s="108"/>
      <c r="C237" s="52"/>
      <c r="D237" s="77"/>
      <c r="E237" s="77"/>
      <c r="F237" s="77">
        <f t="shared" si="3"/>
        <v>0</v>
      </c>
    </row>
    <row r="238" spans="2:6" ht="14.25" customHeight="1">
      <c r="B238" s="108"/>
      <c r="C238" s="52"/>
      <c r="D238" s="77"/>
      <c r="E238" s="77"/>
      <c r="F238" s="77">
        <f t="shared" si="3"/>
        <v>0</v>
      </c>
    </row>
    <row r="239" spans="2:6" ht="14.25" customHeight="1">
      <c r="B239" s="108"/>
      <c r="C239" s="52"/>
      <c r="D239" s="77"/>
      <c r="E239" s="77"/>
      <c r="F239" s="77">
        <f t="shared" si="3"/>
        <v>0</v>
      </c>
    </row>
    <row r="240" spans="2:6" ht="14.25" customHeight="1">
      <c r="B240" s="108"/>
      <c r="C240" s="52"/>
      <c r="D240" s="77"/>
      <c r="E240" s="77"/>
      <c r="F240" s="77">
        <f t="shared" si="3"/>
        <v>0</v>
      </c>
    </row>
    <row r="241" spans="2:6" ht="14.25" customHeight="1">
      <c r="B241" s="108"/>
      <c r="C241" s="52"/>
      <c r="D241" s="77"/>
      <c r="E241" s="77"/>
      <c r="F241" s="77">
        <f t="shared" si="3"/>
        <v>0</v>
      </c>
    </row>
    <row r="242" spans="2:6" ht="14.25" customHeight="1">
      <c r="B242" s="108"/>
      <c r="C242" s="52"/>
      <c r="D242" s="77"/>
      <c r="E242" s="77"/>
      <c r="F242" s="77">
        <f t="shared" si="3"/>
        <v>0</v>
      </c>
    </row>
    <row r="243" spans="2:6" ht="14.25" customHeight="1">
      <c r="B243" s="108"/>
      <c r="C243" s="52"/>
      <c r="D243" s="77"/>
      <c r="E243" s="77"/>
      <c r="F243" s="77">
        <f t="shared" si="3"/>
        <v>0</v>
      </c>
    </row>
    <row r="244" spans="2:6" ht="14.25" customHeight="1">
      <c r="B244" s="108"/>
      <c r="C244" s="52"/>
      <c r="D244" s="77"/>
      <c r="E244" s="77"/>
      <c r="F244" s="77">
        <f t="shared" si="3"/>
        <v>0</v>
      </c>
    </row>
    <row r="245" spans="2:6" ht="14.25" customHeight="1">
      <c r="B245" s="108"/>
      <c r="C245" s="52"/>
      <c r="D245" s="77"/>
      <c r="E245" s="77"/>
      <c r="F245" s="77">
        <f t="shared" si="3"/>
        <v>0</v>
      </c>
    </row>
    <row r="246" spans="2:6" ht="14.25" customHeight="1">
      <c r="B246" s="108"/>
      <c r="C246" s="52"/>
      <c r="D246" s="77"/>
      <c r="E246" s="77"/>
      <c r="F246" s="77">
        <f t="shared" si="3"/>
        <v>0</v>
      </c>
    </row>
    <row r="247" spans="2:6" ht="14.25" customHeight="1">
      <c r="B247" s="108"/>
      <c r="C247" s="52"/>
      <c r="D247" s="77"/>
      <c r="E247" s="77"/>
      <c r="F247" s="77">
        <f t="shared" si="3"/>
        <v>0</v>
      </c>
    </row>
    <row r="248" spans="2:6" ht="14.25" customHeight="1">
      <c r="B248" s="108"/>
      <c r="C248" s="52"/>
      <c r="D248" s="77"/>
      <c r="E248" s="77"/>
      <c r="F248" s="77">
        <f t="shared" si="3"/>
        <v>0</v>
      </c>
    </row>
    <row r="249" spans="2:6" ht="14.25" customHeight="1">
      <c r="B249" s="108"/>
      <c r="C249" s="52"/>
      <c r="D249" s="77"/>
      <c r="E249" s="77"/>
      <c r="F249" s="77">
        <f t="shared" si="3"/>
        <v>0</v>
      </c>
    </row>
    <row r="250" spans="2:6" ht="14.25" customHeight="1">
      <c r="B250" s="108"/>
      <c r="C250" s="52"/>
      <c r="D250" s="77"/>
      <c r="E250" s="77"/>
      <c r="F250" s="77">
        <f t="shared" si="3"/>
        <v>0</v>
      </c>
    </row>
    <row r="251" spans="2:6" ht="14.25" customHeight="1">
      <c r="B251" s="108"/>
      <c r="C251" s="52"/>
      <c r="D251" s="77"/>
      <c r="E251" s="77"/>
      <c r="F251" s="77">
        <f t="shared" si="3"/>
        <v>0</v>
      </c>
    </row>
    <row r="252" spans="2:6" ht="14.25" customHeight="1">
      <c r="B252" s="108"/>
      <c r="C252" s="52"/>
      <c r="D252" s="77"/>
      <c r="E252" s="77"/>
      <c r="F252" s="77">
        <f t="shared" si="3"/>
        <v>0</v>
      </c>
    </row>
    <row r="253" spans="2:6" ht="14.25" customHeight="1">
      <c r="B253" s="108"/>
      <c r="C253" s="52"/>
      <c r="D253" s="77"/>
      <c r="E253" s="77"/>
      <c r="F253" s="77">
        <f t="shared" si="3"/>
        <v>0</v>
      </c>
    </row>
    <row r="254" spans="2:6" ht="14.25" customHeight="1">
      <c r="B254" s="108"/>
      <c r="C254" s="52"/>
      <c r="D254" s="77"/>
      <c r="E254" s="77"/>
      <c r="F254" s="77">
        <f t="shared" si="3"/>
        <v>0</v>
      </c>
    </row>
    <row r="255" spans="2:6" ht="14.25" customHeight="1">
      <c r="B255" s="108"/>
      <c r="C255" s="52"/>
      <c r="D255" s="77"/>
      <c r="E255" s="77"/>
      <c r="F255" s="77">
        <f t="shared" si="3"/>
        <v>0</v>
      </c>
    </row>
    <row r="256" spans="2:6" ht="14.25" customHeight="1">
      <c r="B256" s="108"/>
      <c r="C256" s="52"/>
      <c r="D256" s="77"/>
      <c r="E256" s="77"/>
      <c r="F256" s="77">
        <f t="shared" si="3"/>
        <v>0</v>
      </c>
    </row>
    <row r="257" spans="2:6" ht="14.25" customHeight="1">
      <c r="B257" s="108"/>
      <c r="C257" s="52"/>
      <c r="D257" s="77"/>
      <c r="E257" s="77"/>
      <c r="F257" s="77">
        <f t="shared" si="3"/>
        <v>0</v>
      </c>
    </row>
    <row r="258" spans="2:6" ht="14.25" customHeight="1">
      <c r="B258" s="108"/>
      <c r="C258" s="52"/>
      <c r="D258" s="77"/>
      <c r="E258" s="77"/>
      <c r="F258" s="77">
        <f t="shared" si="3"/>
        <v>0</v>
      </c>
    </row>
    <row r="259" spans="2:6" ht="14.25" customHeight="1">
      <c r="B259" s="108"/>
      <c r="C259" s="52"/>
      <c r="D259" s="77"/>
      <c r="E259" s="77"/>
      <c r="F259" s="77">
        <f t="shared" si="3"/>
        <v>0</v>
      </c>
    </row>
    <row r="260" spans="2:6" ht="14.25" customHeight="1">
      <c r="B260" s="108"/>
      <c r="C260" s="52"/>
      <c r="D260" s="77"/>
      <c r="E260" s="77"/>
      <c r="F260" s="77">
        <f t="shared" si="3"/>
        <v>0</v>
      </c>
    </row>
    <row r="261" spans="2:6" ht="14.25" customHeight="1">
      <c r="B261" s="108"/>
      <c r="C261" s="52"/>
      <c r="D261" s="77"/>
      <c r="E261" s="77"/>
      <c r="F261" s="77">
        <f t="shared" si="3"/>
        <v>0</v>
      </c>
    </row>
    <row r="262" spans="2:6" ht="14.25" customHeight="1">
      <c r="B262" s="108"/>
      <c r="C262" s="52"/>
      <c r="D262" s="77"/>
      <c r="E262" s="77"/>
      <c r="F262" s="77">
        <f t="shared" si="3"/>
        <v>0</v>
      </c>
    </row>
    <row r="263" spans="2:6" ht="14.25" customHeight="1">
      <c r="B263" s="108"/>
      <c r="C263" s="52"/>
      <c r="D263" s="77"/>
      <c r="E263" s="77"/>
      <c r="F263" s="77">
        <f t="shared" si="3"/>
        <v>0</v>
      </c>
    </row>
    <row r="264" spans="2:6" ht="14.25" customHeight="1">
      <c r="B264" s="108"/>
      <c r="C264" s="52"/>
      <c r="D264" s="77"/>
      <c r="E264" s="77"/>
      <c r="F264" s="77">
        <f t="shared" si="3"/>
        <v>0</v>
      </c>
    </row>
    <row r="265" spans="2:6" ht="14.25" customHeight="1">
      <c r="B265" s="108"/>
      <c r="C265" s="52"/>
      <c r="D265" s="77"/>
      <c r="E265" s="77"/>
      <c r="F265" s="77">
        <f t="shared" si="3"/>
        <v>0</v>
      </c>
    </row>
    <row r="266" spans="2:6" ht="14.25" customHeight="1">
      <c r="B266" s="108"/>
      <c r="C266" s="52"/>
      <c r="D266" s="77"/>
      <c r="E266" s="77"/>
      <c r="F266" s="77">
        <f t="shared" si="3"/>
        <v>0</v>
      </c>
    </row>
    <row r="267" spans="2:6" ht="14.25" customHeight="1">
      <c r="B267" s="108"/>
      <c r="C267" s="52"/>
      <c r="D267" s="77"/>
      <c r="E267" s="77"/>
      <c r="F267" s="77">
        <f t="shared" si="3"/>
        <v>0</v>
      </c>
    </row>
    <row r="268" spans="2:6" ht="14.25" customHeight="1">
      <c r="B268" s="108"/>
      <c r="C268" s="52"/>
      <c r="D268" s="77"/>
      <c r="E268" s="77"/>
      <c r="F268" s="77">
        <f t="shared" si="3"/>
        <v>0</v>
      </c>
    </row>
    <row r="269" spans="2:6" ht="14.25" customHeight="1">
      <c r="B269" s="108"/>
      <c r="C269" s="52"/>
      <c r="D269" s="77"/>
      <c r="E269" s="77"/>
      <c r="F269" s="77">
        <f t="shared" si="3"/>
        <v>0</v>
      </c>
    </row>
    <row r="270" spans="2:6" ht="14.25" customHeight="1">
      <c r="B270" s="108"/>
      <c r="C270" s="52"/>
      <c r="D270" s="77"/>
      <c r="E270" s="77"/>
      <c r="F270" s="77">
        <f t="shared" si="3"/>
        <v>0</v>
      </c>
    </row>
    <row r="271" spans="2:6" ht="14.25" customHeight="1">
      <c r="B271" s="108"/>
      <c r="C271" s="52"/>
      <c r="D271" s="77"/>
      <c r="E271" s="77"/>
      <c r="F271" s="77">
        <f t="shared" si="3"/>
        <v>0</v>
      </c>
    </row>
    <row r="272" spans="2:6" ht="14.25" customHeight="1">
      <c r="B272" s="108"/>
      <c r="C272" s="52"/>
      <c r="D272" s="77"/>
      <c r="E272" s="77"/>
      <c r="F272" s="77">
        <f t="shared" si="3"/>
        <v>0</v>
      </c>
    </row>
    <row r="273" spans="2:6" ht="14.25" customHeight="1">
      <c r="B273" s="108"/>
      <c r="C273" s="52"/>
      <c r="D273" s="77"/>
      <c r="E273" s="77"/>
      <c r="F273" s="77">
        <f t="shared" si="3"/>
        <v>0</v>
      </c>
    </row>
    <row r="274" spans="2:6" ht="14.25" customHeight="1">
      <c r="B274" s="108"/>
      <c r="C274" s="52"/>
      <c r="D274" s="77"/>
      <c r="E274" s="77"/>
      <c r="F274" s="77">
        <f t="shared" si="3"/>
        <v>0</v>
      </c>
    </row>
    <row r="275" spans="2:6" ht="14.25" customHeight="1">
      <c r="B275" s="108"/>
      <c r="C275" s="52"/>
      <c r="D275" s="77"/>
      <c r="E275" s="77"/>
      <c r="F275" s="77">
        <f t="shared" si="3"/>
        <v>0</v>
      </c>
    </row>
    <row r="276" spans="2:6" ht="14.25" customHeight="1">
      <c r="B276" s="108"/>
      <c r="C276" s="52"/>
      <c r="D276" s="77"/>
      <c r="E276" s="77"/>
      <c r="F276" s="77">
        <f t="shared" si="3"/>
        <v>0</v>
      </c>
    </row>
    <row r="277" spans="2:6" ht="14.25" customHeight="1">
      <c r="B277" s="108"/>
      <c r="C277" s="52"/>
      <c r="D277" s="77"/>
      <c r="E277" s="77"/>
      <c r="F277" s="77">
        <f t="shared" si="3"/>
        <v>0</v>
      </c>
    </row>
    <row r="278" spans="2:6" ht="14.25" customHeight="1">
      <c r="B278" s="108"/>
      <c r="C278" s="52"/>
      <c r="D278" s="77"/>
      <c r="E278" s="77"/>
      <c r="F278" s="77">
        <f t="shared" si="3"/>
        <v>0</v>
      </c>
    </row>
    <row r="279" spans="2:6" ht="14.25" customHeight="1">
      <c r="B279" s="108"/>
      <c r="C279" s="52"/>
      <c r="D279" s="77"/>
      <c r="E279" s="77"/>
      <c r="F279" s="77">
        <f t="shared" si="3"/>
        <v>0</v>
      </c>
    </row>
    <row r="280" spans="2:6" ht="14.25" customHeight="1">
      <c r="B280" s="108"/>
      <c r="C280" s="52"/>
      <c r="D280" s="77"/>
      <c r="E280" s="77"/>
      <c r="F280" s="77">
        <f t="shared" si="3"/>
        <v>0</v>
      </c>
    </row>
    <row r="281" spans="2:6" ht="14.25" customHeight="1">
      <c r="B281" s="108"/>
      <c r="C281" s="52"/>
      <c r="D281" s="77"/>
      <c r="E281" s="77"/>
      <c r="F281" s="77">
        <f t="shared" si="3"/>
        <v>0</v>
      </c>
    </row>
    <row r="282" spans="2:6" ht="14.25" customHeight="1">
      <c r="B282" s="108"/>
      <c r="C282" s="52"/>
      <c r="D282" s="77"/>
      <c r="E282" s="77"/>
      <c r="F282" s="77">
        <f t="shared" si="3"/>
        <v>0</v>
      </c>
    </row>
    <row r="283" spans="2:6" ht="14.25" customHeight="1">
      <c r="B283" s="108"/>
      <c r="C283" s="52"/>
      <c r="D283" s="77"/>
      <c r="E283" s="77"/>
      <c r="F283" s="77">
        <f t="shared" si="3"/>
        <v>0</v>
      </c>
    </row>
    <row r="284" spans="2:6" ht="14.25" customHeight="1">
      <c r="B284" s="108"/>
      <c r="C284" s="52"/>
      <c r="D284" s="77"/>
      <c r="E284" s="77"/>
      <c r="F284" s="77">
        <f t="shared" si="3"/>
        <v>0</v>
      </c>
    </row>
    <row r="285" spans="2:6" ht="14.25" customHeight="1">
      <c r="B285" s="108"/>
      <c r="C285" s="52"/>
      <c r="D285" s="77"/>
      <c r="E285" s="77"/>
      <c r="F285" s="77">
        <f t="shared" si="3"/>
        <v>0</v>
      </c>
    </row>
    <row r="286" spans="2:6" ht="14.25" customHeight="1">
      <c r="B286" s="108"/>
      <c r="C286" s="52"/>
      <c r="D286" s="77"/>
      <c r="E286" s="77"/>
      <c r="F286" s="77">
        <f t="shared" si="3"/>
        <v>0</v>
      </c>
    </row>
    <row r="287" spans="2:6" ht="14.25" customHeight="1">
      <c r="B287" s="108"/>
      <c r="C287" s="52"/>
      <c r="D287" s="77"/>
      <c r="E287" s="77"/>
      <c r="F287" s="77">
        <f t="shared" si="3"/>
        <v>0</v>
      </c>
    </row>
    <row r="288" spans="2:6" ht="14.25" customHeight="1">
      <c r="B288" s="108"/>
      <c r="C288" s="52"/>
      <c r="D288" s="77"/>
      <c r="E288" s="77"/>
      <c r="F288" s="77">
        <f t="shared" si="3"/>
        <v>0</v>
      </c>
    </row>
    <row r="289" spans="2:6" ht="14.25" customHeight="1">
      <c r="B289" s="108"/>
      <c r="C289" s="52"/>
      <c r="D289" s="77"/>
      <c r="E289" s="77"/>
      <c r="F289" s="77">
        <f t="shared" si="3"/>
        <v>0</v>
      </c>
    </row>
    <row r="290" spans="2:6" ht="14.25" customHeight="1">
      <c r="B290" s="108"/>
      <c r="C290" s="52"/>
      <c r="D290" s="77"/>
      <c r="E290" s="77"/>
      <c r="F290" s="77">
        <f t="shared" si="3"/>
        <v>0</v>
      </c>
    </row>
    <row r="291" spans="2:6" ht="14.25" customHeight="1">
      <c r="B291" s="108"/>
      <c r="C291" s="52"/>
      <c r="D291" s="77"/>
      <c r="E291" s="77"/>
      <c r="F291" s="77">
        <f t="shared" si="3"/>
        <v>0</v>
      </c>
    </row>
    <row r="292" spans="2:6" ht="14.25" customHeight="1">
      <c r="B292" s="108"/>
      <c r="C292" s="52"/>
      <c r="D292" s="77"/>
      <c r="E292" s="77"/>
      <c r="F292" s="77">
        <f t="shared" si="3"/>
        <v>0</v>
      </c>
    </row>
    <row r="293" spans="2:6" ht="14.25" customHeight="1">
      <c r="B293" s="108"/>
      <c r="C293" s="52"/>
      <c r="D293" s="77"/>
      <c r="E293" s="77"/>
      <c r="F293" s="77">
        <f t="shared" si="3"/>
        <v>0</v>
      </c>
    </row>
    <row r="294" spans="2:6" ht="14.25" customHeight="1">
      <c r="B294" s="108"/>
      <c r="C294" s="52"/>
      <c r="D294" s="77"/>
      <c r="E294" s="77"/>
      <c r="F294" s="77">
        <f t="shared" si="3"/>
        <v>0</v>
      </c>
    </row>
    <row r="295" spans="2:6" ht="14.25" customHeight="1">
      <c r="B295" s="108"/>
      <c r="C295" s="52"/>
      <c r="D295" s="77"/>
      <c r="E295" s="77"/>
      <c r="F295" s="77">
        <f t="shared" si="3"/>
        <v>0</v>
      </c>
    </row>
    <row r="296" spans="2:6" ht="14.25" customHeight="1">
      <c r="B296" s="108"/>
      <c r="C296" s="52"/>
      <c r="D296" s="77"/>
      <c r="E296" s="77"/>
      <c r="F296" s="77">
        <f t="shared" si="3"/>
        <v>0</v>
      </c>
    </row>
    <row r="297" spans="2:6" ht="14.25" customHeight="1">
      <c r="B297" s="108"/>
      <c r="C297" s="52"/>
      <c r="D297" s="77"/>
      <c r="E297" s="77"/>
      <c r="F297" s="77">
        <f t="shared" si="3"/>
        <v>0</v>
      </c>
    </row>
    <row r="298" spans="2:6" ht="14.25" customHeight="1">
      <c r="B298" s="108"/>
      <c r="C298" s="52"/>
      <c r="D298" s="77"/>
      <c r="E298" s="77"/>
      <c r="F298" s="77">
        <f t="shared" si="3"/>
        <v>0</v>
      </c>
    </row>
    <row r="299" spans="2:6" ht="14.25" customHeight="1">
      <c r="B299" s="108"/>
      <c r="C299" s="52"/>
      <c r="D299" s="77"/>
      <c r="E299" s="77"/>
      <c r="F299" s="77">
        <f t="shared" si="3"/>
        <v>0</v>
      </c>
    </row>
    <row r="300" spans="2:6" ht="14.25" customHeight="1">
      <c r="B300" s="108"/>
      <c r="C300" s="52"/>
      <c r="D300" s="77"/>
      <c r="E300" s="77"/>
      <c r="F300" s="77">
        <f t="shared" si="3"/>
        <v>0</v>
      </c>
    </row>
    <row r="301" spans="2:6" ht="14.25" customHeight="1">
      <c r="B301" s="108"/>
      <c r="C301" s="52"/>
      <c r="D301" s="77"/>
      <c r="E301" s="77"/>
      <c r="F301" s="77">
        <f t="shared" si="3"/>
        <v>0</v>
      </c>
    </row>
    <row r="302" spans="2:6" ht="14.25" customHeight="1">
      <c r="B302" s="108"/>
      <c r="C302" s="52"/>
      <c r="D302" s="77"/>
      <c r="E302" s="77"/>
      <c r="F302" s="77">
        <f t="shared" si="3"/>
        <v>0</v>
      </c>
    </row>
    <row r="303" spans="2:6" ht="14.25" customHeight="1">
      <c r="B303" s="108"/>
      <c r="C303" s="52"/>
      <c r="D303" s="77"/>
      <c r="E303" s="77"/>
      <c r="F303" s="77">
        <f t="shared" si="3"/>
        <v>0</v>
      </c>
    </row>
    <row r="304" spans="2:6" ht="14.25" customHeight="1">
      <c r="B304" s="108"/>
      <c r="C304" s="52"/>
      <c r="D304" s="77"/>
      <c r="E304" s="77"/>
      <c r="F304" s="77">
        <f t="shared" si="3"/>
        <v>0</v>
      </c>
    </row>
    <row r="305" spans="2:6" ht="14.25" customHeight="1">
      <c r="B305" s="108"/>
      <c r="C305" s="52"/>
      <c r="D305" s="77"/>
      <c r="E305" s="77"/>
      <c r="F305" s="77">
        <f t="shared" si="3"/>
        <v>0</v>
      </c>
    </row>
    <row r="306" spans="2:6" ht="14.25" customHeight="1">
      <c r="B306" s="108"/>
      <c r="C306" s="52"/>
      <c r="D306" s="77"/>
      <c r="E306" s="77"/>
      <c r="F306" s="77">
        <f t="shared" si="3"/>
        <v>0</v>
      </c>
    </row>
    <row r="307" spans="2:6" ht="14.25" customHeight="1">
      <c r="B307" s="108"/>
      <c r="C307" s="52"/>
      <c r="D307" s="77"/>
      <c r="E307" s="77"/>
      <c r="F307" s="77">
        <f t="shared" si="3"/>
        <v>0</v>
      </c>
    </row>
    <row r="308" spans="2:6" ht="14.25" customHeight="1">
      <c r="B308" s="108"/>
      <c r="C308" s="52"/>
      <c r="D308" s="77"/>
      <c r="E308" s="77"/>
      <c r="F308" s="77">
        <f t="shared" si="3"/>
        <v>0</v>
      </c>
    </row>
    <row r="309" spans="2:6" ht="14.25" customHeight="1">
      <c r="B309" s="108"/>
      <c r="C309" s="52"/>
      <c r="D309" s="77"/>
      <c r="E309" s="77"/>
      <c r="F309" s="77">
        <f t="shared" si="3"/>
        <v>0</v>
      </c>
    </row>
    <row r="310" spans="2:6" ht="14.25" customHeight="1">
      <c r="B310" s="108"/>
      <c r="C310" s="52"/>
      <c r="D310" s="77"/>
      <c r="E310" s="77"/>
      <c r="F310" s="77">
        <f t="shared" si="3"/>
        <v>0</v>
      </c>
    </row>
    <row r="311" spans="2:6" ht="14.25" customHeight="1">
      <c r="B311" s="108"/>
      <c r="C311" s="52"/>
      <c r="D311" s="77"/>
      <c r="E311" s="77"/>
      <c r="F311" s="77">
        <f t="shared" si="3"/>
        <v>0</v>
      </c>
    </row>
    <row r="312" spans="2:6" ht="14.25" customHeight="1">
      <c r="B312" s="108"/>
      <c r="C312" s="52"/>
      <c r="D312" s="77"/>
      <c r="E312" s="77"/>
      <c r="F312" s="77">
        <f t="shared" si="3"/>
        <v>0</v>
      </c>
    </row>
    <row r="313" spans="2:6" ht="14.25" customHeight="1">
      <c r="B313" s="108"/>
      <c r="C313" s="52"/>
      <c r="D313" s="77"/>
      <c r="E313" s="77"/>
      <c r="F313" s="77">
        <f t="shared" si="3"/>
        <v>0</v>
      </c>
    </row>
    <row r="314" spans="2:6" ht="14.25" customHeight="1">
      <c r="B314" s="108"/>
      <c r="C314" s="52"/>
      <c r="D314" s="77"/>
      <c r="E314" s="77"/>
      <c r="F314" s="77">
        <f t="shared" si="3"/>
        <v>0</v>
      </c>
    </row>
    <row r="315" spans="2:6" ht="14.25" customHeight="1">
      <c r="B315" s="108"/>
      <c r="C315" s="52"/>
      <c r="D315" s="77"/>
      <c r="E315" s="77"/>
      <c r="F315" s="77">
        <f t="shared" si="3"/>
        <v>0</v>
      </c>
    </row>
    <row r="316" spans="2:6" ht="14.25" customHeight="1">
      <c r="B316" s="108"/>
      <c r="C316" s="52"/>
      <c r="D316" s="77"/>
      <c r="E316" s="77"/>
      <c r="F316" s="77">
        <f t="shared" si="3"/>
        <v>0</v>
      </c>
    </row>
    <row r="317" spans="2:6" ht="14.25" customHeight="1">
      <c r="B317" s="108"/>
      <c r="C317" s="52"/>
      <c r="D317" s="77"/>
      <c r="E317" s="77"/>
      <c r="F317" s="77">
        <f t="shared" si="3"/>
        <v>0</v>
      </c>
    </row>
    <row r="318" spans="2:6" ht="14.25" customHeight="1">
      <c r="B318" s="108"/>
      <c r="C318" s="52"/>
      <c r="D318" s="77"/>
      <c r="E318" s="77"/>
      <c r="F318" s="77">
        <f t="shared" si="3"/>
        <v>0</v>
      </c>
    </row>
    <row r="319" spans="2:6" ht="14.25" customHeight="1">
      <c r="B319" s="108"/>
      <c r="C319" s="52"/>
      <c r="D319" s="77"/>
      <c r="E319" s="77"/>
      <c r="F319" s="77">
        <f t="shared" si="3"/>
        <v>0</v>
      </c>
    </row>
    <row r="320" spans="2:6" ht="14.25" customHeight="1">
      <c r="B320" s="108"/>
      <c r="C320" s="52"/>
      <c r="D320" s="77"/>
      <c r="E320" s="77"/>
      <c r="F320" s="77">
        <f t="shared" si="3"/>
        <v>0</v>
      </c>
    </row>
    <row r="321" spans="2:6" ht="14.25" customHeight="1">
      <c r="B321" s="108"/>
      <c r="C321" s="52"/>
      <c r="D321" s="77"/>
      <c r="E321" s="77"/>
      <c r="F321" s="77">
        <f t="shared" si="3"/>
        <v>0</v>
      </c>
    </row>
    <row r="322" spans="2:6" ht="14.25" customHeight="1">
      <c r="B322" s="108"/>
      <c r="C322" s="52"/>
      <c r="D322" s="77"/>
      <c r="E322" s="77"/>
      <c r="F322" s="77">
        <f t="shared" si="3"/>
        <v>0</v>
      </c>
    </row>
    <row r="323" spans="2:6" ht="14.25" customHeight="1">
      <c r="B323" s="108"/>
      <c r="C323" s="52"/>
      <c r="D323" s="77"/>
      <c r="E323" s="77"/>
      <c r="F323" s="77">
        <f t="shared" si="3"/>
        <v>0</v>
      </c>
    </row>
    <row r="324" spans="2:6" ht="14.25" customHeight="1">
      <c r="B324" s="108"/>
      <c r="C324" s="52"/>
      <c r="D324" s="77"/>
      <c r="E324" s="77"/>
      <c r="F324" s="77">
        <f t="shared" si="3"/>
        <v>0</v>
      </c>
    </row>
    <row r="325" spans="2:6" ht="14.25" customHeight="1">
      <c r="B325" s="108"/>
      <c r="C325" s="52"/>
      <c r="D325" s="77"/>
      <c r="E325" s="77"/>
      <c r="F325" s="77">
        <f t="shared" si="3"/>
        <v>0</v>
      </c>
    </row>
    <row r="326" spans="2:6" ht="14.25" customHeight="1">
      <c r="B326" s="108"/>
      <c r="C326" s="52"/>
      <c r="D326" s="77"/>
      <c r="E326" s="77"/>
      <c r="F326" s="77">
        <f t="shared" si="3"/>
        <v>0</v>
      </c>
    </row>
    <row r="327" spans="2:6" ht="14.25" customHeight="1">
      <c r="B327" s="108"/>
      <c r="C327" s="52"/>
      <c r="D327" s="77"/>
      <c r="E327" s="77"/>
      <c r="F327" s="77">
        <f t="shared" si="3"/>
        <v>0</v>
      </c>
    </row>
    <row r="328" spans="2:6" ht="14.25" customHeight="1">
      <c r="B328" s="108"/>
      <c r="C328" s="52"/>
      <c r="D328" s="77"/>
      <c r="E328" s="77"/>
      <c r="F328" s="77">
        <f t="shared" si="3"/>
        <v>0</v>
      </c>
    </row>
    <row r="329" spans="2:6" ht="14.25" customHeight="1">
      <c r="B329" s="108"/>
      <c r="C329" s="52"/>
      <c r="D329" s="77"/>
      <c r="E329" s="77"/>
      <c r="F329" s="77">
        <f t="shared" si="3"/>
        <v>0</v>
      </c>
    </row>
    <row r="330" spans="2:6" ht="14.25" customHeight="1">
      <c r="B330" s="108"/>
      <c r="C330" s="52"/>
      <c r="D330" s="77"/>
      <c r="E330" s="77"/>
      <c r="F330" s="77">
        <f t="shared" si="3"/>
        <v>0</v>
      </c>
    </row>
    <row r="331" spans="2:6" ht="14.25" customHeight="1">
      <c r="B331" s="108"/>
      <c r="C331" s="52"/>
      <c r="D331" s="77"/>
      <c r="E331" s="77"/>
      <c r="F331" s="77">
        <f t="shared" si="3"/>
        <v>0</v>
      </c>
    </row>
    <row r="332" spans="2:6" ht="14.25" customHeight="1">
      <c r="B332" s="108"/>
      <c r="C332" s="52"/>
      <c r="D332" s="77"/>
      <c r="E332" s="77"/>
      <c r="F332" s="77">
        <f t="shared" si="3"/>
        <v>0</v>
      </c>
    </row>
    <row r="333" spans="2:6" ht="14.25" customHeight="1">
      <c r="B333" s="108"/>
      <c r="C333" s="52"/>
      <c r="D333" s="77"/>
      <c r="E333" s="77"/>
      <c r="F333" s="77">
        <f t="shared" si="3"/>
        <v>0</v>
      </c>
    </row>
    <row r="334" spans="2:6" ht="14.25" customHeight="1">
      <c r="B334" s="108"/>
      <c r="C334" s="52"/>
      <c r="D334" s="77"/>
      <c r="E334" s="77"/>
      <c r="F334" s="77">
        <f t="shared" si="3"/>
        <v>0</v>
      </c>
    </row>
    <row r="335" spans="2:6" ht="14.25" customHeight="1">
      <c r="B335" s="108"/>
      <c r="C335" s="52"/>
      <c r="D335" s="77"/>
      <c r="E335" s="77"/>
      <c r="F335" s="77">
        <f t="shared" si="3"/>
        <v>0</v>
      </c>
    </row>
    <row r="336" spans="2:6" ht="14.25" customHeight="1">
      <c r="B336" s="108"/>
      <c r="C336" s="52"/>
      <c r="D336" s="77"/>
      <c r="E336" s="77"/>
      <c r="F336" s="77">
        <f t="shared" si="3"/>
        <v>0</v>
      </c>
    </row>
    <row r="337" spans="2:6" ht="14.25" customHeight="1">
      <c r="B337" s="108"/>
      <c r="C337" s="52"/>
      <c r="D337" s="77"/>
      <c r="E337" s="77"/>
      <c r="F337" s="77">
        <f t="shared" si="3"/>
        <v>0</v>
      </c>
    </row>
    <row r="338" spans="2:6" ht="14.25" customHeight="1">
      <c r="B338" s="108"/>
      <c r="C338" s="52"/>
      <c r="D338" s="77"/>
      <c r="E338" s="77"/>
      <c r="F338" s="77">
        <f t="shared" si="3"/>
        <v>0</v>
      </c>
    </row>
    <row r="339" spans="2:6" ht="14.25" customHeight="1">
      <c r="C339" s="52"/>
      <c r="D339" s="77"/>
      <c r="E339" s="77"/>
      <c r="F339" s="77">
        <f t="shared" si="3"/>
        <v>0</v>
      </c>
    </row>
    <row r="340" spans="2:6" ht="14.25" customHeight="1">
      <c r="C340" s="52"/>
      <c r="D340" s="77"/>
      <c r="E340" s="77"/>
      <c r="F340" s="77">
        <f t="shared" si="3"/>
        <v>0</v>
      </c>
    </row>
    <row r="341" spans="2:6" ht="14.25" customHeight="1">
      <c r="C341" s="52"/>
      <c r="D341" s="77"/>
      <c r="E341" s="77"/>
      <c r="F341" s="77">
        <f t="shared" si="3"/>
        <v>0</v>
      </c>
    </row>
    <row r="342" spans="2:6" ht="14.25" customHeight="1">
      <c r="C342" s="52"/>
      <c r="D342" s="77"/>
      <c r="E342" s="77"/>
      <c r="F342" s="77">
        <f t="shared" si="3"/>
        <v>0</v>
      </c>
    </row>
    <row r="343" spans="2:6" ht="14.25" customHeight="1">
      <c r="C343" s="52"/>
      <c r="D343" s="77"/>
      <c r="E343" s="77"/>
      <c r="F343" s="77">
        <f t="shared" si="3"/>
        <v>0</v>
      </c>
    </row>
    <row r="344" spans="2:6" ht="14.25" customHeight="1">
      <c r="C344" s="52"/>
      <c r="D344" s="77"/>
      <c r="E344" s="77"/>
      <c r="F344" s="77">
        <f t="shared" si="3"/>
        <v>0</v>
      </c>
    </row>
    <row r="345" spans="2:6" ht="14.25" customHeight="1">
      <c r="C345" s="52"/>
      <c r="D345" s="77"/>
      <c r="E345" s="77"/>
      <c r="F345" s="77">
        <f t="shared" si="3"/>
        <v>0</v>
      </c>
    </row>
    <row r="346" spans="2:6" ht="14.25" customHeight="1">
      <c r="C346" s="52"/>
      <c r="D346" s="77"/>
      <c r="E346" s="77"/>
      <c r="F346" s="77">
        <f t="shared" si="3"/>
        <v>0</v>
      </c>
    </row>
    <row r="347" spans="2:6" ht="14.25" customHeight="1">
      <c r="C347" s="52"/>
      <c r="D347" s="77"/>
      <c r="E347" s="77"/>
      <c r="F347" s="77">
        <f t="shared" si="3"/>
        <v>0</v>
      </c>
    </row>
    <row r="348" spans="2:6" ht="14.25" customHeight="1">
      <c r="C348" s="52"/>
      <c r="D348" s="77"/>
      <c r="E348" s="77"/>
      <c r="F348" s="77">
        <f t="shared" si="3"/>
        <v>0</v>
      </c>
    </row>
    <row r="349" spans="2:6" ht="14.25" customHeight="1">
      <c r="C349" s="52"/>
      <c r="D349" s="77"/>
      <c r="E349" s="77"/>
      <c r="F349" s="77">
        <f t="shared" si="3"/>
        <v>0</v>
      </c>
    </row>
    <row r="350" spans="2:6" ht="14.25" customHeight="1">
      <c r="C350" s="52"/>
      <c r="D350" s="77"/>
      <c r="E350" s="77"/>
      <c r="F350" s="77">
        <f t="shared" si="3"/>
        <v>0</v>
      </c>
    </row>
    <row r="351" spans="2:6" ht="14.25" customHeight="1">
      <c r="C351" s="52"/>
      <c r="D351" s="77"/>
      <c r="E351" s="77"/>
      <c r="F351" s="77">
        <f t="shared" si="3"/>
        <v>0</v>
      </c>
    </row>
    <row r="352" spans="2:6" ht="14.25" customHeight="1">
      <c r="C352" s="52"/>
      <c r="D352" s="77"/>
      <c r="E352" s="77"/>
      <c r="F352" s="77">
        <f t="shared" si="3"/>
        <v>0</v>
      </c>
    </row>
    <row r="353" spans="3:6" ht="14.25" customHeight="1">
      <c r="C353" s="52"/>
      <c r="D353" s="77"/>
      <c r="E353" s="77"/>
      <c r="F353" s="77">
        <f t="shared" si="3"/>
        <v>0</v>
      </c>
    </row>
    <row r="354" spans="3:6" ht="14.25" customHeight="1">
      <c r="C354" s="52"/>
      <c r="D354" s="77"/>
      <c r="E354" s="77"/>
      <c r="F354" s="77">
        <f t="shared" si="3"/>
        <v>0</v>
      </c>
    </row>
    <row r="355" spans="3:6" ht="14.25" customHeight="1">
      <c r="C355" s="52"/>
      <c r="D355" s="77"/>
      <c r="E355" s="77"/>
      <c r="F355" s="77">
        <f t="shared" si="3"/>
        <v>0</v>
      </c>
    </row>
    <row r="356" spans="3:6" ht="14.25" customHeight="1">
      <c r="C356" s="52"/>
      <c r="D356" s="77"/>
      <c r="E356" s="77"/>
      <c r="F356" s="77">
        <f t="shared" si="3"/>
        <v>0</v>
      </c>
    </row>
    <row r="357" spans="3:6" ht="14.25" customHeight="1">
      <c r="C357" s="52"/>
      <c r="D357" s="77"/>
      <c r="E357" s="77"/>
      <c r="F357" s="77">
        <f t="shared" si="3"/>
        <v>0</v>
      </c>
    </row>
    <row r="358" spans="3:6" ht="14.25" customHeight="1">
      <c r="C358" s="52"/>
      <c r="D358" s="77"/>
      <c r="E358" s="77"/>
      <c r="F358" s="77">
        <f t="shared" si="3"/>
        <v>0</v>
      </c>
    </row>
    <row r="359" spans="3:6" ht="14.25" customHeight="1">
      <c r="C359" s="52"/>
      <c r="D359" s="77"/>
      <c r="E359" s="77"/>
      <c r="F359" s="77">
        <f t="shared" si="3"/>
        <v>0</v>
      </c>
    </row>
    <row r="360" spans="3:6" ht="14.25" customHeight="1">
      <c r="C360" s="52"/>
      <c r="D360" s="77"/>
      <c r="E360" s="77"/>
      <c r="F360" s="77">
        <f t="shared" si="3"/>
        <v>0</v>
      </c>
    </row>
    <row r="361" spans="3:6" ht="14.25" customHeight="1">
      <c r="C361" s="52"/>
      <c r="D361" s="77"/>
      <c r="E361" s="77"/>
      <c r="F361" s="77">
        <f t="shared" si="3"/>
        <v>0</v>
      </c>
    </row>
    <row r="362" spans="3:6" ht="14.25" customHeight="1">
      <c r="C362" s="52"/>
      <c r="D362" s="77"/>
      <c r="E362" s="77"/>
      <c r="F362" s="77">
        <f t="shared" si="3"/>
        <v>0</v>
      </c>
    </row>
    <row r="363" spans="3:6" ht="14.25" customHeight="1">
      <c r="C363" s="52"/>
      <c r="D363" s="77"/>
      <c r="E363" s="77"/>
      <c r="F363" s="77">
        <f t="shared" si="3"/>
        <v>0</v>
      </c>
    </row>
  </sheetData>
  <mergeCells count="24">
    <mergeCell ref="T4:W4"/>
    <mergeCell ref="X4:AA4"/>
    <mergeCell ref="A1:F1"/>
    <mergeCell ref="A3:F3"/>
    <mergeCell ref="H4:K4"/>
    <mergeCell ref="L4:O4"/>
    <mergeCell ref="P4:S4"/>
    <mergeCell ref="AB4:AE4"/>
    <mergeCell ref="AF4:AI4"/>
    <mergeCell ref="AJ4:AM4"/>
    <mergeCell ref="AN4:AQ4"/>
    <mergeCell ref="AR4:AU4"/>
    <mergeCell ref="A133:E133"/>
    <mergeCell ref="AR85:AU85"/>
    <mergeCell ref="A84:F84"/>
    <mergeCell ref="H85:K85"/>
    <mergeCell ref="L85:O85"/>
    <mergeCell ref="P85:S85"/>
    <mergeCell ref="T85:W85"/>
    <mergeCell ref="X85:AA85"/>
    <mergeCell ref="AB85:AE85"/>
    <mergeCell ref="AF85:AI85"/>
    <mergeCell ref="AJ85:AM85"/>
    <mergeCell ref="AN85:AQ85"/>
  </mergeCells>
  <pageMargins left="0.7" right="0.7"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198"/>
  <sheetViews>
    <sheetView workbookViewId="0"/>
  </sheetViews>
  <sheetFormatPr baseColWidth="10" defaultColWidth="14.44140625" defaultRowHeight="15" customHeight="1"/>
  <cols>
    <col min="1" max="1" width="4.6640625" customWidth="1"/>
    <col min="2" max="2" width="39.6640625" customWidth="1"/>
    <col min="3" max="3" width="7.6640625" customWidth="1"/>
    <col min="4" max="4" width="9.6640625" customWidth="1"/>
    <col min="5" max="5" width="13.44140625" customWidth="1"/>
    <col min="6" max="6" width="15.44140625" customWidth="1"/>
    <col min="7" max="7" width="14.33203125" customWidth="1"/>
    <col min="8" max="8" width="14.6640625" customWidth="1"/>
    <col min="9" max="9" width="15.5546875" customWidth="1"/>
    <col min="10" max="10" width="14.44140625" customWidth="1"/>
    <col min="11" max="11" width="15.44140625" customWidth="1"/>
    <col min="12" max="12" width="11.44140625" customWidth="1"/>
    <col min="13" max="13" width="14.6640625" customWidth="1"/>
    <col min="14" max="26" width="11.44140625" customWidth="1"/>
  </cols>
  <sheetData>
    <row r="1" spans="1:9" ht="12.75" customHeight="1">
      <c r="A1" s="1821" t="s">
        <v>372</v>
      </c>
      <c r="B1" s="1605"/>
      <c r="C1" s="1605"/>
      <c r="D1" s="1605"/>
      <c r="E1" s="1605"/>
      <c r="F1" s="1605"/>
      <c r="G1" s="123"/>
      <c r="H1" s="124"/>
      <c r="I1" s="125"/>
    </row>
    <row r="2" spans="1:9" ht="12.75" customHeight="1">
      <c r="A2" s="1822" t="s">
        <v>373</v>
      </c>
      <c r="B2" s="1605"/>
      <c r="C2" s="1605"/>
      <c r="D2" s="1605"/>
      <c r="E2" s="1605"/>
      <c r="F2" s="1605"/>
      <c r="G2" s="123"/>
      <c r="H2" s="124"/>
      <c r="I2" s="125"/>
    </row>
    <row r="3" spans="1:9" ht="6.75" customHeight="1">
      <c r="A3" s="1822"/>
      <c r="B3" s="1605"/>
      <c r="C3" s="1605"/>
      <c r="D3" s="1605"/>
      <c r="E3" s="1605"/>
      <c r="F3" s="1605"/>
      <c r="G3" s="123"/>
      <c r="H3" s="124"/>
      <c r="I3" s="125"/>
    </row>
    <row r="4" spans="1:9" ht="39.75" customHeight="1">
      <c r="A4" s="1823" t="e">
        <f>+#REF!</f>
        <v>#REF!</v>
      </c>
      <c r="B4" s="1824"/>
      <c r="C4" s="1824"/>
      <c r="D4" s="1824"/>
      <c r="E4" s="1824"/>
      <c r="F4" s="1825"/>
      <c r="G4" s="123"/>
      <c r="H4" s="124"/>
      <c r="I4" s="125"/>
    </row>
    <row r="5" spans="1:9" ht="12.75" customHeight="1">
      <c r="A5" s="1826" t="s">
        <v>374</v>
      </c>
      <c r="B5" s="1605"/>
      <c r="C5" s="1605"/>
      <c r="D5" s="1605"/>
      <c r="E5" s="1605"/>
      <c r="F5" s="1605"/>
      <c r="G5" s="123"/>
      <c r="H5" s="124"/>
      <c r="I5" s="125"/>
    </row>
    <row r="6" spans="1:9" ht="9" customHeight="1">
      <c r="A6" s="1816"/>
      <c r="B6" s="1817"/>
      <c r="C6" s="1817"/>
      <c r="D6" s="1817"/>
      <c r="E6" s="1817"/>
      <c r="F6" s="1817"/>
      <c r="G6" s="123"/>
      <c r="H6" s="124"/>
      <c r="I6" s="125"/>
    </row>
    <row r="7" spans="1:9" ht="12.75" customHeight="1">
      <c r="A7" s="126" t="s">
        <v>375</v>
      </c>
      <c r="B7" s="127" t="s">
        <v>376</v>
      </c>
      <c r="C7" s="127" t="s">
        <v>127</v>
      </c>
      <c r="D7" s="128" t="s">
        <v>7</v>
      </c>
      <c r="E7" s="127" t="s">
        <v>377</v>
      </c>
      <c r="F7" s="127" t="s">
        <v>378</v>
      </c>
      <c r="G7" s="123"/>
      <c r="H7" s="124"/>
      <c r="I7" s="125"/>
    </row>
    <row r="8" spans="1:9" ht="12.75" hidden="1" customHeight="1">
      <c r="A8" s="1818"/>
      <c r="B8" s="1807"/>
      <c r="C8" s="1807"/>
      <c r="D8" s="1807"/>
      <c r="E8" s="1807"/>
      <c r="F8" s="1819"/>
      <c r="G8" s="123"/>
      <c r="H8" s="124"/>
      <c r="I8" s="125"/>
    </row>
    <row r="9" spans="1:9" ht="12.75" customHeight="1">
      <c r="A9" s="129">
        <v>1</v>
      </c>
      <c r="B9" s="130" t="s">
        <v>379</v>
      </c>
      <c r="C9" s="131"/>
      <c r="D9" s="132"/>
      <c r="E9" s="133"/>
      <c r="F9" s="133"/>
      <c r="G9" s="123"/>
      <c r="H9" s="124"/>
      <c r="I9" s="125"/>
    </row>
    <row r="10" spans="1:9" ht="12.75" hidden="1" customHeight="1">
      <c r="A10" s="134" t="s">
        <v>11</v>
      </c>
      <c r="B10" s="135" t="e">
        <f>+#REF!</f>
        <v>#REF!</v>
      </c>
      <c r="C10" s="136" t="s">
        <v>228</v>
      </c>
      <c r="D10" s="137"/>
      <c r="E10" s="138" t="e">
        <f>+#REF!</f>
        <v>#REF!</v>
      </c>
      <c r="F10" s="138" t="e">
        <f t="shared" ref="F10:F18" si="0">+E10*D10</f>
        <v>#REF!</v>
      </c>
      <c r="G10" s="123"/>
      <c r="H10" s="124">
        <v>1486.0619431041453</v>
      </c>
      <c r="I10" s="125"/>
    </row>
    <row r="11" spans="1:9" ht="39" hidden="1" customHeight="1">
      <c r="A11" s="134" t="s">
        <v>14</v>
      </c>
      <c r="B11" s="135" t="e">
        <f ca="1">+_xlfn.SINGLE(#REF!)</f>
        <v>#NAME?</v>
      </c>
      <c r="C11" s="136" t="e">
        <f>+#REF!</f>
        <v>#REF!</v>
      </c>
      <c r="D11" s="137"/>
      <c r="E11" s="138">
        <f>+'2 - DEMOLICIONES'!G197</f>
        <v>117023</v>
      </c>
      <c r="F11" s="138">
        <f t="shared" si="0"/>
        <v>0</v>
      </c>
      <c r="G11" s="123"/>
      <c r="H11" s="124">
        <v>303.82537499999995</v>
      </c>
      <c r="I11" s="125"/>
    </row>
    <row r="12" spans="1:9" ht="12.75" hidden="1" customHeight="1">
      <c r="A12" s="134" t="s">
        <v>380</v>
      </c>
      <c r="B12" s="135" t="e">
        <f>+#REF!</f>
        <v>#REF!</v>
      </c>
      <c r="C12" s="136" t="e">
        <f>+#REF!</f>
        <v>#REF!</v>
      </c>
      <c r="D12" s="137"/>
      <c r="E12" s="138">
        <f>+'2 - DEMOLICIONES'!G518</f>
        <v>24806</v>
      </c>
      <c r="F12" s="138">
        <f t="shared" si="0"/>
        <v>0</v>
      </c>
      <c r="G12" s="123"/>
      <c r="H12" s="124">
        <v>328.07100000000003</v>
      </c>
      <c r="I12" s="125"/>
    </row>
    <row r="13" spans="1:9" ht="12.75" hidden="1" customHeight="1">
      <c r="A13" s="134" t="s">
        <v>381</v>
      </c>
      <c r="B13" s="135" t="e">
        <f>+#REF!</f>
        <v>#REF!</v>
      </c>
      <c r="C13" s="136" t="e">
        <f>+#REF!</f>
        <v>#REF!</v>
      </c>
      <c r="D13" s="137"/>
      <c r="E13" s="138">
        <f>+'2 - DEMOLICIONES'!G164</f>
        <v>28443</v>
      </c>
      <c r="F13" s="138">
        <f t="shared" si="0"/>
        <v>0</v>
      </c>
      <c r="G13" s="123"/>
      <c r="H13" s="124" t="e">
        <v>#REF!</v>
      </c>
      <c r="I13" s="125"/>
    </row>
    <row r="14" spans="1:9" ht="27.75" hidden="1" customHeight="1">
      <c r="A14" s="134" t="s">
        <v>382</v>
      </c>
      <c r="B14" s="135" t="e">
        <f>+#REF!</f>
        <v>#REF!</v>
      </c>
      <c r="C14" s="136" t="e">
        <f>+#REF!</f>
        <v>#REF!</v>
      </c>
      <c r="D14" s="137"/>
      <c r="E14" s="138">
        <f>+'2 - DEMOLICIONES'!G325</f>
        <v>14119</v>
      </c>
      <c r="F14" s="138">
        <f t="shared" si="0"/>
        <v>0</v>
      </c>
      <c r="G14" s="123"/>
      <c r="H14" s="124" t="e">
        <v>#REF!</v>
      </c>
      <c r="I14" s="125"/>
    </row>
    <row r="15" spans="1:9" ht="12.75" hidden="1" customHeight="1">
      <c r="A15" s="134" t="s">
        <v>383</v>
      </c>
      <c r="B15" s="135" t="e">
        <f ca="1">+_xlfn.SINGLE(#REF!)</f>
        <v>#NAME?</v>
      </c>
      <c r="C15" s="136" t="e">
        <f>+#REF!</f>
        <v>#REF!</v>
      </c>
      <c r="D15" s="137"/>
      <c r="E15" s="138">
        <f>+'2 - DEMOLICIONES'!G389</f>
        <v>323683</v>
      </c>
      <c r="F15" s="138">
        <f t="shared" si="0"/>
        <v>0</v>
      </c>
      <c r="G15" s="123"/>
      <c r="H15" s="124">
        <v>328.07100000000003</v>
      </c>
      <c r="I15" s="125"/>
    </row>
    <row r="16" spans="1:9" ht="12.75" hidden="1" customHeight="1">
      <c r="A16" s="134" t="s">
        <v>384</v>
      </c>
      <c r="B16" s="135" t="e">
        <f>+#REF!</f>
        <v>#REF!</v>
      </c>
      <c r="C16" s="136" t="e">
        <f>+#REF!</f>
        <v>#REF!</v>
      </c>
      <c r="D16" s="137"/>
      <c r="E16" s="138">
        <f>+'2 - DEMOLICIONES'!G357</f>
        <v>41801</v>
      </c>
      <c r="F16" s="138">
        <f t="shared" si="0"/>
        <v>0</v>
      </c>
      <c r="G16" s="123"/>
      <c r="H16" s="124" t="e">
        <v>#REF!</v>
      </c>
      <c r="I16" s="125"/>
    </row>
    <row r="17" spans="1:9" ht="12.75" customHeight="1">
      <c r="A17" s="134" t="s">
        <v>385</v>
      </c>
      <c r="B17" s="135" t="e">
        <f>+#REF!</f>
        <v>#REF!</v>
      </c>
      <c r="C17" s="136" t="e">
        <f>+#REF!</f>
        <v>#REF!</v>
      </c>
      <c r="D17" s="137">
        <f>+'MEMORIA DE CANTIDADES BLOQUE 1'!G124</f>
        <v>250.24</v>
      </c>
      <c r="E17" s="138" t="e">
        <f>+#REF!</f>
        <v>#REF!</v>
      </c>
      <c r="F17" s="138" t="e">
        <f t="shared" si="0"/>
        <v>#REF!</v>
      </c>
      <c r="G17" s="123"/>
      <c r="H17" s="124">
        <v>328.07100000000003</v>
      </c>
      <c r="I17" s="125"/>
    </row>
    <row r="18" spans="1:9" ht="28.5" hidden="1" customHeight="1">
      <c r="A18" s="134" t="s">
        <v>386</v>
      </c>
      <c r="B18" s="135" t="e">
        <f>+#REF!</f>
        <v>#REF!</v>
      </c>
      <c r="C18" s="136" t="e">
        <f>+#REF!</f>
        <v>#REF!</v>
      </c>
      <c r="D18" s="137"/>
      <c r="E18" s="138" t="e">
        <f>+#REF!</f>
        <v>#REF!</v>
      </c>
      <c r="F18" s="138" t="e">
        <f t="shared" si="0"/>
        <v>#REF!</v>
      </c>
      <c r="G18" s="123"/>
      <c r="H18" s="124" t="e">
        <v>#REF!</v>
      </c>
      <c r="I18" s="125"/>
    </row>
    <row r="19" spans="1:9" ht="12.75" customHeight="1">
      <c r="A19" s="1820" t="s">
        <v>387</v>
      </c>
      <c r="B19" s="1610"/>
      <c r="C19" s="1610"/>
      <c r="D19" s="1610"/>
      <c r="E19" s="1611"/>
      <c r="F19" s="139" t="e">
        <f>SUM(F10:F18)</f>
        <v>#REF!</v>
      </c>
      <c r="G19" s="123"/>
      <c r="H19" s="124" t="e">
        <f>+F19*1.25</f>
        <v>#REF!</v>
      </c>
      <c r="I19" s="125">
        <v>761767185</v>
      </c>
    </row>
    <row r="20" spans="1:9" ht="12.75" customHeight="1">
      <c r="A20" s="129">
        <v>2</v>
      </c>
      <c r="B20" s="130" t="s">
        <v>35</v>
      </c>
      <c r="C20" s="131"/>
      <c r="D20" s="132"/>
      <c r="E20" s="133"/>
      <c r="F20" s="133"/>
      <c r="G20" s="123"/>
      <c r="H20" s="124"/>
      <c r="I20" s="125"/>
    </row>
    <row r="21" spans="1:9" ht="12.75" customHeight="1">
      <c r="A21" s="140" t="s">
        <v>18</v>
      </c>
      <c r="B21" s="135" t="s">
        <v>388</v>
      </c>
      <c r="C21" s="134" t="s">
        <v>228</v>
      </c>
      <c r="D21" s="137">
        <f>+'MEMORIA DE CANTIDADES BLOQUE 1'!G153</f>
        <v>125.12</v>
      </c>
      <c r="E21" s="138" t="e">
        <f>+'4 - CIMENTACIÓN - CONCRETOS'!G71</f>
        <v>#REF!</v>
      </c>
      <c r="F21" s="138" t="e">
        <f t="shared" ref="F21:F24" si="1">+D21*E21</f>
        <v>#REF!</v>
      </c>
      <c r="G21" s="123"/>
      <c r="H21" s="124">
        <v>62.825500000000005</v>
      </c>
      <c r="I21" s="125"/>
    </row>
    <row r="22" spans="1:9" ht="12.75" customHeight="1">
      <c r="A22" s="140" t="s">
        <v>21</v>
      </c>
      <c r="B22" s="135" t="s">
        <v>389</v>
      </c>
      <c r="C22" s="134" t="s">
        <v>116</v>
      </c>
      <c r="D22" s="137"/>
      <c r="E22" s="138">
        <f>+'4 - CIMENTACIÓN - CONCRETOS'!G109</f>
        <v>732924</v>
      </c>
      <c r="F22" s="138">
        <f t="shared" si="1"/>
        <v>0</v>
      </c>
      <c r="G22" s="123"/>
      <c r="H22" s="124">
        <v>11.908199999999999</v>
      </c>
      <c r="I22" s="125"/>
    </row>
    <row r="23" spans="1:9" ht="12.75" customHeight="1">
      <c r="A23" s="140" t="s">
        <v>23</v>
      </c>
      <c r="B23" s="135" t="e">
        <f ca="1">+_xlfn.SINGLE(#REF!)</f>
        <v>#NAME?</v>
      </c>
      <c r="C23" s="134" t="s">
        <v>116</v>
      </c>
      <c r="D23" s="137">
        <f>+'MEMORIA DE CANTIDADES BLOQUE 1'!G179</f>
        <v>50.05</v>
      </c>
      <c r="E23" s="138">
        <f>+'4 - CIMENTACIÓN - CONCRETOS'!G301</f>
        <v>1229432</v>
      </c>
      <c r="F23" s="138">
        <f t="shared" si="1"/>
        <v>61533071.599999994</v>
      </c>
      <c r="G23" s="123"/>
      <c r="H23" s="124">
        <v>22.298275000000004</v>
      </c>
      <c r="I23" s="125"/>
    </row>
    <row r="24" spans="1:9" ht="12.75" customHeight="1">
      <c r="A24" s="140" t="s">
        <v>25</v>
      </c>
      <c r="B24" s="135" t="e">
        <f ca="1">+_xlfn.SINGLE(#REF!)</f>
        <v>#NAME?</v>
      </c>
      <c r="C24" s="134" t="s">
        <v>116</v>
      </c>
      <c r="D24" s="137" t="e">
        <f>+#REF!</f>
        <v>#REF!</v>
      </c>
      <c r="E24" s="138">
        <f>+'4 - CIMENTACIÓN - CONCRETOS'!G334</f>
        <v>1137721</v>
      </c>
      <c r="F24" s="138" t="e">
        <f t="shared" si="1"/>
        <v>#REF!</v>
      </c>
      <c r="G24" s="123"/>
      <c r="H24" s="124">
        <v>21.821112499999998</v>
      </c>
      <c r="I24" s="125"/>
    </row>
    <row r="25" spans="1:9" ht="12.75" customHeight="1">
      <c r="A25" s="140" t="s">
        <v>27</v>
      </c>
      <c r="B25" s="135" t="e">
        <f ca="1">+_xlfn.SINGLE(#REF!)</f>
        <v>#NAME?</v>
      </c>
      <c r="C25" s="134" t="s">
        <v>116</v>
      </c>
      <c r="D25" s="137">
        <f>+'MEMORIA DE CANTIDADES BLOQUE 1'!G200</f>
        <v>85.02</v>
      </c>
      <c r="E25" s="138" t="e">
        <f>+#REF!</f>
        <v>#REF!</v>
      </c>
      <c r="F25" s="138" t="e">
        <f>+E25*D25</f>
        <v>#REF!</v>
      </c>
      <c r="G25" s="123"/>
      <c r="H25" s="124">
        <v>24.009999999999998</v>
      </c>
      <c r="I25" s="125"/>
    </row>
    <row r="26" spans="1:9" ht="12.75" customHeight="1">
      <c r="A26" s="140" t="s">
        <v>29</v>
      </c>
      <c r="B26" s="135" t="e">
        <f ca="1">+_xlfn.SINGLE(#REF!)</f>
        <v>#NAME?</v>
      </c>
      <c r="C26" s="134" t="s">
        <v>116</v>
      </c>
      <c r="D26" s="137">
        <f>+'MEMORIA DE CANTIDADES BLOQUE 1'!G214</f>
        <v>30.83</v>
      </c>
      <c r="E26" s="138" t="e">
        <f>+#REF!</f>
        <v>#REF!</v>
      </c>
      <c r="F26" s="138" t="e">
        <f>+D26*E26</f>
        <v>#REF!</v>
      </c>
      <c r="G26" s="123"/>
      <c r="H26" s="124">
        <v>10.382240000000001</v>
      </c>
      <c r="I26" s="125"/>
    </row>
    <row r="27" spans="1:9" ht="12.75" customHeight="1">
      <c r="A27" s="140" t="s">
        <v>31</v>
      </c>
      <c r="B27" s="135" t="e">
        <f>+#REF!</f>
        <v>#REF!</v>
      </c>
      <c r="C27" s="134" t="s">
        <v>116</v>
      </c>
      <c r="D27" s="137" t="e">
        <f>+#REF!</f>
        <v>#REF!</v>
      </c>
      <c r="E27" s="138" t="e">
        <f>+#REF!</f>
        <v>#REF!</v>
      </c>
      <c r="F27" s="138" t="e">
        <f t="shared" ref="F27:F31" si="2">+E27*D27</f>
        <v>#REF!</v>
      </c>
      <c r="G27" s="123"/>
      <c r="H27" s="124">
        <v>11.268152499999999</v>
      </c>
      <c r="I27" s="125"/>
    </row>
    <row r="28" spans="1:9" ht="12.75" customHeight="1">
      <c r="A28" s="140" t="s">
        <v>31</v>
      </c>
      <c r="B28" s="135" t="e">
        <f>+#REF!</f>
        <v>#REF!</v>
      </c>
      <c r="C28" s="134" t="s">
        <v>116</v>
      </c>
      <c r="D28" s="137">
        <f>+'MEMORIA DE CANTIDADES BLOQUE 1'!G238</f>
        <v>0</v>
      </c>
      <c r="E28" s="138" t="e">
        <f>+#REF!</f>
        <v>#REF!</v>
      </c>
      <c r="F28" s="138" t="e">
        <f t="shared" si="2"/>
        <v>#REF!</v>
      </c>
      <c r="G28" s="123"/>
      <c r="H28" s="124">
        <v>2.0020000000000007</v>
      </c>
      <c r="I28" s="125"/>
    </row>
    <row r="29" spans="1:9" ht="12.75" customHeight="1">
      <c r="A29" s="140" t="s">
        <v>33</v>
      </c>
      <c r="B29" s="135" t="e">
        <f>+#REF!</f>
        <v>#REF!</v>
      </c>
      <c r="C29" s="134" t="s">
        <v>228</v>
      </c>
      <c r="D29" s="137">
        <f>+'MEMORIA DE CANTIDADES BLOQUE 1'!G254</f>
        <v>2151.75</v>
      </c>
      <c r="E29" s="138" t="e">
        <f>+#REF!</f>
        <v>#REF!</v>
      </c>
      <c r="F29" s="138" t="e">
        <f t="shared" si="2"/>
        <v>#REF!</v>
      </c>
      <c r="G29" s="123"/>
      <c r="H29" s="124">
        <v>51.15</v>
      </c>
      <c r="I29" s="125"/>
    </row>
    <row r="30" spans="1:9" ht="12.75" hidden="1" customHeight="1">
      <c r="A30" s="140" t="s">
        <v>390</v>
      </c>
      <c r="B30" s="135" t="e">
        <f>+#REF!</f>
        <v>#REF!</v>
      </c>
      <c r="C30" s="134" t="s">
        <v>116</v>
      </c>
      <c r="D30" s="137" t="e">
        <f>+#REF!</f>
        <v>#REF!</v>
      </c>
      <c r="E30" s="138" t="e">
        <f>+#REF!</f>
        <v>#REF!</v>
      </c>
      <c r="F30" s="138" t="e">
        <f t="shared" si="2"/>
        <v>#REF!</v>
      </c>
      <c r="G30" s="123"/>
      <c r="H30" s="124">
        <v>77.600000000000009</v>
      </c>
      <c r="I30" s="125"/>
    </row>
    <row r="31" spans="1:9" ht="29.25" hidden="1" customHeight="1">
      <c r="A31" s="140" t="s">
        <v>391</v>
      </c>
      <c r="B31" s="135" t="e">
        <f>+#REF!</f>
        <v>#REF!</v>
      </c>
      <c r="C31" s="134" t="s">
        <v>228</v>
      </c>
      <c r="D31" s="137" t="e">
        <f>+#REF!</f>
        <v>#REF!</v>
      </c>
      <c r="E31" s="138" t="e">
        <f>+#REF!</f>
        <v>#REF!</v>
      </c>
      <c r="F31" s="138" t="e">
        <f t="shared" si="2"/>
        <v>#REF!</v>
      </c>
      <c r="G31" s="123"/>
      <c r="H31" s="124">
        <v>2.6892</v>
      </c>
      <c r="I31" s="125"/>
    </row>
    <row r="33" spans="1:9" ht="12.75" customHeight="1">
      <c r="A33" s="1820" t="s">
        <v>387</v>
      </c>
      <c r="B33" s="1610"/>
      <c r="C33" s="1610"/>
      <c r="D33" s="1610"/>
      <c r="E33" s="1611"/>
      <c r="F33" s="139" t="e">
        <f>SUM(F21:F32)</f>
        <v>#REF!</v>
      </c>
      <c r="G33" s="123"/>
      <c r="H33" s="124" t="e">
        <f>+F33*1.25</f>
        <v>#REF!</v>
      </c>
      <c r="I33" s="125">
        <v>1735716245</v>
      </c>
    </row>
    <row r="34" spans="1:9" ht="12.75" customHeight="1">
      <c r="A34" s="129">
        <v>3</v>
      </c>
      <c r="B34" s="130" t="s">
        <v>392</v>
      </c>
      <c r="C34" s="131"/>
      <c r="D34" s="132"/>
      <c r="E34" s="133"/>
      <c r="F34" s="133"/>
      <c r="G34" s="123"/>
      <c r="H34" s="124"/>
      <c r="I34" s="125"/>
    </row>
    <row r="35" spans="1:9" ht="12.75" customHeight="1">
      <c r="A35" s="140" t="s">
        <v>36</v>
      </c>
      <c r="B35" s="135" t="e">
        <f>+#REF!</f>
        <v>#REF!</v>
      </c>
      <c r="C35" s="134" t="e">
        <f>+#REF!</f>
        <v>#REF!</v>
      </c>
      <c r="D35" s="137">
        <f>+'MEMORIA DE CANTIDADES BLOQUE 1'!G287</f>
        <v>85559.63</v>
      </c>
      <c r="E35" s="138">
        <v>14025</v>
      </c>
      <c r="F35" s="138">
        <f t="shared" ref="F35:F45" si="3">+D35*E35</f>
        <v>1199973810.75</v>
      </c>
      <c r="G35" s="123"/>
      <c r="H35" s="124">
        <v>11994.447499999998</v>
      </c>
      <c r="I35" s="125"/>
    </row>
    <row r="36" spans="1:9" ht="12.75" customHeight="1">
      <c r="A36" s="140" t="s">
        <v>38</v>
      </c>
      <c r="B36" s="135" t="e">
        <f>+#REF!</f>
        <v>#REF!</v>
      </c>
      <c r="C36" s="134" t="e">
        <f>+#REF!</f>
        <v>#REF!</v>
      </c>
      <c r="D36" s="137">
        <f>+'MEMORIA DE CANTIDADES BLOQUE 1'!G298</f>
        <v>113409.63</v>
      </c>
      <c r="E36" s="138">
        <v>13725</v>
      </c>
      <c r="F36" s="138">
        <f t="shared" si="3"/>
        <v>1556547171.75</v>
      </c>
      <c r="G36" s="123"/>
      <c r="H36" s="124">
        <v>51.15</v>
      </c>
      <c r="I36" s="125"/>
    </row>
    <row r="37" spans="1:9" ht="12.75" customHeight="1">
      <c r="A37" s="140" t="s">
        <v>40</v>
      </c>
      <c r="B37" s="135" t="e">
        <f>+#REF!</f>
        <v>#REF!</v>
      </c>
      <c r="C37" s="134" t="e">
        <f>+#REF!</f>
        <v>#REF!</v>
      </c>
      <c r="D37" s="137">
        <f>+'MEMORIA DE CANTIDADES BLOQUE 1'!G309</f>
        <v>891.86</v>
      </c>
      <c r="E37" s="138">
        <v>9745</v>
      </c>
      <c r="F37" s="138">
        <f t="shared" si="3"/>
        <v>8691175.6999999993</v>
      </c>
      <c r="G37" s="123"/>
      <c r="H37" s="124">
        <v>23134.035858076797</v>
      </c>
      <c r="I37" s="125"/>
    </row>
    <row r="38" spans="1:9" ht="12.75" customHeight="1">
      <c r="A38" s="140" t="s">
        <v>42</v>
      </c>
      <c r="B38" s="135" t="e">
        <f>+#REF!</f>
        <v>#REF!</v>
      </c>
      <c r="C38" s="134" t="e">
        <f>+#REF!</f>
        <v>#REF!</v>
      </c>
      <c r="D38" s="137">
        <f>+'MEMORIA DE CANTIDADES BLOQUE 1'!G320</f>
        <v>9696</v>
      </c>
      <c r="E38" s="138">
        <v>8644</v>
      </c>
      <c r="F38" s="138">
        <f t="shared" si="3"/>
        <v>83812224</v>
      </c>
      <c r="G38" s="123"/>
      <c r="H38" s="124" t="e">
        <v>#REF!</v>
      </c>
      <c r="I38" s="125"/>
    </row>
    <row r="39" spans="1:9" ht="12.75" customHeight="1">
      <c r="A39" s="140" t="s">
        <v>45</v>
      </c>
      <c r="B39" s="135" t="e">
        <f ca="1">+_xlfn.SINGLE(#REF!)</f>
        <v>#NAME?</v>
      </c>
      <c r="C39" s="134" t="e">
        <f>+#REF!</f>
        <v>#REF!</v>
      </c>
      <c r="D39" s="137">
        <f>+'MEMORIA DE CANTIDADES BLOQUE 1'!G331</f>
        <v>13970.54</v>
      </c>
      <c r="E39" s="138" t="e">
        <f>+#REF!</f>
        <v>#REF!</v>
      </c>
      <c r="F39" s="138" t="e">
        <f t="shared" si="3"/>
        <v>#REF!</v>
      </c>
      <c r="G39" s="123"/>
      <c r="H39" s="124" t="e">
        <v>#REF!</v>
      </c>
      <c r="I39" s="125"/>
    </row>
    <row r="40" spans="1:9" ht="12.75" customHeight="1">
      <c r="A40" s="140" t="s">
        <v>155</v>
      </c>
      <c r="B40" s="135" t="e">
        <f ca="1">+_xlfn.SINGLE(#REF!)</f>
        <v>#NAME?</v>
      </c>
      <c r="C40" s="134" t="e">
        <f>+#REF!</f>
        <v>#REF!</v>
      </c>
      <c r="D40" s="137">
        <f>+'MEMORIA DE CANTIDADES BLOQUE 1'!G341</f>
        <v>2151.75</v>
      </c>
      <c r="E40" s="138">
        <v>62475</v>
      </c>
      <c r="F40" s="138">
        <f t="shared" si="3"/>
        <v>134430581.25</v>
      </c>
      <c r="G40" s="123"/>
      <c r="H40" s="124" t="e">
        <v>#REF!</v>
      </c>
      <c r="I40" s="125"/>
    </row>
    <row r="41" spans="1:9" ht="12.75" customHeight="1">
      <c r="A41" s="140" t="s">
        <v>393</v>
      </c>
      <c r="B41" s="135" t="e">
        <f ca="1">+_xlfn.SINGLE(#REF!)</f>
        <v>#NAME?</v>
      </c>
      <c r="C41" s="134" t="e">
        <f>+#REF!</f>
        <v>#REF!</v>
      </c>
      <c r="D41" s="137">
        <f>+'MEMORIA DE CANTIDADES BLOQUE 1'!G351</f>
        <v>2151.75</v>
      </c>
      <c r="E41" s="138">
        <v>51450</v>
      </c>
      <c r="F41" s="138">
        <f t="shared" si="3"/>
        <v>110707537.5</v>
      </c>
      <c r="G41" s="123"/>
      <c r="H41" s="124">
        <v>172.8</v>
      </c>
      <c r="I41" s="125"/>
    </row>
    <row r="42" spans="1:9" ht="12.75" hidden="1" customHeight="1">
      <c r="A42" s="140" t="s">
        <v>394</v>
      </c>
      <c r="B42" s="135" t="e">
        <f>+#REF!</f>
        <v>#REF!</v>
      </c>
      <c r="C42" s="134" t="s">
        <v>228</v>
      </c>
      <c r="D42" s="137" t="e">
        <f>+#REF!</f>
        <v>#REF!</v>
      </c>
      <c r="E42" s="138">
        <f>+'7 - ESTRUCTURA CUBIERTA'!G232</f>
        <v>229000</v>
      </c>
      <c r="F42" s="138" t="e">
        <f t="shared" si="3"/>
        <v>#REF!</v>
      </c>
      <c r="G42" s="123"/>
      <c r="H42" s="124">
        <v>172.8</v>
      </c>
      <c r="I42" s="125"/>
    </row>
    <row r="43" spans="1:9" ht="12.75" hidden="1" customHeight="1">
      <c r="A43" s="140" t="s">
        <v>395</v>
      </c>
      <c r="B43" s="135" t="e">
        <f>+#REF!</f>
        <v>#REF!</v>
      </c>
      <c r="C43" s="134" t="s">
        <v>228</v>
      </c>
      <c r="D43" s="137"/>
      <c r="E43" s="138">
        <f>+'7 - ESTRUCTURA CUBIERTA'!G271</f>
        <v>230364</v>
      </c>
      <c r="F43" s="138">
        <f t="shared" si="3"/>
        <v>0</v>
      </c>
      <c r="G43" s="123"/>
      <c r="H43" s="124">
        <v>28.1</v>
      </c>
      <c r="I43" s="125"/>
    </row>
    <row r="44" spans="1:9" ht="12.75" hidden="1" customHeight="1">
      <c r="A44" s="140" t="s">
        <v>396</v>
      </c>
      <c r="B44" s="135" t="e">
        <f>+#REF!</f>
        <v>#REF!</v>
      </c>
      <c r="C44" s="134" t="e">
        <f>+#REF!</f>
        <v>#REF!</v>
      </c>
      <c r="D44" s="137"/>
      <c r="E44" s="138">
        <v>175425</v>
      </c>
      <c r="F44" s="138">
        <f t="shared" si="3"/>
        <v>0</v>
      </c>
      <c r="G44" s="123"/>
      <c r="H44" s="124">
        <v>24.6</v>
      </c>
      <c r="I44" s="125"/>
    </row>
    <row r="45" spans="1:9" ht="12.75" hidden="1" customHeight="1">
      <c r="A45" s="140" t="s">
        <v>397</v>
      </c>
      <c r="B45" s="135" t="s">
        <v>398</v>
      </c>
      <c r="C45" s="134" t="s">
        <v>120</v>
      </c>
      <c r="D45" s="137"/>
      <c r="E45" s="138">
        <v>123769</v>
      </c>
      <c r="F45" s="138">
        <f t="shared" si="3"/>
        <v>0</v>
      </c>
      <c r="G45" s="123"/>
      <c r="H45" s="124">
        <v>24.6</v>
      </c>
      <c r="I45" s="125"/>
    </row>
    <row r="46" spans="1:9" ht="12.75" hidden="1" customHeight="1">
      <c r="A46" s="140" t="s">
        <v>393</v>
      </c>
      <c r="B46" s="135" t="s">
        <v>399</v>
      </c>
      <c r="C46" s="134" t="s">
        <v>228</v>
      </c>
      <c r="D46" s="137"/>
      <c r="E46" s="138">
        <v>48207</v>
      </c>
      <c r="F46" s="138">
        <f t="shared" ref="F46:F49" si="4">+E46*D46</f>
        <v>0</v>
      </c>
      <c r="G46" s="123"/>
      <c r="H46" s="124">
        <v>1428.864</v>
      </c>
      <c r="I46" s="125"/>
    </row>
    <row r="47" spans="1:9" ht="12.75" hidden="1" customHeight="1">
      <c r="A47" s="140" t="s">
        <v>394</v>
      </c>
      <c r="B47" s="135" t="s">
        <v>400</v>
      </c>
      <c r="C47" s="134" t="s">
        <v>120</v>
      </c>
      <c r="D47" s="137"/>
      <c r="E47" s="138">
        <v>70099</v>
      </c>
      <c r="F47" s="138">
        <f t="shared" si="4"/>
        <v>0</v>
      </c>
      <c r="G47" s="123"/>
      <c r="H47" s="124">
        <v>36.6</v>
      </c>
      <c r="I47" s="125"/>
    </row>
    <row r="48" spans="1:9" ht="12.75" customHeight="1">
      <c r="A48" s="140" t="s">
        <v>401</v>
      </c>
      <c r="B48" s="135" t="s">
        <v>402</v>
      </c>
      <c r="C48" s="134" t="s">
        <v>120</v>
      </c>
      <c r="D48" s="141">
        <f>+'MEMORIA DE CANTIDADES BLOQUE 1'!G494</f>
        <v>45.65</v>
      </c>
      <c r="E48" s="138">
        <v>75354</v>
      </c>
      <c r="F48" s="138">
        <f t="shared" si="4"/>
        <v>3439910.1</v>
      </c>
      <c r="G48" s="123"/>
      <c r="H48" s="124">
        <v>73.2</v>
      </c>
      <c r="I48" s="125"/>
    </row>
    <row r="49" spans="1:9" ht="12.75" customHeight="1">
      <c r="A49" s="140" t="s">
        <v>403</v>
      </c>
      <c r="B49" s="135" t="s">
        <v>404</v>
      </c>
      <c r="C49" s="134" t="s">
        <v>120</v>
      </c>
      <c r="D49" s="142">
        <f>+'MEMORIA DE CANTIDADES BLOQUE 1'!G508</f>
        <v>214.5</v>
      </c>
      <c r="E49" s="138">
        <v>27286</v>
      </c>
      <c r="F49" s="138">
        <f t="shared" si="4"/>
        <v>5852847</v>
      </c>
      <c r="G49" s="123"/>
      <c r="H49" s="124">
        <v>68</v>
      </c>
      <c r="I49" s="125"/>
    </row>
    <row r="50" spans="1:9" ht="12.75" customHeight="1">
      <c r="A50" s="1809" t="s">
        <v>387</v>
      </c>
      <c r="B50" s="1601"/>
      <c r="C50" s="1601"/>
      <c r="D50" s="1601"/>
      <c r="E50" s="1801"/>
      <c r="F50" s="143" t="e">
        <f>SUM(F35:F49)</f>
        <v>#REF!</v>
      </c>
      <c r="G50" s="123"/>
      <c r="H50" s="124" t="e">
        <f>+F50*1.25</f>
        <v>#REF!</v>
      </c>
      <c r="I50" s="125"/>
    </row>
    <row r="51" spans="1:9" ht="12.75" customHeight="1">
      <c r="A51" s="129">
        <v>4</v>
      </c>
      <c r="B51" s="144" t="s">
        <v>405</v>
      </c>
      <c r="C51" s="145"/>
      <c r="D51" s="146"/>
      <c r="E51" s="133"/>
      <c r="F51" s="133"/>
      <c r="G51" s="123"/>
      <c r="H51" s="124"/>
      <c r="I51" s="125"/>
    </row>
    <row r="52" spans="1:9" ht="12.75" customHeight="1">
      <c r="A52" s="134" t="s">
        <v>48</v>
      </c>
      <c r="B52" s="135" t="e">
        <f ca="1">+_xlfn.SINGLE(#REF!)</f>
        <v>#NAME?</v>
      </c>
      <c r="C52" s="134" t="s">
        <v>228</v>
      </c>
      <c r="D52" s="137">
        <f>+'MEMORIA DE CANTIDADES BLOQUE 1'!G521</f>
        <v>2686.71</v>
      </c>
      <c r="E52" s="138">
        <f>+'8 - PISOS - CONCRETO-ENCHAPES'!G1971</f>
        <v>110066</v>
      </c>
      <c r="F52" s="138">
        <f>+E52*D52</f>
        <v>295715422.86000001</v>
      </c>
      <c r="G52" s="123"/>
      <c r="H52" s="124">
        <v>131.23000000000002</v>
      </c>
      <c r="I52" s="125"/>
    </row>
    <row r="53" spans="1:9" ht="12.75" customHeight="1">
      <c r="A53" s="134" t="s">
        <v>51</v>
      </c>
      <c r="B53" s="135" t="e">
        <f>+#REF!</f>
        <v>#REF!</v>
      </c>
      <c r="C53" s="134" t="s">
        <v>228</v>
      </c>
      <c r="D53" s="137">
        <f>+'MEMORIA DE CANTIDADES BLOQUE 1'!G541</f>
        <v>30.97</v>
      </c>
      <c r="E53" s="138">
        <f>+'8 - PISOS - CONCRETO-ENCHAPES'!G1775</f>
        <v>71206</v>
      </c>
      <c r="F53" s="138">
        <f t="shared" ref="F53:F66" si="5">+D53*E53</f>
        <v>2205249.8199999998</v>
      </c>
      <c r="G53" s="123"/>
      <c r="H53" s="124">
        <v>196.643</v>
      </c>
      <c r="I53" s="125"/>
    </row>
    <row r="54" spans="1:9" ht="12.75" customHeight="1">
      <c r="A54" s="134" t="s">
        <v>156</v>
      </c>
      <c r="B54" s="135" t="s">
        <v>406</v>
      </c>
      <c r="C54" s="134" t="str">
        <f t="shared" ref="C54:C58" si="6">+C53</f>
        <v>M2</v>
      </c>
      <c r="D54" s="137">
        <v>521.67999999999995</v>
      </c>
      <c r="E54" s="138">
        <v>63450</v>
      </c>
      <c r="F54" s="138">
        <f t="shared" si="5"/>
        <v>33100595.999999996</v>
      </c>
      <c r="G54" s="123"/>
      <c r="H54" s="124">
        <v>39.269999999999996</v>
      </c>
      <c r="I54" s="125"/>
    </row>
    <row r="55" spans="1:9" ht="12.75" customHeight="1">
      <c r="A55" s="134" t="s">
        <v>156</v>
      </c>
      <c r="B55" s="135" t="s">
        <v>407</v>
      </c>
      <c r="C55" s="134" t="str">
        <f t="shared" si="6"/>
        <v>M2</v>
      </c>
      <c r="D55" s="137">
        <v>337.13</v>
      </c>
      <c r="E55" s="138">
        <v>61350</v>
      </c>
      <c r="F55" s="138">
        <f t="shared" si="5"/>
        <v>20682925.5</v>
      </c>
      <c r="G55" s="123"/>
      <c r="H55" s="124" t="e">
        <v>#REF!</v>
      </c>
      <c r="I55" s="125"/>
    </row>
    <row r="56" spans="1:9" ht="12.75" customHeight="1">
      <c r="A56" s="134" t="s">
        <v>159</v>
      </c>
      <c r="B56" s="135" t="s">
        <v>408</v>
      </c>
      <c r="C56" s="134" t="str">
        <f t="shared" si="6"/>
        <v>M2</v>
      </c>
      <c r="D56" s="137">
        <v>264.91000000000003</v>
      </c>
      <c r="E56" s="138">
        <v>59475</v>
      </c>
      <c r="F56" s="138">
        <f t="shared" si="5"/>
        <v>15755522.250000002</v>
      </c>
      <c r="G56" s="123"/>
      <c r="H56" s="124" t="e">
        <v>#REF!</v>
      </c>
      <c r="I56" s="125"/>
    </row>
    <row r="57" spans="1:9" ht="12.75" customHeight="1">
      <c r="A57" s="134" t="s">
        <v>160</v>
      </c>
      <c r="B57" s="135" t="s">
        <v>409</v>
      </c>
      <c r="C57" s="134" t="str">
        <f t="shared" si="6"/>
        <v>M2</v>
      </c>
      <c r="D57" s="137">
        <v>24.46</v>
      </c>
      <c r="E57" s="138">
        <v>72450</v>
      </c>
      <c r="F57" s="138">
        <f t="shared" si="5"/>
        <v>1772127</v>
      </c>
      <c r="G57" s="123"/>
      <c r="H57" s="124">
        <v>39.269999999999996</v>
      </c>
      <c r="I57" s="125"/>
    </row>
    <row r="58" spans="1:9" ht="12.75" customHeight="1">
      <c r="A58" s="134" t="s">
        <v>161</v>
      </c>
      <c r="B58" s="135" t="s">
        <v>410</v>
      </c>
      <c r="C58" s="134" t="str">
        <f t="shared" si="6"/>
        <v>M2</v>
      </c>
      <c r="D58" s="137">
        <v>57.61</v>
      </c>
      <c r="E58" s="138">
        <v>142540</v>
      </c>
      <c r="F58" s="138">
        <f t="shared" si="5"/>
        <v>8211729.4000000004</v>
      </c>
      <c r="G58" s="123"/>
      <c r="H58" s="124" t="e">
        <v>#REF!</v>
      </c>
      <c r="I58" s="125"/>
    </row>
    <row r="59" spans="1:9" ht="11.25" customHeight="1">
      <c r="A59" s="134" t="s">
        <v>157</v>
      </c>
      <c r="B59" s="135" t="s">
        <v>411</v>
      </c>
      <c r="C59" s="134" t="str">
        <f>+C54</f>
        <v>M2</v>
      </c>
      <c r="D59" s="137">
        <v>242.63</v>
      </c>
      <c r="E59" s="138">
        <v>58450</v>
      </c>
      <c r="F59" s="138">
        <f t="shared" si="5"/>
        <v>14181723.5</v>
      </c>
      <c r="G59" s="123"/>
      <c r="H59" s="124">
        <v>532</v>
      </c>
      <c r="I59" s="125"/>
    </row>
    <row r="60" spans="1:9" ht="12.75" customHeight="1">
      <c r="A60" s="134" t="s">
        <v>158</v>
      </c>
      <c r="B60" s="135" t="s">
        <v>412</v>
      </c>
      <c r="C60" s="134" t="str">
        <f t="shared" ref="C60:C64" si="7">+C59</f>
        <v>M2</v>
      </c>
      <c r="D60" s="137">
        <v>19.579999999999998</v>
      </c>
      <c r="E60" s="138">
        <f>+'8 - PISOS - CONCRETO-ENCHAPES'!G1125</f>
        <v>61572</v>
      </c>
      <c r="F60" s="138">
        <f t="shared" si="5"/>
        <v>1205579.76</v>
      </c>
      <c r="G60" s="123"/>
      <c r="H60" s="124">
        <v>433.3</v>
      </c>
      <c r="I60" s="125"/>
    </row>
    <row r="61" spans="1:9" ht="12.75" customHeight="1">
      <c r="A61" s="134" t="s">
        <v>159</v>
      </c>
      <c r="B61" s="135" t="s">
        <v>413</v>
      </c>
      <c r="C61" s="134" t="str">
        <f t="shared" si="7"/>
        <v>M2</v>
      </c>
      <c r="D61" s="137">
        <v>135.26</v>
      </c>
      <c r="E61" s="138">
        <v>62450</v>
      </c>
      <c r="F61" s="138">
        <f t="shared" si="5"/>
        <v>8446987</v>
      </c>
      <c r="G61" s="123"/>
      <c r="H61" s="124">
        <v>114.66</v>
      </c>
      <c r="I61" s="125"/>
    </row>
    <row r="62" spans="1:9" ht="12.75" customHeight="1">
      <c r="A62" s="134" t="s">
        <v>160</v>
      </c>
      <c r="B62" s="135" t="s">
        <v>414</v>
      </c>
      <c r="C62" s="134" t="str">
        <f t="shared" si="7"/>
        <v>M2</v>
      </c>
      <c r="D62" s="137">
        <v>8.1199999999999992</v>
      </c>
      <c r="E62" s="138">
        <v>102425</v>
      </c>
      <c r="F62" s="138">
        <f t="shared" si="5"/>
        <v>831690.99999999988</v>
      </c>
      <c r="G62" s="123"/>
      <c r="H62" s="124">
        <v>62.190000000000005</v>
      </c>
      <c r="I62" s="125"/>
    </row>
    <row r="63" spans="1:9" ht="12.75" customHeight="1">
      <c r="A63" s="134" t="s">
        <v>159</v>
      </c>
      <c r="B63" s="135" t="s">
        <v>415</v>
      </c>
      <c r="C63" s="134" t="str">
        <f t="shared" si="7"/>
        <v>M2</v>
      </c>
      <c r="D63" s="137">
        <v>34.29</v>
      </c>
      <c r="E63" s="138">
        <v>94450</v>
      </c>
      <c r="F63" s="138">
        <f t="shared" si="5"/>
        <v>3238690.5</v>
      </c>
      <c r="G63" s="123"/>
      <c r="H63" s="124">
        <v>81.983000000000004</v>
      </c>
      <c r="I63" s="125"/>
    </row>
    <row r="64" spans="1:9" ht="12.75" customHeight="1">
      <c r="A64" s="134" t="s">
        <v>160</v>
      </c>
      <c r="B64" s="135" t="s">
        <v>416</v>
      </c>
      <c r="C64" s="134" t="str">
        <f t="shared" si="7"/>
        <v>M2</v>
      </c>
      <c r="D64" s="137">
        <v>400.37</v>
      </c>
      <c r="E64" s="138">
        <v>136780</v>
      </c>
      <c r="F64" s="138">
        <f t="shared" si="5"/>
        <v>54762608.600000001</v>
      </c>
      <c r="G64" s="123"/>
      <c r="H64" s="124">
        <v>117.8104</v>
      </c>
      <c r="I64" s="125"/>
    </row>
    <row r="65" spans="1:9" ht="12.75" customHeight="1">
      <c r="A65" s="134" t="s">
        <v>161</v>
      </c>
      <c r="B65" s="135" t="s">
        <v>417</v>
      </c>
      <c r="C65" s="134" t="str">
        <f>+C62</f>
        <v>M2</v>
      </c>
      <c r="D65" s="137">
        <v>1734.09</v>
      </c>
      <c r="E65" s="138">
        <v>14750</v>
      </c>
      <c r="F65" s="138">
        <f t="shared" si="5"/>
        <v>25577827.5</v>
      </c>
      <c r="G65" s="123"/>
      <c r="H65" s="124">
        <v>81.983000000000004</v>
      </c>
      <c r="I65" s="125"/>
    </row>
    <row r="66" spans="1:9" ht="12.75" customHeight="1">
      <c r="A66" s="134" t="s">
        <v>162</v>
      </c>
      <c r="B66" s="135" t="s">
        <v>418</v>
      </c>
      <c r="C66" s="134" t="str">
        <f>+C65</f>
        <v>M2</v>
      </c>
      <c r="D66" s="147">
        <v>733.47</v>
      </c>
      <c r="E66" s="148">
        <v>52480</v>
      </c>
      <c r="F66" s="148">
        <f t="shared" si="5"/>
        <v>38492505.600000001</v>
      </c>
      <c r="G66" s="123"/>
      <c r="H66" s="124">
        <v>117.8104</v>
      </c>
      <c r="I66" s="125"/>
    </row>
    <row r="67" spans="1:9" ht="12.75" customHeight="1">
      <c r="A67" s="1809" t="s">
        <v>387</v>
      </c>
      <c r="B67" s="1601"/>
      <c r="C67" s="1601"/>
      <c r="D67" s="1601"/>
      <c r="E67" s="1801"/>
      <c r="F67" s="143">
        <f>SUM(F52:F66)</f>
        <v>524181186.29000002</v>
      </c>
      <c r="G67" s="123"/>
      <c r="H67" s="124">
        <f>+F67*1.25</f>
        <v>655226482.86250007</v>
      </c>
      <c r="I67" s="125">
        <v>521796964</v>
      </c>
    </row>
    <row r="68" spans="1:9" ht="12.75" customHeight="1">
      <c r="A68" s="129">
        <v>5</v>
      </c>
      <c r="B68" s="144" t="s">
        <v>419</v>
      </c>
      <c r="C68" s="145"/>
      <c r="D68" s="146"/>
      <c r="E68" s="133"/>
      <c r="F68" s="133"/>
      <c r="G68" s="123"/>
      <c r="H68" s="124"/>
      <c r="I68" s="125"/>
    </row>
    <row r="69" spans="1:9" ht="12.75" customHeight="1">
      <c r="A69" s="134" t="s">
        <v>54</v>
      </c>
      <c r="B69" s="135" t="e">
        <f>+#REF!</f>
        <v>#REF!</v>
      </c>
      <c r="C69" s="134" t="s">
        <v>228</v>
      </c>
      <c r="D69" s="137">
        <v>1876.8999999999999</v>
      </c>
      <c r="E69" s="138">
        <f>+'6 - MAMPOSTERIA - ESTRUCT. ESP.'!G68</f>
        <v>54799</v>
      </c>
      <c r="F69" s="138">
        <f t="shared" ref="F69:F71" si="8">+E69*D69</f>
        <v>102852243.09999999</v>
      </c>
      <c r="G69" s="123"/>
      <c r="H69" s="124">
        <v>279.84800000000001</v>
      </c>
      <c r="I69" s="125"/>
    </row>
    <row r="70" spans="1:9" ht="12.75" customHeight="1">
      <c r="A70" s="134" t="s">
        <v>294</v>
      </c>
      <c r="B70" s="135" t="s">
        <v>420</v>
      </c>
      <c r="C70" s="134" t="s">
        <v>228</v>
      </c>
      <c r="D70" s="137">
        <v>1994.3400000000001</v>
      </c>
      <c r="E70" s="138">
        <f>+'6 - MAMPOSTERIA - ESTRUCT. ESP.'!G228</f>
        <v>102430</v>
      </c>
      <c r="F70" s="138">
        <f t="shared" si="8"/>
        <v>204280246.20000002</v>
      </c>
      <c r="G70" s="123"/>
      <c r="H70" s="124">
        <v>138</v>
      </c>
      <c r="I70" s="125">
        <v>94450</v>
      </c>
    </row>
    <row r="71" spans="1:9" ht="12.75" customHeight="1">
      <c r="A71" s="134" t="s">
        <v>421</v>
      </c>
      <c r="B71" s="135" t="s">
        <v>422</v>
      </c>
      <c r="C71" s="134" t="s">
        <v>228</v>
      </c>
      <c r="D71" s="137">
        <v>3753.7999999999997</v>
      </c>
      <c r="E71" s="138">
        <f>+'9 - PAÑETES - PINTURA'!G37</f>
        <v>36485</v>
      </c>
      <c r="F71" s="138">
        <f t="shared" si="8"/>
        <v>136957393</v>
      </c>
      <c r="G71" s="123"/>
      <c r="H71" s="124">
        <v>491.49600000000004</v>
      </c>
      <c r="I71" s="125"/>
    </row>
    <row r="72" spans="1:9" ht="12.75" customHeight="1">
      <c r="A72" s="1809" t="s">
        <v>387</v>
      </c>
      <c r="B72" s="1601"/>
      <c r="C72" s="1601"/>
      <c r="D72" s="1601"/>
      <c r="E72" s="1801"/>
      <c r="F72" s="143">
        <f>SUM(F69:F71)</f>
        <v>444089882.30000001</v>
      </c>
      <c r="G72" s="123"/>
      <c r="H72" s="124">
        <f>+F72*1.25</f>
        <v>555112352.875</v>
      </c>
      <c r="I72" s="125"/>
    </row>
    <row r="73" spans="1:9" ht="12.75" customHeight="1">
      <c r="A73" s="129">
        <v>6</v>
      </c>
      <c r="B73" s="144" t="s">
        <v>423</v>
      </c>
      <c r="C73" s="145"/>
      <c r="D73" s="146"/>
      <c r="E73" s="133"/>
      <c r="F73" s="133"/>
      <c r="G73" s="123"/>
      <c r="H73" s="124"/>
      <c r="I73" s="125"/>
    </row>
    <row r="74" spans="1:9" ht="12.75" customHeight="1">
      <c r="A74" s="134" t="s">
        <v>58</v>
      </c>
      <c r="B74" s="135" t="s">
        <v>424</v>
      </c>
      <c r="C74" s="134" t="s">
        <v>228</v>
      </c>
      <c r="D74" s="137">
        <f>3753.8*0.75</f>
        <v>2815.3500000000004</v>
      </c>
      <c r="E74" s="138">
        <f>+'9 - PAÑETES - PINTURA'!G305</f>
        <v>17361</v>
      </c>
      <c r="F74" s="138">
        <f>+E74*D74</f>
        <v>48877291.350000009</v>
      </c>
      <c r="G74" s="123"/>
      <c r="H74" s="124"/>
      <c r="I74" s="125"/>
    </row>
    <row r="75" spans="1:9" ht="12.75" customHeight="1">
      <c r="A75" s="134" t="s">
        <v>60</v>
      </c>
      <c r="B75" s="135" t="s">
        <v>425</v>
      </c>
      <c r="C75" s="134" t="s">
        <v>228</v>
      </c>
      <c r="D75" s="137">
        <f>3753.8*0.25</f>
        <v>938.45</v>
      </c>
      <c r="E75" s="138">
        <f>+'9 - PAÑETES - PINTURA'!G433</f>
        <v>38300</v>
      </c>
      <c r="F75" s="138">
        <f t="shared" ref="F75:F92" si="9">+D75*E75</f>
        <v>35942635</v>
      </c>
      <c r="G75" s="123"/>
      <c r="H75" s="124"/>
      <c r="I75" s="125"/>
    </row>
    <row r="76" spans="1:9" ht="12.75" customHeight="1">
      <c r="A76" s="134" t="s">
        <v>62</v>
      </c>
      <c r="B76" s="135" t="s">
        <v>426</v>
      </c>
      <c r="C76" s="134" t="s">
        <v>228</v>
      </c>
      <c r="D76" s="137">
        <v>1949.37</v>
      </c>
      <c r="E76" s="138">
        <v>37121</v>
      </c>
      <c r="F76" s="138">
        <f t="shared" si="9"/>
        <v>72362563.769999996</v>
      </c>
      <c r="G76" s="123"/>
      <c r="H76" s="124"/>
      <c r="I76" s="125"/>
    </row>
    <row r="77" spans="1:9" ht="12.75" customHeight="1">
      <c r="A77" s="134" t="s">
        <v>62</v>
      </c>
      <c r="B77" s="135" t="s">
        <v>427</v>
      </c>
      <c r="C77" s="134" t="s">
        <v>228</v>
      </c>
      <c r="D77" s="137">
        <v>17.38</v>
      </c>
      <c r="E77" s="138">
        <v>345450</v>
      </c>
      <c r="F77" s="138">
        <f t="shared" si="9"/>
        <v>6003921</v>
      </c>
      <c r="G77" s="123"/>
      <c r="H77" s="124"/>
      <c r="I77" s="125"/>
    </row>
    <row r="78" spans="1:9" ht="12.75" customHeight="1">
      <c r="A78" s="134" t="s">
        <v>64</v>
      </c>
      <c r="B78" s="135" t="s">
        <v>428</v>
      </c>
      <c r="C78" s="134" t="str">
        <f t="shared" ref="C78:C79" si="10">+C77</f>
        <v>M2</v>
      </c>
      <c r="D78" s="137">
        <v>0</v>
      </c>
      <c r="E78" s="138">
        <v>264575</v>
      </c>
      <c r="F78" s="138">
        <f t="shared" si="9"/>
        <v>0</v>
      </c>
      <c r="G78" s="123"/>
      <c r="H78" s="124"/>
      <c r="I78" s="125"/>
    </row>
    <row r="79" spans="1:9" ht="12.75" customHeight="1">
      <c r="A79" s="134" t="s">
        <v>300</v>
      </c>
      <c r="B79" s="135" t="s">
        <v>429</v>
      </c>
      <c r="C79" s="134" t="str">
        <f t="shared" si="10"/>
        <v>M2</v>
      </c>
      <c r="D79" s="137">
        <v>0</v>
      </c>
      <c r="E79" s="138">
        <v>425850</v>
      </c>
      <c r="F79" s="138">
        <f t="shared" si="9"/>
        <v>0</v>
      </c>
      <c r="G79" s="123"/>
      <c r="H79" s="124"/>
      <c r="I79" s="125"/>
    </row>
    <row r="80" spans="1:9" ht="12.75" customHeight="1">
      <c r="A80" s="134" t="s">
        <v>62</v>
      </c>
      <c r="B80" s="135" t="s">
        <v>430</v>
      </c>
      <c r="C80" s="134" t="s">
        <v>228</v>
      </c>
      <c r="D80" s="137">
        <v>0</v>
      </c>
      <c r="E80" s="138">
        <v>675450</v>
      </c>
      <c r="F80" s="138">
        <f t="shared" si="9"/>
        <v>0</v>
      </c>
      <c r="G80" s="123"/>
      <c r="H80" s="124"/>
      <c r="I80" s="125"/>
    </row>
    <row r="81" spans="1:9" ht="12.75" customHeight="1">
      <c r="A81" s="134" t="s">
        <v>64</v>
      </c>
      <c r="B81" s="135" t="s">
        <v>431</v>
      </c>
      <c r="C81" s="134" t="s">
        <v>228</v>
      </c>
      <c r="D81" s="137">
        <v>0</v>
      </c>
      <c r="E81" s="138">
        <v>314550</v>
      </c>
      <c r="F81" s="138">
        <f t="shared" si="9"/>
        <v>0</v>
      </c>
      <c r="G81" s="123"/>
      <c r="H81" s="124"/>
      <c r="I81" s="125"/>
    </row>
    <row r="82" spans="1:9" ht="12.75" customHeight="1">
      <c r="A82" s="134" t="s">
        <v>300</v>
      </c>
      <c r="B82" s="135" t="s">
        <v>432</v>
      </c>
      <c r="C82" s="134" t="s">
        <v>228</v>
      </c>
      <c r="D82" s="137">
        <v>0</v>
      </c>
      <c r="E82" s="138">
        <v>298088</v>
      </c>
      <c r="F82" s="138">
        <f t="shared" si="9"/>
        <v>0</v>
      </c>
      <c r="G82" s="123"/>
      <c r="H82" s="124"/>
      <c r="I82" s="125"/>
    </row>
    <row r="83" spans="1:9" ht="12.75" customHeight="1">
      <c r="A83" s="134" t="s">
        <v>300</v>
      </c>
      <c r="B83" s="135" t="s">
        <v>433</v>
      </c>
      <c r="C83" s="134" t="s">
        <v>228</v>
      </c>
      <c r="D83" s="137">
        <v>126.66</v>
      </c>
      <c r="E83" s="138">
        <v>645450</v>
      </c>
      <c r="F83" s="138">
        <f t="shared" si="9"/>
        <v>81752697</v>
      </c>
      <c r="G83" s="123"/>
      <c r="H83" s="124"/>
      <c r="I83" s="125"/>
    </row>
    <row r="84" spans="1:9" ht="12.75" customHeight="1">
      <c r="A84" s="134" t="s">
        <v>66</v>
      </c>
      <c r="B84" s="135" t="s">
        <v>434</v>
      </c>
      <c r="C84" s="134" t="s">
        <v>127</v>
      </c>
      <c r="D84" s="137">
        <v>36</v>
      </c>
      <c r="E84" s="138">
        <v>347540</v>
      </c>
      <c r="F84" s="138">
        <f t="shared" si="9"/>
        <v>12511440</v>
      </c>
      <c r="G84" s="123"/>
      <c r="H84" s="124"/>
      <c r="I84" s="125"/>
    </row>
    <row r="85" spans="1:9" ht="12.75" customHeight="1">
      <c r="A85" s="134" t="s">
        <v>303</v>
      </c>
      <c r="B85" s="135" t="s">
        <v>435</v>
      </c>
      <c r="C85" s="134" t="s">
        <v>127</v>
      </c>
      <c r="D85" s="137">
        <v>27</v>
      </c>
      <c r="E85" s="138">
        <v>947850</v>
      </c>
      <c r="F85" s="138">
        <f t="shared" si="9"/>
        <v>25591950</v>
      </c>
      <c r="G85" s="123"/>
      <c r="H85" s="124"/>
      <c r="I85" s="125"/>
    </row>
    <row r="86" spans="1:9" ht="12.75" customHeight="1">
      <c r="A86" s="134" t="s">
        <v>66</v>
      </c>
      <c r="B86" s="135" t="s">
        <v>436</v>
      </c>
      <c r="C86" s="134" t="s">
        <v>127</v>
      </c>
      <c r="D86" s="137">
        <v>12</v>
      </c>
      <c r="E86" s="138">
        <v>274550</v>
      </c>
      <c r="F86" s="138">
        <f t="shared" si="9"/>
        <v>3294600</v>
      </c>
      <c r="G86" s="123"/>
      <c r="H86" s="124"/>
      <c r="I86" s="125"/>
    </row>
    <row r="87" spans="1:9" ht="12.75" customHeight="1">
      <c r="A87" s="134" t="s">
        <v>303</v>
      </c>
      <c r="B87" s="135" t="s">
        <v>437</v>
      </c>
      <c r="C87" s="134" t="s">
        <v>127</v>
      </c>
      <c r="D87" s="137">
        <v>1</v>
      </c>
      <c r="E87" s="138">
        <v>245750</v>
      </c>
      <c r="F87" s="138">
        <f t="shared" si="9"/>
        <v>245750</v>
      </c>
      <c r="G87" s="123"/>
      <c r="H87" s="124"/>
      <c r="I87" s="125"/>
    </row>
    <row r="88" spans="1:9" ht="12.75" customHeight="1">
      <c r="A88" s="134" t="s">
        <v>66</v>
      </c>
      <c r="B88" s="135" t="s">
        <v>438</v>
      </c>
      <c r="C88" s="134" t="s">
        <v>127</v>
      </c>
      <c r="D88" s="137">
        <v>2</v>
      </c>
      <c r="E88" s="138">
        <v>12457000</v>
      </c>
      <c r="F88" s="138">
        <f t="shared" si="9"/>
        <v>24914000</v>
      </c>
      <c r="G88" s="123"/>
      <c r="H88" s="124"/>
      <c r="I88" s="125"/>
    </row>
    <row r="89" spans="1:9" ht="12.75" customHeight="1">
      <c r="A89" s="134" t="s">
        <v>303</v>
      </c>
      <c r="B89" s="135" t="s">
        <v>439</v>
      </c>
      <c r="C89" s="134" t="s">
        <v>127</v>
      </c>
      <c r="D89" s="137">
        <v>2</v>
      </c>
      <c r="E89" s="138">
        <v>3475450</v>
      </c>
      <c r="F89" s="138">
        <f t="shared" si="9"/>
        <v>6950900</v>
      </c>
      <c r="G89" s="123"/>
      <c r="H89" s="124"/>
      <c r="I89" s="125"/>
    </row>
    <row r="90" spans="1:9" ht="12.75" customHeight="1">
      <c r="A90" s="134" t="s">
        <v>66</v>
      </c>
      <c r="B90" s="135" t="s">
        <v>440</v>
      </c>
      <c r="C90" s="134" t="s">
        <v>127</v>
      </c>
      <c r="D90" s="137">
        <v>1</v>
      </c>
      <c r="E90" s="138">
        <v>25754000</v>
      </c>
      <c r="F90" s="138">
        <f t="shared" si="9"/>
        <v>25754000</v>
      </c>
      <c r="G90" s="123"/>
      <c r="H90" s="124"/>
      <c r="I90" s="125"/>
    </row>
    <row r="91" spans="1:9" ht="12.75" customHeight="1">
      <c r="A91" s="134" t="s">
        <v>303</v>
      </c>
      <c r="B91" s="135" t="s">
        <v>441</v>
      </c>
      <c r="C91" s="134" t="s">
        <v>127</v>
      </c>
      <c r="D91" s="137">
        <v>8</v>
      </c>
      <c r="E91" s="138">
        <v>475450</v>
      </c>
      <c r="F91" s="138">
        <f t="shared" si="9"/>
        <v>3803600</v>
      </c>
      <c r="G91" s="123"/>
      <c r="H91" s="124"/>
      <c r="I91" s="125"/>
    </row>
    <row r="92" spans="1:9" ht="12.75" hidden="1" customHeight="1">
      <c r="A92" s="134" t="s">
        <v>307</v>
      </c>
      <c r="B92" s="135" t="s">
        <v>442</v>
      </c>
      <c r="C92" s="134" t="s">
        <v>127</v>
      </c>
      <c r="D92" s="147"/>
      <c r="E92" s="148">
        <v>2304023</v>
      </c>
      <c r="F92" s="148">
        <f t="shared" si="9"/>
        <v>0</v>
      </c>
      <c r="G92" s="123"/>
      <c r="H92" s="124"/>
      <c r="I92" s="125"/>
    </row>
    <row r="93" spans="1:9" ht="12.75" customHeight="1">
      <c r="A93" s="1809" t="s">
        <v>387</v>
      </c>
      <c r="B93" s="1601"/>
      <c r="C93" s="1601"/>
      <c r="D93" s="1601"/>
      <c r="E93" s="1801"/>
      <c r="F93" s="143">
        <f>SUM(F74:F92)</f>
        <v>348005348.12</v>
      </c>
      <c r="G93" s="123"/>
      <c r="H93" s="124">
        <f>+F93*1.25</f>
        <v>435006685.14999998</v>
      </c>
      <c r="I93" s="125">
        <v>214111011</v>
      </c>
    </row>
    <row r="94" spans="1:9" ht="12.75" hidden="1" customHeight="1">
      <c r="A94" s="129">
        <v>7</v>
      </c>
      <c r="B94" s="144" t="s">
        <v>133</v>
      </c>
      <c r="C94" s="145"/>
      <c r="D94" s="146"/>
      <c r="E94" s="133"/>
      <c r="F94" s="133"/>
      <c r="G94" s="123"/>
      <c r="H94" s="124"/>
      <c r="I94" s="125"/>
    </row>
    <row r="95" spans="1:9" ht="12.75" hidden="1" customHeight="1">
      <c r="A95" s="134"/>
      <c r="B95" s="149" t="s">
        <v>443</v>
      </c>
      <c r="C95" s="134"/>
      <c r="D95" s="137"/>
      <c r="E95" s="138"/>
      <c r="F95" s="138"/>
      <c r="G95" s="123"/>
      <c r="H95" s="124"/>
      <c r="I95" s="125"/>
    </row>
    <row r="96" spans="1:9" ht="12.75" hidden="1" customHeight="1">
      <c r="A96" s="134" t="s">
        <v>80</v>
      </c>
      <c r="B96" s="135" t="s">
        <v>444</v>
      </c>
      <c r="C96" s="134" t="s">
        <v>120</v>
      </c>
      <c r="D96" s="137"/>
      <c r="E96" s="138">
        <v>36363</v>
      </c>
      <c r="F96" s="138">
        <f t="shared" ref="F96:F104" si="11">+D96*E96</f>
        <v>0</v>
      </c>
      <c r="G96" s="123"/>
      <c r="H96" s="124"/>
      <c r="I96" s="125"/>
    </row>
    <row r="97" spans="1:6" ht="12.75" hidden="1" customHeight="1">
      <c r="A97" s="134" t="s">
        <v>82</v>
      </c>
      <c r="B97" s="135" t="s">
        <v>445</v>
      </c>
      <c r="C97" s="134" t="s">
        <v>120</v>
      </c>
      <c r="D97" s="137"/>
      <c r="E97" s="138">
        <v>26898</v>
      </c>
      <c r="F97" s="138">
        <f t="shared" si="11"/>
        <v>0</v>
      </c>
    </row>
    <row r="98" spans="1:6" ht="12.75" hidden="1" customHeight="1">
      <c r="A98" s="134" t="s">
        <v>84</v>
      </c>
      <c r="B98" s="135" t="s">
        <v>446</v>
      </c>
      <c r="C98" s="134" t="s">
        <v>120</v>
      </c>
      <c r="D98" s="137"/>
      <c r="E98" s="138">
        <v>13928</v>
      </c>
      <c r="F98" s="138">
        <f t="shared" si="11"/>
        <v>0</v>
      </c>
    </row>
    <row r="99" spans="1:6" ht="12.75" hidden="1" customHeight="1">
      <c r="A99" s="134" t="s">
        <v>86</v>
      </c>
      <c r="B99" s="135" t="s">
        <v>447</v>
      </c>
      <c r="C99" s="134" t="s">
        <v>120</v>
      </c>
      <c r="D99" s="137"/>
      <c r="E99" s="138">
        <v>15897</v>
      </c>
      <c r="F99" s="138">
        <f t="shared" si="11"/>
        <v>0</v>
      </c>
    </row>
    <row r="100" spans="1:6" ht="12.75" hidden="1" customHeight="1">
      <c r="A100" s="134" t="s">
        <v>89</v>
      </c>
      <c r="B100" s="135" t="s">
        <v>448</v>
      </c>
      <c r="C100" s="134" t="s">
        <v>127</v>
      </c>
      <c r="D100" s="137"/>
      <c r="E100" s="138">
        <v>103919</v>
      </c>
      <c r="F100" s="138">
        <f t="shared" si="11"/>
        <v>0</v>
      </c>
    </row>
    <row r="101" spans="1:6" ht="12.75" hidden="1" customHeight="1">
      <c r="A101" s="134" t="s">
        <v>91</v>
      </c>
      <c r="B101" s="135" t="s">
        <v>449</v>
      </c>
      <c r="C101" s="134" t="s">
        <v>127</v>
      </c>
      <c r="D101" s="137"/>
      <c r="E101" s="138">
        <v>164153</v>
      </c>
      <c r="F101" s="138">
        <f t="shared" si="11"/>
        <v>0</v>
      </c>
    </row>
    <row r="102" spans="1:6" ht="12.75" hidden="1" customHeight="1">
      <c r="A102" s="134" t="s">
        <v>93</v>
      </c>
      <c r="B102" s="135" t="s">
        <v>450</v>
      </c>
      <c r="C102" s="134" t="s">
        <v>127</v>
      </c>
      <c r="D102" s="137"/>
      <c r="E102" s="138">
        <v>42030</v>
      </c>
      <c r="F102" s="138">
        <f t="shared" si="11"/>
        <v>0</v>
      </c>
    </row>
    <row r="103" spans="1:6" ht="12.75" hidden="1" customHeight="1">
      <c r="A103" s="134" t="s">
        <v>96</v>
      </c>
      <c r="B103" s="135" t="s">
        <v>451</v>
      </c>
      <c r="C103" s="134" t="s">
        <v>127</v>
      </c>
      <c r="D103" s="137"/>
      <c r="E103" s="138">
        <v>96810</v>
      </c>
      <c r="F103" s="138">
        <f t="shared" si="11"/>
        <v>0</v>
      </c>
    </row>
    <row r="104" spans="1:6" ht="12.75" hidden="1" customHeight="1">
      <c r="A104" s="134" t="s">
        <v>98</v>
      </c>
      <c r="B104" s="135" t="s">
        <v>452</v>
      </c>
      <c r="C104" s="134" t="s">
        <v>127</v>
      </c>
      <c r="D104" s="137"/>
      <c r="E104" s="138">
        <v>283340</v>
      </c>
      <c r="F104" s="138">
        <f t="shared" si="11"/>
        <v>0</v>
      </c>
    </row>
    <row r="105" spans="1:6" ht="12.75" hidden="1" customHeight="1">
      <c r="A105" s="134"/>
      <c r="B105" s="149" t="s">
        <v>453</v>
      </c>
      <c r="C105" s="134"/>
      <c r="D105" s="137"/>
      <c r="E105" s="138"/>
      <c r="F105" s="138"/>
    </row>
    <row r="106" spans="1:6" ht="12.75" hidden="1" customHeight="1">
      <c r="A106" s="134" t="s">
        <v>101</v>
      </c>
      <c r="B106" s="135" t="s">
        <v>454</v>
      </c>
      <c r="C106" s="134" t="s">
        <v>127</v>
      </c>
      <c r="D106" s="137"/>
      <c r="E106" s="138">
        <v>94589</v>
      </c>
      <c r="F106" s="138">
        <f t="shared" ref="F106:F117" si="12">+D106*E106</f>
        <v>0</v>
      </c>
    </row>
    <row r="107" spans="1:6" ht="12.75" hidden="1" customHeight="1">
      <c r="A107" s="134" t="s">
        <v>104</v>
      </c>
      <c r="B107" s="135" t="s">
        <v>455</v>
      </c>
      <c r="C107" s="134" t="s">
        <v>127</v>
      </c>
      <c r="D107" s="137"/>
      <c r="E107" s="138">
        <v>110028</v>
      </c>
      <c r="F107" s="138">
        <f t="shared" si="12"/>
        <v>0</v>
      </c>
    </row>
    <row r="108" spans="1:6" ht="12.75" hidden="1" customHeight="1">
      <c r="A108" s="134" t="s">
        <v>106</v>
      </c>
      <c r="B108" s="135" t="s">
        <v>456</v>
      </c>
      <c r="C108" s="134" t="s">
        <v>127</v>
      </c>
      <c r="D108" s="137"/>
      <c r="E108" s="138">
        <v>143548</v>
      </c>
      <c r="F108" s="138">
        <f t="shared" si="12"/>
        <v>0</v>
      </c>
    </row>
    <row r="109" spans="1:6" ht="12.75" hidden="1" customHeight="1">
      <c r="A109" s="134" t="s">
        <v>108</v>
      </c>
      <c r="B109" s="135" t="s">
        <v>457</v>
      </c>
      <c r="C109" s="134" t="s">
        <v>120</v>
      </c>
      <c r="D109" s="137"/>
      <c r="E109" s="138">
        <v>51876</v>
      </c>
      <c r="F109" s="138">
        <f t="shared" si="12"/>
        <v>0</v>
      </c>
    </row>
    <row r="110" spans="1:6" ht="12.75" hidden="1" customHeight="1">
      <c r="A110" s="134" t="s">
        <v>110</v>
      </c>
      <c r="B110" s="135" t="s">
        <v>458</v>
      </c>
      <c r="C110" s="134" t="s">
        <v>120</v>
      </c>
      <c r="D110" s="137"/>
      <c r="E110" s="138">
        <v>37695</v>
      </c>
      <c r="F110" s="138">
        <f t="shared" si="12"/>
        <v>0</v>
      </c>
    </row>
    <row r="111" spans="1:6" ht="12.75" hidden="1" customHeight="1">
      <c r="A111" s="134" t="s">
        <v>112</v>
      </c>
      <c r="B111" s="135" t="s">
        <v>459</v>
      </c>
      <c r="C111" s="134" t="s">
        <v>120</v>
      </c>
      <c r="D111" s="137"/>
      <c r="E111" s="138">
        <v>24017</v>
      </c>
      <c r="F111" s="138">
        <f t="shared" si="12"/>
        <v>0</v>
      </c>
    </row>
    <row r="112" spans="1:6" ht="12.75" hidden="1" customHeight="1">
      <c r="A112" s="134" t="s">
        <v>114</v>
      </c>
      <c r="B112" s="135" t="s">
        <v>460</v>
      </c>
      <c r="C112" s="134" t="s">
        <v>120</v>
      </c>
      <c r="D112" s="137"/>
      <c r="E112" s="138">
        <v>115017</v>
      </c>
      <c r="F112" s="138">
        <f t="shared" si="12"/>
        <v>0</v>
      </c>
    </row>
    <row r="113" spans="1:6" ht="12.75" hidden="1" customHeight="1">
      <c r="A113" s="134" t="s">
        <v>118</v>
      </c>
      <c r="B113" s="135" t="s">
        <v>461</v>
      </c>
      <c r="C113" s="134" t="s">
        <v>120</v>
      </c>
      <c r="D113" s="137"/>
      <c r="E113" s="138">
        <v>236358</v>
      </c>
      <c r="F113" s="138">
        <f t="shared" si="12"/>
        <v>0</v>
      </c>
    </row>
    <row r="114" spans="1:6" ht="12.75" hidden="1" customHeight="1">
      <c r="A114" s="150" t="s">
        <v>121</v>
      </c>
      <c r="B114" s="135" t="s">
        <v>462</v>
      </c>
      <c r="C114" s="134" t="s">
        <v>120</v>
      </c>
      <c r="D114" s="137"/>
      <c r="E114" s="138">
        <v>44087</v>
      </c>
      <c r="F114" s="138">
        <f t="shared" si="12"/>
        <v>0</v>
      </c>
    </row>
    <row r="115" spans="1:6" ht="12.75" hidden="1" customHeight="1">
      <c r="A115" s="150" t="s">
        <v>123</v>
      </c>
      <c r="B115" s="135" t="s">
        <v>463</v>
      </c>
      <c r="C115" s="134" t="s">
        <v>127</v>
      </c>
      <c r="D115" s="137"/>
      <c r="E115" s="138">
        <v>30255</v>
      </c>
      <c r="F115" s="138">
        <f t="shared" si="12"/>
        <v>0</v>
      </c>
    </row>
    <row r="116" spans="1:6" ht="12.75" hidden="1" customHeight="1">
      <c r="A116" s="150" t="s">
        <v>125</v>
      </c>
      <c r="B116" s="135" t="s">
        <v>464</v>
      </c>
      <c r="C116" s="134" t="s">
        <v>127</v>
      </c>
      <c r="D116" s="137"/>
      <c r="E116" s="138">
        <v>16200</v>
      </c>
      <c r="F116" s="138">
        <f t="shared" si="12"/>
        <v>0</v>
      </c>
    </row>
    <row r="117" spans="1:6" ht="12.75" hidden="1" customHeight="1">
      <c r="A117" s="150" t="s">
        <v>128</v>
      </c>
      <c r="B117" s="135" t="s">
        <v>465</v>
      </c>
      <c r="C117" s="134" t="s">
        <v>127</v>
      </c>
      <c r="D117" s="137"/>
      <c r="E117" s="138">
        <v>22300</v>
      </c>
      <c r="F117" s="138">
        <f t="shared" si="12"/>
        <v>0</v>
      </c>
    </row>
    <row r="118" spans="1:6" ht="12.75" hidden="1" customHeight="1">
      <c r="A118" s="134"/>
      <c r="B118" s="149" t="s">
        <v>466</v>
      </c>
      <c r="C118" s="134"/>
      <c r="D118" s="137"/>
      <c r="E118" s="138"/>
      <c r="F118" s="138"/>
    </row>
    <row r="119" spans="1:6" ht="12.75" hidden="1" customHeight="1">
      <c r="A119" s="150" t="s">
        <v>467</v>
      </c>
      <c r="B119" s="135" t="s">
        <v>468</v>
      </c>
      <c r="C119" s="134" t="s">
        <v>116</v>
      </c>
      <c r="D119" s="137"/>
      <c r="E119" s="138">
        <v>38750</v>
      </c>
      <c r="F119" s="138">
        <f t="shared" ref="F119:F125" si="13">+D119*E119</f>
        <v>0</v>
      </c>
    </row>
    <row r="120" spans="1:6" ht="12.75" hidden="1" customHeight="1">
      <c r="A120" s="150" t="s">
        <v>469</v>
      </c>
      <c r="B120" s="135" t="s">
        <v>470</v>
      </c>
      <c r="C120" s="134" t="s">
        <v>116</v>
      </c>
      <c r="D120" s="137"/>
      <c r="E120" s="138">
        <v>43800</v>
      </c>
      <c r="F120" s="138">
        <f t="shared" si="13"/>
        <v>0</v>
      </c>
    </row>
    <row r="121" spans="1:6" ht="12.75" hidden="1" customHeight="1">
      <c r="A121" s="150" t="s">
        <v>471</v>
      </c>
      <c r="B121" s="135" t="s">
        <v>472</v>
      </c>
      <c r="C121" s="134" t="s">
        <v>127</v>
      </c>
      <c r="D121" s="137"/>
      <c r="E121" s="138">
        <v>156500</v>
      </c>
      <c r="F121" s="138">
        <f t="shared" si="13"/>
        <v>0</v>
      </c>
    </row>
    <row r="122" spans="1:6" ht="12.75" hidden="1" customHeight="1">
      <c r="A122" s="150" t="s">
        <v>473</v>
      </c>
      <c r="B122" s="135" t="s">
        <v>474</v>
      </c>
      <c r="C122" s="134" t="s">
        <v>127</v>
      </c>
      <c r="D122" s="137"/>
      <c r="E122" s="138">
        <v>206500</v>
      </c>
      <c r="F122" s="138">
        <f t="shared" si="13"/>
        <v>0</v>
      </c>
    </row>
    <row r="123" spans="1:6" ht="12.75" hidden="1" customHeight="1">
      <c r="A123" s="150" t="s">
        <v>475</v>
      </c>
      <c r="B123" s="135" t="s">
        <v>476</v>
      </c>
      <c r="C123" s="134" t="s">
        <v>127</v>
      </c>
      <c r="D123" s="137"/>
      <c r="E123" s="138">
        <v>263875</v>
      </c>
      <c r="F123" s="138">
        <f t="shared" si="13"/>
        <v>0</v>
      </c>
    </row>
    <row r="124" spans="1:6" ht="12.75" hidden="1" customHeight="1">
      <c r="A124" s="150" t="s">
        <v>477</v>
      </c>
      <c r="B124" s="135" t="s">
        <v>478</v>
      </c>
      <c r="C124" s="134" t="s">
        <v>127</v>
      </c>
      <c r="D124" s="137"/>
      <c r="E124" s="138">
        <v>317050</v>
      </c>
      <c r="F124" s="138">
        <f t="shared" si="13"/>
        <v>0</v>
      </c>
    </row>
    <row r="125" spans="1:6" ht="12.75" hidden="1" customHeight="1">
      <c r="A125" s="150" t="s">
        <v>479</v>
      </c>
      <c r="B125" s="135" t="s">
        <v>480</v>
      </c>
      <c r="C125" s="134" t="s">
        <v>127</v>
      </c>
      <c r="D125" s="137"/>
      <c r="E125" s="138">
        <v>830787</v>
      </c>
      <c r="F125" s="138">
        <f t="shared" si="13"/>
        <v>0</v>
      </c>
    </row>
    <row r="126" spans="1:6" ht="12.75" hidden="1" customHeight="1">
      <c r="A126" s="134"/>
      <c r="B126" s="149" t="s">
        <v>481</v>
      </c>
      <c r="C126" s="134"/>
      <c r="D126" s="137"/>
      <c r="E126" s="138"/>
      <c r="F126" s="138"/>
    </row>
    <row r="127" spans="1:6" ht="12.75" hidden="1" customHeight="1">
      <c r="A127" s="150" t="s">
        <v>482</v>
      </c>
      <c r="B127" s="135" t="s">
        <v>483</v>
      </c>
      <c r="C127" s="134" t="s">
        <v>116</v>
      </c>
      <c r="D127" s="137"/>
      <c r="E127" s="138">
        <v>700300</v>
      </c>
      <c r="F127" s="138">
        <f t="shared" ref="F127:F130" si="14">+D127*E127</f>
        <v>0</v>
      </c>
    </row>
    <row r="128" spans="1:6" ht="12.75" hidden="1" customHeight="1">
      <c r="A128" s="150" t="s">
        <v>484</v>
      </c>
      <c r="B128" s="135" t="s">
        <v>485</v>
      </c>
      <c r="C128" s="134" t="s">
        <v>171</v>
      </c>
      <c r="D128" s="137"/>
      <c r="E128" s="138" t="e">
        <f>+E39</f>
        <v>#REF!</v>
      </c>
      <c r="F128" s="138" t="e">
        <f t="shared" si="14"/>
        <v>#REF!</v>
      </c>
    </row>
    <row r="129" spans="1:9" ht="12.75" hidden="1" customHeight="1">
      <c r="A129" s="150" t="s">
        <v>486</v>
      </c>
      <c r="B129" s="135" t="s">
        <v>487</v>
      </c>
      <c r="C129" s="134" t="s">
        <v>127</v>
      </c>
      <c r="D129" s="137"/>
      <c r="E129" s="138">
        <v>103069</v>
      </c>
      <c r="F129" s="138">
        <f t="shared" si="14"/>
        <v>0</v>
      </c>
      <c r="G129" s="123"/>
      <c r="H129" s="124"/>
      <c r="I129" s="125"/>
    </row>
    <row r="130" spans="1:9" ht="12.75" hidden="1" customHeight="1">
      <c r="A130" s="150" t="s">
        <v>488</v>
      </c>
      <c r="B130" s="135" t="s">
        <v>489</v>
      </c>
      <c r="C130" s="134" t="s">
        <v>127</v>
      </c>
      <c r="D130" s="137"/>
      <c r="E130" s="138">
        <v>450000</v>
      </c>
      <c r="F130" s="138">
        <f t="shared" si="14"/>
        <v>0</v>
      </c>
      <c r="G130" s="123"/>
      <c r="H130" s="124"/>
      <c r="I130" s="125"/>
    </row>
    <row r="131" spans="1:9" ht="12.75" hidden="1" customHeight="1">
      <c r="A131" s="134"/>
      <c r="B131" s="149" t="s">
        <v>490</v>
      </c>
      <c r="C131" s="134"/>
      <c r="D131" s="137"/>
      <c r="E131" s="138"/>
      <c r="F131" s="138"/>
      <c r="G131" s="123"/>
      <c r="H131" s="124"/>
      <c r="I131" s="125"/>
    </row>
    <row r="132" spans="1:9" ht="12.75" hidden="1" customHeight="1">
      <c r="A132" s="150" t="s">
        <v>491</v>
      </c>
      <c r="B132" s="135" t="s">
        <v>492</v>
      </c>
      <c r="C132" s="134" t="s">
        <v>228</v>
      </c>
      <c r="D132" s="137"/>
      <c r="E132" s="138">
        <v>27990</v>
      </c>
      <c r="F132" s="138">
        <f t="shared" ref="F132:F133" si="15">+D132*E132</f>
        <v>0</v>
      </c>
      <c r="G132" s="123"/>
      <c r="H132" s="124"/>
      <c r="I132" s="125"/>
    </row>
    <row r="133" spans="1:9" ht="12.75" hidden="1" customHeight="1">
      <c r="A133" s="150" t="s">
        <v>493</v>
      </c>
      <c r="B133" s="135" t="s">
        <v>494</v>
      </c>
      <c r="C133" s="134" t="s">
        <v>228</v>
      </c>
      <c r="D133" s="137"/>
      <c r="E133" s="138">
        <v>24561</v>
      </c>
      <c r="F133" s="138">
        <f t="shared" si="15"/>
        <v>0</v>
      </c>
      <c r="G133" s="123"/>
      <c r="H133" s="124"/>
      <c r="I133" s="125"/>
    </row>
    <row r="134" spans="1:9" ht="12.75" hidden="1" customHeight="1">
      <c r="A134" s="134"/>
      <c r="B134" s="149" t="s">
        <v>495</v>
      </c>
      <c r="C134" s="134"/>
      <c r="D134" s="137"/>
      <c r="E134" s="138"/>
      <c r="F134" s="138"/>
      <c r="G134" s="123"/>
      <c r="H134" s="124"/>
      <c r="I134" s="125"/>
    </row>
    <row r="135" spans="1:9" ht="12.75" hidden="1" customHeight="1">
      <c r="A135" s="150" t="s">
        <v>496</v>
      </c>
      <c r="B135" s="135" t="s">
        <v>497</v>
      </c>
      <c r="C135" s="134" t="s">
        <v>127</v>
      </c>
      <c r="D135" s="137"/>
      <c r="E135" s="138">
        <v>23300000</v>
      </c>
      <c r="F135" s="138">
        <f>+D135*E135</f>
        <v>0</v>
      </c>
      <c r="G135" s="123"/>
      <c r="H135" s="124"/>
      <c r="I135" s="125"/>
    </row>
    <row r="136" spans="1:9" ht="12.75" hidden="1" customHeight="1">
      <c r="A136" s="150"/>
      <c r="B136" s="135"/>
      <c r="C136" s="134"/>
      <c r="D136" s="137"/>
      <c r="E136" s="138"/>
      <c r="F136" s="138"/>
      <c r="G136" s="123"/>
      <c r="H136" s="124"/>
      <c r="I136" s="125"/>
    </row>
    <row r="137" spans="1:9" ht="12.75" hidden="1" customHeight="1">
      <c r="A137" s="1809" t="s">
        <v>387</v>
      </c>
      <c r="B137" s="1601"/>
      <c r="C137" s="1601"/>
      <c r="D137" s="1601"/>
      <c r="E137" s="1801"/>
      <c r="F137" s="143" t="e">
        <f>SUM(F95:F136)</f>
        <v>#REF!</v>
      </c>
      <c r="G137" s="123"/>
      <c r="H137" s="124" t="e">
        <f>+F137*1.25</f>
        <v>#REF!</v>
      </c>
      <c r="I137" s="125"/>
    </row>
    <row r="138" spans="1:9" ht="12.75" customHeight="1">
      <c r="A138" s="129">
        <v>8</v>
      </c>
      <c r="B138" s="144" t="s">
        <v>498</v>
      </c>
      <c r="C138" s="145"/>
      <c r="D138" s="146"/>
      <c r="E138" s="133"/>
      <c r="F138" s="133"/>
      <c r="G138" s="123"/>
      <c r="H138" s="124"/>
      <c r="I138" s="125"/>
    </row>
    <row r="139" spans="1:9" ht="12.75" customHeight="1">
      <c r="A139" s="150" t="s">
        <v>499</v>
      </c>
      <c r="B139" s="135" t="s">
        <v>500</v>
      </c>
      <c r="C139" s="134" t="s">
        <v>501</v>
      </c>
      <c r="D139" s="137">
        <v>1</v>
      </c>
      <c r="E139" s="138">
        <v>123093316</v>
      </c>
      <c r="F139" s="138">
        <f>+E139*D139</f>
        <v>123093316</v>
      </c>
      <c r="G139" s="123"/>
      <c r="H139" s="124">
        <v>84</v>
      </c>
      <c r="I139" s="125"/>
    </row>
    <row r="140" spans="1:9" ht="12.75" customHeight="1">
      <c r="A140" s="151"/>
      <c r="B140" s="152"/>
      <c r="C140" s="153"/>
      <c r="D140" s="154"/>
      <c r="E140" s="155"/>
      <c r="F140" s="155"/>
      <c r="G140" s="123"/>
      <c r="H140" s="124"/>
      <c r="I140" s="125"/>
    </row>
    <row r="141" spans="1:9" ht="12.75" customHeight="1">
      <c r="A141" s="150"/>
      <c r="B141" s="135"/>
      <c r="C141" s="134"/>
      <c r="D141" s="137"/>
      <c r="E141" s="138"/>
      <c r="F141" s="138"/>
      <c r="G141" s="123"/>
      <c r="H141" s="124"/>
      <c r="I141" s="125"/>
    </row>
    <row r="142" spans="1:9" ht="12.75" customHeight="1">
      <c r="A142" s="1809" t="s">
        <v>387</v>
      </c>
      <c r="B142" s="1601"/>
      <c r="C142" s="1601"/>
      <c r="D142" s="1601"/>
      <c r="E142" s="1801"/>
      <c r="F142" s="143">
        <f>SUM(F139:F141)</f>
        <v>123093316</v>
      </c>
      <c r="G142" s="123"/>
      <c r="H142" s="124">
        <f>+F142*1.25</f>
        <v>153866645</v>
      </c>
      <c r="I142" s="125">
        <v>1215032249</v>
      </c>
    </row>
    <row r="143" spans="1:9" ht="12.75" hidden="1" customHeight="1">
      <c r="A143" s="129">
        <v>9</v>
      </c>
      <c r="B143" s="144" t="s">
        <v>502</v>
      </c>
      <c r="C143" s="145"/>
      <c r="D143" s="146"/>
      <c r="E143" s="133"/>
      <c r="F143" s="133"/>
      <c r="G143" s="123"/>
      <c r="H143" s="124"/>
      <c r="I143" s="125"/>
    </row>
    <row r="144" spans="1:9" ht="12.75" hidden="1" customHeight="1">
      <c r="A144" s="134" t="s">
        <v>134</v>
      </c>
      <c r="B144" s="135" t="s">
        <v>503</v>
      </c>
      <c r="C144" s="134" t="s">
        <v>228</v>
      </c>
      <c r="D144" s="137"/>
      <c r="E144" s="138">
        <v>49185</v>
      </c>
      <c r="F144" s="138">
        <f>+E144*D144</f>
        <v>0</v>
      </c>
      <c r="G144" s="123"/>
      <c r="H144" s="124"/>
      <c r="I144" s="125"/>
    </row>
    <row r="145" spans="1:9" ht="12.75" hidden="1" customHeight="1">
      <c r="A145" s="134" t="s">
        <v>136</v>
      </c>
      <c r="B145" s="135" t="s">
        <v>504</v>
      </c>
      <c r="C145" s="134" t="s">
        <v>228</v>
      </c>
      <c r="D145" s="137"/>
      <c r="E145" s="138">
        <v>54093</v>
      </c>
      <c r="F145" s="138">
        <f t="shared" ref="F145:F151" si="16">+D145*E145</f>
        <v>0</v>
      </c>
      <c r="G145" s="123"/>
      <c r="H145" s="124"/>
      <c r="I145" s="125"/>
    </row>
    <row r="146" spans="1:9" ht="12.75" hidden="1" customHeight="1">
      <c r="A146" s="134" t="s">
        <v>505</v>
      </c>
      <c r="B146" s="135" t="s">
        <v>506</v>
      </c>
      <c r="C146" s="134" t="s">
        <v>228</v>
      </c>
      <c r="D146" s="137"/>
      <c r="E146" s="138">
        <v>64628</v>
      </c>
      <c r="F146" s="138">
        <f t="shared" si="16"/>
        <v>0</v>
      </c>
      <c r="G146" s="123"/>
      <c r="H146" s="124"/>
      <c r="I146" s="125"/>
    </row>
    <row r="147" spans="1:9" ht="12.75" hidden="1" customHeight="1">
      <c r="A147" s="134" t="s">
        <v>507</v>
      </c>
      <c r="B147" s="135" t="s">
        <v>508</v>
      </c>
      <c r="C147" s="134" t="s">
        <v>120</v>
      </c>
      <c r="D147" s="137"/>
      <c r="E147" s="138">
        <v>20782</v>
      </c>
      <c r="F147" s="138">
        <f t="shared" si="16"/>
        <v>0</v>
      </c>
      <c r="G147" s="123"/>
      <c r="H147" s="124"/>
      <c r="I147" s="125"/>
    </row>
    <row r="148" spans="1:9" ht="12.75" hidden="1" customHeight="1">
      <c r="A148" s="134" t="s">
        <v>509</v>
      </c>
      <c r="B148" s="135" t="s">
        <v>510</v>
      </c>
      <c r="C148" s="134" t="s">
        <v>120</v>
      </c>
      <c r="D148" s="137"/>
      <c r="E148" s="138">
        <v>34003</v>
      </c>
      <c r="F148" s="138">
        <f t="shared" si="16"/>
        <v>0</v>
      </c>
      <c r="G148" s="123"/>
      <c r="H148" s="124"/>
      <c r="I148" s="125"/>
    </row>
    <row r="149" spans="1:9" ht="12.75" hidden="1" customHeight="1">
      <c r="A149" s="134" t="s">
        <v>511</v>
      </c>
      <c r="B149" s="135" t="s">
        <v>512</v>
      </c>
      <c r="C149" s="134" t="s">
        <v>228</v>
      </c>
      <c r="D149" s="137"/>
      <c r="E149" s="138">
        <v>4174</v>
      </c>
      <c r="F149" s="138">
        <f t="shared" si="16"/>
        <v>0</v>
      </c>
      <c r="G149" s="123"/>
      <c r="H149" s="124"/>
      <c r="I149" s="125"/>
    </row>
    <row r="150" spans="1:9" ht="12.75" hidden="1" customHeight="1">
      <c r="A150" s="134" t="s">
        <v>513</v>
      </c>
      <c r="B150" s="135" t="s">
        <v>514</v>
      </c>
      <c r="C150" s="134" t="s">
        <v>116</v>
      </c>
      <c r="D150" s="137"/>
      <c r="E150" s="138">
        <v>428133</v>
      </c>
      <c r="F150" s="138">
        <f t="shared" si="16"/>
        <v>0</v>
      </c>
      <c r="G150" s="123"/>
      <c r="H150" s="124"/>
      <c r="I150" s="125"/>
    </row>
    <row r="151" spans="1:9" ht="12.75" hidden="1" customHeight="1">
      <c r="A151" s="134" t="s">
        <v>515</v>
      </c>
      <c r="B151" s="135" t="s">
        <v>516</v>
      </c>
      <c r="C151" s="134" t="s">
        <v>228</v>
      </c>
      <c r="D151" s="137"/>
      <c r="E151" s="148">
        <v>11600</v>
      </c>
      <c r="F151" s="148">
        <f t="shared" si="16"/>
        <v>0</v>
      </c>
      <c r="G151" s="123"/>
      <c r="H151" s="124"/>
      <c r="I151" s="125"/>
    </row>
    <row r="152" spans="1:9" ht="12.75" hidden="1" customHeight="1">
      <c r="A152" s="1809" t="s">
        <v>387</v>
      </c>
      <c r="B152" s="1601"/>
      <c r="C152" s="1601"/>
      <c r="D152" s="1601"/>
      <c r="E152" s="1801"/>
      <c r="F152" s="143">
        <f>SUM(F144:F151)</f>
        <v>0</v>
      </c>
      <c r="G152" s="123"/>
      <c r="H152" s="125">
        <f>+F152*1.25</f>
        <v>0</v>
      </c>
      <c r="I152" s="156">
        <v>318113143</v>
      </c>
    </row>
    <row r="153" spans="1:9" ht="12.75" hidden="1" customHeight="1">
      <c r="A153" s="129">
        <v>10</v>
      </c>
      <c r="B153" s="144" t="s">
        <v>517</v>
      </c>
      <c r="C153" s="145"/>
      <c r="D153" s="146"/>
      <c r="E153" s="133"/>
      <c r="F153" s="133"/>
      <c r="G153" s="123"/>
      <c r="H153" s="124"/>
      <c r="I153" s="125"/>
    </row>
    <row r="154" spans="1:9" ht="12.75" hidden="1" customHeight="1">
      <c r="A154" s="134" t="s">
        <v>359</v>
      </c>
      <c r="B154" s="135" t="s">
        <v>518</v>
      </c>
      <c r="C154" s="134" t="s">
        <v>127</v>
      </c>
      <c r="D154" s="137"/>
      <c r="E154" s="138">
        <v>315425420</v>
      </c>
      <c r="F154" s="138">
        <f t="shared" ref="F154:F155" si="17">+D154*E154</f>
        <v>0</v>
      </c>
      <c r="G154" s="123"/>
      <c r="H154" s="124">
        <f>+F180*1.25</f>
        <v>0</v>
      </c>
      <c r="I154" s="125">
        <v>1211531105</v>
      </c>
    </row>
    <row r="155" spans="1:9" ht="12.75" hidden="1" customHeight="1">
      <c r="A155" s="134" t="s">
        <v>361</v>
      </c>
      <c r="B155" s="135" t="s">
        <v>519</v>
      </c>
      <c r="C155" s="134" t="s">
        <v>127</v>
      </c>
      <c r="D155" s="137"/>
      <c r="E155" s="138">
        <v>653799464</v>
      </c>
      <c r="F155" s="138">
        <f t="shared" si="17"/>
        <v>0</v>
      </c>
      <c r="G155" s="123"/>
      <c r="H155" s="124"/>
      <c r="I155" s="125"/>
    </row>
    <row r="156" spans="1:9" ht="12.75" hidden="1" customHeight="1">
      <c r="A156" s="134" t="s">
        <v>505</v>
      </c>
      <c r="B156" s="135" t="s">
        <v>85</v>
      </c>
      <c r="C156" s="134" t="s">
        <v>228</v>
      </c>
      <c r="D156" s="137"/>
      <c r="E156" s="138"/>
      <c r="F156" s="138"/>
      <c r="G156" s="123"/>
      <c r="H156" s="124"/>
      <c r="I156" s="125"/>
    </row>
    <row r="157" spans="1:9" ht="12.75" hidden="1" customHeight="1">
      <c r="A157" s="134" t="s">
        <v>507</v>
      </c>
      <c r="B157" s="135" t="s">
        <v>520</v>
      </c>
      <c r="C157" s="134" t="s">
        <v>127</v>
      </c>
      <c r="D157" s="137"/>
      <c r="E157" s="138"/>
      <c r="F157" s="138"/>
      <c r="G157" s="123"/>
      <c r="H157" s="124"/>
      <c r="I157" s="125"/>
    </row>
    <row r="158" spans="1:9" ht="12.75" hidden="1" customHeight="1">
      <c r="A158" s="134" t="s">
        <v>509</v>
      </c>
      <c r="B158" s="135" t="s">
        <v>521</v>
      </c>
      <c r="C158" s="134" t="s">
        <v>116</v>
      </c>
      <c r="D158" s="137"/>
      <c r="E158" s="138"/>
      <c r="F158" s="138"/>
      <c r="G158" s="123"/>
      <c r="H158" s="124"/>
      <c r="I158" s="125"/>
    </row>
    <row r="159" spans="1:9" ht="12.75" hidden="1" customHeight="1">
      <c r="A159" s="134" t="s">
        <v>511</v>
      </c>
      <c r="B159" s="135" t="s">
        <v>522</v>
      </c>
      <c r="C159" s="134" t="s">
        <v>228</v>
      </c>
      <c r="D159" s="137"/>
      <c r="E159" s="138"/>
      <c r="F159" s="138"/>
      <c r="G159" s="123"/>
      <c r="H159" s="124"/>
      <c r="I159" s="125"/>
    </row>
    <row r="160" spans="1:9" ht="12.75" hidden="1" customHeight="1">
      <c r="A160" s="134" t="s">
        <v>513</v>
      </c>
      <c r="B160" s="135" t="s">
        <v>94</v>
      </c>
      <c r="C160" s="134" t="s">
        <v>228</v>
      </c>
      <c r="D160" s="137"/>
      <c r="E160" s="138"/>
      <c r="F160" s="138"/>
      <c r="G160" s="123"/>
      <c r="H160" s="124"/>
      <c r="I160" s="125"/>
    </row>
    <row r="161" spans="1:8" ht="12.75" hidden="1" customHeight="1">
      <c r="A161" s="134"/>
      <c r="B161" s="149" t="s">
        <v>95</v>
      </c>
      <c r="C161" s="134"/>
      <c r="D161" s="137"/>
      <c r="E161" s="138"/>
      <c r="F161" s="138"/>
      <c r="G161" s="123"/>
      <c r="H161" s="124"/>
    </row>
    <row r="162" spans="1:8" ht="12.75" hidden="1" customHeight="1">
      <c r="A162" s="134" t="s">
        <v>515</v>
      </c>
      <c r="B162" s="135" t="s">
        <v>97</v>
      </c>
      <c r="C162" s="134" t="s">
        <v>127</v>
      </c>
      <c r="D162" s="137"/>
      <c r="E162" s="138"/>
      <c r="F162" s="138"/>
      <c r="G162" s="123"/>
      <c r="H162" s="124"/>
    </row>
    <row r="163" spans="1:8" ht="27" hidden="1" customHeight="1">
      <c r="A163" s="134" t="s">
        <v>523</v>
      </c>
      <c r="B163" s="135" t="s">
        <v>524</v>
      </c>
      <c r="C163" s="134" t="s">
        <v>127</v>
      </c>
      <c r="D163" s="137"/>
      <c r="E163" s="138"/>
      <c r="F163" s="138"/>
      <c r="G163" s="123"/>
      <c r="H163" s="124"/>
    </row>
    <row r="164" spans="1:8" ht="12.75" hidden="1" customHeight="1">
      <c r="A164" s="134"/>
      <c r="B164" s="149" t="s">
        <v>100</v>
      </c>
      <c r="C164" s="134"/>
      <c r="D164" s="137"/>
      <c r="E164" s="138"/>
      <c r="F164" s="138"/>
      <c r="G164" s="123"/>
      <c r="H164" s="124"/>
    </row>
    <row r="165" spans="1:8" ht="12.75" hidden="1" customHeight="1">
      <c r="A165" s="134" t="s">
        <v>525</v>
      </c>
      <c r="B165" s="135" t="s">
        <v>526</v>
      </c>
      <c r="C165" s="134" t="s">
        <v>120</v>
      </c>
      <c r="D165" s="137"/>
      <c r="E165" s="138"/>
      <c r="F165" s="138"/>
      <c r="G165" s="123"/>
      <c r="H165" s="124"/>
    </row>
    <row r="166" spans="1:8" ht="12.75" hidden="1" customHeight="1">
      <c r="A166" s="134" t="s">
        <v>527</v>
      </c>
      <c r="B166" s="135" t="s">
        <v>528</v>
      </c>
      <c r="C166" s="134" t="s">
        <v>120</v>
      </c>
      <c r="D166" s="137"/>
      <c r="E166" s="138"/>
      <c r="F166" s="138"/>
      <c r="G166" s="123"/>
      <c r="H166" s="124"/>
    </row>
    <row r="167" spans="1:8" ht="12.75" hidden="1" customHeight="1">
      <c r="A167" s="134" t="s">
        <v>529</v>
      </c>
      <c r="B167" s="135" t="s">
        <v>111</v>
      </c>
      <c r="C167" s="134" t="s">
        <v>127</v>
      </c>
      <c r="D167" s="137"/>
      <c r="E167" s="138"/>
      <c r="F167" s="138"/>
      <c r="G167" s="123"/>
      <c r="H167" s="124"/>
    </row>
    <row r="168" spans="1:8" ht="12.75" hidden="1" customHeight="1">
      <c r="A168" s="134" t="s">
        <v>530</v>
      </c>
      <c r="B168" s="135" t="s">
        <v>531</v>
      </c>
      <c r="C168" s="134" t="s">
        <v>127</v>
      </c>
      <c r="D168" s="137"/>
      <c r="E168" s="138"/>
      <c r="F168" s="138"/>
      <c r="G168" s="123"/>
      <c r="H168" s="124"/>
    </row>
    <row r="169" spans="1:8" ht="12.75" hidden="1" customHeight="1">
      <c r="A169" s="150"/>
      <c r="B169" s="149" t="s">
        <v>532</v>
      </c>
      <c r="C169" s="134"/>
      <c r="D169" s="137"/>
      <c r="E169" s="138"/>
      <c r="F169" s="138"/>
      <c r="G169" s="123"/>
      <c r="H169" s="124"/>
    </row>
    <row r="170" spans="1:8" ht="12.75" hidden="1" customHeight="1">
      <c r="A170" s="134" t="s">
        <v>533</v>
      </c>
      <c r="B170" s="135" t="s">
        <v>534</v>
      </c>
      <c r="C170" s="134" t="s">
        <v>120</v>
      </c>
      <c r="D170" s="137"/>
      <c r="E170" s="138"/>
      <c r="F170" s="138"/>
      <c r="G170" s="123"/>
      <c r="H170" s="124"/>
    </row>
    <row r="171" spans="1:8" ht="12.75" hidden="1" customHeight="1">
      <c r="A171" s="150" t="s">
        <v>535</v>
      </c>
      <c r="B171" s="135" t="s">
        <v>536</v>
      </c>
      <c r="C171" s="134" t="s">
        <v>120</v>
      </c>
      <c r="D171" s="137"/>
      <c r="E171" s="138"/>
      <c r="F171" s="138"/>
      <c r="G171" s="123"/>
      <c r="H171" s="124"/>
    </row>
    <row r="172" spans="1:8" ht="12.75" hidden="1" customHeight="1">
      <c r="A172" s="134" t="s">
        <v>537</v>
      </c>
      <c r="B172" s="135" t="s">
        <v>538</v>
      </c>
      <c r="C172" s="134" t="s">
        <v>120</v>
      </c>
      <c r="D172" s="137"/>
      <c r="E172" s="138"/>
      <c r="F172" s="138"/>
      <c r="G172" s="123"/>
      <c r="H172" s="124"/>
    </row>
    <row r="173" spans="1:8" ht="12.75" hidden="1" customHeight="1">
      <c r="A173" s="150" t="s">
        <v>539</v>
      </c>
      <c r="B173" s="135" t="s">
        <v>124</v>
      </c>
      <c r="C173" s="134" t="s">
        <v>120</v>
      </c>
      <c r="D173" s="137"/>
      <c r="E173" s="138"/>
      <c r="F173" s="138"/>
      <c r="G173" s="123"/>
      <c r="H173" s="124"/>
    </row>
    <row r="174" spans="1:8" ht="12.75" hidden="1" customHeight="1">
      <c r="A174" s="134" t="s">
        <v>540</v>
      </c>
      <c r="B174" s="135" t="s">
        <v>541</v>
      </c>
      <c r="C174" s="134" t="s">
        <v>127</v>
      </c>
      <c r="D174" s="137"/>
      <c r="E174" s="138"/>
      <c r="F174" s="138"/>
      <c r="G174" s="123"/>
      <c r="H174" s="124"/>
    </row>
    <row r="175" spans="1:8" ht="12.75" hidden="1" customHeight="1">
      <c r="A175" s="150" t="s">
        <v>542</v>
      </c>
      <c r="B175" s="135" t="s">
        <v>543</v>
      </c>
      <c r="C175" s="134" t="s">
        <v>228</v>
      </c>
      <c r="D175" s="137"/>
      <c r="E175" s="138"/>
      <c r="F175" s="138"/>
      <c r="G175" s="123"/>
      <c r="H175" s="124" t="e">
        <v>#REF!</v>
      </c>
    </row>
    <row r="176" spans="1:8" ht="12.75" hidden="1" customHeight="1">
      <c r="A176" s="134" t="s">
        <v>544</v>
      </c>
      <c r="B176" s="135" t="s">
        <v>545</v>
      </c>
      <c r="C176" s="134" t="s">
        <v>228</v>
      </c>
      <c r="D176" s="137"/>
      <c r="E176" s="138"/>
      <c r="F176" s="138"/>
      <c r="G176" s="123"/>
      <c r="H176" s="124"/>
    </row>
    <row r="177" spans="1:9" ht="12.75" hidden="1" customHeight="1">
      <c r="A177" s="150" t="s">
        <v>546</v>
      </c>
      <c r="B177" s="135" t="s">
        <v>547</v>
      </c>
      <c r="C177" s="134" t="s">
        <v>127</v>
      </c>
      <c r="D177" s="137"/>
      <c r="E177" s="138"/>
      <c r="F177" s="138"/>
      <c r="G177" s="123"/>
      <c r="H177" s="124">
        <f>112.6+112.6+(32.6*6)</f>
        <v>420.8</v>
      </c>
      <c r="I177" s="125">
        <f>+H177*198520</f>
        <v>83537216</v>
      </c>
    </row>
    <row r="178" spans="1:9" ht="12.75" hidden="1" customHeight="1">
      <c r="A178" s="134" t="s">
        <v>548</v>
      </c>
      <c r="B178" s="135" t="s">
        <v>549</v>
      </c>
      <c r="C178" s="134" t="s">
        <v>127</v>
      </c>
      <c r="D178" s="137"/>
      <c r="E178" s="138"/>
      <c r="F178" s="138"/>
      <c r="G178" s="123"/>
      <c r="H178" s="124">
        <f>112.6*15</f>
        <v>1689</v>
      </c>
      <c r="I178" s="125">
        <f>+H178*62550</f>
        <v>105646950</v>
      </c>
    </row>
    <row r="179" spans="1:9" ht="12.75" hidden="1" customHeight="1">
      <c r="A179" s="150"/>
      <c r="B179" s="135"/>
      <c r="C179" s="134"/>
      <c r="D179" s="137"/>
      <c r="E179" s="138"/>
      <c r="F179" s="138"/>
      <c r="G179" s="123"/>
      <c r="H179" s="124"/>
      <c r="I179" s="125"/>
    </row>
    <row r="180" spans="1:9" ht="12.75" hidden="1" customHeight="1">
      <c r="A180" s="1809" t="s">
        <v>387</v>
      </c>
      <c r="B180" s="1601"/>
      <c r="C180" s="1601"/>
      <c r="D180" s="1601"/>
      <c r="E180" s="1801"/>
      <c r="F180" s="143">
        <f>SUM(F154:F179)</f>
        <v>0</v>
      </c>
      <c r="G180" s="123"/>
      <c r="H180" s="124"/>
      <c r="I180" s="125"/>
    </row>
    <row r="181" spans="1:9" ht="12.75" hidden="1" customHeight="1">
      <c r="A181" s="129">
        <v>11</v>
      </c>
      <c r="B181" s="144" t="s">
        <v>550</v>
      </c>
      <c r="C181" s="145"/>
      <c r="D181" s="146"/>
      <c r="E181" s="133"/>
      <c r="F181" s="133"/>
      <c r="G181" s="123"/>
      <c r="H181" s="124"/>
      <c r="I181" s="125"/>
    </row>
    <row r="182" spans="1:9" ht="12.75" hidden="1" customHeight="1">
      <c r="A182" s="134" t="s">
        <v>363</v>
      </c>
      <c r="B182" s="135" t="s">
        <v>551</v>
      </c>
      <c r="C182" s="134" t="s">
        <v>127</v>
      </c>
      <c r="D182" s="137">
        <v>1</v>
      </c>
      <c r="E182" s="138"/>
      <c r="F182" s="138">
        <f>+D182*E182</f>
        <v>0</v>
      </c>
      <c r="G182" s="123"/>
      <c r="H182" s="124">
        <f>+F184*1.25</f>
        <v>0</v>
      </c>
      <c r="I182" s="125">
        <v>113270454</v>
      </c>
    </row>
    <row r="183" spans="1:9" ht="12.75" hidden="1" customHeight="1">
      <c r="A183" s="150"/>
      <c r="B183" s="135"/>
      <c r="C183" s="134"/>
      <c r="D183" s="137"/>
      <c r="E183" s="138"/>
      <c r="F183" s="138"/>
      <c r="G183" s="123"/>
      <c r="H183" s="124"/>
      <c r="I183" s="125"/>
    </row>
    <row r="184" spans="1:9" ht="12.75" hidden="1" customHeight="1">
      <c r="A184" s="1809" t="s">
        <v>387</v>
      </c>
      <c r="B184" s="1601"/>
      <c r="C184" s="1601"/>
      <c r="D184" s="1601"/>
      <c r="E184" s="1801"/>
      <c r="F184" s="143">
        <f>SUM(F182:F183)</f>
        <v>0</v>
      </c>
      <c r="G184" s="123"/>
      <c r="H184" s="124"/>
      <c r="I184" s="125"/>
    </row>
    <row r="185" spans="1:9" ht="12.75" customHeight="1">
      <c r="A185" s="157"/>
      <c r="B185" s="158"/>
      <c r="C185" s="159"/>
      <c r="D185" s="160"/>
      <c r="E185" s="159"/>
      <c r="F185" s="161"/>
      <c r="G185" s="123"/>
      <c r="H185" s="124"/>
      <c r="I185" s="125"/>
    </row>
    <row r="186" spans="1:9" ht="12.75" customHeight="1">
      <c r="A186" s="162"/>
      <c r="B186" s="163"/>
      <c r="C186" s="1810" t="s">
        <v>552</v>
      </c>
      <c r="D186" s="1811"/>
      <c r="E186" s="1812"/>
      <c r="F186" s="164" t="e">
        <f>+F19+F33+F50+F67+F72+F93+F137+F142+F152+F180+F184</f>
        <v>#REF!</v>
      </c>
      <c r="G186" s="123"/>
      <c r="H186" s="124"/>
      <c r="I186" s="125"/>
    </row>
    <row r="187" spans="1:9" ht="12.75" customHeight="1">
      <c r="A187" s="162"/>
      <c r="B187" s="163"/>
      <c r="C187" s="1813" t="s">
        <v>553</v>
      </c>
      <c r="D187" s="1814"/>
      <c r="E187" s="165">
        <v>0.25</v>
      </c>
      <c r="F187" s="166" t="e">
        <f>+F186*25%</f>
        <v>#REF!</v>
      </c>
      <c r="G187" s="123"/>
      <c r="H187" s="124"/>
      <c r="I187" s="125"/>
    </row>
    <row r="188" spans="1:9" ht="12.75" customHeight="1">
      <c r="A188" s="162"/>
      <c r="B188" s="163"/>
      <c r="C188" s="1806" t="s">
        <v>554</v>
      </c>
      <c r="D188" s="1807"/>
      <c r="E188" s="1808"/>
      <c r="F188" s="167" t="e">
        <f>+F187+F186</f>
        <v>#REF!</v>
      </c>
      <c r="G188" s="123"/>
      <c r="H188" s="124"/>
      <c r="I188" s="125"/>
    </row>
    <row r="189" spans="1:9" ht="12.75" customHeight="1">
      <c r="A189" s="162"/>
      <c r="B189" s="168"/>
      <c r="C189" s="169"/>
      <c r="D189" s="170"/>
      <c r="E189" s="171"/>
      <c r="F189" s="171"/>
      <c r="G189" s="123"/>
      <c r="H189" s="124"/>
      <c r="I189" s="172"/>
    </row>
    <row r="190" spans="1:9" ht="12.75" customHeight="1">
      <c r="A190" s="162"/>
      <c r="B190" s="162"/>
      <c r="C190" s="1815" t="s">
        <v>555</v>
      </c>
      <c r="D190" s="1601"/>
      <c r="E190" s="1602"/>
      <c r="F190" s="166" t="e">
        <f>+F188*7%</f>
        <v>#REF!</v>
      </c>
      <c r="G190" s="123"/>
      <c r="H190" s="124"/>
      <c r="I190" s="125"/>
    </row>
    <row r="191" spans="1:9" ht="32.25" customHeight="1">
      <c r="A191" s="162"/>
      <c r="B191" s="162"/>
      <c r="C191" s="1805" t="s">
        <v>556</v>
      </c>
      <c r="D191" s="1601"/>
      <c r="E191" s="1602"/>
      <c r="F191" s="166">
        <v>234606835</v>
      </c>
      <c r="G191" s="123"/>
      <c r="H191" s="124"/>
      <c r="I191" s="125"/>
    </row>
    <row r="192" spans="1:9" ht="12.75" customHeight="1">
      <c r="A192" s="169"/>
      <c r="B192" s="169"/>
      <c r="C192" s="1806" t="s">
        <v>557</v>
      </c>
      <c r="D192" s="1807"/>
      <c r="E192" s="1808"/>
      <c r="F192" s="167" t="e">
        <f>+F190+F188+F191</f>
        <v>#REF!</v>
      </c>
      <c r="G192" s="123"/>
      <c r="H192" s="124"/>
      <c r="I192" s="174"/>
    </row>
    <row r="196" spans="1:1" ht="12.75" customHeight="1">
      <c r="A196" s="168" t="s">
        <v>558</v>
      </c>
    </row>
    <row r="197" spans="1:1" ht="12.75" customHeight="1">
      <c r="A197" s="76" t="s">
        <v>559</v>
      </c>
    </row>
    <row r="198" spans="1:1" ht="12.75" customHeight="1">
      <c r="A198" s="76" t="s">
        <v>560</v>
      </c>
    </row>
  </sheetData>
  <mergeCells count="24">
    <mergeCell ref="A1:F1"/>
    <mergeCell ref="A2:F2"/>
    <mergeCell ref="A3:F3"/>
    <mergeCell ref="A4:F4"/>
    <mergeCell ref="A5:F5"/>
    <mergeCell ref="A6:F6"/>
    <mergeCell ref="A8:F8"/>
    <mergeCell ref="A19:E19"/>
    <mergeCell ref="A33:E33"/>
    <mergeCell ref="A50:E50"/>
    <mergeCell ref="A67:E67"/>
    <mergeCell ref="A72:E72"/>
    <mergeCell ref="A93:E93"/>
    <mergeCell ref="A137:E137"/>
    <mergeCell ref="C190:E190"/>
    <mergeCell ref="C191:E191"/>
    <mergeCell ref="C192:E192"/>
    <mergeCell ref="A142:E142"/>
    <mergeCell ref="A152:E152"/>
    <mergeCell ref="A180:E180"/>
    <mergeCell ref="A184:E184"/>
    <mergeCell ref="C186:E186"/>
    <mergeCell ref="C187:D187"/>
    <mergeCell ref="C188:E188"/>
  </mergeCells>
  <printOptions horizontalCentered="1"/>
  <pageMargins left="0.70866141732283472" right="0.59055118110236227" top="0.82677165354330717" bottom="0.70866141732283472" header="0" footer="0"/>
  <pageSetup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IV1417"/>
  <sheetViews>
    <sheetView workbookViewId="0"/>
  </sheetViews>
  <sheetFormatPr baseColWidth="10" defaultColWidth="14.44140625" defaultRowHeight="15" customHeight="1"/>
  <cols>
    <col min="1" max="1" width="19.88671875" customWidth="1"/>
    <col min="2" max="4" width="15.33203125" customWidth="1"/>
    <col min="5" max="6" width="11.44140625" customWidth="1"/>
    <col min="7" max="7" width="14.109375" customWidth="1"/>
    <col min="8" max="8" width="11.44140625" customWidth="1"/>
    <col min="9" max="9" width="11.88671875" customWidth="1"/>
    <col min="10" max="10" width="14.5546875" customWidth="1"/>
    <col min="11" max="11" width="16.33203125" customWidth="1"/>
    <col min="12" max="256" width="11.44140625" customWidth="1"/>
  </cols>
  <sheetData>
    <row r="2" spans="1:11" ht="14.25" customHeight="1">
      <c r="A2" s="1854"/>
      <c r="B2" s="1857" t="s">
        <v>373</v>
      </c>
      <c r="C2" s="1830"/>
      <c r="D2" s="1828"/>
      <c r="E2" s="1858" t="s">
        <v>561</v>
      </c>
      <c r="F2" s="1859"/>
      <c r="G2" s="1843"/>
      <c r="H2" s="59"/>
      <c r="I2" s="60"/>
      <c r="J2" s="60"/>
      <c r="K2" s="61"/>
    </row>
    <row r="3" spans="1:11" ht="14.25" customHeight="1">
      <c r="A3" s="1855"/>
      <c r="B3" s="1848" t="s">
        <v>562</v>
      </c>
      <c r="C3" s="1859"/>
      <c r="D3" s="1843"/>
      <c r="E3" s="1620"/>
      <c r="F3" s="1621"/>
      <c r="G3" s="1622"/>
      <c r="H3" s="59"/>
      <c r="I3" s="60"/>
      <c r="J3" s="60"/>
      <c r="K3" s="61"/>
    </row>
    <row r="4" spans="1:11" ht="14.25" customHeight="1">
      <c r="A4" s="1855"/>
      <c r="B4" s="1620"/>
      <c r="C4" s="1621"/>
      <c r="D4" s="1622"/>
      <c r="E4" s="1829"/>
      <c r="F4" s="1830"/>
      <c r="G4" s="1828"/>
      <c r="H4" s="59"/>
      <c r="I4" s="60"/>
      <c r="J4" s="60"/>
      <c r="K4" s="61"/>
    </row>
    <row r="5" spans="1:11" ht="30.75" customHeight="1">
      <c r="A5" s="1856"/>
      <c r="B5" s="1860" t="s">
        <v>563</v>
      </c>
      <c r="C5" s="1830"/>
      <c r="D5" s="1828"/>
      <c r="E5" s="1829" t="s">
        <v>564</v>
      </c>
      <c r="F5" s="1830"/>
      <c r="G5" s="1828"/>
      <c r="H5" s="59"/>
      <c r="I5" s="60"/>
      <c r="J5" s="60"/>
      <c r="K5" s="61"/>
    </row>
    <row r="6" spans="1:11" ht="40.5" customHeight="1">
      <c r="A6" s="1860" t="s">
        <v>565</v>
      </c>
      <c r="B6" s="1830"/>
      <c r="C6" s="1830"/>
      <c r="D6" s="1830"/>
      <c r="E6" s="1830"/>
      <c r="F6" s="1830"/>
      <c r="G6" s="1828"/>
      <c r="H6" s="59"/>
      <c r="I6" s="60"/>
      <c r="J6" s="60"/>
      <c r="K6" s="61"/>
    </row>
    <row r="7" spans="1:11" ht="14.25" hidden="1" customHeight="1">
      <c r="A7" s="66" t="s">
        <v>217</v>
      </c>
      <c r="B7" s="1832" t="s">
        <v>379</v>
      </c>
      <c r="C7" s="1830"/>
      <c r="D7" s="1828"/>
      <c r="E7" s="1833" t="s">
        <v>218</v>
      </c>
      <c r="F7" s="1828"/>
      <c r="G7" s="62" t="s">
        <v>228</v>
      </c>
      <c r="H7" s="59"/>
      <c r="I7" s="60"/>
      <c r="J7" s="60"/>
      <c r="K7" s="61"/>
    </row>
    <row r="8" spans="1:11" ht="14.25" hidden="1" customHeight="1">
      <c r="A8" s="66" t="s">
        <v>219</v>
      </c>
      <c r="B8" s="1840" t="s">
        <v>566</v>
      </c>
      <c r="C8" s="1830"/>
      <c r="D8" s="1830"/>
      <c r="E8" s="1830"/>
      <c r="F8" s="1830"/>
      <c r="G8" s="1828"/>
      <c r="H8" s="59"/>
      <c r="I8" s="60"/>
      <c r="J8" s="60"/>
      <c r="K8" s="61"/>
    </row>
    <row r="9" spans="1:11" ht="14.25" hidden="1" customHeight="1">
      <c r="A9" s="1836" t="s">
        <v>220</v>
      </c>
      <c r="B9" s="1830"/>
      <c r="C9" s="1830"/>
      <c r="D9" s="1830"/>
      <c r="E9" s="1830"/>
      <c r="F9" s="1830"/>
      <c r="G9" s="1828"/>
      <c r="H9" s="59"/>
      <c r="I9" s="60"/>
      <c r="J9" s="60"/>
      <c r="K9" s="61"/>
    </row>
    <row r="10" spans="1:11" ht="14.25" hidden="1" customHeight="1">
      <c r="A10" s="1829" t="s">
        <v>221</v>
      </c>
      <c r="B10" s="1828"/>
      <c r="C10" s="63" t="s">
        <v>222</v>
      </c>
      <c r="D10" s="63" t="s">
        <v>223</v>
      </c>
      <c r="E10" s="63" t="s">
        <v>224</v>
      </c>
      <c r="F10" s="63" t="s">
        <v>225</v>
      </c>
      <c r="G10" s="63" t="s">
        <v>226</v>
      </c>
      <c r="H10" s="59"/>
      <c r="I10" s="60"/>
      <c r="J10" s="60"/>
      <c r="K10" s="61"/>
    </row>
    <row r="11" spans="1:11" ht="14.25" hidden="1" customHeight="1">
      <c r="A11" s="1844" t="s">
        <v>567</v>
      </c>
      <c r="B11" s="1828"/>
      <c r="C11" s="64">
        <v>111.37</v>
      </c>
      <c r="D11" s="64">
        <v>76.22</v>
      </c>
      <c r="E11" s="64"/>
      <c r="F11" s="64">
        <v>1</v>
      </c>
      <c r="G11" s="64">
        <f>+ROUND(C11*D11,2)</f>
        <v>8488.6200000000008</v>
      </c>
      <c r="H11" s="59"/>
      <c r="I11" s="60">
        <f>+PPTOETAPAS!F7</f>
        <v>40261694</v>
      </c>
      <c r="J11" s="60"/>
      <c r="K11" s="61">
        <f>10812.64+3314.27</f>
        <v>14126.91</v>
      </c>
    </row>
    <row r="12" spans="1:11" ht="14.25" hidden="1" customHeight="1">
      <c r="A12" s="1845"/>
      <c r="B12" s="1828"/>
      <c r="C12" s="64"/>
      <c r="D12" s="64"/>
      <c r="E12" s="64"/>
      <c r="F12" s="64"/>
      <c r="G12" s="64"/>
      <c r="H12" s="59"/>
      <c r="I12" s="60">
        <f>+G35*24550</f>
        <v>0</v>
      </c>
      <c r="J12" s="60"/>
      <c r="K12" s="61"/>
    </row>
    <row r="13" spans="1:11" ht="14.25" hidden="1" customHeight="1">
      <c r="A13" s="1829" t="s">
        <v>227</v>
      </c>
      <c r="B13" s="1830"/>
      <c r="C13" s="1830"/>
      <c r="D13" s="1830"/>
      <c r="E13" s="1830"/>
      <c r="F13" s="1828"/>
      <c r="G13" s="65"/>
      <c r="H13" s="59"/>
      <c r="I13" s="60">
        <f>+G49*14750</f>
        <v>0</v>
      </c>
      <c r="J13" s="60"/>
      <c r="K13" s="61"/>
    </row>
    <row r="14" spans="1:11" ht="14.25" hidden="1" customHeight="1">
      <c r="A14" s="1861"/>
      <c r="B14" s="1830"/>
      <c r="C14" s="1830"/>
      <c r="D14" s="1830"/>
      <c r="E14" s="1830"/>
      <c r="F14" s="1830"/>
      <c r="G14" s="1828"/>
      <c r="H14" s="59"/>
      <c r="I14" s="60">
        <f>+G63*17550</f>
        <v>0</v>
      </c>
      <c r="J14" s="60"/>
      <c r="K14" s="61"/>
    </row>
    <row r="15" spans="1:11" ht="14.25" hidden="1" customHeight="1">
      <c r="A15" s="1837"/>
      <c r="B15" s="1838"/>
      <c r="C15" s="1838"/>
      <c r="D15" s="1838"/>
      <c r="E15" s="1838"/>
      <c r="F15" s="1838"/>
      <c r="G15" s="1839"/>
      <c r="H15" s="59"/>
      <c r="I15" s="60">
        <f>+G89*25000</f>
        <v>0</v>
      </c>
      <c r="J15" s="60"/>
      <c r="K15" s="61"/>
    </row>
    <row r="16" spans="1:11" ht="14.25" hidden="1" customHeight="1">
      <c r="A16" s="66" t="str">
        <f>+$A$7</f>
        <v>CAPITULO 1:</v>
      </c>
      <c r="B16" s="1832" t="str">
        <f>+$B$7</f>
        <v>ACTIVIDADES PRELIMINARES</v>
      </c>
      <c r="C16" s="1830"/>
      <c r="D16" s="1828"/>
      <c r="E16" s="1833" t="s">
        <v>218</v>
      </c>
      <c r="F16" s="1828"/>
      <c r="G16" s="62" t="s">
        <v>116</v>
      </c>
      <c r="H16" s="59"/>
      <c r="I16" s="60">
        <f>+G98*27550</f>
        <v>0</v>
      </c>
      <c r="J16" s="60"/>
      <c r="K16" s="61"/>
    </row>
    <row r="17" spans="1:11" ht="30.75" hidden="1" customHeight="1">
      <c r="A17" s="66" t="s">
        <v>229</v>
      </c>
      <c r="B17" s="1840" t="s">
        <v>568</v>
      </c>
      <c r="C17" s="1830"/>
      <c r="D17" s="1830"/>
      <c r="E17" s="1830"/>
      <c r="F17" s="1830"/>
      <c r="G17" s="1828"/>
      <c r="H17" s="59"/>
      <c r="I17" s="60">
        <f>+G124*30550</f>
        <v>7644832</v>
      </c>
      <c r="J17" s="60"/>
      <c r="K17" s="61"/>
    </row>
    <row r="18" spans="1:11" ht="14.25" hidden="1" customHeight="1">
      <c r="A18" s="1836" t="s">
        <v>220</v>
      </c>
      <c r="B18" s="1830"/>
      <c r="C18" s="1830"/>
      <c r="D18" s="1830"/>
      <c r="E18" s="1830"/>
      <c r="F18" s="1830"/>
      <c r="G18" s="1828"/>
      <c r="H18" s="59"/>
      <c r="I18" s="60">
        <f>+G135*56500</f>
        <v>0</v>
      </c>
      <c r="J18" s="60"/>
      <c r="K18" s="61"/>
    </row>
    <row r="19" spans="1:11" ht="14.25" hidden="1" customHeight="1">
      <c r="A19" s="1829" t="s">
        <v>221</v>
      </c>
      <c r="B19" s="1828"/>
      <c r="C19" s="63" t="s">
        <v>222</v>
      </c>
      <c r="D19" s="63" t="s">
        <v>223</v>
      </c>
      <c r="E19" s="63" t="s">
        <v>224</v>
      </c>
      <c r="F19" s="63" t="s">
        <v>225</v>
      </c>
      <c r="G19" s="63" t="s">
        <v>226</v>
      </c>
      <c r="H19" s="59"/>
      <c r="I19" s="60">
        <f>ROUND(SUM(I11:I18),0)</f>
        <v>47906526</v>
      </c>
      <c r="J19" s="60" t="s">
        <v>230</v>
      </c>
      <c r="K19" s="61"/>
    </row>
    <row r="20" spans="1:11" ht="14.25" hidden="1" customHeight="1">
      <c r="A20" s="1847" t="s">
        <v>569</v>
      </c>
      <c r="B20" s="1828"/>
      <c r="C20" s="64"/>
      <c r="D20" s="64"/>
      <c r="E20" s="64"/>
      <c r="F20" s="64"/>
      <c r="G20" s="64"/>
      <c r="H20" s="59"/>
      <c r="I20" s="60"/>
      <c r="J20" s="60"/>
      <c r="K20" s="61"/>
    </row>
    <row r="21" spans="1:11" ht="14.25" hidden="1" customHeight="1">
      <c r="A21" s="1845" t="s">
        <v>570</v>
      </c>
      <c r="B21" s="1828"/>
      <c r="C21" s="64">
        <f>120.53+71.17+36.41+9.12+26.18</f>
        <v>263.40999999999997</v>
      </c>
      <c r="D21" s="64">
        <v>0.1</v>
      </c>
      <c r="E21" s="64">
        <v>0.1</v>
      </c>
      <c r="F21" s="64">
        <v>1</v>
      </c>
      <c r="G21" s="64">
        <f t="shared" ref="G21:G23" si="0">+C21*D21*E21*F21</f>
        <v>2.6341000000000001</v>
      </c>
      <c r="H21" s="59"/>
      <c r="I21" s="60"/>
      <c r="J21" s="60"/>
      <c r="K21" s="61"/>
    </row>
    <row r="22" spans="1:11" ht="14.25" hidden="1" customHeight="1">
      <c r="A22" s="1845" t="s">
        <v>571</v>
      </c>
      <c r="B22" s="1828"/>
      <c r="C22" s="64">
        <f>+C21</f>
        <v>263.40999999999997</v>
      </c>
      <c r="D22" s="64">
        <v>0.25</v>
      </c>
      <c r="E22" s="64">
        <v>0.25</v>
      </c>
      <c r="F22" s="64">
        <v>1</v>
      </c>
      <c r="G22" s="64">
        <f t="shared" si="0"/>
        <v>16.463124999999998</v>
      </c>
      <c r="H22" s="59"/>
      <c r="I22" s="60"/>
      <c r="J22" s="60"/>
      <c r="K22" s="61"/>
    </row>
    <row r="23" spans="1:11" ht="14.25" hidden="1" customHeight="1">
      <c r="A23" s="1845" t="s">
        <v>572</v>
      </c>
      <c r="B23" s="1828"/>
      <c r="C23" s="64">
        <v>0.8</v>
      </c>
      <c r="D23" s="64">
        <v>0.25</v>
      </c>
      <c r="E23" s="64">
        <v>0.25</v>
      </c>
      <c r="F23" s="64">
        <f>+ROUND(C22/3,0)</f>
        <v>88</v>
      </c>
      <c r="G23" s="64">
        <f t="shared" si="0"/>
        <v>4.4000000000000004</v>
      </c>
      <c r="H23" s="59"/>
      <c r="I23" s="60"/>
      <c r="J23" s="60"/>
      <c r="K23" s="61"/>
    </row>
    <row r="24" spans="1:11" ht="14.25" hidden="1" customHeight="1">
      <c r="A24" s="1847" t="s">
        <v>573</v>
      </c>
      <c r="B24" s="1828"/>
      <c r="C24" s="64"/>
      <c r="D24" s="64"/>
      <c r="E24" s="64"/>
      <c r="F24" s="64"/>
      <c r="G24" s="64"/>
      <c r="H24" s="59"/>
      <c r="I24" s="60"/>
      <c r="J24" s="60"/>
      <c r="K24" s="61"/>
    </row>
    <row r="25" spans="1:11" ht="14.25" hidden="1" customHeight="1">
      <c r="A25" s="1845" t="s">
        <v>574</v>
      </c>
      <c r="B25" s="1828"/>
      <c r="C25" s="64">
        <f>20+9.72+12.2+40.6+20+10.6+20+12.2+9.8+14.43+7.8+12.4+5.1+9.6+3.3+3.3+3.1+2+17.9+(1.25*7)+0.9+8.05+5.45+1.1+3.3+20+6.15+(6.75*3)+7.45+2.65+2.65+5+1.55</f>
        <v>327.3</v>
      </c>
      <c r="D25" s="64">
        <v>0.3</v>
      </c>
      <c r="E25" s="64">
        <v>0.3</v>
      </c>
      <c r="F25" s="64">
        <v>2</v>
      </c>
      <c r="G25" s="64">
        <f t="shared" ref="G25:G27" si="1">+C25*D25*E25*F25</f>
        <v>58.913999999999994</v>
      </c>
      <c r="H25" s="59"/>
      <c r="I25" s="60"/>
      <c r="J25" s="60"/>
      <c r="K25" s="61"/>
    </row>
    <row r="26" spans="1:11" ht="14.25" hidden="1" customHeight="1">
      <c r="A26" s="1845" t="s">
        <v>575</v>
      </c>
      <c r="B26" s="1828"/>
      <c r="C26" s="64">
        <v>7.35</v>
      </c>
      <c r="D26" s="64">
        <v>0.3</v>
      </c>
      <c r="E26" s="64">
        <v>0.3</v>
      </c>
      <c r="F26" s="64">
        <v>40</v>
      </c>
      <c r="G26" s="64">
        <f t="shared" si="1"/>
        <v>26.459999999999994</v>
      </c>
      <c r="H26" s="59"/>
      <c r="I26" s="60"/>
      <c r="J26" s="60"/>
      <c r="K26" s="61"/>
    </row>
    <row r="27" spans="1:11" ht="15" hidden="1" customHeight="1">
      <c r="A27" s="1845" t="s">
        <v>576</v>
      </c>
      <c r="B27" s="1828"/>
      <c r="C27" s="64">
        <v>1.2</v>
      </c>
      <c r="D27" s="64">
        <v>1.2</v>
      </c>
      <c r="E27" s="64">
        <v>0.3</v>
      </c>
      <c r="F27" s="64">
        <v>40</v>
      </c>
      <c r="G27" s="64">
        <f t="shared" si="1"/>
        <v>17.28</v>
      </c>
      <c r="H27" s="59"/>
      <c r="I27" s="60"/>
      <c r="J27" s="60"/>
      <c r="K27" s="61"/>
    </row>
    <row r="28" spans="1:11" ht="14.25" hidden="1" customHeight="1">
      <c r="A28" s="1847" t="s">
        <v>577</v>
      </c>
      <c r="B28" s="1828"/>
      <c r="C28" s="64"/>
      <c r="D28" s="64"/>
      <c r="E28" s="64"/>
      <c r="F28" s="64"/>
      <c r="G28" s="64"/>
      <c r="H28" s="59"/>
      <c r="I28" s="60"/>
      <c r="J28" s="60"/>
      <c r="K28" s="61"/>
    </row>
    <row r="29" spans="1:11" ht="14.25" hidden="1" customHeight="1">
      <c r="A29" s="1845" t="s">
        <v>574</v>
      </c>
      <c r="B29" s="1828"/>
      <c r="C29" s="64">
        <f>16.15+16.15+5.37+5.37+5.37+4.6+(4.9*5)+4.6+(4.9*8)+(7.85*4)+3.33+(5.2*4)+21+(4.85*2)+5+(1.95*3*0.2)+(2.2*6)+(10.45*2)+(6.45*3)+(4.6*2)+(1.4*20)+(1.65*10)</f>
        <v>320.85999999999996</v>
      </c>
      <c r="D29" s="64">
        <v>0.3</v>
      </c>
      <c r="E29" s="64">
        <v>0.3</v>
      </c>
      <c r="F29" s="64">
        <v>2</v>
      </c>
      <c r="G29" s="64">
        <f t="shared" ref="G29:G33" si="2">+C29*D29*E29*F29</f>
        <v>57.754799999999989</v>
      </c>
      <c r="H29" s="59"/>
      <c r="I29" s="60"/>
      <c r="J29" s="60"/>
      <c r="K29" s="61"/>
    </row>
    <row r="30" spans="1:11" ht="14.25" hidden="1" customHeight="1">
      <c r="A30" s="1845" t="s">
        <v>575</v>
      </c>
      <c r="B30" s="1828"/>
      <c r="C30" s="64">
        <v>6.09</v>
      </c>
      <c r="D30" s="64">
        <v>0.3</v>
      </c>
      <c r="E30" s="64">
        <v>0.3</v>
      </c>
      <c r="F30" s="64">
        <v>32</v>
      </c>
      <c r="G30" s="64">
        <f t="shared" si="2"/>
        <v>17.539199999999997</v>
      </c>
      <c r="H30" s="59"/>
      <c r="I30" s="60"/>
      <c r="J30" s="60"/>
      <c r="K30" s="61"/>
    </row>
    <row r="31" spans="1:11" ht="14.25" hidden="1" customHeight="1">
      <c r="A31" s="1845" t="s">
        <v>576</v>
      </c>
      <c r="B31" s="1828"/>
      <c r="C31" s="64">
        <v>1.2</v>
      </c>
      <c r="D31" s="64">
        <v>1.2</v>
      </c>
      <c r="E31" s="64">
        <v>0.3</v>
      </c>
      <c r="F31" s="64">
        <v>32</v>
      </c>
      <c r="G31" s="64">
        <f t="shared" si="2"/>
        <v>13.824</v>
      </c>
      <c r="H31" s="59"/>
      <c r="I31" s="60"/>
      <c r="J31" s="60"/>
      <c r="K31" s="61"/>
    </row>
    <row r="32" spans="1:11" ht="14.25" hidden="1" customHeight="1">
      <c r="A32" s="1845" t="s">
        <v>578</v>
      </c>
      <c r="B32" s="1828"/>
      <c r="C32" s="64">
        <f>8.44/3</f>
        <v>2.813333333333333</v>
      </c>
      <c r="D32" s="64">
        <v>3</v>
      </c>
      <c r="E32" s="64">
        <v>0.2</v>
      </c>
      <c r="F32" s="64">
        <v>2</v>
      </c>
      <c r="G32" s="64">
        <f t="shared" si="2"/>
        <v>3.3759999999999999</v>
      </c>
      <c r="H32" s="59"/>
      <c r="I32" s="60"/>
      <c r="J32" s="60"/>
      <c r="K32" s="61"/>
    </row>
    <row r="33" spans="1:7" ht="14.25" hidden="1" customHeight="1">
      <c r="A33" s="1845" t="s">
        <v>579</v>
      </c>
      <c r="B33" s="1828"/>
      <c r="C33" s="64">
        <v>3</v>
      </c>
      <c r="D33" s="64">
        <v>0.6</v>
      </c>
      <c r="E33" s="64">
        <v>0.2</v>
      </c>
      <c r="F33" s="64">
        <v>2</v>
      </c>
      <c r="G33" s="64">
        <f t="shared" si="2"/>
        <v>0.72</v>
      </c>
    </row>
    <row r="34" spans="1:7" ht="14.25" hidden="1" customHeight="1">
      <c r="A34" s="1845"/>
      <c r="B34" s="1828"/>
      <c r="C34" s="64"/>
      <c r="D34" s="64"/>
      <c r="E34" s="64"/>
      <c r="F34" s="64"/>
      <c r="G34" s="64"/>
    </row>
    <row r="35" spans="1:7" ht="14.25" hidden="1" customHeight="1">
      <c r="A35" s="1829" t="s">
        <v>227</v>
      </c>
      <c r="B35" s="1830"/>
      <c r="C35" s="1830"/>
      <c r="D35" s="1830"/>
      <c r="E35" s="1830"/>
      <c r="F35" s="1828"/>
      <c r="G35" s="65"/>
    </row>
    <row r="36" spans="1:7" ht="14.25" hidden="1" customHeight="1">
      <c r="A36" s="1837"/>
      <c r="B36" s="1838"/>
      <c r="C36" s="1838"/>
      <c r="D36" s="1838"/>
      <c r="E36" s="1838"/>
      <c r="F36" s="1838"/>
      <c r="G36" s="1839"/>
    </row>
    <row r="37" spans="1:7" ht="14.25" hidden="1" customHeight="1">
      <c r="A37" s="66" t="str">
        <f>+$A$7</f>
        <v>CAPITULO 1:</v>
      </c>
      <c r="B37" s="1832" t="str">
        <f>+$B$7</f>
        <v>ACTIVIDADES PRELIMINARES</v>
      </c>
      <c r="C37" s="1830"/>
      <c r="D37" s="1828"/>
      <c r="E37" s="1833" t="s">
        <v>218</v>
      </c>
      <c r="F37" s="1828"/>
      <c r="G37" s="62" t="s">
        <v>228</v>
      </c>
    </row>
    <row r="38" spans="1:7" ht="23.25" hidden="1" customHeight="1">
      <c r="A38" s="66" t="s">
        <v>231</v>
      </c>
      <c r="B38" s="1840" t="s">
        <v>580</v>
      </c>
      <c r="C38" s="1830"/>
      <c r="D38" s="1830"/>
      <c r="E38" s="1830"/>
      <c r="F38" s="1830"/>
      <c r="G38" s="1828"/>
    </row>
    <row r="39" spans="1:7" ht="14.25" hidden="1" customHeight="1">
      <c r="A39" s="1836" t="s">
        <v>220</v>
      </c>
      <c r="B39" s="1830"/>
      <c r="C39" s="1830"/>
      <c r="D39" s="1830"/>
      <c r="E39" s="1830"/>
      <c r="F39" s="1830"/>
      <c r="G39" s="1828"/>
    </row>
    <row r="40" spans="1:7" ht="14.25" hidden="1" customHeight="1">
      <c r="A40" s="1829" t="s">
        <v>221</v>
      </c>
      <c r="B40" s="1828"/>
      <c r="C40" s="63" t="s">
        <v>222</v>
      </c>
      <c r="D40" s="63" t="s">
        <v>223</v>
      </c>
      <c r="E40" s="63" t="s">
        <v>224</v>
      </c>
      <c r="F40" s="63" t="s">
        <v>225</v>
      </c>
      <c r="G40" s="63" t="s">
        <v>226</v>
      </c>
    </row>
    <row r="41" spans="1:7" ht="14.25" hidden="1" customHeight="1">
      <c r="A41" s="1847" t="s">
        <v>569</v>
      </c>
      <c r="B41" s="1828"/>
      <c r="C41" s="64"/>
      <c r="D41" s="64"/>
      <c r="E41" s="64"/>
      <c r="F41" s="64"/>
      <c r="G41" s="64"/>
    </row>
    <row r="42" spans="1:7" ht="14.25" hidden="1" customHeight="1">
      <c r="A42" s="1845" t="s">
        <v>581</v>
      </c>
      <c r="B42" s="1828"/>
      <c r="C42" s="64">
        <f>+C22</f>
        <v>263.40999999999997</v>
      </c>
      <c r="D42" s="64">
        <v>0.4</v>
      </c>
      <c r="E42" s="64"/>
      <c r="F42" s="64"/>
      <c r="G42" s="64">
        <f>+C42*D42</f>
        <v>105.36399999999999</v>
      </c>
    </row>
    <row r="43" spans="1:7" ht="14.25" hidden="1" customHeight="1">
      <c r="A43" s="1847" t="s">
        <v>573</v>
      </c>
      <c r="B43" s="1828"/>
      <c r="C43" s="64"/>
      <c r="D43" s="64"/>
      <c r="E43" s="64"/>
      <c r="F43" s="64"/>
      <c r="G43" s="64"/>
    </row>
    <row r="44" spans="1:7" ht="14.25" hidden="1" customHeight="1">
      <c r="A44" s="1845" t="s">
        <v>582</v>
      </c>
      <c r="B44" s="1828"/>
      <c r="C44" s="64">
        <f>20+9.72+12.2+40.6+20+10.6+20+12.2+9.8</f>
        <v>155.12</v>
      </c>
      <c r="D44" s="64">
        <f>+(3.9+4.65+2.95)/3</f>
        <v>3.8333333333333335</v>
      </c>
      <c r="E44" s="64"/>
      <c r="F44" s="64"/>
      <c r="G44" s="64">
        <f>+D44*C44</f>
        <v>594.62666666666667</v>
      </c>
    </row>
    <row r="45" spans="1:7" ht="14.25" hidden="1" customHeight="1">
      <c r="A45" s="1845" t="s">
        <v>583</v>
      </c>
      <c r="B45" s="1828"/>
      <c r="C45" s="64">
        <f>14.43+7.8+12.4+5.1+9.6+3.3+3.3+3.1+2+17.9+(1.25*7)+0.9+8.05+5.45+1.1+3.3+20+6.15+(6.75*3)+7.45+2.65+2.65+5+1.55</f>
        <v>172.18</v>
      </c>
      <c r="D45" s="64">
        <v>4.7</v>
      </c>
      <c r="E45" s="64"/>
      <c r="F45" s="64"/>
      <c r="G45" s="64">
        <f>+C45*D45</f>
        <v>809.24600000000009</v>
      </c>
    </row>
    <row r="46" spans="1:7" ht="14.25" hidden="1" customHeight="1">
      <c r="A46" s="1847" t="s">
        <v>577</v>
      </c>
      <c r="B46" s="1828"/>
      <c r="C46" s="64"/>
      <c r="D46" s="64"/>
      <c r="E46" s="64"/>
      <c r="F46" s="64"/>
      <c r="G46" s="64"/>
    </row>
    <row r="47" spans="1:7" ht="14.25" hidden="1" customHeight="1">
      <c r="A47" s="1845" t="s">
        <v>584</v>
      </c>
      <c r="B47" s="1828"/>
      <c r="C47" s="64">
        <f>+C29</f>
        <v>320.85999999999996</v>
      </c>
      <c r="D47" s="64">
        <v>2.5</v>
      </c>
      <c r="E47" s="64"/>
      <c r="F47" s="64"/>
      <c r="G47" s="64">
        <f>+D47*C47</f>
        <v>802.14999999999986</v>
      </c>
    </row>
    <row r="48" spans="1:7" ht="14.25" hidden="1" customHeight="1">
      <c r="A48" s="1845"/>
      <c r="B48" s="1828"/>
      <c r="C48" s="64"/>
      <c r="D48" s="64"/>
      <c r="E48" s="64"/>
      <c r="F48" s="64"/>
      <c r="G48" s="64"/>
    </row>
    <row r="49" spans="1:7" ht="14.25" hidden="1" customHeight="1">
      <c r="A49" s="1829" t="s">
        <v>227</v>
      </c>
      <c r="B49" s="1830"/>
      <c r="C49" s="1830"/>
      <c r="D49" s="1830"/>
      <c r="E49" s="1830"/>
      <c r="F49" s="1828"/>
      <c r="G49" s="65"/>
    </row>
    <row r="50" spans="1:7" ht="14.25" hidden="1" customHeight="1">
      <c r="A50" s="1837"/>
      <c r="B50" s="1838"/>
      <c r="C50" s="1838"/>
      <c r="D50" s="1838"/>
      <c r="E50" s="1838"/>
      <c r="F50" s="1838"/>
      <c r="G50" s="1839"/>
    </row>
    <row r="51" spans="1:7" ht="14.25" hidden="1" customHeight="1">
      <c r="A51" s="66" t="str">
        <f>+$A$7</f>
        <v>CAPITULO 1:</v>
      </c>
      <c r="B51" s="1832" t="str">
        <f>+$B$7</f>
        <v>ACTIVIDADES PRELIMINARES</v>
      </c>
      <c r="C51" s="1830"/>
      <c r="D51" s="1828"/>
      <c r="E51" s="1833" t="s">
        <v>218</v>
      </c>
      <c r="F51" s="1828"/>
      <c r="G51" s="62" t="s">
        <v>228</v>
      </c>
    </row>
    <row r="52" spans="1:7" ht="23.25" hidden="1" customHeight="1">
      <c r="A52" s="66" t="s">
        <v>585</v>
      </c>
      <c r="B52" s="1840" t="s">
        <v>586</v>
      </c>
      <c r="C52" s="1830"/>
      <c r="D52" s="1830"/>
      <c r="E52" s="1830"/>
      <c r="F52" s="1830"/>
      <c r="G52" s="1828"/>
    </row>
    <row r="53" spans="1:7" ht="14.25" hidden="1" customHeight="1">
      <c r="A53" s="1836" t="s">
        <v>220</v>
      </c>
      <c r="B53" s="1830"/>
      <c r="C53" s="1830"/>
      <c r="D53" s="1830"/>
      <c r="E53" s="1830"/>
      <c r="F53" s="1830"/>
      <c r="G53" s="1828"/>
    </row>
    <row r="54" spans="1:7" ht="14.25" hidden="1" customHeight="1">
      <c r="A54" s="1829" t="s">
        <v>221</v>
      </c>
      <c r="B54" s="1828"/>
      <c r="C54" s="63" t="s">
        <v>222</v>
      </c>
      <c r="D54" s="63" t="s">
        <v>223</v>
      </c>
      <c r="E54" s="63" t="s">
        <v>224</v>
      </c>
      <c r="F54" s="63" t="s">
        <v>225</v>
      </c>
      <c r="G54" s="63" t="s">
        <v>226</v>
      </c>
    </row>
    <row r="55" spans="1:7" ht="14.25" hidden="1" customHeight="1">
      <c r="A55" s="1847" t="s">
        <v>573</v>
      </c>
      <c r="B55" s="1828"/>
      <c r="C55" s="64"/>
      <c r="D55" s="64"/>
      <c r="E55" s="64"/>
      <c r="F55" s="64"/>
      <c r="G55" s="64"/>
    </row>
    <row r="56" spans="1:7" ht="14.25" hidden="1" customHeight="1">
      <c r="A56" s="1845" t="s">
        <v>587</v>
      </c>
      <c r="B56" s="1828"/>
      <c r="C56" s="64">
        <v>41.34</v>
      </c>
      <c r="D56" s="64">
        <v>39.979999999999997</v>
      </c>
      <c r="E56" s="64"/>
      <c r="F56" s="64"/>
      <c r="G56" s="64">
        <f>+D56*C56</f>
        <v>1652.7732000000001</v>
      </c>
    </row>
    <row r="57" spans="1:7" ht="5.25" hidden="1" customHeight="1">
      <c r="A57" s="1845"/>
      <c r="B57" s="1828"/>
      <c r="C57" s="64"/>
      <c r="D57" s="64"/>
      <c r="E57" s="64"/>
      <c r="F57" s="64"/>
      <c r="G57" s="64"/>
    </row>
    <row r="58" spans="1:7" ht="14.25" hidden="1" customHeight="1">
      <c r="A58" s="1847" t="s">
        <v>577</v>
      </c>
      <c r="B58" s="1828"/>
      <c r="C58" s="64"/>
      <c r="D58" s="64"/>
      <c r="E58" s="64"/>
      <c r="F58" s="64"/>
      <c r="G58" s="64"/>
    </row>
    <row r="59" spans="1:7" ht="14.25" hidden="1" customHeight="1">
      <c r="A59" s="1845" t="s">
        <v>588</v>
      </c>
      <c r="B59" s="1828"/>
      <c r="C59" s="64">
        <v>16.149999999999999</v>
      </c>
      <c r="D59" s="64">
        <v>5.4</v>
      </c>
      <c r="E59" s="64"/>
      <c r="F59" s="64"/>
      <c r="G59" s="64">
        <f t="shared" ref="G59:G62" si="3">+D59*C59</f>
        <v>87.21</v>
      </c>
    </row>
    <row r="60" spans="1:7" ht="14.25" hidden="1" customHeight="1">
      <c r="A60" s="1845" t="s">
        <v>589</v>
      </c>
      <c r="B60" s="1828"/>
      <c r="C60" s="64">
        <f>20.21+25.25</f>
        <v>45.46</v>
      </c>
      <c r="D60" s="64">
        <v>8</v>
      </c>
      <c r="E60" s="64"/>
      <c r="F60" s="64"/>
      <c r="G60" s="64">
        <f t="shared" si="3"/>
        <v>363.68</v>
      </c>
    </row>
    <row r="61" spans="1:7" ht="14.25" hidden="1" customHeight="1">
      <c r="A61" s="1845" t="s">
        <v>590</v>
      </c>
      <c r="B61" s="1828"/>
      <c r="C61" s="64">
        <v>11.7</v>
      </c>
      <c r="D61" s="64">
        <v>13.8</v>
      </c>
      <c r="E61" s="64"/>
      <c r="F61" s="64"/>
      <c r="G61" s="64">
        <f t="shared" si="3"/>
        <v>161.46</v>
      </c>
    </row>
    <row r="62" spans="1:7" ht="14.25" hidden="1" customHeight="1">
      <c r="A62" s="1845" t="s">
        <v>591</v>
      </c>
      <c r="B62" s="1828"/>
      <c r="C62" s="64">
        <v>23.4</v>
      </c>
      <c r="D62" s="64">
        <v>9.0500000000000007</v>
      </c>
      <c r="E62" s="64"/>
      <c r="F62" s="64"/>
      <c r="G62" s="64">
        <f t="shared" si="3"/>
        <v>211.77</v>
      </c>
    </row>
    <row r="63" spans="1:7" ht="14.25" hidden="1" customHeight="1">
      <c r="A63" s="1829" t="s">
        <v>227</v>
      </c>
      <c r="B63" s="1830"/>
      <c r="C63" s="1830"/>
      <c r="D63" s="1830"/>
      <c r="E63" s="1830"/>
      <c r="F63" s="1828"/>
      <c r="G63" s="65"/>
    </row>
    <row r="64" spans="1:7" ht="14.25" hidden="1" customHeight="1">
      <c r="A64" s="1837"/>
      <c r="B64" s="1838"/>
      <c r="C64" s="1838"/>
      <c r="D64" s="1838"/>
      <c r="E64" s="1838"/>
      <c r="F64" s="1838"/>
      <c r="G64" s="1839"/>
    </row>
    <row r="65" spans="1:7" ht="14.25" hidden="1" customHeight="1">
      <c r="A65" s="66" t="str">
        <f>+$A$7</f>
        <v>CAPITULO 1:</v>
      </c>
      <c r="B65" s="1832" t="str">
        <f>+$B$7</f>
        <v>ACTIVIDADES PRELIMINARES</v>
      </c>
      <c r="C65" s="1830"/>
      <c r="D65" s="1828"/>
      <c r="E65" s="1833" t="s">
        <v>218</v>
      </c>
      <c r="F65" s="1828"/>
      <c r="G65" s="62" t="s">
        <v>228</v>
      </c>
    </row>
    <row r="66" spans="1:7" ht="23.25" hidden="1" customHeight="1">
      <c r="A66" s="66" t="s">
        <v>592</v>
      </c>
      <c r="B66" s="1840" t="s">
        <v>593</v>
      </c>
      <c r="C66" s="1830"/>
      <c r="D66" s="1830"/>
      <c r="E66" s="1830"/>
      <c r="F66" s="1830"/>
      <c r="G66" s="1828"/>
    </row>
    <row r="67" spans="1:7" ht="14.25" hidden="1" customHeight="1">
      <c r="A67" s="1836" t="s">
        <v>220</v>
      </c>
      <c r="B67" s="1830"/>
      <c r="C67" s="1830"/>
      <c r="D67" s="1830"/>
      <c r="E67" s="1830"/>
      <c r="F67" s="1830"/>
      <c r="G67" s="1828"/>
    </row>
    <row r="68" spans="1:7" ht="14.25" hidden="1" customHeight="1">
      <c r="A68" s="1829" t="s">
        <v>221</v>
      </c>
      <c r="B68" s="1828"/>
      <c r="C68" s="63" t="s">
        <v>222</v>
      </c>
      <c r="D68" s="63" t="s">
        <v>223</v>
      </c>
      <c r="E68" s="63" t="s">
        <v>224</v>
      </c>
      <c r="F68" s="63" t="s">
        <v>225</v>
      </c>
      <c r="G68" s="63" t="s">
        <v>226</v>
      </c>
    </row>
    <row r="69" spans="1:7" ht="14.25" hidden="1" customHeight="1">
      <c r="A69" s="1847" t="s">
        <v>573</v>
      </c>
      <c r="B69" s="1828"/>
      <c r="C69" s="64"/>
      <c r="D69" s="64"/>
      <c r="E69" s="64"/>
      <c r="F69" s="64"/>
      <c r="G69" s="64"/>
    </row>
    <row r="70" spans="1:7" ht="14.25" hidden="1" customHeight="1">
      <c r="A70" s="1845" t="s">
        <v>587</v>
      </c>
      <c r="B70" s="1828"/>
      <c r="C70" s="64">
        <v>41.34</v>
      </c>
      <c r="D70" s="64">
        <v>39.979999999999997</v>
      </c>
      <c r="E70" s="64"/>
      <c r="F70" s="64"/>
      <c r="G70" s="64">
        <f>+D70*C70</f>
        <v>1652.7732000000001</v>
      </c>
    </row>
    <row r="71" spans="1:7" ht="5.25" hidden="1" customHeight="1">
      <c r="A71" s="1845"/>
      <c r="B71" s="1828"/>
      <c r="C71" s="64"/>
      <c r="D71" s="64"/>
      <c r="E71" s="64"/>
      <c r="F71" s="64"/>
      <c r="G71" s="64"/>
    </row>
    <row r="72" spans="1:7" ht="14.25" hidden="1" customHeight="1">
      <c r="A72" s="1847" t="s">
        <v>577</v>
      </c>
      <c r="B72" s="1828"/>
      <c r="C72" s="64"/>
      <c r="D72" s="64"/>
      <c r="E72" s="64"/>
      <c r="F72" s="64"/>
      <c r="G72" s="64"/>
    </row>
    <row r="73" spans="1:7" ht="14.25" hidden="1" customHeight="1">
      <c r="A73" s="1845" t="s">
        <v>588</v>
      </c>
      <c r="B73" s="1828"/>
      <c r="C73" s="64">
        <v>16.149999999999999</v>
      </c>
      <c r="D73" s="64">
        <v>5.4</v>
      </c>
      <c r="E73" s="64"/>
      <c r="F73" s="64"/>
      <c r="G73" s="64">
        <f t="shared" ref="G73:G75" si="4">+D73*C73</f>
        <v>87.21</v>
      </c>
    </row>
    <row r="74" spans="1:7" ht="14.25" hidden="1" customHeight="1">
      <c r="A74" s="1845" t="s">
        <v>589</v>
      </c>
      <c r="B74" s="1828"/>
      <c r="C74" s="64">
        <f>20.21+25.25</f>
        <v>45.46</v>
      </c>
      <c r="D74" s="64">
        <v>8</v>
      </c>
      <c r="E74" s="64"/>
      <c r="F74" s="64"/>
      <c r="G74" s="64">
        <f t="shared" si="4"/>
        <v>363.68</v>
      </c>
    </row>
    <row r="75" spans="1:7" ht="14.25" hidden="1" customHeight="1">
      <c r="A75" s="1845" t="s">
        <v>590</v>
      </c>
      <c r="B75" s="1828"/>
      <c r="C75" s="64">
        <v>11.7</v>
      </c>
      <c r="D75" s="64">
        <v>13.8</v>
      </c>
      <c r="E75" s="64"/>
      <c r="F75" s="64"/>
      <c r="G75" s="64">
        <f t="shared" si="4"/>
        <v>161.46</v>
      </c>
    </row>
    <row r="76" spans="1:7" ht="14.25" hidden="1" customHeight="1">
      <c r="A76" s="1845" t="s">
        <v>591</v>
      </c>
      <c r="B76" s="1828"/>
      <c r="C76" s="64">
        <v>23.4</v>
      </c>
      <c r="D76" s="64">
        <v>9.0500000000000007</v>
      </c>
      <c r="E76" s="64">
        <f>-8.95*6.4</f>
        <v>-57.28</v>
      </c>
      <c r="F76" s="64"/>
      <c r="G76" s="64">
        <f>+D76*C76+E76</f>
        <v>154.49</v>
      </c>
    </row>
    <row r="77" spans="1:7" ht="14.25" hidden="1" customHeight="1">
      <c r="A77" s="1829" t="s">
        <v>227</v>
      </c>
      <c r="B77" s="1830"/>
      <c r="C77" s="1830"/>
      <c r="D77" s="1830"/>
      <c r="E77" s="1830"/>
      <c r="F77" s="1828"/>
      <c r="G77" s="65"/>
    </row>
    <row r="78" spans="1:7" ht="14.25" hidden="1" customHeight="1">
      <c r="A78" s="1837"/>
      <c r="B78" s="1838"/>
      <c r="C78" s="1838"/>
      <c r="D78" s="1838"/>
      <c r="E78" s="1838"/>
      <c r="F78" s="1838"/>
      <c r="G78" s="1839"/>
    </row>
    <row r="79" spans="1:7" ht="14.25" hidden="1" customHeight="1">
      <c r="A79" s="66" t="str">
        <f>+$A$7</f>
        <v>CAPITULO 1:</v>
      </c>
      <c r="B79" s="1832" t="str">
        <f>+$B$7</f>
        <v>ACTIVIDADES PRELIMINARES</v>
      </c>
      <c r="C79" s="1830"/>
      <c r="D79" s="1828"/>
      <c r="E79" s="1833" t="s">
        <v>218</v>
      </c>
      <c r="F79" s="1828"/>
      <c r="G79" s="62" t="s">
        <v>127</v>
      </c>
    </row>
    <row r="80" spans="1:7" ht="23.25" hidden="1" customHeight="1">
      <c r="A80" s="66" t="s">
        <v>594</v>
      </c>
      <c r="B80" s="1840" t="s">
        <v>595</v>
      </c>
      <c r="C80" s="1830"/>
      <c r="D80" s="1830"/>
      <c r="E80" s="1830"/>
      <c r="F80" s="1830"/>
      <c r="G80" s="1828"/>
    </row>
    <row r="81" spans="1:10" ht="14.25" hidden="1" customHeight="1">
      <c r="A81" s="1836" t="s">
        <v>220</v>
      </c>
      <c r="B81" s="1830"/>
      <c r="C81" s="1830"/>
      <c r="D81" s="1830"/>
      <c r="E81" s="1830"/>
      <c r="F81" s="1830"/>
      <c r="G81" s="1828"/>
      <c r="H81" s="59"/>
      <c r="I81" s="60"/>
      <c r="J81" s="60"/>
    </row>
    <row r="82" spans="1:10" ht="14.25" hidden="1" customHeight="1">
      <c r="A82" s="1829" t="s">
        <v>221</v>
      </c>
      <c r="B82" s="1828"/>
      <c r="C82" s="63" t="s">
        <v>222</v>
      </c>
      <c r="D82" s="63" t="s">
        <v>223</v>
      </c>
      <c r="E82" s="63" t="s">
        <v>224</v>
      </c>
      <c r="F82" s="63" t="s">
        <v>225</v>
      </c>
      <c r="G82" s="63" t="s">
        <v>226</v>
      </c>
      <c r="H82" s="59"/>
      <c r="I82" s="60"/>
      <c r="J82" s="60">
        <f>4.83+4.01</f>
        <v>8.84</v>
      </c>
    </row>
    <row r="83" spans="1:10" ht="14.25" hidden="1" customHeight="1">
      <c r="A83" s="1847" t="s">
        <v>573</v>
      </c>
      <c r="B83" s="1828"/>
      <c r="C83" s="64"/>
      <c r="D83" s="64"/>
      <c r="E83" s="64"/>
      <c r="F83" s="64"/>
      <c r="G83" s="64"/>
      <c r="H83" s="59"/>
      <c r="I83" s="60"/>
      <c r="J83" s="60"/>
    </row>
    <row r="84" spans="1:10" ht="14.25" hidden="1" customHeight="1">
      <c r="A84" s="1845" t="s">
        <v>587</v>
      </c>
      <c r="B84" s="1828"/>
      <c r="C84" s="64"/>
      <c r="D84" s="64"/>
      <c r="E84" s="64"/>
      <c r="F84" s="64">
        <v>14</v>
      </c>
      <c r="G84" s="64">
        <f>+F84</f>
        <v>14</v>
      </c>
      <c r="H84" s="59"/>
      <c r="I84" s="60"/>
      <c r="J84" s="60"/>
    </row>
    <row r="85" spans="1:10" ht="5.25" hidden="1" customHeight="1">
      <c r="A85" s="1845"/>
      <c r="B85" s="1828"/>
      <c r="C85" s="64"/>
      <c r="D85" s="64"/>
      <c r="E85" s="64"/>
      <c r="F85" s="64"/>
      <c r="G85" s="64"/>
      <c r="H85" s="59"/>
      <c r="I85" s="60"/>
      <c r="J85" s="60"/>
    </row>
    <row r="86" spans="1:10" ht="14.25" hidden="1" customHeight="1">
      <c r="A86" s="1847" t="s">
        <v>577</v>
      </c>
      <c r="B86" s="1828"/>
      <c r="C86" s="64"/>
      <c r="D86" s="64"/>
      <c r="E86" s="64"/>
      <c r="F86" s="64"/>
      <c r="G86" s="64"/>
      <c r="H86" s="59"/>
      <c r="I86" s="60"/>
      <c r="J86" s="60"/>
    </row>
    <row r="87" spans="1:10" ht="14.25" hidden="1" customHeight="1">
      <c r="A87" s="1845" t="s">
        <v>587</v>
      </c>
      <c r="B87" s="1828"/>
      <c r="C87" s="64"/>
      <c r="D87" s="64"/>
      <c r="E87" s="64"/>
      <c r="F87" s="64">
        <v>54</v>
      </c>
      <c r="G87" s="64">
        <f>+F87</f>
        <v>54</v>
      </c>
      <c r="H87" s="59"/>
      <c r="I87" s="60"/>
      <c r="J87" s="60"/>
    </row>
    <row r="88" spans="1:10" ht="14.25" hidden="1" customHeight="1">
      <c r="A88" s="1845"/>
      <c r="B88" s="1828"/>
      <c r="C88" s="64"/>
      <c r="D88" s="64"/>
      <c r="E88" s="64"/>
      <c r="F88" s="64"/>
      <c r="G88" s="64"/>
      <c r="H88" s="59"/>
      <c r="I88" s="60"/>
      <c r="J88" s="60"/>
    </row>
    <row r="89" spans="1:10" ht="14.25" hidden="1" customHeight="1">
      <c r="A89" s="1829" t="s">
        <v>227</v>
      </c>
      <c r="B89" s="1830"/>
      <c r="C89" s="1830"/>
      <c r="D89" s="1830"/>
      <c r="E89" s="1830"/>
      <c r="F89" s="1828"/>
      <c r="G89" s="65"/>
      <c r="H89" s="59"/>
      <c r="I89" s="60"/>
      <c r="J89" s="60"/>
    </row>
    <row r="90" spans="1:10" ht="14.25" hidden="1" customHeight="1">
      <c r="A90" s="1837"/>
      <c r="B90" s="1838"/>
      <c r="C90" s="1838"/>
      <c r="D90" s="1838"/>
      <c r="E90" s="1838"/>
      <c r="F90" s="1838"/>
      <c r="G90" s="1839"/>
      <c r="H90" s="59"/>
      <c r="I90" s="60"/>
      <c r="J90" s="60"/>
    </row>
    <row r="91" spans="1:10" ht="14.25" hidden="1" customHeight="1">
      <c r="A91" s="66" t="str">
        <f>+$A$7</f>
        <v>CAPITULO 1:</v>
      </c>
      <c r="B91" s="1832" t="str">
        <f>+$B$7</f>
        <v>ACTIVIDADES PRELIMINARES</v>
      </c>
      <c r="C91" s="1830"/>
      <c r="D91" s="1828"/>
      <c r="E91" s="1833" t="s">
        <v>218</v>
      </c>
      <c r="F91" s="1828"/>
      <c r="G91" s="62" t="s">
        <v>127</v>
      </c>
      <c r="H91" s="59"/>
      <c r="I91" s="60"/>
      <c r="J91" s="60"/>
    </row>
    <row r="92" spans="1:10" ht="23.25" hidden="1" customHeight="1">
      <c r="A92" s="66" t="s">
        <v>596</v>
      </c>
      <c r="B92" s="1840" t="s">
        <v>597</v>
      </c>
      <c r="C92" s="1830"/>
      <c r="D92" s="1830"/>
      <c r="E92" s="1830"/>
      <c r="F92" s="1830"/>
      <c r="G92" s="1828"/>
      <c r="H92" s="59"/>
      <c r="I92" s="60"/>
      <c r="J92" s="60"/>
    </row>
    <row r="93" spans="1:10" ht="14.25" hidden="1" customHeight="1">
      <c r="A93" s="1836" t="s">
        <v>220</v>
      </c>
      <c r="B93" s="1830"/>
      <c r="C93" s="1830"/>
      <c r="D93" s="1830"/>
      <c r="E93" s="1830"/>
      <c r="F93" s="1830"/>
      <c r="G93" s="1828"/>
      <c r="H93" s="59"/>
      <c r="I93" s="60"/>
      <c r="J93" s="60"/>
    </row>
    <row r="94" spans="1:10" ht="14.25" hidden="1" customHeight="1">
      <c r="A94" s="1829" t="s">
        <v>221</v>
      </c>
      <c r="B94" s="1828"/>
      <c r="C94" s="63" t="s">
        <v>222</v>
      </c>
      <c r="D94" s="63" t="s">
        <v>223</v>
      </c>
      <c r="E94" s="63" t="s">
        <v>224</v>
      </c>
      <c r="F94" s="63" t="s">
        <v>225</v>
      </c>
      <c r="G94" s="63" t="s">
        <v>226</v>
      </c>
      <c r="H94" s="59"/>
      <c r="I94" s="60"/>
      <c r="J94" s="60"/>
    </row>
    <row r="95" spans="1:10" ht="14.25" hidden="1" customHeight="1">
      <c r="A95" s="1845" t="s">
        <v>598</v>
      </c>
      <c r="B95" s="1828"/>
      <c r="C95" s="64"/>
      <c r="D95" s="64"/>
      <c r="E95" s="64"/>
      <c r="F95" s="64">
        <v>7</v>
      </c>
      <c r="G95" s="64">
        <f t="shared" ref="G95:G97" si="5">+F95</f>
        <v>7</v>
      </c>
      <c r="H95" s="59"/>
      <c r="I95" s="60"/>
      <c r="J95" s="60"/>
    </row>
    <row r="96" spans="1:10" ht="14.25" hidden="1" customHeight="1">
      <c r="A96" s="1845" t="s">
        <v>599</v>
      </c>
      <c r="B96" s="1828"/>
      <c r="C96" s="64"/>
      <c r="D96" s="64"/>
      <c r="E96" s="64"/>
      <c r="F96" s="64">
        <f>7+10</f>
        <v>17</v>
      </c>
      <c r="G96" s="64">
        <f t="shared" si="5"/>
        <v>17</v>
      </c>
      <c r="H96" s="59"/>
      <c r="I96" s="60"/>
      <c r="J96" s="60"/>
    </row>
    <row r="97" spans="1:7" ht="14.25" hidden="1" customHeight="1">
      <c r="A97" s="1845" t="s">
        <v>600</v>
      </c>
      <c r="B97" s="1828"/>
      <c r="C97" s="64"/>
      <c r="D97" s="64"/>
      <c r="E97" s="64"/>
      <c r="F97" s="64">
        <v>20</v>
      </c>
      <c r="G97" s="64">
        <f t="shared" si="5"/>
        <v>20</v>
      </c>
    </row>
    <row r="98" spans="1:7" ht="14.25" hidden="1" customHeight="1">
      <c r="A98" s="1829" t="s">
        <v>227</v>
      </c>
      <c r="B98" s="1830"/>
      <c r="C98" s="1830"/>
      <c r="D98" s="1830"/>
      <c r="E98" s="1830"/>
      <c r="F98" s="1828"/>
      <c r="G98" s="65"/>
    </row>
    <row r="99" spans="1:7" ht="14.25" hidden="1" customHeight="1">
      <c r="A99" s="1837"/>
      <c r="B99" s="1838"/>
      <c r="C99" s="1838"/>
      <c r="D99" s="1838"/>
      <c r="E99" s="1838"/>
      <c r="F99" s="1838"/>
      <c r="G99" s="1839"/>
    </row>
    <row r="100" spans="1:7" ht="19.5" customHeight="1">
      <c r="A100" s="66" t="str">
        <f t="shared" ref="A100:B100" si="6">+A7</f>
        <v>CAPITULO 1:</v>
      </c>
      <c r="B100" s="1832" t="str">
        <f t="shared" si="6"/>
        <v>ACTIVIDADES PRELIMINARES</v>
      </c>
      <c r="C100" s="1830"/>
      <c r="D100" s="1828"/>
      <c r="E100" s="1833" t="s">
        <v>218</v>
      </c>
      <c r="F100" s="1828"/>
      <c r="G100" s="62" t="s">
        <v>116</v>
      </c>
    </row>
    <row r="101" spans="1:7" ht="32.25" customHeight="1">
      <c r="A101" s="66" t="s">
        <v>601</v>
      </c>
      <c r="B101" s="1832" t="s">
        <v>602</v>
      </c>
      <c r="C101" s="1830"/>
      <c r="D101" s="1830"/>
      <c r="E101" s="1830"/>
      <c r="F101" s="1830"/>
      <c r="G101" s="1828"/>
    </row>
    <row r="102" spans="1:7" ht="14.25" customHeight="1">
      <c r="A102" s="1836" t="s">
        <v>220</v>
      </c>
      <c r="B102" s="1830"/>
      <c r="C102" s="1830"/>
      <c r="D102" s="1830"/>
      <c r="E102" s="1830"/>
      <c r="F102" s="1830"/>
      <c r="G102" s="1828"/>
    </row>
    <row r="103" spans="1:7" ht="14.25" customHeight="1">
      <c r="A103" s="1829" t="s">
        <v>221</v>
      </c>
      <c r="B103" s="1828"/>
      <c r="C103" s="63" t="s">
        <v>222</v>
      </c>
      <c r="D103" s="63" t="s">
        <v>223</v>
      </c>
      <c r="E103" s="63" t="s">
        <v>224</v>
      </c>
      <c r="F103" s="63" t="s">
        <v>225</v>
      </c>
      <c r="G103" s="63" t="s">
        <v>226</v>
      </c>
    </row>
    <row r="104" spans="1:7" ht="14.25" customHeight="1">
      <c r="A104" s="1847" t="s">
        <v>603</v>
      </c>
      <c r="B104" s="1828"/>
      <c r="C104" s="64"/>
      <c r="D104" s="64"/>
      <c r="E104" s="64"/>
      <c r="F104" s="64"/>
      <c r="G104" s="64"/>
    </row>
    <row r="105" spans="1:7" ht="14.25" customHeight="1">
      <c r="A105" s="1845" t="s">
        <v>604</v>
      </c>
      <c r="B105" s="1828"/>
      <c r="C105" s="64">
        <v>1.7</v>
      </c>
      <c r="D105" s="64">
        <v>1.7</v>
      </c>
      <c r="E105" s="64">
        <v>2</v>
      </c>
      <c r="F105" s="64">
        <v>5</v>
      </c>
      <c r="G105" s="64">
        <f t="shared" ref="G105:G112" si="7">+C105*D105*E105*F105</f>
        <v>28.9</v>
      </c>
    </row>
    <row r="106" spans="1:7" ht="14.25" customHeight="1">
      <c r="A106" s="1845" t="s">
        <v>605</v>
      </c>
      <c r="B106" s="1828"/>
      <c r="C106" s="64">
        <v>1.8</v>
      </c>
      <c r="D106" s="64">
        <v>1.8</v>
      </c>
      <c r="E106" s="64">
        <v>2</v>
      </c>
      <c r="F106" s="64">
        <v>3</v>
      </c>
      <c r="G106" s="64">
        <f t="shared" si="7"/>
        <v>19.440000000000001</v>
      </c>
    </row>
    <row r="107" spans="1:7" ht="14.25" customHeight="1">
      <c r="A107" s="1845" t="s">
        <v>606</v>
      </c>
      <c r="B107" s="1828"/>
      <c r="C107" s="64">
        <v>1.9</v>
      </c>
      <c r="D107" s="64">
        <v>1.9</v>
      </c>
      <c r="E107" s="64">
        <v>2</v>
      </c>
      <c r="F107" s="64">
        <v>13</v>
      </c>
      <c r="G107" s="64">
        <f t="shared" si="7"/>
        <v>93.86</v>
      </c>
    </row>
    <row r="108" spans="1:7" ht="14.25" customHeight="1">
      <c r="A108" s="1845" t="s">
        <v>607</v>
      </c>
      <c r="B108" s="1828"/>
      <c r="C108" s="64">
        <v>2</v>
      </c>
      <c r="D108" s="64">
        <v>2</v>
      </c>
      <c r="E108" s="64">
        <v>2</v>
      </c>
      <c r="F108" s="64">
        <v>7</v>
      </c>
      <c r="G108" s="64">
        <f t="shared" si="7"/>
        <v>56</v>
      </c>
    </row>
    <row r="109" spans="1:7" ht="14.25" customHeight="1">
      <c r="A109" s="1845" t="s">
        <v>608</v>
      </c>
      <c r="B109" s="1828"/>
      <c r="C109" s="64">
        <v>2.1</v>
      </c>
      <c r="D109" s="64">
        <v>2.1</v>
      </c>
      <c r="E109" s="64">
        <v>2</v>
      </c>
      <c r="F109" s="64">
        <v>2</v>
      </c>
      <c r="G109" s="64">
        <f t="shared" si="7"/>
        <v>17.64</v>
      </c>
    </row>
    <row r="110" spans="1:7" ht="14.25" customHeight="1">
      <c r="A110" s="1845" t="s">
        <v>609</v>
      </c>
      <c r="B110" s="1828"/>
      <c r="C110" s="64">
        <v>2.2000000000000002</v>
      </c>
      <c r="D110" s="64">
        <v>2.2000000000000002</v>
      </c>
      <c r="E110" s="64">
        <v>2</v>
      </c>
      <c r="F110" s="64">
        <v>2</v>
      </c>
      <c r="G110" s="64">
        <f t="shared" si="7"/>
        <v>19.360000000000003</v>
      </c>
    </row>
    <row r="111" spans="1:7" ht="14.25" customHeight="1">
      <c r="A111" s="1845" t="s">
        <v>610</v>
      </c>
      <c r="B111" s="1828"/>
      <c r="C111" s="64">
        <v>1.7</v>
      </c>
      <c r="D111" s="64">
        <v>3</v>
      </c>
      <c r="E111" s="64">
        <v>2</v>
      </c>
      <c r="F111" s="64">
        <v>1</v>
      </c>
      <c r="G111" s="64">
        <f t="shared" si="7"/>
        <v>10.199999999999999</v>
      </c>
    </row>
    <row r="112" spans="1:7" ht="14.25" customHeight="1">
      <c r="A112" s="1845" t="s">
        <v>611</v>
      </c>
      <c r="B112" s="1828"/>
      <c r="C112" s="64">
        <v>1.1000000000000001</v>
      </c>
      <c r="D112" s="64">
        <v>2.2000000000000002</v>
      </c>
      <c r="E112" s="64">
        <v>2</v>
      </c>
      <c r="F112" s="64">
        <v>1</v>
      </c>
      <c r="G112" s="64">
        <f t="shared" si="7"/>
        <v>4.8400000000000007</v>
      </c>
    </row>
    <row r="113" spans="1:10" ht="14.25" customHeight="1">
      <c r="A113" s="1845"/>
      <c r="B113" s="1828"/>
      <c r="C113" s="64"/>
      <c r="D113" s="64"/>
      <c r="E113" s="64"/>
      <c r="F113" s="64"/>
      <c r="G113" s="64"/>
      <c r="H113" s="59"/>
      <c r="I113" s="60"/>
      <c r="J113" s="60"/>
    </row>
    <row r="114" spans="1:10" ht="14.25" hidden="1" customHeight="1">
      <c r="A114" s="1845"/>
      <c r="B114" s="1828"/>
      <c r="C114" s="64"/>
      <c r="D114" s="64"/>
      <c r="E114" s="64"/>
      <c r="F114" s="64"/>
      <c r="G114" s="64"/>
      <c r="H114" s="59"/>
      <c r="I114" s="60"/>
      <c r="J114" s="60"/>
    </row>
    <row r="115" spans="1:10" ht="14.25" hidden="1" customHeight="1">
      <c r="A115" s="1845"/>
      <c r="B115" s="1828"/>
      <c r="C115" s="64"/>
      <c r="D115" s="64"/>
      <c r="E115" s="64"/>
      <c r="F115" s="64"/>
      <c r="G115" s="64"/>
      <c r="H115" s="59"/>
      <c r="I115" s="60"/>
      <c r="J115" s="60"/>
    </row>
    <row r="116" spans="1:10" ht="14.25" hidden="1" customHeight="1">
      <c r="A116" s="1845"/>
      <c r="B116" s="1828"/>
      <c r="C116" s="64"/>
      <c r="D116" s="64"/>
      <c r="E116" s="64"/>
      <c r="F116" s="64"/>
      <c r="G116" s="64"/>
      <c r="H116" s="59"/>
      <c r="I116" s="60"/>
      <c r="J116" s="60"/>
    </row>
    <row r="117" spans="1:10" ht="6.75" hidden="1" customHeight="1">
      <c r="A117" s="1845"/>
      <c r="B117" s="1828"/>
      <c r="C117" s="64"/>
      <c r="D117" s="64"/>
      <c r="E117" s="64"/>
      <c r="F117" s="64"/>
      <c r="G117" s="64"/>
      <c r="H117" s="59"/>
      <c r="I117" s="60"/>
      <c r="J117" s="60"/>
    </row>
    <row r="118" spans="1:10" ht="14.25" hidden="1" customHeight="1">
      <c r="A118" s="1845"/>
      <c r="B118" s="1828"/>
      <c r="C118" s="64"/>
      <c r="D118" s="64"/>
      <c r="E118" s="64"/>
      <c r="F118" s="64"/>
      <c r="G118" s="64"/>
      <c r="H118" s="59"/>
      <c r="I118" s="60"/>
      <c r="J118" s="60"/>
    </row>
    <row r="119" spans="1:10" ht="14.25" hidden="1" customHeight="1">
      <c r="A119" s="1845"/>
      <c r="B119" s="1828"/>
      <c r="C119" s="64"/>
      <c r="D119" s="64"/>
      <c r="E119" s="64"/>
      <c r="F119" s="64"/>
      <c r="G119" s="64"/>
      <c r="H119" s="59"/>
      <c r="I119" s="60"/>
      <c r="J119" s="60"/>
    </row>
    <row r="120" spans="1:10" ht="14.25" hidden="1" customHeight="1">
      <c r="A120" s="1845"/>
      <c r="B120" s="1828"/>
      <c r="C120" s="64"/>
      <c r="D120" s="64"/>
      <c r="E120" s="64"/>
      <c r="F120" s="64"/>
      <c r="G120" s="64"/>
      <c r="H120" s="59"/>
      <c r="I120" s="60"/>
      <c r="J120" s="60">
        <v>64.75</v>
      </c>
    </row>
    <row r="121" spans="1:10" ht="14.25" hidden="1" customHeight="1">
      <c r="A121" s="1845"/>
      <c r="B121" s="1828"/>
      <c r="C121" s="64"/>
      <c r="D121" s="64"/>
      <c r="E121" s="64"/>
      <c r="F121" s="64"/>
      <c r="G121" s="64"/>
      <c r="H121" s="59"/>
      <c r="I121" s="60"/>
      <c r="J121" s="60">
        <f>0.4*0.6</f>
        <v>0.24</v>
      </c>
    </row>
    <row r="122" spans="1:10" ht="14.25" hidden="1" customHeight="1">
      <c r="A122" s="1845"/>
      <c r="B122" s="1828"/>
      <c r="C122" s="64"/>
      <c r="D122" s="64"/>
      <c r="E122" s="64"/>
      <c r="F122" s="64"/>
      <c r="G122" s="64"/>
      <c r="H122" s="59"/>
      <c r="I122" s="60"/>
      <c r="J122" s="60">
        <f>+J120/J121</f>
        <v>269.79166666666669</v>
      </c>
    </row>
    <row r="123" spans="1:10" ht="14.25" customHeight="1">
      <c r="A123" s="1845"/>
      <c r="B123" s="1828"/>
      <c r="C123" s="64"/>
      <c r="D123" s="64"/>
      <c r="E123" s="64"/>
      <c r="F123" s="64"/>
      <c r="G123" s="64"/>
      <c r="H123" s="59"/>
      <c r="I123" s="60"/>
      <c r="J123" s="60"/>
    </row>
    <row r="124" spans="1:10" ht="14.25" customHeight="1">
      <c r="A124" s="1829" t="s">
        <v>227</v>
      </c>
      <c r="B124" s="1830"/>
      <c r="C124" s="1830"/>
      <c r="D124" s="1830"/>
      <c r="E124" s="1830"/>
      <c r="F124" s="1828"/>
      <c r="G124" s="65">
        <f>ROUND(SUM(G105:G123),2)</f>
        <v>250.24</v>
      </c>
      <c r="H124" s="59"/>
      <c r="I124" s="60"/>
      <c r="J124" s="60"/>
    </row>
    <row r="125" spans="1:10" ht="14.25" customHeight="1">
      <c r="A125" s="1837"/>
      <c r="B125" s="1838"/>
      <c r="C125" s="1838"/>
      <c r="D125" s="1838"/>
      <c r="E125" s="1838"/>
      <c r="F125" s="1838"/>
      <c r="G125" s="1839"/>
      <c r="H125" s="59"/>
      <c r="I125" s="60"/>
      <c r="J125" s="60"/>
    </row>
    <row r="126" spans="1:10" ht="14.25" hidden="1" customHeight="1">
      <c r="A126" s="66" t="str">
        <f t="shared" ref="A126:B126" si="8">+A100</f>
        <v>CAPITULO 1:</v>
      </c>
      <c r="B126" s="1832" t="str">
        <f t="shared" si="8"/>
        <v>ACTIVIDADES PRELIMINARES</v>
      </c>
      <c r="C126" s="1830"/>
      <c r="D126" s="1828"/>
      <c r="E126" s="1833" t="s">
        <v>218</v>
      </c>
      <c r="F126" s="1828"/>
      <c r="G126" s="62" t="s">
        <v>116</v>
      </c>
      <c r="H126" s="59"/>
      <c r="I126" s="60"/>
      <c r="J126" s="60"/>
    </row>
    <row r="127" spans="1:10" ht="14.25" hidden="1" customHeight="1">
      <c r="A127" s="66" t="s">
        <v>612</v>
      </c>
      <c r="B127" s="1840" t="s">
        <v>613</v>
      </c>
      <c r="C127" s="1830"/>
      <c r="D127" s="1830"/>
      <c r="E127" s="1830"/>
      <c r="F127" s="1830"/>
      <c r="G127" s="1828"/>
      <c r="H127" s="59"/>
      <c r="I127" s="60"/>
      <c r="J127" s="60"/>
    </row>
    <row r="128" spans="1:10" ht="14.25" hidden="1" customHeight="1">
      <c r="A128" s="1836" t="s">
        <v>220</v>
      </c>
      <c r="B128" s="1830"/>
      <c r="C128" s="1830"/>
      <c r="D128" s="1830"/>
      <c r="E128" s="1830"/>
      <c r="F128" s="1830"/>
      <c r="G128" s="1828"/>
      <c r="H128" s="59"/>
      <c r="I128" s="60"/>
      <c r="J128" s="60"/>
    </row>
    <row r="129" spans="1:7" ht="14.25" hidden="1" customHeight="1">
      <c r="A129" s="1829" t="s">
        <v>221</v>
      </c>
      <c r="B129" s="1828"/>
      <c r="C129" s="63" t="s">
        <v>222</v>
      </c>
      <c r="D129" s="63" t="s">
        <v>223</v>
      </c>
      <c r="E129" s="63" t="s">
        <v>224</v>
      </c>
      <c r="F129" s="63" t="s">
        <v>225</v>
      </c>
      <c r="G129" s="63" t="s">
        <v>235</v>
      </c>
    </row>
    <row r="130" spans="1:7" ht="14.25" hidden="1" customHeight="1">
      <c r="A130" s="1845" t="s">
        <v>614</v>
      </c>
      <c r="B130" s="1828"/>
      <c r="C130" s="64">
        <v>6108.38</v>
      </c>
      <c r="D130" s="64"/>
      <c r="E130" s="64">
        <v>0.65</v>
      </c>
      <c r="F130" s="64">
        <v>1</v>
      </c>
      <c r="G130" s="64">
        <f t="shared" ref="G130:G132" si="9">+F130*E130*C130</f>
        <v>3970.4470000000001</v>
      </c>
    </row>
    <row r="131" spans="1:7" ht="14.25" hidden="1" customHeight="1">
      <c r="A131" s="1845" t="s">
        <v>615</v>
      </c>
      <c r="B131" s="1828"/>
      <c r="C131" s="64">
        <v>795.54</v>
      </c>
      <c r="D131" s="64"/>
      <c r="E131" s="64">
        <v>0.45</v>
      </c>
      <c r="F131" s="64">
        <v>1</v>
      </c>
      <c r="G131" s="64">
        <f t="shared" si="9"/>
        <v>357.99299999999999</v>
      </c>
    </row>
    <row r="132" spans="1:7" ht="14.25" hidden="1" customHeight="1">
      <c r="A132" s="1845" t="s">
        <v>616</v>
      </c>
      <c r="B132" s="1828"/>
      <c r="C132" s="64">
        <f>+SUM(G105:G118)+G120</f>
        <v>250.23999999999998</v>
      </c>
      <c r="D132" s="64"/>
      <c r="E132" s="64">
        <v>0.3</v>
      </c>
      <c r="F132" s="64">
        <v>1</v>
      </c>
      <c r="G132" s="64">
        <f t="shared" si="9"/>
        <v>75.071999999999989</v>
      </c>
    </row>
    <row r="133" spans="1:7" ht="14.25" hidden="1" customHeight="1">
      <c r="A133" s="1845"/>
      <c r="B133" s="1828"/>
      <c r="C133" s="64"/>
      <c r="D133" s="64"/>
      <c r="E133" s="64"/>
      <c r="F133" s="64"/>
      <c r="G133" s="64"/>
    </row>
    <row r="134" spans="1:7" ht="14.25" hidden="1" customHeight="1">
      <c r="A134" s="1845"/>
      <c r="B134" s="1828"/>
      <c r="C134" s="64"/>
      <c r="D134" s="64"/>
      <c r="E134" s="64"/>
      <c r="F134" s="64"/>
      <c r="G134" s="64"/>
    </row>
    <row r="135" spans="1:7" ht="14.25" hidden="1" customHeight="1">
      <c r="A135" s="1829" t="s">
        <v>227</v>
      </c>
      <c r="B135" s="1830"/>
      <c r="C135" s="1830"/>
      <c r="D135" s="1830"/>
      <c r="E135" s="1830"/>
      <c r="F135" s="1828"/>
      <c r="G135" s="65"/>
    </row>
    <row r="136" spans="1:7" ht="14.25" hidden="1" customHeight="1">
      <c r="A136" s="1837"/>
      <c r="B136" s="1838"/>
      <c r="C136" s="1838"/>
      <c r="D136" s="1838"/>
      <c r="E136" s="1838"/>
      <c r="F136" s="1838"/>
      <c r="G136" s="1839"/>
    </row>
    <row r="137" spans="1:7" ht="14.25" customHeight="1">
      <c r="A137" s="66" t="s">
        <v>232</v>
      </c>
      <c r="B137" s="1832" t="s">
        <v>35</v>
      </c>
      <c r="C137" s="1830"/>
      <c r="D137" s="1828"/>
      <c r="E137" s="1833" t="s">
        <v>218</v>
      </c>
      <c r="F137" s="1828"/>
      <c r="G137" s="62" t="s">
        <v>228</v>
      </c>
    </row>
    <row r="138" spans="1:7" ht="14.25" customHeight="1">
      <c r="A138" s="66" t="s">
        <v>233</v>
      </c>
      <c r="B138" s="1840" t="s">
        <v>617</v>
      </c>
      <c r="C138" s="1830"/>
      <c r="D138" s="1830"/>
      <c r="E138" s="1830"/>
      <c r="F138" s="1830"/>
      <c r="G138" s="1828"/>
    </row>
    <row r="139" spans="1:7" ht="14.25" customHeight="1">
      <c r="A139" s="1836" t="s">
        <v>220</v>
      </c>
      <c r="B139" s="1830"/>
      <c r="C139" s="1830"/>
      <c r="D139" s="1830"/>
      <c r="E139" s="1830"/>
      <c r="F139" s="1830"/>
      <c r="G139" s="1828"/>
    </row>
    <row r="140" spans="1:7" ht="14.25" customHeight="1">
      <c r="A140" s="1829" t="s">
        <v>221</v>
      </c>
      <c r="B140" s="1828"/>
      <c r="C140" s="63" t="s">
        <v>222</v>
      </c>
      <c r="D140" s="63" t="s">
        <v>223</v>
      </c>
      <c r="E140" s="63" t="s">
        <v>224</v>
      </c>
      <c r="F140" s="63" t="s">
        <v>225</v>
      </c>
      <c r="G140" s="63" t="s">
        <v>226</v>
      </c>
    </row>
    <row r="141" spans="1:7" ht="14.25" customHeight="1">
      <c r="A141" s="1847" t="s">
        <v>603</v>
      </c>
      <c r="B141" s="1828"/>
      <c r="C141" s="64"/>
      <c r="D141" s="64"/>
      <c r="E141" s="64"/>
      <c r="F141" s="64"/>
      <c r="G141" s="64"/>
    </row>
    <row r="142" spans="1:7" ht="14.25" customHeight="1">
      <c r="A142" s="1845" t="s">
        <v>604</v>
      </c>
      <c r="B142" s="1828"/>
      <c r="C142" s="64">
        <v>1.7</v>
      </c>
      <c r="D142" s="64">
        <v>1.7</v>
      </c>
      <c r="E142" s="64"/>
      <c r="F142" s="64">
        <v>5</v>
      </c>
      <c r="G142" s="64">
        <f t="shared" ref="G142:G149" si="10">+C142*D142*F142</f>
        <v>14.45</v>
      </c>
    </row>
    <row r="143" spans="1:7" ht="14.25" customHeight="1">
      <c r="A143" s="1845" t="s">
        <v>605</v>
      </c>
      <c r="B143" s="1828"/>
      <c r="C143" s="64">
        <v>1.8</v>
      </c>
      <c r="D143" s="64">
        <v>1.8</v>
      </c>
      <c r="E143" s="64"/>
      <c r="F143" s="64">
        <v>3</v>
      </c>
      <c r="G143" s="64">
        <f t="shared" si="10"/>
        <v>9.7200000000000006</v>
      </c>
    </row>
    <row r="144" spans="1:7" ht="14.25" customHeight="1">
      <c r="A144" s="1845" t="s">
        <v>606</v>
      </c>
      <c r="B144" s="1828"/>
      <c r="C144" s="64">
        <v>1.9</v>
      </c>
      <c r="D144" s="64">
        <v>1.9</v>
      </c>
      <c r="E144" s="64"/>
      <c r="F144" s="64">
        <v>13</v>
      </c>
      <c r="G144" s="64">
        <f t="shared" si="10"/>
        <v>46.93</v>
      </c>
    </row>
    <row r="145" spans="1:7" ht="14.25" customHeight="1">
      <c r="A145" s="1845" t="s">
        <v>607</v>
      </c>
      <c r="B145" s="1828"/>
      <c r="C145" s="64">
        <v>2</v>
      </c>
      <c r="D145" s="64">
        <v>2</v>
      </c>
      <c r="E145" s="64"/>
      <c r="F145" s="64">
        <v>7</v>
      </c>
      <c r="G145" s="64">
        <f t="shared" si="10"/>
        <v>28</v>
      </c>
    </row>
    <row r="146" spans="1:7" ht="14.25" customHeight="1">
      <c r="A146" s="1845" t="s">
        <v>608</v>
      </c>
      <c r="B146" s="1828"/>
      <c r="C146" s="64">
        <v>2.1</v>
      </c>
      <c r="D146" s="64">
        <v>2.1</v>
      </c>
      <c r="E146" s="64"/>
      <c r="F146" s="64">
        <v>2</v>
      </c>
      <c r="G146" s="64">
        <f t="shared" si="10"/>
        <v>8.82</v>
      </c>
    </row>
    <row r="147" spans="1:7" ht="14.25" customHeight="1">
      <c r="A147" s="1845" t="s">
        <v>609</v>
      </c>
      <c r="B147" s="1828"/>
      <c r="C147" s="64">
        <v>2.2000000000000002</v>
      </c>
      <c r="D147" s="64">
        <v>2.2000000000000002</v>
      </c>
      <c r="E147" s="64"/>
      <c r="F147" s="64">
        <v>2</v>
      </c>
      <c r="G147" s="64">
        <f t="shared" si="10"/>
        <v>9.6800000000000015</v>
      </c>
    </row>
    <row r="148" spans="1:7" ht="14.25" customHeight="1">
      <c r="A148" s="1845" t="s">
        <v>610</v>
      </c>
      <c r="B148" s="1828"/>
      <c r="C148" s="64">
        <v>1.7</v>
      </c>
      <c r="D148" s="64">
        <v>3</v>
      </c>
      <c r="E148" s="64"/>
      <c r="F148" s="64">
        <v>1</v>
      </c>
      <c r="G148" s="64">
        <f t="shared" si="10"/>
        <v>5.0999999999999996</v>
      </c>
    </row>
    <row r="149" spans="1:7" ht="14.25" customHeight="1">
      <c r="A149" s="1845" t="s">
        <v>611</v>
      </c>
      <c r="B149" s="1828"/>
      <c r="C149" s="64">
        <v>1.1000000000000001</v>
      </c>
      <c r="D149" s="64">
        <v>2.2000000000000002</v>
      </c>
      <c r="E149" s="64"/>
      <c r="F149" s="64">
        <v>1</v>
      </c>
      <c r="G149" s="64">
        <f t="shared" si="10"/>
        <v>2.4200000000000004</v>
      </c>
    </row>
    <row r="150" spans="1:7" ht="14.25" customHeight="1">
      <c r="A150" s="1845"/>
      <c r="B150" s="1828"/>
      <c r="C150" s="64"/>
      <c r="D150" s="64"/>
      <c r="E150" s="64"/>
      <c r="F150" s="64"/>
      <c r="G150" s="64"/>
    </row>
    <row r="151" spans="1:7" ht="15" customHeight="1">
      <c r="A151" s="1845"/>
      <c r="B151" s="1828"/>
      <c r="C151" s="64"/>
      <c r="D151" s="64"/>
      <c r="E151" s="64"/>
      <c r="F151" s="64"/>
      <c r="G151" s="64"/>
    </row>
    <row r="152" spans="1:7" ht="15" customHeight="1">
      <c r="A152" s="1845"/>
      <c r="B152" s="1828"/>
      <c r="C152" s="64"/>
      <c r="D152" s="64"/>
      <c r="E152" s="64"/>
      <c r="F152" s="64"/>
      <c r="G152" s="64"/>
    </row>
    <row r="153" spans="1:7" ht="14.25" customHeight="1">
      <c r="A153" s="1829" t="s">
        <v>227</v>
      </c>
      <c r="B153" s="1830"/>
      <c r="C153" s="1830"/>
      <c r="D153" s="1830"/>
      <c r="E153" s="1830"/>
      <c r="F153" s="1828"/>
      <c r="G153" s="65">
        <f>ROUND(SUM(G141:G152),2)</f>
        <v>125.12</v>
      </c>
    </row>
    <row r="154" spans="1:7" ht="14.25" customHeight="1">
      <c r="A154" s="1837"/>
      <c r="B154" s="1838"/>
      <c r="C154" s="1838"/>
      <c r="D154" s="1838"/>
      <c r="E154" s="1838"/>
      <c r="F154" s="1838"/>
      <c r="G154" s="1839"/>
    </row>
    <row r="155" spans="1:7" ht="14.25" hidden="1" customHeight="1">
      <c r="A155" s="66" t="str">
        <f t="shared" ref="A155:B155" si="11">+A137</f>
        <v>CAPITULO 2:</v>
      </c>
      <c r="B155" s="1832" t="str">
        <f t="shared" si="11"/>
        <v>CONCRETOS</v>
      </c>
      <c r="C155" s="1830"/>
      <c r="D155" s="1828"/>
      <c r="E155" s="1833" t="s">
        <v>218</v>
      </c>
      <c r="F155" s="1828"/>
      <c r="G155" s="62" t="s">
        <v>116</v>
      </c>
    </row>
    <row r="156" spans="1:7" ht="34.5" hidden="1" customHeight="1">
      <c r="A156" s="66" t="s">
        <v>234</v>
      </c>
      <c r="B156" s="1840" t="s">
        <v>389</v>
      </c>
      <c r="C156" s="1830"/>
      <c r="D156" s="1830"/>
      <c r="E156" s="1830"/>
      <c r="F156" s="1830"/>
      <c r="G156" s="1828"/>
    </row>
    <row r="157" spans="1:7" ht="14.25" hidden="1" customHeight="1">
      <c r="A157" s="1836" t="s">
        <v>220</v>
      </c>
      <c r="B157" s="1830"/>
      <c r="C157" s="1830"/>
      <c r="D157" s="1830"/>
      <c r="E157" s="1830"/>
      <c r="F157" s="1830"/>
      <c r="G157" s="1828"/>
    </row>
    <row r="158" spans="1:7" ht="14.25" hidden="1" customHeight="1">
      <c r="A158" s="1829" t="s">
        <v>221</v>
      </c>
      <c r="B158" s="1828"/>
      <c r="C158" s="63" t="s">
        <v>222</v>
      </c>
      <c r="D158" s="63" t="s">
        <v>223</v>
      </c>
      <c r="E158" s="63" t="s">
        <v>224</v>
      </c>
      <c r="F158" s="63" t="s">
        <v>225</v>
      </c>
      <c r="G158" s="63" t="s">
        <v>226</v>
      </c>
    </row>
    <row r="159" spans="1:7" ht="14.25" hidden="1" customHeight="1">
      <c r="A159" s="1845" t="s">
        <v>618</v>
      </c>
      <c r="B159" s="1828"/>
      <c r="C159" s="64">
        <f>+C118</f>
        <v>0</v>
      </c>
      <c r="D159" s="64">
        <v>0.3</v>
      </c>
      <c r="E159" s="64">
        <v>0.2</v>
      </c>
      <c r="F159" s="64">
        <v>1</v>
      </c>
      <c r="G159" s="64">
        <f>+C159*D159*E159*F159</f>
        <v>0</v>
      </c>
    </row>
    <row r="160" spans="1:7" ht="14.25" hidden="1" customHeight="1">
      <c r="A160" s="1845"/>
      <c r="B160" s="1828"/>
      <c r="C160" s="64"/>
      <c r="D160" s="64"/>
      <c r="E160" s="64"/>
      <c r="F160" s="64"/>
      <c r="G160" s="64"/>
    </row>
    <row r="162" spans="1:7" ht="14.25" hidden="1" customHeight="1">
      <c r="A162" s="1829" t="s">
        <v>227</v>
      </c>
      <c r="B162" s="1830"/>
      <c r="C162" s="1830"/>
      <c r="D162" s="1830"/>
      <c r="E162" s="1830"/>
      <c r="F162" s="1828"/>
      <c r="G162" s="65">
        <f>ROUND(SUM(G159:G161),2)</f>
        <v>0</v>
      </c>
    </row>
    <row r="163" spans="1:7" ht="14.25" customHeight="1">
      <c r="A163" s="1837"/>
      <c r="B163" s="1838"/>
      <c r="C163" s="1838"/>
      <c r="D163" s="1838"/>
      <c r="E163" s="1838"/>
      <c r="F163" s="1838"/>
      <c r="G163" s="1839"/>
    </row>
    <row r="164" spans="1:7" ht="14.25" customHeight="1">
      <c r="A164" s="66" t="str">
        <f t="shared" ref="A164:B164" si="12">+A155</f>
        <v>CAPITULO 2:</v>
      </c>
      <c r="B164" s="1832" t="str">
        <f t="shared" si="12"/>
        <v>CONCRETOS</v>
      </c>
      <c r="C164" s="1830"/>
      <c r="D164" s="1828"/>
      <c r="E164" s="1833" t="s">
        <v>218</v>
      </c>
      <c r="F164" s="1828"/>
      <c r="G164" s="62" t="s">
        <v>116</v>
      </c>
    </row>
    <row r="165" spans="1:7" ht="14.25" customHeight="1">
      <c r="A165" s="66" t="s">
        <v>236</v>
      </c>
      <c r="B165" s="1840" t="s">
        <v>619</v>
      </c>
      <c r="C165" s="1830"/>
      <c r="D165" s="1830"/>
      <c r="E165" s="1830"/>
      <c r="F165" s="1830"/>
      <c r="G165" s="1828"/>
    </row>
    <row r="166" spans="1:7" ht="14.25" customHeight="1">
      <c r="A166" s="1836" t="s">
        <v>220</v>
      </c>
      <c r="B166" s="1830"/>
      <c r="C166" s="1830"/>
      <c r="D166" s="1830"/>
      <c r="E166" s="1830"/>
      <c r="F166" s="1830"/>
      <c r="G166" s="1828"/>
    </row>
    <row r="167" spans="1:7" ht="14.25" customHeight="1">
      <c r="A167" s="1829" t="s">
        <v>221</v>
      </c>
      <c r="B167" s="1828"/>
      <c r="C167" s="63" t="s">
        <v>222</v>
      </c>
      <c r="D167" s="63" t="s">
        <v>223</v>
      </c>
      <c r="E167" s="63" t="s">
        <v>224</v>
      </c>
      <c r="F167" s="63" t="s">
        <v>225</v>
      </c>
      <c r="G167" s="63" t="s">
        <v>226</v>
      </c>
    </row>
    <row r="168" spans="1:7" ht="14.25" customHeight="1">
      <c r="A168" s="1847" t="s">
        <v>620</v>
      </c>
      <c r="B168" s="1828"/>
      <c r="C168" s="64"/>
      <c r="D168" s="64"/>
      <c r="E168" s="64"/>
      <c r="F168" s="64"/>
      <c r="G168" s="64"/>
    </row>
    <row r="169" spans="1:7" ht="14.25" customHeight="1">
      <c r="A169" s="1845" t="s">
        <v>604</v>
      </c>
      <c r="B169" s="1828"/>
      <c r="C169" s="64">
        <v>1.7</v>
      </c>
      <c r="D169" s="64">
        <v>1.7</v>
      </c>
      <c r="E169" s="64">
        <v>0.4</v>
      </c>
      <c r="F169" s="64">
        <v>5</v>
      </c>
      <c r="G169" s="64">
        <f t="shared" ref="G169:G176" si="13">+C169*D169*F169*E169</f>
        <v>5.78</v>
      </c>
    </row>
    <row r="170" spans="1:7" ht="14.25" customHeight="1">
      <c r="A170" s="1845" t="s">
        <v>605</v>
      </c>
      <c r="B170" s="1828"/>
      <c r="C170" s="64">
        <v>1.8</v>
      </c>
      <c r="D170" s="64">
        <v>1.8</v>
      </c>
      <c r="E170" s="64">
        <v>0.4</v>
      </c>
      <c r="F170" s="64">
        <v>3</v>
      </c>
      <c r="G170" s="64">
        <f t="shared" si="13"/>
        <v>3.8880000000000003</v>
      </c>
    </row>
    <row r="171" spans="1:7" ht="14.25" customHeight="1">
      <c r="A171" s="1845" t="s">
        <v>606</v>
      </c>
      <c r="B171" s="1828"/>
      <c r="C171" s="64">
        <v>1.9</v>
      </c>
      <c r="D171" s="64">
        <v>1.9</v>
      </c>
      <c r="E171" s="64">
        <v>0.4</v>
      </c>
      <c r="F171" s="64">
        <v>13</v>
      </c>
      <c r="G171" s="64">
        <f t="shared" si="13"/>
        <v>18.772000000000002</v>
      </c>
    </row>
    <row r="172" spans="1:7" ht="14.25" customHeight="1">
      <c r="A172" s="1845" t="s">
        <v>607</v>
      </c>
      <c r="B172" s="1828"/>
      <c r="C172" s="64">
        <v>2</v>
      </c>
      <c r="D172" s="64">
        <v>2</v>
      </c>
      <c r="E172" s="64">
        <v>0.4</v>
      </c>
      <c r="F172" s="64">
        <v>7</v>
      </c>
      <c r="G172" s="64">
        <f t="shared" si="13"/>
        <v>11.200000000000001</v>
      </c>
    </row>
    <row r="173" spans="1:7" ht="14.25" customHeight="1">
      <c r="A173" s="1845" t="s">
        <v>608</v>
      </c>
      <c r="B173" s="1828"/>
      <c r="C173" s="64">
        <v>2.1</v>
      </c>
      <c r="D173" s="64">
        <v>2.1</v>
      </c>
      <c r="E173" s="64">
        <v>0.4</v>
      </c>
      <c r="F173" s="64">
        <v>2</v>
      </c>
      <c r="G173" s="64">
        <f t="shared" si="13"/>
        <v>3.5280000000000005</v>
      </c>
    </row>
    <row r="174" spans="1:7" ht="14.25" customHeight="1">
      <c r="A174" s="1845" t="s">
        <v>609</v>
      </c>
      <c r="B174" s="1828"/>
      <c r="C174" s="64">
        <v>2.2000000000000002</v>
      </c>
      <c r="D174" s="64">
        <v>2.2000000000000002</v>
      </c>
      <c r="E174" s="64">
        <v>0.4</v>
      </c>
      <c r="F174" s="64">
        <v>2</v>
      </c>
      <c r="G174" s="64">
        <f t="shared" si="13"/>
        <v>3.8720000000000008</v>
      </c>
    </row>
    <row r="175" spans="1:7" ht="14.25" customHeight="1">
      <c r="A175" s="1845" t="s">
        <v>610</v>
      </c>
      <c r="B175" s="1828"/>
      <c r="C175" s="64">
        <v>1.7</v>
      </c>
      <c r="D175" s="64">
        <v>3</v>
      </c>
      <c r="E175" s="64">
        <v>0.4</v>
      </c>
      <c r="F175" s="64">
        <v>1</v>
      </c>
      <c r="G175" s="64">
        <f t="shared" si="13"/>
        <v>2.04</v>
      </c>
    </row>
    <row r="176" spans="1:7" ht="14.25" customHeight="1">
      <c r="A176" s="1845" t="s">
        <v>611</v>
      </c>
      <c r="B176" s="1828"/>
      <c r="C176" s="64">
        <v>1.1000000000000001</v>
      </c>
      <c r="D176" s="64">
        <v>2.2000000000000002</v>
      </c>
      <c r="E176" s="64">
        <v>0.4</v>
      </c>
      <c r="F176" s="64">
        <v>1</v>
      </c>
      <c r="G176" s="64">
        <f t="shared" si="13"/>
        <v>0.96800000000000019</v>
      </c>
    </row>
    <row r="177" spans="1:7" ht="15" customHeight="1">
      <c r="A177" s="1845"/>
      <c r="B177" s="1828"/>
      <c r="C177" s="64"/>
      <c r="D177" s="64"/>
      <c r="E177" s="64"/>
      <c r="F177" s="64"/>
      <c r="G177" s="64"/>
    </row>
    <row r="178" spans="1:7" ht="15" customHeight="1">
      <c r="A178" s="1845"/>
      <c r="B178" s="1828"/>
      <c r="C178" s="64"/>
      <c r="D178" s="64"/>
      <c r="E178" s="64"/>
      <c r="F178" s="64"/>
      <c r="G178" s="64"/>
    </row>
    <row r="179" spans="1:7" ht="14.25" customHeight="1">
      <c r="A179" s="1829" t="s">
        <v>227</v>
      </c>
      <c r="B179" s="1830"/>
      <c r="C179" s="1830"/>
      <c r="D179" s="1830"/>
      <c r="E179" s="1830"/>
      <c r="F179" s="1828"/>
      <c r="G179" s="65">
        <f>ROUND((SUM(G168:G178)),2)</f>
        <v>50.05</v>
      </c>
    </row>
    <row r="180" spans="1:7" ht="14.25" customHeight="1">
      <c r="A180" s="1837"/>
      <c r="B180" s="1838"/>
      <c r="C180" s="1838"/>
      <c r="D180" s="1838"/>
      <c r="E180" s="1838"/>
      <c r="F180" s="1838"/>
      <c r="G180" s="1839"/>
    </row>
    <row r="181" spans="1:7" ht="14.25" customHeight="1">
      <c r="A181" s="66" t="s">
        <v>232</v>
      </c>
      <c r="B181" s="1832" t="str">
        <f>+B164</f>
        <v>CONCRETOS</v>
      </c>
      <c r="C181" s="1830"/>
      <c r="D181" s="1828"/>
      <c r="E181" s="1833" t="s">
        <v>218</v>
      </c>
      <c r="F181" s="1828"/>
      <c r="G181" s="62" t="s">
        <v>116</v>
      </c>
    </row>
    <row r="182" spans="1:7" ht="14.25" customHeight="1">
      <c r="A182" s="66" t="s">
        <v>237</v>
      </c>
      <c r="B182" s="1840" t="s">
        <v>621</v>
      </c>
      <c r="C182" s="1830"/>
      <c r="D182" s="1830"/>
      <c r="E182" s="1830"/>
      <c r="F182" s="1830"/>
      <c r="G182" s="1828"/>
    </row>
    <row r="183" spans="1:7" ht="14.25" customHeight="1">
      <c r="A183" s="1836" t="s">
        <v>220</v>
      </c>
      <c r="B183" s="1830"/>
      <c r="C183" s="1830"/>
      <c r="D183" s="1830"/>
      <c r="E183" s="1830"/>
      <c r="F183" s="1830"/>
      <c r="G183" s="1828"/>
    </row>
    <row r="184" spans="1:7" ht="14.25" customHeight="1">
      <c r="A184" s="1829" t="s">
        <v>221</v>
      </c>
      <c r="B184" s="1828"/>
      <c r="C184" s="63" t="s">
        <v>222</v>
      </c>
      <c r="D184" s="63" t="s">
        <v>223</v>
      </c>
      <c r="E184" s="63" t="s">
        <v>224</v>
      </c>
      <c r="F184" s="63" t="s">
        <v>225</v>
      </c>
      <c r="G184" s="63" t="s">
        <v>226</v>
      </c>
    </row>
    <row r="185" spans="1:7" ht="14.25" customHeight="1">
      <c r="A185" s="1845" t="s">
        <v>622</v>
      </c>
      <c r="B185" s="1828"/>
      <c r="C185" s="64">
        <v>142.92500000000001</v>
      </c>
      <c r="D185" s="64">
        <v>0.4</v>
      </c>
      <c r="E185" s="64">
        <v>0.5</v>
      </c>
      <c r="F185" s="64">
        <v>2</v>
      </c>
      <c r="G185" s="64">
        <f>+C185*D185*E185*F185</f>
        <v>57.170000000000009</v>
      </c>
    </row>
    <row r="186" spans="1:7" ht="14.25" customHeight="1">
      <c r="A186" s="1845"/>
      <c r="B186" s="1828"/>
      <c r="C186" s="64"/>
      <c r="D186" s="64"/>
      <c r="E186" s="64"/>
      <c r="F186" s="64"/>
      <c r="G186" s="64"/>
    </row>
    <row r="187" spans="1:7" ht="15" customHeight="1">
      <c r="A187" s="1847"/>
      <c r="B187" s="1828"/>
      <c r="C187" s="64"/>
      <c r="D187" s="64"/>
      <c r="E187" s="64"/>
      <c r="F187" s="64"/>
      <c r="G187" s="64"/>
    </row>
    <row r="188" spans="1:7" ht="15" customHeight="1">
      <c r="A188" s="1845"/>
      <c r="B188" s="1828"/>
      <c r="C188" s="64"/>
      <c r="D188" s="64"/>
      <c r="E188" s="64"/>
      <c r="F188" s="64"/>
      <c r="G188" s="64"/>
    </row>
    <row r="189" spans="1:7" ht="14.25" customHeight="1">
      <c r="A189" s="1829" t="s">
        <v>227</v>
      </c>
      <c r="B189" s="1830"/>
      <c r="C189" s="1830"/>
      <c r="D189" s="1830"/>
      <c r="E189" s="1830"/>
      <c r="F189" s="1828"/>
      <c r="G189" s="65">
        <f>ROUND((SUM(G185:G188)),2)</f>
        <v>57.17</v>
      </c>
    </row>
    <row r="190" spans="1:7" ht="14.25" customHeight="1">
      <c r="A190" s="1837"/>
      <c r="B190" s="1838"/>
      <c r="C190" s="1838"/>
      <c r="D190" s="1838"/>
      <c r="E190" s="1838"/>
      <c r="F190" s="1838"/>
      <c r="G190" s="1839"/>
    </row>
    <row r="191" spans="1:7" ht="14.25" customHeight="1">
      <c r="A191" s="66" t="s">
        <v>232</v>
      </c>
      <c r="B191" s="1832" t="s">
        <v>35</v>
      </c>
      <c r="C191" s="1830"/>
      <c r="D191" s="1828"/>
      <c r="E191" s="1833" t="s">
        <v>218</v>
      </c>
      <c r="F191" s="1828"/>
      <c r="G191" s="62" t="s">
        <v>116</v>
      </c>
    </row>
    <row r="192" spans="1:7" ht="14.25" customHeight="1">
      <c r="A192" s="66" t="s">
        <v>238</v>
      </c>
      <c r="B192" s="1840" t="s">
        <v>623</v>
      </c>
      <c r="C192" s="1830"/>
      <c r="D192" s="1830"/>
      <c r="E192" s="1830"/>
      <c r="F192" s="1830"/>
      <c r="G192" s="1828"/>
    </row>
    <row r="193" spans="1:7" ht="14.25" customHeight="1">
      <c r="A193" s="1836" t="s">
        <v>220</v>
      </c>
      <c r="B193" s="1830"/>
      <c r="C193" s="1830"/>
      <c r="D193" s="1830"/>
      <c r="E193" s="1830"/>
      <c r="F193" s="1830"/>
      <c r="G193" s="1828"/>
    </row>
    <row r="194" spans="1:7" ht="14.25" customHeight="1">
      <c r="A194" s="1829" t="s">
        <v>221</v>
      </c>
      <c r="B194" s="1828"/>
      <c r="C194" s="63" t="s">
        <v>222</v>
      </c>
      <c r="D194" s="63" t="s">
        <v>223</v>
      </c>
      <c r="E194" s="63" t="s">
        <v>224</v>
      </c>
      <c r="F194" s="63" t="s">
        <v>225</v>
      </c>
      <c r="G194" s="63" t="s">
        <v>226</v>
      </c>
    </row>
    <row r="195" spans="1:7" ht="14.25" customHeight="1">
      <c r="A195" s="1847" t="s">
        <v>620</v>
      </c>
      <c r="B195" s="1828"/>
      <c r="C195" s="64"/>
      <c r="D195" s="64"/>
      <c r="E195" s="64"/>
      <c r="F195" s="64"/>
      <c r="G195" s="64"/>
    </row>
    <row r="196" spans="1:7" ht="14.25" customHeight="1">
      <c r="A196" s="1845" t="s">
        <v>624</v>
      </c>
      <c r="B196" s="1828"/>
      <c r="C196" s="64"/>
      <c r="D196" s="64"/>
      <c r="E196" s="64"/>
      <c r="F196" s="64">
        <v>85.016019999999997</v>
      </c>
      <c r="G196" s="64">
        <f>+F196</f>
        <v>85.016019999999997</v>
      </c>
    </row>
    <row r="197" spans="1:7" ht="14.25" customHeight="1">
      <c r="A197" s="1847"/>
      <c r="B197" s="1828"/>
      <c r="C197" s="64"/>
      <c r="D197" s="64"/>
      <c r="E197" s="64"/>
      <c r="F197" s="64"/>
      <c r="G197" s="64"/>
    </row>
    <row r="198" spans="1:7" ht="14.25" customHeight="1">
      <c r="A198" s="1845"/>
      <c r="B198" s="1828"/>
      <c r="C198" s="64"/>
      <c r="D198" s="64"/>
      <c r="E198" s="64"/>
      <c r="F198" s="64"/>
      <c r="G198" s="64"/>
    </row>
    <row r="199" spans="1:7" ht="14.25" customHeight="1">
      <c r="A199" s="1845"/>
      <c r="B199" s="1828"/>
      <c r="C199" s="64"/>
      <c r="D199" s="64"/>
      <c r="E199" s="64"/>
      <c r="F199" s="64"/>
      <c r="G199" s="64"/>
    </row>
    <row r="200" spans="1:7" ht="14.25" customHeight="1">
      <c r="A200" s="1829" t="s">
        <v>227</v>
      </c>
      <c r="B200" s="1830"/>
      <c r="C200" s="1830"/>
      <c r="D200" s="1830"/>
      <c r="E200" s="1830"/>
      <c r="F200" s="1828"/>
      <c r="G200" s="65">
        <f>ROUND((SUM(G196:G199)),2)</f>
        <v>85.02</v>
      </c>
    </row>
    <row r="201" spans="1:7" ht="14.25" customHeight="1">
      <c r="A201" s="1837"/>
      <c r="B201" s="1838"/>
      <c r="C201" s="1838"/>
      <c r="D201" s="1838"/>
      <c r="E201" s="1838"/>
      <c r="F201" s="1838"/>
      <c r="G201" s="1839"/>
    </row>
    <row r="202" spans="1:7" ht="14.25" customHeight="1">
      <c r="A202" s="66" t="s">
        <v>232</v>
      </c>
      <c r="B202" s="1832" t="str">
        <f>+B191</f>
        <v>CONCRETOS</v>
      </c>
      <c r="C202" s="1830"/>
      <c r="D202" s="1828"/>
      <c r="E202" s="1833" t="s">
        <v>218</v>
      </c>
      <c r="F202" s="1828"/>
      <c r="G202" s="62" t="s">
        <v>116</v>
      </c>
    </row>
    <row r="203" spans="1:7" ht="14.25" customHeight="1">
      <c r="A203" s="66" t="s">
        <v>239</v>
      </c>
      <c r="B203" s="1840" t="s">
        <v>625</v>
      </c>
      <c r="C203" s="1830"/>
      <c r="D203" s="1830"/>
      <c r="E203" s="1830"/>
      <c r="F203" s="1830"/>
      <c r="G203" s="1828"/>
    </row>
    <row r="204" spans="1:7" ht="14.25" customHeight="1">
      <c r="A204" s="1836" t="s">
        <v>220</v>
      </c>
      <c r="B204" s="1830"/>
      <c r="C204" s="1830"/>
      <c r="D204" s="1830"/>
      <c r="E204" s="1830"/>
      <c r="F204" s="1830"/>
      <c r="G204" s="1828"/>
    </row>
    <row r="205" spans="1:7" ht="14.25" customHeight="1">
      <c r="A205" s="1829" t="s">
        <v>221</v>
      </c>
      <c r="B205" s="1828"/>
      <c r="C205" s="63" t="s">
        <v>222</v>
      </c>
      <c r="D205" s="63" t="s">
        <v>223</v>
      </c>
      <c r="E205" s="63" t="s">
        <v>224</v>
      </c>
      <c r="F205" s="63" t="s">
        <v>225</v>
      </c>
      <c r="G205" s="63" t="s">
        <v>226</v>
      </c>
    </row>
    <row r="206" spans="1:7" ht="14.25" customHeight="1">
      <c r="A206" s="1847" t="s">
        <v>620</v>
      </c>
      <c r="B206" s="1828"/>
      <c r="C206" s="64"/>
      <c r="D206" s="64"/>
      <c r="E206" s="64"/>
      <c r="F206" s="64"/>
      <c r="G206" s="64"/>
    </row>
    <row r="207" spans="1:7" ht="14.25" customHeight="1">
      <c r="A207" s="1845" t="s">
        <v>626</v>
      </c>
      <c r="B207" s="1828"/>
      <c r="C207" s="64"/>
      <c r="D207" s="64"/>
      <c r="E207" s="64"/>
      <c r="F207" s="64">
        <v>30.83</v>
      </c>
      <c r="G207" s="64">
        <f>+F207</f>
        <v>30.83</v>
      </c>
    </row>
    <row r="208" spans="1:7" ht="14.25" customHeight="1">
      <c r="A208" s="1847"/>
      <c r="B208" s="1828"/>
      <c r="C208" s="64"/>
      <c r="D208" s="64"/>
      <c r="E208" s="64"/>
      <c r="F208" s="64"/>
      <c r="G208" s="64"/>
    </row>
    <row r="209" spans="1:7" ht="14.25" customHeight="1">
      <c r="A209" s="1845"/>
      <c r="B209" s="1828"/>
      <c r="C209" s="64"/>
      <c r="D209" s="64"/>
      <c r="E209" s="64"/>
      <c r="F209" s="64"/>
      <c r="G209" s="64"/>
    </row>
    <row r="210" spans="1:7" ht="14.25" customHeight="1">
      <c r="A210" s="1847"/>
      <c r="B210" s="1828"/>
      <c r="C210" s="64"/>
      <c r="D210" s="64"/>
      <c r="E210" s="64"/>
      <c r="F210" s="64"/>
      <c r="G210" s="64"/>
    </row>
    <row r="211" spans="1:7" ht="14.25" customHeight="1">
      <c r="A211" s="1845"/>
      <c r="B211" s="1828"/>
      <c r="C211" s="64"/>
      <c r="D211" s="64"/>
      <c r="E211" s="64"/>
      <c r="F211" s="64"/>
      <c r="G211" s="64"/>
    </row>
    <row r="212" spans="1:7" ht="14.25" customHeight="1">
      <c r="A212" s="1845"/>
      <c r="B212" s="1828"/>
      <c r="C212" s="64"/>
      <c r="D212" s="64"/>
      <c r="E212" s="64"/>
      <c r="F212" s="64"/>
      <c r="G212" s="64"/>
    </row>
    <row r="213" spans="1:7" ht="14.25" customHeight="1">
      <c r="A213" s="1845"/>
      <c r="B213" s="1828"/>
      <c r="C213" s="64"/>
      <c r="D213" s="64"/>
      <c r="E213" s="64"/>
      <c r="F213" s="64"/>
      <c r="G213" s="64"/>
    </row>
    <row r="214" spans="1:7" ht="14.25" customHeight="1">
      <c r="A214" s="1829" t="s">
        <v>227</v>
      </c>
      <c r="B214" s="1830"/>
      <c r="C214" s="1830"/>
      <c r="D214" s="1830"/>
      <c r="E214" s="1830"/>
      <c r="F214" s="1828"/>
      <c r="G214" s="65">
        <f>ROUND((SUM(G206:G213)),2)</f>
        <v>30.83</v>
      </c>
    </row>
    <row r="215" spans="1:7" ht="14.25" customHeight="1">
      <c r="A215" s="1837"/>
      <c r="B215" s="1838"/>
      <c r="C215" s="1838"/>
      <c r="D215" s="1838"/>
      <c r="E215" s="1838"/>
      <c r="F215" s="1838"/>
      <c r="G215" s="1839"/>
    </row>
    <row r="216" spans="1:7" ht="14.25" hidden="1" customHeight="1">
      <c r="A216" s="66" t="s">
        <v>232</v>
      </c>
      <c r="B216" s="1832" t="str">
        <f>+B191</f>
        <v>CONCRETOS</v>
      </c>
      <c r="C216" s="1830"/>
      <c r="D216" s="1828"/>
      <c r="E216" s="1833" t="s">
        <v>218</v>
      </c>
      <c r="F216" s="1828"/>
      <c r="G216" s="62" t="s">
        <v>116</v>
      </c>
    </row>
    <row r="217" spans="1:7" ht="14.25" hidden="1" customHeight="1">
      <c r="A217" s="66" t="s">
        <v>627</v>
      </c>
      <c r="B217" s="1840" t="s">
        <v>628</v>
      </c>
      <c r="C217" s="1830"/>
      <c r="D217" s="1830"/>
      <c r="E217" s="1830"/>
      <c r="F217" s="1830"/>
      <c r="G217" s="1828"/>
    </row>
    <row r="218" spans="1:7" ht="14.25" hidden="1" customHeight="1">
      <c r="A218" s="1836" t="s">
        <v>220</v>
      </c>
      <c r="B218" s="1830"/>
      <c r="C218" s="1830"/>
      <c r="D218" s="1830"/>
      <c r="E218" s="1830"/>
      <c r="F218" s="1830"/>
      <c r="G218" s="1828"/>
    </row>
    <row r="219" spans="1:7" ht="14.25" hidden="1" customHeight="1">
      <c r="A219" s="1829" t="s">
        <v>221</v>
      </c>
      <c r="B219" s="1828"/>
      <c r="C219" s="63" t="s">
        <v>222</v>
      </c>
      <c r="D219" s="63" t="s">
        <v>223</v>
      </c>
      <c r="E219" s="63" t="s">
        <v>224</v>
      </c>
      <c r="F219" s="63" t="s">
        <v>225</v>
      </c>
      <c r="G219" s="63" t="s">
        <v>226</v>
      </c>
    </row>
    <row r="220" spans="1:7" ht="14.25" hidden="1" customHeight="1">
      <c r="A220" s="1845" t="s">
        <v>629</v>
      </c>
      <c r="B220" s="1828"/>
      <c r="C220" s="64">
        <f>+(61.61+6.24)/0.4</f>
        <v>169.62499999999997</v>
      </c>
      <c r="D220" s="64">
        <v>0.4</v>
      </c>
      <c r="E220" s="64">
        <v>0.6</v>
      </c>
      <c r="F220" s="64">
        <v>2</v>
      </c>
      <c r="G220" s="64">
        <f t="shared" ref="G220:G225" si="14">+C220*D220*E220*F220</f>
        <v>81.419999999999987</v>
      </c>
    </row>
    <row r="221" spans="1:7" ht="14.25" hidden="1" customHeight="1">
      <c r="A221" s="1845" t="s">
        <v>630</v>
      </c>
      <c r="B221" s="1828"/>
      <c r="C221" s="64">
        <f>21.016/0.4</f>
        <v>52.539999999999992</v>
      </c>
      <c r="D221" s="64">
        <v>0.4</v>
      </c>
      <c r="E221" s="64">
        <v>0.6</v>
      </c>
      <c r="F221" s="64">
        <v>2</v>
      </c>
      <c r="G221" s="64">
        <f t="shared" si="14"/>
        <v>25.219199999999997</v>
      </c>
    </row>
    <row r="222" spans="1:7" ht="14.25" hidden="1" customHeight="1">
      <c r="A222" s="1845" t="s">
        <v>631</v>
      </c>
      <c r="B222" s="1828"/>
      <c r="C222" s="64">
        <f>+(12.48+72.46)/0.4</f>
        <v>212.35</v>
      </c>
      <c r="D222" s="64">
        <v>0.4</v>
      </c>
      <c r="E222" s="64">
        <v>0.6</v>
      </c>
      <c r="F222" s="64">
        <v>1</v>
      </c>
      <c r="G222" s="64">
        <f t="shared" si="14"/>
        <v>50.963999999999999</v>
      </c>
    </row>
    <row r="223" spans="1:7" ht="14.25" hidden="1" customHeight="1">
      <c r="A223" s="1845" t="s">
        <v>632</v>
      </c>
      <c r="B223" s="1828"/>
      <c r="C223" s="64">
        <f>28.471/0.4</f>
        <v>71.177499999999995</v>
      </c>
      <c r="D223" s="64">
        <v>0.4</v>
      </c>
      <c r="E223" s="64">
        <v>0.6</v>
      </c>
      <c r="F223" s="64">
        <v>1</v>
      </c>
      <c r="G223" s="64">
        <f t="shared" si="14"/>
        <v>17.082599999999999</v>
      </c>
    </row>
    <row r="224" spans="1:7" ht="14.25" hidden="1" customHeight="1">
      <c r="A224" s="1845" t="s">
        <v>633</v>
      </c>
      <c r="B224" s="1828"/>
      <c r="C224" s="64">
        <f>49.2/0.4</f>
        <v>123</v>
      </c>
      <c r="D224" s="64">
        <v>0.4</v>
      </c>
      <c r="E224" s="64">
        <v>0.55000000000000004</v>
      </c>
      <c r="F224" s="64">
        <v>1</v>
      </c>
      <c r="G224" s="64">
        <f t="shared" si="14"/>
        <v>27.060000000000002</v>
      </c>
    </row>
    <row r="225" spans="1:12" ht="14.25" hidden="1" customHeight="1">
      <c r="A225" s="1845" t="s">
        <v>634</v>
      </c>
      <c r="B225" s="1828"/>
      <c r="C225" s="64">
        <f>+(11.4*4)+(15.2*3)</f>
        <v>91.199999999999989</v>
      </c>
      <c r="D225" s="64">
        <v>0.3</v>
      </c>
      <c r="E225" s="64">
        <v>0.6</v>
      </c>
      <c r="F225" s="64">
        <v>1</v>
      </c>
      <c r="G225" s="64">
        <f t="shared" si="14"/>
        <v>16.415999999999997</v>
      </c>
      <c r="H225" s="59"/>
      <c r="I225" s="60"/>
      <c r="J225" s="60"/>
      <c r="K225" s="61"/>
      <c r="L225" s="59"/>
    </row>
    <row r="226" spans="1:12" ht="14.25" hidden="1" customHeight="1">
      <c r="A226" s="1829" t="s">
        <v>227</v>
      </c>
      <c r="B226" s="1830"/>
      <c r="C226" s="1830"/>
      <c r="D226" s="1830"/>
      <c r="E226" s="1830"/>
      <c r="F226" s="1828"/>
      <c r="G226" s="65"/>
      <c r="H226" s="59"/>
      <c r="I226" s="60"/>
      <c r="J226" s="60"/>
      <c r="K226" s="61"/>
      <c r="L226" s="59"/>
    </row>
    <row r="227" spans="1:12" ht="14.25" hidden="1" customHeight="1">
      <c r="A227" s="1837"/>
      <c r="B227" s="1838"/>
      <c r="C227" s="1838"/>
      <c r="D227" s="1838"/>
      <c r="E227" s="1838"/>
      <c r="F227" s="1838"/>
      <c r="G227" s="1839"/>
      <c r="H227" s="59"/>
      <c r="I227" s="60"/>
      <c r="J227" s="60"/>
      <c r="K227" s="61"/>
      <c r="L227" s="59"/>
    </row>
    <row r="228" spans="1:12" ht="14.25" hidden="1" customHeight="1">
      <c r="A228" s="66" t="s">
        <v>232</v>
      </c>
      <c r="B228" s="1832" t="str">
        <f>+B216</f>
        <v>CONCRETOS</v>
      </c>
      <c r="C228" s="1830"/>
      <c r="D228" s="1828"/>
      <c r="E228" s="1833" t="s">
        <v>218</v>
      </c>
      <c r="F228" s="1828"/>
      <c r="G228" s="62" t="s">
        <v>116</v>
      </c>
      <c r="H228" s="59"/>
      <c r="I228" s="60"/>
      <c r="J228" s="60"/>
      <c r="K228" s="61"/>
      <c r="L228" s="59"/>
    </row>
    <row r="229" spans="1:12" ht="33.75" hidden="1" customHeight="1">
      <c r="A229" s="66" t="s">
        <v>627</v>
      </c>
      <c r="B229" s="1840" t="s">
        <v>635</v>
      </c>
      <c r="C229" s="1830"/>
      <c r="D229" s="1830"/>
      <c r="E229" s="1830"/>
      <c r="F229" s="1830"/>
      <c r="G229" s="1828"/>
      <c r="H229" s="59"/>
      <c r="I229" s="60"/>
      <c r="J229" s="60"/>
      <c r="K229" s="61"/>
      <c r="L229" s="59"/>
    </row>
    <row r="230" spans="1:12" ht="14.25" hidden="1" customHeight="1">
      <c r="A230" s="1836" t="s">
        <v>220</v>
      </c>
      <c r="B230" s="1830"/>
      <c r="C230" s="1830"/>
      <c r="D230" s="1830"/>
      <c r="E230" s="1830"/>
      <c r="F230" s="1830"/>
      <c r="G230" s="1828"/>
      <c r="H230" s="59"/>
      <c r="I230" s="60"/>
      <c r="J230" s="60"/>
      <c r="K230" s="61">
        <f>62+31.66</f>
        <v>93.66</v>
      </c>
      <c r="L230" s="59">
        <f>+K230*0.4*0.6</f>
        <v>22.478399999999997</v>
      </c>
    </row>
    <row r="231" spans="1:12" ht="14.25" hidden="1" customHeight="1">
      <c r="A231" s="1829" t="s">
        <v>221</v>
      </c>
      <c r="B231" s="1828"/>
      <c r="C231" s="63" t="s">
        <v>222</v>
      </c>
      <c r="D231" s="63" t="s">
        <v>223</v>
      </c>
      <c r="E231" s="63" t="s">
        <v>224</v>
      </c>
      <c r="F231" s="63" t="s">
        <v>225</v>
      </c>
      <c r="G231" s="63" t="s">
        <v>226</v>
      </c>
      <c r="H231" s="59"/>
      <c r="I231" s="60"/>
      <c r="J231" s="60"/>
      <c r="K231" s="61"/>
      <c r="L231" s="181">
        <f>+K232+L230</f>
        <v>61.178399999999996</v>
      </c>
    </row>
    <row r="232" spans="1:12" ht="14.25" hidden="1" customHeight="1">
      <c r="A232" s="1845" t="s">
        <v>636</v>
      </c>
      <c r="B232" s="1828"/>
      <c r="C232" s="64">
        <v>1.0995238095238022</v>
      </c>
      <c r="D232" s="64">
        <v>0.35</v>
      </c>
      <c r="E232" s="64">
        <v>2</v>
      </c>
      <c r="F232" s="64">
        <v>60</v>
      </c>
      <c r="G232" s="64">
        <f>+C232*D232*E232*F232</f>
        <v>46.179999999999687</v>
      </c>
      <c r="H232" s="59"/>
      <c r="I232" s="60">
        <f>+(41.86+35.74+8.19+54.21+55.19)*2</f>
        <v>390.38</v>
      </c>
      <c r="J232" s="60"/>
      <c r="K232" s="61">
        <f>31+7.7</f>
        <v>38.700000000000003</v>
      </c>
      <c r="L232" s="59">
        <f>41.86-L230</f>
        <v>19.381600000000002</v>
      </c>
    </row>
    <row r="233" spans="1:12" ht="14.25" hidden="1" customHeight="1">
      <c r="A233" s="1845"/>
      <c r="B233" s="1828"/>
      <c r="C233" s="64"/>
      <c r="D233" s="64"/>
      <c r="E233" s="64"/>
      <c r="F233" s="64"/>
      <c r="G233" s="64"/>
      <c r="H233" s="59"/>
      <c r="I233" s="60"/>
      <c r="J233" s="60"/>
      <c r="K233" s="61"/>
      <c r="L233" s="182"/>
    </row>
    <row r="234" spans="1:12" ht="14.25" hidden="1" customHeight="1">
      <c r="A234" s="1845"/>
      <c r="B234" s="1828"/>
      <c r="C234" s="64"/>
      <c r="D234" s="64"/>
      <c r="E234" s="64"/>
      <c r="F234" s="64"/>
      <c r="G234" s="64"/>
      <c r="H234" s="59"/>
      <c r="I234" s="183"/>
      <c r="J234" s="60"/>
      <c r="K234" s="61"/>
      <c r="L234" s="59"/>
    </row>
    <row r="235" spans="1:12" ht="14.25" hidden="1" customHeight="1">
      <c r="A235" s="1845"/>
      <c r="B235" s="1828"/>
      <c r="C235" s="64"/>
      <c r="D235" s="64"/>
      <c r="E235" s="64"/>
      <c r="F235" s="64"/>
      <c r="G235" s="64"/>
      <c r="H235" s="59"/>
      <c r="I235" s="60"/>
      <c r="J235" s="60"/>
      <c r="K235" s="61"/>
      <c r="L235" s="59"/>
    </row>
    <row r="236" spans="1:12" ht="14.25" hidden="1" customHeight="1">
      <c r="A236" s="1845"/>
      <c r="B236" s="1828"/>
      <c r="C236" s="64"/>
      <c r="D236" s="64"/>
      <c r="E236" s="64"/>
      <c r="F236" s="64"/>
      <c r="G236" s="64"/>
      <c r="H236" s="59"/>
      <c r="I236" s="60"/>
      <c r="J236" s="60"/>
      <c r="K236" s="61"/>
      <c r="L236" s="59"/>
    </row>
    <row r="237" spans="1:12" ht="14.25" hidden="1" customHeight="1">
      <c r="A237" s="1845"/>
      <c r="B237" s="1828"/>
      <c r="C237" s="64"/>
      <c r="D237" s="64"/>
      <c r="E237" s="64"/>
      <c r="F237" s="64"/>
      <c r="G237" s="64"/>
      <c r="H237" s="59"/>
      <c r="I237" s="60"/>
      <c r="J237" s="60"/>
      <c r="K237" s="61"/>
      <c r="L237" s="59"/>
    </row>
    <row r="238" spans="1:12" ht="14.25" hidden="1" customHeight="1">
      <c r="A238" s="1829" t="s">
        <v>227</v>
      </c>
      <c r="B238" s="1830"/>
      <c r="C238" s="1830"/>
      <c r="D238" s="1830"/>
      <c r="E238" s="1830"/>
      <c r="F238" s="1828"/>
      <c r="G238" s="65"/>
      <c r="H238" s="59"/>
      <c r="I238" s="60"/>
      <c r="J238" s="60"/>
      <c r="K238" s="61"/>
      <c r="L238" s="59"/>
    </row>
    <row r="239" spans="1:12" ht="14.25" hidden="1" customHeight="1">
      <c r="A239" s="1837"/>
      <c r="B239" s="1838"/>
      <c r="C239" s="1838"/>
      <c r="D239" s="1838"/>
      <c r="E239" s="1838"/>
      <c r="F239" s="1838"/>
      <c r="G239" s="1839"/>
      <c r="H239" s="59"/>
      <c r="I239" s="60"/>
      <c r="J239" s="60"/>
      <c r="K239" s="61"/>
      <c r="L239" s="59"/>
    </row>
    <row r="240" spans="1:12" ht="14.25" customHeight="1">
      <c r="A240" s="66" t="s">
        <v>232</v>
      </c>
      <c r="B240" s="1832" t="str">
        <f>+B228</f>
        <v>CONCRETOS</v>
      </c>
      <c r="C240" s="1830"/>
      <c r="D240" s="1828"/>
      <c r="E240" s="1833" t="s">
        <v>218</v>
      </c>
      <c r="F240" s="1828"/>
      <c r="G240" s="62" t="s">
        <v>228</v>
      </c>
      <c r="H240" s="59"/>
      <c r="I240" s="60"/>
      <c r="J240" s="60"/>
      <c r="K240" s="61"/>
      <c r="L240" s="59"/>
    </row>
    <row r="241" spans="1:9" ht="14.25" customHeight="1">
      <c r="A241" s="66" t="s">
        <v>637</v>
      </c>
      <c r="B241" s="1840" t="s">
        <v>638</v>
      </c>
      <c r="C241" s="1830"/>
      <c r="D241" s="1830"/>
      <c r="E241" s="1830"/>
      <c r="F241" s="1830"/>
      <c r="G241" s="1828"/>
      <c r="H241" s="59"/>
      <c r="I241" s="60">
        <v>19.09</v>
      </c>
    </row>
    <row r="242" spans="1:9" ht="14.25" customHeight="1">
      <c r="A242" s="1836" t="s">
        <v>220</v>
      </c>
      <c r="B242" s="1830"/>
      <c r="C242" s="1830"/>
      <c r="D242" s="1830"/>
      <c r="E242" s="1830"/>
      <c r="F242" s="1830"/>
      <c r="G242" s="1828"/>
      <c r="H242" s="59"/>
      <c r="I242" s="60">
        <v>9.0500000000000007</v>
      </c>
    </row>
    <row r="243" spans="1:9" ht="14.25" customHeight="1">
      <c r="A243" s="1829" t="s">
        <v>221</v>
      </c>
      <c r="B243" s="1828"/>
      <c r="C243" s="63" t="s">
        <v>222</v>
      </c>
      <c r="D243" s="63" t="s">
        <v>223</v>
      </c>
      <c r="E243" s="63" t="s">
        <v>224</v>
      </c>
      <c r="F243" s="63" t="s">
        <v>225</v>
      </c>
      <c r="G243" s="63" t="s">
        <v>226</v>
      </c>
      <c r="H243" s="59"/>
      <c r="I243" s="183">
        <f>SUM(I241:I242)</f>
        <v>28.14</v>
      </c>
    </row>
    <row r="244" spans="1:9" ht="14.25" customHeight="1">
      <c r="A244" s="1847" t="s">
        <v>620</v>
      </c>
      <c r="B244" s="1828"/>
      <c r="C244" s="64"/>
      <c r="D244" s="64"/>
      <c r="E244" s="64"/>
      <c r="F244" s="64"/>
      <c r="G244" s="64"/>
      <c r="H244" s="59"/>
      <c r="I244" s="60"/>
    </row>
    <row r="245" spans="1:9" ht="14.25" customHeight="1">
      <c r="A245" s="1845" t="s">
        <v>639</v>
      </c>
      <c r="B245" s="1828"/>
      <c r="C245" s="64"/>
      <c r="D245" s="64"/>
      <c r="E245" s="64"/>
      <c r="F245" s="64">
        <v>774.42</v>
      </c>
      <c r="G245" s="64">
        <f t="shared" ref="G245:G247" si="15">+F245</f>
        <v>774.42</v>
      </c>
      <c r="H245" s="59"/>
      <c r="I245" s="60"/>
    </row>
    <row r="246" spans="1:9" ht="14.25" customHeight="1">
      <c r="A246" s="1845" t="s">
        <v>640</v>
      </c>
      <c r="B246" s="1828"/>
      <c r="C246" s="64"/>
      <c r="D246" s="64"/>
      <c r="E246" s="64"/>
      <c r="F246" s="64">
        <v>835.33</v>
      </c>
      <c r="G246" s="64">
        <f t="shared" si="15"/>
        <v>835.33</v>
      </c>
      <c r="H246" s="59"/>
      <c r="I246" s="60"/>
    </row>
    <row r="247" spans="1:9" ht="15" customHeight="1">
      <c r="A247" s="1845" t="s">
        <v>641</v>
      </c>
      <c r="B247" s="1828"/>
      <c r="C247" s="64"/>
      <c r="D247" s="64"/>
      <c r="E247" s="64"/>
      <c r="F247" s="64">
        <v>542</v>
      </c>
      <c r="G247" s="64">
        <f t="shared" si="15"/>
        <v>542</v>
      </c>
      <c r="H247" s="59"/>
      <c r="I247" s="60"/>
    </row>
    <row r="248" spans="1:9" ht="14.25" customHeight="1">
      <c r="A248" s="1847"/>
      <c r="B248" s="1828"/>
      <c r="C248" s="64"/>
      <c r="D248" s="64"/>
      <c r="E248" s="64"/>
      <c r="F248" s="64"/>
      <c r="G248" s="64"/>
      <c r="H248" s="59"/>
      <c r="I248" s="60"/>
    </row>
    <row r="249" spans="1:9" ht="14.25" customHeight="1">
      <c r="A249" s="1845"/>
      <c r="B249" s="1828"/>
      <c r="C249" s="64"/>
      <c r="D249" s="64"/>
      <c r="E249" s="64"/>
      <c r="F249" s="64"/>
      <c r="G249" s="64"/>
      <c r="H249" s="59"/>
      <c r="I249" s="60"/>
    </row>
    <row r="250" spans="1:9" ht="14.25" customHeight="1">
      <c r="A250" s="1845"/>
      <c r="B250" s="1828"/>
      <c r="C250" s="64"/>
      <c r="D250" s="64"/>
      <c r="E250" s="64"/>
      <c r="F250" s="64"/>
      <c r="G250" s="64"/>
      <c r="H250" s="59"/>
      <c r="I250" s="60"/>
    </row>
    <row r="251" spans="1:9" ht="15" customHeight="1">
      <c r="A251" s="1845"/>
      <c r="B251" s="1828"/>
      <c r="C251" s="64"/>
      <c r="D251" s="64"/>
      <c r="E251" s="64"/>
      <c r="F251" s="64"/>
      <c r="G251" s="64"/>
      <c r="H251" s="59"/>
      <c r="I251" s="60"/>
    </row>
    <row r="252" spans="1:9" ht="14.25" customHeight="1">
      <c r="A252" s="1845"/>
      <c r="B252" s="1828"/>
      <c r="C252" s="184"/>
      <c r="D252" s="64"/>
      <c r="E252" s="64"/>
      <c r="F252" s="64"/>
      <c r="G252" s="64"/>
      <c r="H252" s="59"/>
      <c r="I252" s="60"/>
    </row>
    <row r="253" spans="1:9" ht="14.25" customHeight="1">
      <c r="A253" s="1845"/>
      <c r="B253" s="1828"/>
      <c r="C253" s="64"/>
      <c r="D253" s="64"/>
      <c r="E253" s="64"/>
      <c r="F253" s="64"/>
      <c r="G253" s="64"/>
      <c r="H253" s="59"/>
      <c r="I253" s="60"/>
    </row>
    <row r="254" spans="1:9" ht="14.25" customHeight="1">
      <c r="A254" s="1829" t="s">
        <v>227</v>
      </c>
      <c r="B254" s="1830"/>
      <c r="C254" s="1830"/>
      <c r="D254" s="1830"/>
      <c r="E254" s="1830"/>
      <c r="F254" s="1828"/>
      <c r="G254" s="65">
        <f>SUM(G244:G253)</f>
        <v>2151.75</v>
      </c>
      <c r="H254" s="59"/>
      <c r="I254" s="60"/>
    </row>
    <row r="255" spans="1:9" ht="14.25" hidden="1" customHeight="1">
      <c r="A255" s="1837"/>
      <c r="B255" s="1838"/>
      <c r="C255" s="1838"/>
      <c r="D255" s="1838"/>
      <c r="E255" s="1838"/>
      <c r="F255" s="1838"/>
      <c r="G255" s="1839"/>
      <c r="H255" s="59"/>
      <c r="I255" s="60"/>
    </row>
    <row r="256" spans="1:9" ht="14.25" hidden="1" customHeight="1">
      <c r="A256" s="66" t="s">
        <v>232</v>
      </c>
      <c r="B256" s="1832" t="str">
        <f>+B240</f>
        <v>CONCRETOS</v>
      </c>
      <c r="C256" s="1830"/>
      <c r="D256" s="1828"/>
      <c r="E256" s="1833" t="s">
        <v>218</v>
      </c>
      <c r="F256" s="1828"/>
      <c r="G256" s="62" t="s">
        <v>116</v>
      </c>
      <c r="H256" s="59"/>
      <c r="I256" s="60"/>
    </row>
    <row r="257" spans="1:12" ht="14.25" hidden="1" customHeight="1">
      <c r="A257" s="66" t="s">
        <v>642</v>
      </c>
      <c r="B257" s="1840" t="s">
        <v>643</v>
      </c>
      <c r="C257" s="1830"/>
      <c r="D257" s="1830"/>
      <c r="E257" s="1830"/>
      <c r="F257" s="1830"/>
      <c r="G257" s="1828"/>
      <c r="H257" s="59"/>
      <c r="I257" s="60"/>
      <c r="J257" s="60"/>
      <c r="K257" s="61"/>
      <c r="L257" s="59"/>
    </row>
    <row r="258" spans="1:12" ht="14.25" hidden="1" customHeight="1">
      <c r="A258" s="1836" t="s">
        <v>220</v>
      </c>
      <c r="B258" s="1830"/>
      <c r="C258" s="1830"/>
      <c r="D258" s="1830"/>
      <c r="E258" s="1830"/>
      <c r="F258" s="1830"/>
      <c r="G258" s="1828"/>
      <c r="H258" s="59"/>
      <c r="I258" s="60">
        <v>11.43</v>
      </c>
      <c r="J258" s="60"/>
      <c r="K258" s="61"/>
      <c r="L258" s="59"/>
    </row>
    <row r="259" spans="1:12" ht="14.25" hidden="1" customHeight="1">
      <c r="A259" s="1829" t="s">
        <v>221</v>
      </c>
      <c r="B259" s="1828"/>
      <c r="C259" s="63" t="s">
        <v>644</v>
      </c>
      <c r="D259" s="63" t="s">
        <v>223</v>
      </c>
      <c r="E259" s="63" t="s">
        <v>224</v>
      </c>
      <c r="F259" s="63" t="s">
        <v>225</v>
      </c>
      <c r="G259" s="63" t="s">
        <v>226</v>
      </c>
      <c r="H259" s="59"/>
      <c r="I259" s="60">
        <v>12.13</v>
      </c>
      <c r="J259" s="60"/>
      <c r="K259" s="61"/>
      <c r="L259" s="59"/>
    </row>
    <row r="260" spans="1:12" ht="14.25" hidden="1" customHeight="1">
      <c r="A260" s="1845" t="s">
        <v>645</v>
      </c>
      <c r="B260" s="1828"/>
      <c r="C260" s="184">
        <v>2.823</v>
      </c>
      <c r="D260" s="64">
        <v>1.35</v>
      </c>
      <c r="E260" s="64"/>
      <c r="F260" s="64">
        <v>6</v>
      </c>
      <c r="G260" s="64">
        <f t="shared" ref="G260:G262" si="16">+F260*C260*D260</f>
        <v>22.866299999999999</v>
      </c>
      <c r="H260" s="59"/>
      <c r="I260" s="183">
        <f>SUM(I258:I259)</f>
        <v>23.560000000000002</v>
      </c>
      <c r="J260" s="60"/>
      <c r="K260" s="61">
        <f>+I260+I243+I234+G226+G214+G200+G189+G179+G162</f>
        <v>274.77000000000004</v>
      </c>
      <c r="L260" s="59"/>
    </row>
    <row r="261" spans="1:12" ht="14.25" hidden="1" customHeight="1">
      <c r="A261" s="1845" t="s">
        <v>646</v>
      </c>
      <c r="B261" s="1828"/>
      <c r="C261" s="64">
        <f>5.3+1.4</f>
        <v>6.6999999999999993</v>
      </c>
      <c r="D261" s="64">
        <v>1.81</v>
      </c>
      <c r="E261" s="64"/>
      <c r="F261" s="64">
        <v>1</v>
      </c>
      <c r="G261" s="64">
        <f t="shared" si="16"/>
        <v>12.126999999999999</v>
      </c>
      <c r="H261" s="59"/>
      <c r="I261" s="60"/>
      <c r="J261" s="60"/>
      <c r="K261" s="61">
        <f>+K260*655000</f>
        <v>179974350.00000003</v>
      </c>
      <c r="L261" s="59"/>
    </row>
    <row r="262" spans="1:12" ht="14.25" hidden="1" customHeight="1">
      <c r="A262" s="1845" t="s">
        <v>647</v>
      </c>
      <c r="B262" s="1828"/>
      <c r="C262" s="64">
        <f>1.28+1.25</f>
        <v>2.5300000000000002</v>
      </c>
      <c r="D262" s="64">
        <v>1.25</v>
      </c>
      <c r="E262" s="64"/>
      <c r="F262" s="64">
        <v>1</v>
      </c>
      <c r="G262" s="64">
        <f t="shared" si="16"/>
        <v>3.1625000000000005</v>
      </c>
      <c r="H262" s="59"/>
      <c r="I262" s="60"/>
      <c r="J262" s="60"/>
      <c r="K262" s="61">
        <f>+G153*35000</f>
        <v>4379200</v>
      </c>
      <c r="L262" s="59"/>
    </row>
    <row r="263" spans="1:12" ht="15" hidden="1" customHeight="1">
      <c r="A263" s="1845"/>
      <c r="B263" s="1828"/>
      <c r="C263" s="64"/>
      <c r="D263" s="64"/>
      <c r="E263" s="64"/>
      <c r="F263" s="64"/>
      <c r="G263" s="64"/>
      <c r="H263" s="59"/>
      <c r="I263" s="60"/>
      <c r="J263" s="60"/>
      <c r="K263" s="61">
        <f>+ROUND(K262+K261,0)</f>
        <v>184353550</v>
      </c>
      <c r="L263" s="59" t="s">
        <v>648</v>
      </c>
    </row>
    <row r="264" spans="1:12" ht="14.25" hidden="1" customHeight="1">
      <c r="A264" s="1845"/>
      <c r="B264" s="1828"/>
      <c r="C264" s="64"/>
      <c r="D264" s="64"/>
      <c r="E264" s="64"/>
      <c r="F264" s="64"/>
      <c r="G264" s="64"/>
      <c r="H264" s="59"/>
      <c r="I264" s="60"/>
      <c r="J264" s="60"/>
      <c r="K264" s="61"/>
      <c r="L264" s="59"/>
    </row>
    <row r="265" spans="1:12" ht="14.25" hidden="1" customHeight="1">
      <c r="A265" s="1829" t="s">
        <v>227</v>
      </c>
      <c r="B265" s="1830"/>
      <c r="C265" s="1830"/>
      <c r="D265" s="1830"/>
      <c r="E265" s="1830"/>
      <c r="F265" s="1828"/>
      <c r="G265" s="65"/>
      <c r="H265" s="59"/>
      <c r="I265" s="60"/>
      <c r="J265" s="60"/>
      <c r="K265" s="61">
        <v>204977.23950000003</v>
      </c>
      <c r="L265" s="59"/>
    </row>
    <row r="266" spans="1:12" ht="14.25" hidden="1" customHeight="1">
      <c r="A266" s="1837"/>
      <c r="B266" s="1838"/>
      <c r="C266" s="1838"/>
      <c r="D266" s="1838"/>
      <c r="E266" s="1838"/>
      <c r="F266" s="1838"/>
      <c r="G266" s="1839"/>
      <c r="H266" s="59"/>
      <c r="I266" s="60"/>
      <c r="J266" s="60"/>
      <c r="K266" s="61">
        <f>+ROUND(K265*4050,0)</f>
        <v>830157820</v>
      </c>
      <c r="L266" s="59" t="s">
        <v>649</v>
      </c>
    </row>
    <row r="267" spans="1:12" ht="14.25" hidden="1" customHeight="1">
      <c r="A267" s="1837"/>
      <c r="B267" s="1838"/>
      <c r="C267" s="1838"/>
      <c r="D267" s="1838"/>
      <c r="E267" s="1838"/>
      <c r="F267" s="1838"/>
      <c r="G267" s="1839"/>
      <c r="H267" s="59"/>
      <c r="I267" s="60"/>
      <c r="J267" s="60"/>
      <c r="K267" s="61"/>
      <c r="L267" s="59"/>
    </row>
    <row r="268" spans="1:12" ht="14.25" hidden="1" customHeight="1">
      <c r="A268" s="66" t="s">
        <v>232</v>
      </c>
      <c r="B268" s="1832" t="str">
        <f>+B256</f>
        <v>CONCRETOS</v>
      </c>
      <c r="C268" s="1830"/>
      <c r="D268" s="1828"/>
      <c r="E268" s="1833" t="s">
        <v>218</v>
      </c>
      <c r="F268" s="1828"/>
      <c r="G268" s="62" t="s">
        <v>228</v>
      </c>
      <c r="H268" s="59"/>
      <c r="I268" s="60"/>
      <c r="J268" s="60"/>
      <c r="K268" s="61"/>
      <c r="L268" s="59"/>
    </row>
    <row r="269" spans="1:12" ht="33.75" hidden="1" customHeight="1">
      <c r="A269" s="66" t="s">
        <v>650</v>
      </c>
      <c r="B269" s="1840" t="s">
        <v>651</v>
      </c>
      <c r="C269" s="1830"/>
      <c r="D269" s="1830"/>
      <c r="E269" s="1830"/>
      <c r="F269" s="1830"/>
      <c r="G269" s="1828"/>
      <c r="H269" s="59"/>
      <c r="I269" s="60"/>
      <c r="J269" s="60"/>
      <c r="K269" s="61"/>
      <c r="L269" s="59"/>
    </row>
    <row r="270" spans="1:12" ht="14.25" hidden="1" customHeight="1">
      <c r="A270" s="1836" t="s">
        <v>220</v>
      </c>
      <c r="B270" s="1830"/>
      <c r="C270" s="1830"/>
      <c r="D270" s="1830"/>
      <c r="E270" s="1830"/>
      <c r="F270" s="1830"/>
      <c r="G270" s="1828"/>
      <c r="H270" s="59"/>
      <c r="I270" s="60"/>
      <c r="J270" s="60"/>
      <c r="K270" s="61">
        <f>62+31.66</f>
        <v>93.66</v>
      </c>
      <c r="L270" s="59">
        <f>+K270*0.4*0.6</f>
        <v>22.478399999999997</v>
      </c>
    </row>
    <row r="271" spans="1:12" ht="14.25" hidden="1" customHeight="1">
      <c r="A271" s="1829" t="s">
        <v>221</v>
      </c>
      <c r="B271" s="1828"/>
      <c r="C271" s="63" t="s">
        <v>222</v>
      </c>
      <c r="D271" s="63" t="s">
        <v>223</v>
      </c>
      <c r="E271" s="63" t="s">
        <v>224</v>
      </c>
      <c r="F271" s="63" t="s">
        <v>225</v>
      </c>
      <c r="G271" s="63" t="s">
        <v>226</v>
      </c>
      <c r="H271" s="59"/>
      <c r="I271" s="60"/>
      <c r="J271" s="60"/>
      <c r="K271" s="61"/>
      <c r="L271" s="181">
        <f>+K272+L270</f>
        <v>61.178399999999996</v>
      </c>
    </row>
    <row r="272" spans="1:12" ht="14.25" hidden="1" customHeight="1">
      <c r="A272" s="1845" t="s">
        <v>652</v>
      </c>
      <c r="B272" s="1828"/>
      <c r="C272" s="64">
        <v>209.4</v>
      </c>
      <c r="D272" s="64"/>
      <c r="E272" s="64"/>
      <c r="F272" s="64"/>
      <c r="G272" s="64">
        <f>+C272-F272</f>
        <v>209.4</v>
      </c>
      <c r="H272" s="59"/>
      <c r="I272" s="60">
        <f>+(41.86+35.74+8.19+54.21+55.19)*2</f>
        <v>390.38</v>
      </c>
      <c r="J272" s="60"/>
      <c r="K272" s="61">
        <f>31+7.7</f>
        <v>38.700000000000003</v>
      </c>
      <c r="L272" s="59">
        <f>41.86-L270</f>
        <v>19.381600000000002</v>
      </c>
    </row>
    <row r="273" spans="1:11" ht="14.25" hidden="1" customHeight="1">
      <c r="A273" s="1845"/>
      <c r="B273" s="1828"/>
      <c r="C273" s="64"/>
      <c r="D273" s="64"/>
      <c r="E273" s="64"/>
      <c r="F273" s="64"/>
      <c r="G273" s="64"/>
      <c r="H273" s="59"/>
      <c r="I273" s="60"/>
      <c r="J273" s="60"/>
      <c r="K273" s="61"/>
    </row>
    <row r="274" spans="1:11" ht="14.25" hidden="1" customHeight="1">
      <c r="A274" s="1845"/>
      <c r="B274" s="1828"/>
      <c r="C274" s="64"/>
      <c r="D274" s="64"/>
      <c r="E274" s="64"/>
      <c r="F274" s="64"/>
      <c r="G274" s="64"/>
      <c r="H274" s="59"/>
      <c r="I274" s="183"/>
      <c r="J274" s="60"/>
      <c r="K274" s="61"/>
    </row>
    <row r="275" spans="1:11" ht="14.25" hidden="1" customHeight="1">
      <c r="A275" s="1845"/>
      <c r="B275" s="1828"/>
      <c r="C275" s="64"/>
      <c r="D275" s="64"/>
      <c r="E275" s="64"/>
      <c r="F275" s="64"/>
      <c r="G275" s="64"/>
      <c r="H275" s="59"/>
      <c r="I275" s="60"/>
      <c r="J275" s="60"/>
      <c r="K275" s="61"/>
    </row>
    <row r="276" spans="1:11" ht="14.25" hidden="1" customHeight="1">
      <c r="A276" s="1845"/>
      <c r="B276" s="1828"/>
      <c r="C276" s="64"/>
      <c r="D276" s="64"/>
      <c r="E276" s="64"/>
      <c r="F276" s="64"/>
      <c r="G276" s="64"/>
      <c r="H276" s="59"/>
      <c r="I276" s="60"/>
      <c r="J276" s="60"/>
      <c r="K276" s="61"/>
    </row>
    <row r="277" spans="1:11" ht="14.25" hidden="1" customHeight="1">
      <c r="A277" s="1829" t="s">
        <v>227</v>
      </c>
      <c r="B277" s="1830"/>
      <c r="C277" s="1830"/>
      <c r="D277" s="1830"/>
      <c r="E277" s="1830"/>
      <c r="F277" s="1828"/>
      <c r="G277" s="65"/>
      <c r="H277" s="59"/>
      <c r="I277" s="60"/>
      <c r="J277" s="60"/>
      <c r="K277" s="61"/>
    </row>
    <row r="278" spans="1:11" ht="14.25" customHeight="1">
      <c r="A278" s="1831"/>
      <c r="B278" s="1830"/>
      <c r="C278" s="1830"/>
      <c r="D278" s="1830"/>
      <c r="E278" s="1830"/>
      <c r="F278" s="1830"/>
      <c r="G278" s="1828"/>
      <c r="H278" s="59"/>
      <c r="I278" s="60"/>
      <c r="J278" s="60"/>
      <c r="K278" s="61"/>
    </row>
    <row r="279" spans="1:11" ht="14.25" customHeight="1">
      <c r="A279" s="66" t="s">
        <v>240</v>
      </c>
      <c r="B279" s="1832" t="s">
        <v>392</v>
      </c>
      <c r="C279" s="1830"/>
      <c r="D279" s="1828"/>
      <c r="E279" s="1833" t="s">
        <v>218</v>
      </c>
      <c r="F279" s="1828"/>
      <c r="G279" s="62" t="s">
        <v>171</v>
      </c>
      <c r="H279" s="59"/>
      <c r="I279" s="60"/>
      <c r="J279" s="60"/>
      <c r="K279" s="61" t="e">
        <f>+#REF!*0.07</f>
        <v>#REF!</v>
      </c>
    </row>
    <row r="280" spans="1:11" ht="39" customHeight="1">
      <c r="A280" s="66" t="s">
        <v>241</v>
      </c>
      <c r="B280" s="1832" t="s">
        <v>653</v>
      </c>
      <c r="C280" s="1830"/>
      <c r="D280" s="1830"/>
      <c r="E280" s="1830"/>
      <c r="F280" s="1830"/>
      <c r="G280" s="1828"/>
      <c r="H280" s="59"/>
      <c r="I280" s="60"/>
      <c r="J280" s="60"/>
      <c r="K280" s="61"/>
    </row>
    <row r="281" spans="1:11" ht="14.25" customHeight="1">
      <c r="A281" s="1836" t="s">
        <v>220</v>
      </c>
      <c r="B281" s="1830"/>
      <c r="C281" s="1830"/>
      <c r="D281" s="1830"/>
      <c r="E281" s="1830"/>
      <c r="F281" s="1830"/>
      <c r="G281" s="1828"/>
      <c r="H281" s="59"/>
      <c r="I281" s="60"/>
      <c r="J281" s="60"/>
      <c r="K281" s="61"/>
    </row>
    <row r="282" spans="1:11" ht="14.25" customHeight="1">
      <c r="A282" s="185" t="s">
        <v>376</v>
      </c>
      <c r="B282" s="1853" t="s">
        <v>654</v>
      </c>
      <c r="C282" s="1830"/>
      <c r="D282" s="1828"/>
      <c r="E282" s="186"/>
      <c r="F282" s="186"/>
      <c r="G282" s="186"/>
      <c r="H282" s="59"/>
      <c r="I282" s="60"/>
      <c r="J282" s="60"/>
      <c r="K282" s="61"/>
    </row>
    <row r="283" spans="1:11" ht="14.25" customHeight="1">
      <c r="A283" s="187" t="s">
        <v>655</v>
      </c>
      <c r="B283" s="63" t="s">
        <v>656</v>
      </c>
      <c r="C283" s="63" t="s">
        <v>657</v>
      </c>
      <c r="D283" s="63" t="s">
        <v>658</v>
      </c>
      <c r="E283" s="63" t="s">
        <v>659</v>
      </c>
      <c r="F283" s="63" t="s">
        <v>660</v>
      </c>
      <c r="G283" s="63" t="s">
        <v>661</v>
      </c>
      <c r="H283" s="59"/>
      <c r="I283" s="60"/>
      <c r="J283" s="60"/>
      <c r="K283" s="61"/>
    </row>
    <row r="284" spans="1:11" ht="14.25" customHeight="1">
      <c r="A284" s="188" t="s">
        <v>620</v>
      </c>
      <c r="B284" s="68"/>
      <c r="C284" s="64"/>
      <c r="D284" s="64"/>
      <c r="E284" s="189"/>
      <c r="F284" s="64"/>
      <c r="G284" s="64">
        <v>85559.63</v>
      </c>
      <c r="H284" s="59"/>
      <c r="I284" s="60"/>
      <c r="J284" s="60"/>
      <c r="K284" s="61"/>
    </row>
    <row r="285" spans="1:11" ht="14.25" customHeight="1">
      <c r="A285" s="68"/>
      <c r="B285" s="68"/>
      <c r="C285" s="64"/>
      <c r="D285" s="64"/>
      <c r="E285" s="189"/>
      <c r="F285" s="64"/>
      <c r="G285" s="64"/>
      <c r="H285" s="59"/>
      <c r="I285" s="60"/>
      <c r="J285" s="60"/>
      <c r="K285" s="61"/>
    </row>
    <row r="286" spans="1:11" ht="14.25" customHeight="1">
      <c r="A286" s="68"/>
      <c r="B286" s="68"/>
      <c r="C286" s="64"/>
      <c r="D286" s="64"/>
      <c r="E286" s="189"/>
      <c r="F286" s="64"/>
      <c r="G286" s="64"/>
      <c r="H286" s="59"/>
      <c r="I286" s="60"/>
      <c r="J286" s="60"/>
      <c r="K286" s="61"/>
    </row>
    <row r="287" spans="1:11" ht="14.25" customHeight="1">
      <c r="A287" s="1829" t="s">
        <v>227</v>
      </c>
      <c r="B287" s="1830"/>
      <c r="C287" s="1830"/>
      <c r="D287" s="1830"/>
      <c r="E287" s="1830"/>
      <c r="F287" s="1828"/>
      <c r="G287" s="65">
        <f>ROUND(SUM(G284:G286),2)</f>
        <v>85559.63</v>
      </c>
      <c r="H287" s="59"/>
      <c r="I287" s="60"/>
      <c r="J287" s="60"/>
      <c r="K287" s="61"/>
    </row>
    <row r="288" spans="1:11" ht="14.25" customHeight="1">
      <c r="A288" s="1831"/>
      <c r="B288" s="1830"/>
      <c r="C288" s="1830"/>
      <c r="D288" s="1830"/>
      <c r="E288" s="1830"/>
      <c r="F288" s="1830"/>
      <c r="G288" s="1828"/>
      <c r="H288" s="59"/>
      <c r="I288" s="60"/>
      <c r="J288" s="60"/>
      <c r="K288" s="61"/>
    </row>
    <row r="289" spans="1:11" ht="14.25" customHeight="1">
      <c r="A289" s="66" t="s">
        <v>240</v>
      </c>
      <c r="B289" s="1832" t="s">
        <v>392</v>
      </c>
      <c r="C289" s="1830"/>
      <c r="D289" s="1828"/>
      <c r="E289" s="1833" t="s">
        <v>218</v>
      </c>
      <c r="F289" s="1828"/>
      <c r="G289" s="62" t="s">
        <v>171</v>
      </c>
      <c r="H289" s="59"/>
      <c r="I289" s="60"/>
      <c r="J289" s="60"/>
      <c r="K289" s="61" t="e">
        <f>+#REF!*0.07</f>
        <v>#REF!</v>
      </c>
    </row>
    <row r="290" spans="1:11" ht="39" customHeight="1">
      <c r="A290" s="66" t="s">
        <v>243</v>
      </c>
      <c r="B290" s="1832" t="s">
        <v>662</v>
      </c>
      <c r="C290" s="1830"/>
      <c r="D290" s="1830"/>
      <c r="E290" s="1830"/>
      <c r="F290" s="1830"/>
      <c r="G290" s="1828"/>
      <c r="H290" s="59"/>
      <c r="I290" s="60"/>
      <c r="J290" s="60"/>
      <c r="K290" s="61"/>
    </row>
    <row r="291" spans="1:11" ht="14.25" customHeight="1">
      <c r="A291" s="1836" t="s">
        <v>220</v>
      </c>
      <c r="B291" s="1830"/>
      <c r="C291" s="1830"/>
      <c r="D291" s="1830"/>
      <c r="E291" s="1830"/>
      <c r="F291" s="1830"/>
      <c r="G291" s="1828"/>
      <c r="H291" s="59"/>
      <c r="I291" s="60"/>
      <c r="J291" s="60"/>
      <c r="K291" s="61"/>
    </row>
    <row r="292" spans="1:11" ht="14.25" customHeight="1">
      <c r="A292" s="185" t="s">
        <v>376</v>
      </c>
      <c r="B292" s="1853" t="s">
        <v>654</v>
      </c>
      <c r="C292" s="1830"/>
      <c r="D292" s="1828"/>
      <c r="E292" s="186"/>
      <c r="F292" s="186"/>
      <c r="G292" s="186"/>
      <c r="H292" s="59"/>
      <c r="I292" s="60"/>
      <c r="J292" s="60"/>
      <c r="K292" s="61"/>
    </row>
    <row r="293" spans="1:11" ht="14.25" customHeight="1">
      <c r="A293" s="187" t="s">
        <v>655</v>
      </c>
      <c r="B293" s="63" t="s">
        <v>656</v>
      </c>
      <c r="C293" s="63" t="s">
        <v>657</v>
      </c>
      <c r="D293" s="63" t="s">
        <v>658</v>
      </c>
      <c r="E293" s="63" t="s">
        <v>659</v>
      </c>
      <c r="F293" s="63" t="s">
        <v>660</v>
      </c>
      <c r="G293" s="63" t="s">
        <v>661</v>
      </c>
      <c r="H293" s="59"/>
      <c r="I293" s="60"/>
      <c r="J293" s="60"/>
      <c r="K293" s="61"/>
    </row>
    <row r="294" spans="1:11" ht="14.25" customHeight="1">
      <c r="A294" s="188" t="s">
        <v>620</v>
      </c>
      <c r="B294" s="68"/>
      <c r="C294" s="64"/>
      <c r="D294" s="64"/>
      <c r="E294" s="189"/>
      <c r="F294" s="64"/>
      <c r="G294" s="64">
        <v>113409.62974875001</v>
      </c>
      <c r="H294" s="59"/>
      <c r="I294" s="60"/>
      <c r="J294" s="60"/>
      <c r="K294" s="61"/>
    </row>
    <row r="295" spans="1:11" ht="14.25" customHeight="1">
      <c r="A295" s="68"/>
      <c r="B295" s="68"/>
      <c r="C295" s="64"/>
      <c r="D295" s="64"/>
      <c r="E295" s="189"/>
      <c r="F295" s="64"/>
      <c r="G295" s="64"/>
      <c r="H295" s="59"/>
      <c r="I295" s="60"/>
      <c r="J295" s="60"/>
      <c r="K295" s="61"/>
    </row>
    <row r="296" spans="1:11" ht="14.25" customHeight="1">
      <c r="A296" s="68"/>
      <c r="B296" s="68"/>
      <c r="C296" s="64"/>
      <c r="D296" s="64"/>
      <c r="E296" s="189"/>
      <c r="F296" s="64"/>
      <c r="G296" s="64"/>
      <c r="H296" s="59"/>
      <c r="I296" s="60"/>
      <c r="J296" s="60"/>
      <c r="K296" s="61"/>
    </row>
    <row r="297" spans="1:11" ht="14.25" customHeight="1">
      <c r="A297" s="68"/>
      <c r="B297" s="68"/>
      <c r="C297" s="64"/>
      <c r="D297" s="64"/>
      <c r="E297" s="189"/>
      <c r="F297" s="64"/>
      <c r="G297" s="64"/>
      <c r="H297" s="59"/>
      <c r="I297" s="60"/>
      <c r="J297" s="60"/>
      <c r="K297" s="61"/>
    </row>
    <row r="298" spans="1:11" ht="14.25" customHeight="1">
      <c r="A298" s="1829" t="s">
        <v>227</v>
      </c>
      <c r="B298" s="1830"/>
      <c r="C298" s="1830"/>
      <c r="D298" s="1830"/>
      <c r="E298" s="1830"/>
      <c r="F298" s="1828"/>
      <c r="G298" s="65">
        <f>ROUND(SUM(G294:G297),2)</f>
        <v>113409.63</v>
      </c>
      <c r="H298" s="59"/>
      <c r="I298" s="60"/>
      <c r="J298" s="60"/>
      <c r="K298" s="61"/>
    </row>
    <row r="299" spans="1:11" ht="14.25" customHeight="1">
      <c r="A299" s="1831"/>
      <c r="B299" s="1830"/>
      <c r="C299" s="1830"/>
      <c r="D299" s="1830"/>
      <c r="E299" s="1830"/>
      <c r="F299" s="1830"/>
      <c r="G299" s="1828"/>
      <c r="H299" s="59"/>
      <c r="I299" s="60"/>
      <c r="J299" s="60"/>
      <c r="K299" s="61"/>
    </row>
    <row r="300" spans="1:11" ht="14.25" customHeight="1">
      <c r="A300" s="66" t="s">
        <v>240</v>
      </c>
      <c r="B300" s="1832" t="s">
        <v>392</v>
      </c>
      <c r="C300" s="1830"/>
      <c r="D300" s="1828"/>
      <c r="E300" s="1833" t="s">
        <v>218</v>
      </c>
      <c r="F300" s="1828"/>
      <c r="G300" s="62" t="s">
        <v>171</v>
      </c>
      <c r="H300" s="59"/>
      <c r="I300" s="60"/>
      <c r="J300" s="60"/>
      <c r="K300" s="61" t="e">
        <f>+#REF!*0.07</f>
        <v>#REF!</v>
      </c>
    </row>
    <row r="301" spans="1:11" ht="42" customHeight="1">
      <c r="A301" s="66" t="s">
        <v>244</v>
      </c>
      <c r="B301" s="1832" t="s">
        <v>663</v>
      </c>
      <c r="C301" s="1830"/>
      <c r="D301" s="1830"/>
      <c r="E301" s="1830"/>
      <c r="F301" s="1830"/>
      <c r="G301" s="1828"/>
      <c r="H301" s="59"/>
      <c r="I301" s="60"/>
      <c r="J301" s="60"/>
      <c r="K301" s="61"/>
    </row>
    <row r="302" spans="1:11" ht="14.25" customHeight="1">
      <c r="A302" s="1836" t="s">
        <v>220</v>
      </c>
      <c r="B302" s="1830"/>
      <c r="C302" s="1830"/>
      <c r="D302" s="1830"/>
      <c r="E302" s="1830"/>
      <c r="F302" s="1830"/>
      <c r="G302" s="1828"/>
      <c r="H302" s="59"/>
      <c r="I302" s="60"/>
      <c r="J302" s="60"/>
      <c r="K302" s="61"/>
    </row>
    <row r="303" spans="1:11" ht="14.25" customHeight="1">
      <c r="A303" s="185" t="s">
        <v>376</v>
      </c>
      <c r="B303" s="1853" t="s">
        <v>654</v>
      </c>
      <c r="C303" s="1830"/>
      <c r="D303" s="1828"/>
      <c r="E303" s="186"/>
      <c r="F303" s="186"/>
      <c r="G303" s="186"/>
      <c r="H303" s="59"/>
      <c r="I303" s="60"/>
      <c r="J303" s="60"/>
      <c r="K303" s="61"/>
    </row>
    <row r="304" spans="1:11" ht="14.25" customHeight="1">
      <c r="A304" s="187" t="s">
        <v>655</v>
      </c>
      <c r="B304" s="63" t="s">
        <v>656</v>
      </c>
      <c r="C304" s="63" t="s">
        <v>657</v>
      </c>
      <c r="D304" s="63" t="s">
        <v>658</v>
      </c>
      <c r="E304" s="63" t="s">
        <v>659</v>
      </c>
      <c r="F304" s="63" t="s">
        <v>660</v>
      </c>
      <c r="G304" s="63" t="s">
        <v>661</v>
      </c>
      <c r="H304" s="59"/>
      <c r="I304" s="60"/>
      <c r="J304" s="60"/>
      <c r="K304" s="61"/>
    </row>
    <row r="305" spans="1:11" ht="14.25" customHeight="1">
      <c r="A305" s="188" t="s">
        <v>620</v>
      </c>
      <c r="B305" s="68"/>
      <c r="C305" s="64"/>
      <c r="D305" s="64"/>
      <c r="E305" s="189"/>
      <c r="F305" s="64"/>
      <c r="G305" s="64">
        <v>891.85520000000008</v>
      </c>
      <c r="H305" s="59"/>
      <c r="I305" s="60"/>
      <c r="J305" s="60"/>
      <c r="K305" s="61"/>
    </row>
    <row r="306" spans="1:11" ht="14.25" customHeight="1">
      <c r="A306" s="68"/>
      <c r="B306" s="68"/>
      <c r="C306" s="64"/>
      <c r="D306" s="64"/>
      <c r="E306" s="189"/>
      <c r="F306" s="64"/>
      <c r="G306" s="64"/>
      <c r="H306" s="59"/>
      <c r="I306" s="60"/>
      <c r="J306" s="60"/>
      <c r="K306" s="61"/>
    </row>
    <row r="307" spans="1:11" ht="14.25" customHeight="1">
      <c r="A307" s="68"/>
      <c r="B307" s="68"/>
      <c r="C307" s="64"/>
      <c r="D307" s="64"/>
      <c r="E307" s="189"/>
      <c r="F307" s="64"/>
      <c r="G307" s="64"/>
      <c r="H307" s="59"/>
      <c r="I307" s="60"/>
      <c r="J307" s="60"/>
      <c r="K307" s="61"/>
    </row>
    <row r="308" spans="1:11" ht="14.25" customHeight="1">
      <c r="A308" s="68"/>
      <c r="B308" s="68"/>
      <c r="C308" s="64"/>
      <c r="D308" s="64"/>
      <c r="E308" s="189"/>
      <c r="F308" s="64"/>
      <c r="G308" s="64"/>
      <c r="H308" s="59"/>
      <c r="I308" s="60"/>
      <c r="J308" s="60"/>
      <c r="K308" s="61"/>
    </row>
    <row r="309" spans="1:11" ht="14.25" customHeight="1">
      <c r="A309" s="1829" t="s">
        <v>227</v>
      </c>
      <c r="B309" s="1830"/>
      <c r="C309" s="1830"/>
      <c r="D309" s="1830"/>
      <c r="E309" s="1830"/>
      <c r="F309" s="1828"/>
      <c r="G309" s="65">
        <f>ROUND(SUM(G305:G308),2)</f>
        <v>891.86</v>
      </c>
      <c r="H309" s="59"/>
      <c r="I309" s="61">
        <f>+G309+G298+G287</f>
        <v>199861.12</v>
      </c>
      <c r="J309" s="60">
        <f>+I309*13500</f>
        <v>2698125120</v>
      </c>
      <c r="K309" s="61"/>
    </row>
    <row r="310" spans="1:11" ht="14.25" customHeight="1">
      <c r="A310" s="1831"/>
      <c r="B310" s="1830"/>
      <c r="C310" s="1830"/>
      <c r="D310" s="1830"/>
      <c r="E310" s="1830"/>
      <c r="F310" s="1830"/>
      <c r="G310" s="1828"/>
      <c r="H310" s="59"/>
      <c r="I310" s="60"/>
      <c r="J310" s="60"/>
      <c r="K310" s="61"/>
    </row>
    <row r="311" spans="1:11" ht="14.25" customHeight="1">
      <c r="A311" s="66" t="s">
        <v>240</v>
      </c>
      <c r="B311" s="1832" t="s">
        <v>392</v>
      </c>
      <c r="C311" s="1830"/>
      <c r="D311" s="1828"/>
      <c r="E311" s="1833" t="s">
        <v>218</v>
      </c>
      <c r="F311" s="1828"/>
      <c r="G311" s="62" t="s">
        <v>127</v>
      </c>
      <c r="H311" s="59"/>
      <c r="I311" s="60"/>
      <c r="J311" s="60"/>
      <c r="K311" s="61" t="e">
        <f>+#REF!*0.07</f>
        <v>#REF!</v>
      </c>
    </row>
    <row r="312" spans="1:11" ht="42" customHeight="1">
      <c r="A312" s="66" t="s">
        <v>245</v>
      </c>
      <c r="B312" s="1832" t="s">
        <v>664</v>
      </c>
      <c r="C312" s="1830"/>
      <c r="D312" s="1830"/>
      <c r="E312" s="1830"/>
      <c r="F312" s="1830"/>
      <c r="G312" s="1828"/>
      <c r="H312" s="59"/>
      <c r="I312" s="60"/>
      <c r="J312" s="60"/>
      <c r="K312" s="61"/>
    </row>
    <row r="313" spans="1:11" ht="14.25" customHeight="1">
      <c r="A313" s="1836" t="s">
        <v>220</v>
      </c>
      <c r="B313" s="1830"/>
      <c r="C313" s="1830"/>
      <c r="D313" s="1830"/>
      <c r="E313" s="1830"/>
      <c r="F313" s="1830"/>
      <c r="G313" s="1828"/>
      <c r="H313" s="59"/>
      <c r="I313" s="60"/>
      <c r="J313" s="60"/>
      <c r="K313" s="61"/>
    </row>
    <row r="314" spans="1:11" ht="14.25" customHeight="1">
      <c r="A314" s="185" t="s">
        <v>376</v>
      </c>
      <c r="B314" s="1853" t="s">
        <v>654</v>
      </c>
      <c r="C314" s="1830"/>
      <c r="D314" s="1828"/>
      <c r="E314" s="186"/>
      <c r="F314" s="186"/>
      <c r="G314" s="186"/>
      <c r="H314" s="59"/>
      <c r="I314" s="60"/>
      <c r="J314" s="60"/>
      <c r="K314" s="61"/>
    </row>
    <row r="315" spans="1:11" ht="14.25" customHeight="1">
      <c r="A315" s="187" t="s">
        <v>655</v>
      </c>
      <c r="B315" s="63" t="s">
        <v>656</v>
      </c>
      <c r="C315" s="63" t="s">
        <v>657</v>
      </c>
      <c r="D315" s="63" t="s">
        <v>658</v>
      </c>
      <c r="E315" s="63" t="s">
        <v>659</v>
      </c>
      <c r="F315" s="63" t="s">
        <v>660</v>
      </c>
      <c r="G315" s="63" t="s">
        <v>226</v>
      </c>
      <c r="H315" s="59"/>
      <c r="I315" s="60"/>
      <c r="J315" s="60"/>
      <c r="K315" s="61"/>
    </row>
    <row r="316" spans="1:11" ht="14.25" customHeight="1">
      <c r="A316" s="188" t="s">
        <v>620</v>
      </c>
      <c r="B316" s="68"/>
      <c r="C316" s="64"/>
      <c r="D316" s="64"/>
      <c r="E316" s="189"/>
      <c r="F316" s="64"/>
      <c r="G316" s="64">
        <v>9696</v>
      </c>
      <c r="H316" s="59"/>
      <c r="I316" s="60"/>
      <c r="J316" s="60"/>
      <c r="K316" s="61"/>
    </row>
    <row r="317" spans="1:11" ht="14.25" customHeight="1">
      <c r="A317" s="68"/>
      <c r="B317" s="68"/>
      <c r="C317" s="64"/>
      <c r="D317" s="64"/>
      <c r="E317" s="189"/>
      <c r="F317" s="64"/>
      <c r="G317" s="64"/>
      <c r="H317" s="59"/>
      <c r="I317" s="60"/>
      <c r="J317" s="60"/>
      <c r="K317" s="61"/>
    </row>
    <row r="318" spans="1:11" ht="14.25" customHeight="1">
      <c r="A318" s="68"/>
      <c r="B318" s="68"/>
      <c r="C318" s="64"/>
      <c r="D318" s="64"/>
      <c r="E318" s="189"/>
      <c r="F318" s="64"/>
      <c r="G318" s="64"/>
      <c r="H318" s="59"/>
      <c r="I318" s="60"/>
      <c r="J318" s="60"/>
      <c r="K318" s="61"/>
    </row>
    <row r="319" spans="1:11" ht="14.25" customHeight="1">
      <c r="A319" s="68"/>
      <c r="B319" s="68"/>
      <c r="C319" s="64"/>
      <c r="D319" s="64"/>
      <c r="E319" s="189"/>
      <c r="F319" s="64"/>
      <c r="G319" s="64"/>
      <c r="H319" s="59"/>
      <c r="I319" s="60"/>
      <c r="J319" s="60"/>
      <c r="K319" s="61"/>
    </row>
    <row r="320" spans="1:11" ht="14.25" customHeight="1">
      <c r="A320" s="1829" t="s">
        <v>227</v>
      </c>
      <c r="B320" s="1830"/>
      <c r="C320" s="1830"/>
      <c r="D320" s="1830"/>
      <c r="E320" s="1830"/>
      <c r="F320" s="1828"/>
      <c r="G320" s="65">
        <f>ROUND(SUM(G316:G319),2)</f>
        <v>9696</v>
      </c>
      <c r="H320" s="59"/>
      <c r="I320" s="61">
        <f>+G320+G309+G298</f>
        <v>123997.49</v>
      </c>
      <c r="J320" s="60">
        <f>+I320*13500</f>
        <v>1673966115</v>
      </c>
      <c r="K320" s="61"/>
    </row>
    <row r="321" spans="1:11" ht="14.25" customHeight="1">
      <c r="A321" s="1831"/>
      <c r="B321" s="1830"/>
      <c r="C321" s="1830"/>
      <c r="D321" s="1830"/>
      <c r="E321" s="1830"/>
      <c r="F321" s="1830"/>
      <c r="G321" s="1828"/>
      <c r="H321" s="59"/>
      <c r="I321" s="60"/>
      <c r="J321" s="60"/>
      <c r="K321" s="61"/>
    </row>
    <row r="322" spans="1:11" ht="14.25" customHeight="1">
      <c r="A322" s="66" t="s">
        <v>240</v>
      </c>
      <c r="B322" s="1832" t="s">
        <v>392</v>
      </c>
      <c r="C322" s="1830"/>
      <c r="D322" s="1828"/>
      <c r="E322" s="1833" t="s">
        <v>218</v>
      </c>
      <c r="F322" s="1828"/>
      <c r="G322" s="62" t="s">
        <v>171</v>
      </c>
      <c r="H322" s="59"/>
      <c r="I322" s="60"/>
      <c r="J322" s="60"/>
      <c r="K322" s="61" t="e">
        <f>+#REF!*0.07</f>
        <v>#REF!</v>
      </c>
    </row>
    <row r="323" spans="1:11" ht="27.75" customHeight="1">
      <c r="A323" s="66" t="s">
        <v>246</v>
      </c>
      <c r="B323" s="1832" t="s">
        <v>665</v>
      </c>
      <c r="C323" s="1830"/>
      <c r="D323" s="1830"/>
      <c r="E323" s="1830"/>
      <c r="F323" s="1830"/>
      <c r="G323" s="1828"/>
      <c r="H323" s="59"/>
      <c r="I323" s="60"/>
      <c r="J323" s="60"/>
      <c r="K323" s="61"/>
    </row>
    <row r="324" spans="1:11" ht="14.25" customHeight="1">
      <c r="A324" s="1836" t="s">
        <v>220</v>
      </c>
      <c r="B324" s="1830"/>
      <c r="C324" s="1830"/>
      <c r="D324" s="1830"/>
      <c r="E324" s="1830"/>
      <c r="F324" s="1830"/>
      <c r="G324" s="1828"/>
      <c r="H324" s="59"/>
      <c r="I324" s="60"/>
      <c r="J324" s="60"/>
      <c r="K324" s="61"/>
    </row>
    <row r="325" spans="1:11" ht="14.25" customHeight="1">
      <c r="A325" s="185" t="s">
        <v>376</v>
      </c>
      <c r="B325" s="1853" t="s">
        <v>654</v>
      </c>
      <c r="C325" s="1830"/>
      <c r="D325" s="1828"/>
      <c r="E325" s="186"/>
      <c r="F325" s="186"/>
      <c r="G325" s="186"/>
      <c r="H325" s="59"/>
      <c r="I325" s="60"/>
      <c r="J325" s="60"/>
      <c r="K325" s="61"/>
    </row>
    <row r="326" spans="1:11" ht="14.25" customHeight="1">
      <c r="A326" s="187" t="s">
        <v>655</v>
      </c>
      <c r="B326" s="63" t="s">
        <v>656</v>
      </c>
      <c r="C326" s="63" t="s">
        <v>657</v>
      </c>
      <c r="D326" s="63" t="s">
        <v>658</v>
      </c>
      <c r="E326" s="63" t="s">
        <v>659</v>
      </c>
      <c r="F326" s="63" t="s">
        <v>660</v>
      </c>
      <c r="G326" s="63" t="s">
        <v>661</v>
      </c>
      <c r="H326" s="59"/>
      <c r="I326" s="60"/>
      <c r="J326" s="60"/>
      <c r="K326" s="61"/>
    </row>
    <row r="327" spans="1:11" ht="14.25" customHeight="1">
      <c r="A327" s="188" t="s">
        <v>620</v>
      </c>
      <c r="B327" s="68"/>
      <c r="C327" s="64"/>
      <c r="D327" s="64"/>
      <c r="E327" s="189"/>
      <c r="F327" s="64"/>
      <c r="G327" s="64">
        <v>13970.538125000003</v>
      </c>
      <c r="H327" s="59"/>
      <c r="I327" s="60"/>
      <c r="J327" s="60"/>
      <c r="K327" s="61"/>
    </row>
    <row r="328" spans="1:11" ht="14.25" customHeight="1">
      <c r="A328" s="68"/>
      <c r="B328" s="68"/>
      <c r="C328" s="64"/>
      <c r="D328" s="64"/>
      <c r="E328" s="189"/>
      <c r="F328" s="64"/>
      <c r="G328" s="64"/>
      <c r="H328" s="59"/>
      <c r="I328" s="60"/>
      <c r="J328" s="60"/>
      <c r="K328" s="61"/>
    </row>
    <row r="329" spans="1:11" ht="14.25" customHeight="1">
      <c r="A329" s="68"/>
      <c r="B329" s="68"/>
      <c r="C329" s="64"/>
      <c r="D329" s="64"/>
      <c r="E329" s="189"/>
      <c r="F329" s="64"/>
      <c r="G329" s="64"/>
      <c r="H329" s="59"/>
      <c r="I329" s="60"/>
      <c r="J329" s="60"/>
      <c r="K329" s="61"/>
    </row>
    <row r="330" spans="1:11" ht="14.25" customHeight="1">
      <c r="A330" s="68"/>
      <c r="B330" s="68"/>
      <c r="C330" s="64"/>
      <c r="D330" s="64"/>
      <c r="E330" s="189"/>
      <c r="F330" s="64"/>
      <c r="G330" s="64"/>
      <c r="H330" s="59"/>
      <c r="I330" s="60"/>
      <c r="J330" s="60"/>
      <c r="K330" s="61"/>
    </row>
    <row r="331" spans="1:11" ht="14.25" customHeight="1">
      <c r="A331" s="1829" t="s">
        <v>227</v>
      </c>
      <c r="B331" s="1830"/>
      <c r="C331" s="1830"/>
      <c r="D331" s="1830"/>
      <c r="E331" s="1830"/>
      <c r="F331" s="1828"/>
      <c r="G331" s="65">
        <f>ROUND(SUM(G327:G330),2)</f>
        <v>13970.54</v>
      </c>
      <c r="H331" s="59"/>
      <c r="I331" s="60"/>
      <c r="J331" s="60"/>
      <c r="K331" s="61"/>
    </row>
    <row r="332" spans="1:11" ht="14.25" customHeight="1">
      <c r="A332" s="1831"/>
      <c r="B332" s="1830"/>
      <c r="C332" s="1830"/>
      <c r="D332" s="1830"/>
      <c r="E332" s="1830"/>
      <c r="F332" s="1830"/>
      <c r="G332" s="1828"/>
      <c r="H332" s="59"/>
      <c r="I332" s="60"/>
      <c r="J332" s="60"/>
      <c r="K332" s="61"/>
    </row>
    <row r="333" spans="1:11" ht="14.25" customHeight="1">
      <c r="A333" s="66" t="s">
        <v>240</v>
      </c>
      <c r="B333" s="1832" t="str">
        <f>+B322</f>
        <v>ESTRUCTURA METÁLICA</v>
      </c>
      <c r="C333" s="1830"/>
      <c r="D333" s="1828"/>
      <c r="E333" s="1833" t="s">
        <v>218</v>
      </c>
      <c r="F333" s="1828"/>
      <c r="G333" s="62" t="s">
        <v>228</v>
      </c>
      <c r="H333" s="59"/>
      <c r="I333" s="60"/>
      <c r="J333" s="60"/>
      <c r="K333" s="61"/>
    </row>
    <row r="334" spans="1:11" ht="27" customHeight="1">
      <c r="A334" s="66" t="s">
        <v>247</v>
      </c>
      <c r="B334" s="1840" t="s">
        <v>666</v>
      </c>
      <c r="C334" s="1830"/>
      <c r="D334" s="1830"/>
      <c r="E334" s="1830"/>
      <c r="F334" s="1830"/>
      <c r="G334" s="1828"/>
      <c r="H334" s="59"/>
      <c r="I334" s="60"/>
      <c r="J334" s="60"/>
      <c r="K334" s="61"/>
    </row>
    <row r="335" spans="1:11" ht="14.25" customHeight="1">
      <c r="A335" s="1836" t="s">
        <v>220</v>
      </c>
      <c r="B335" s="1830"/>
      <c r="C335" s="1830"/>
      <c r="D335" s="1830"/>
      <c r="E335" s="1830"/>
      <c r="F335" s="1830"/>
      <c r="G335" s="1828"/>
      <c r="H335" s="59"/>
      <c r="I335" s="60"/>
      <c r="J335" s="60"/>
      <c r="K335" s="61"/>
    </row>
    <row r="336" spans="1:11" ht="14.25" customHeight="1">
      <c r="A336" s="1829" t="s">
        <v>221</v>
      </c>
      <c r="B336" s="1828"/>
      <c r="C336" s="63" t="s">
        <v>222</v>
      </c>
      <c r="D336" s="63" t="s">
        <v>223</v>
      </c>
      <c r="E336" s="63" t="s">
        <v>224</v>
      </c>
      <c r="F336" s="63" t="s">
        <v>225</v>
      </c>
      <c r="G336" s="63" t="s">
        <v>226</v>
      </c>
      <c r="H336" s="59"/>
      <c r="I336" s="60"/>
      <c r="J336" s="60"/>
      <c r="K336" s="61"/>
    </row>
    <row r="337" spans="1:7" ht="14.25" customHeight="1">
      <c r="A337" s="1844" t="s">
        <v>620</v>
      </c>
      <c r="B337" s="1828"/>
      <c r="C337" s="64"/>
      <c r="D337" s="64">
        <v>2151.75</v>
      </c>
      <c r="E337" s="189"/>
      <c r="F337" s="64"/>
      <c r="G337" s="64">
        <f>+D337</f>
        <v>2151.75</v>
      </c>
    </row>
    <row r="338" spans="1:7" ht="14.25" customHeight="1">
      <c r="A338" s="1844"/>
      <c r="B338" s="1828"/>
      <c r="C338" s="64"/>
      <c r="D338" s="64"/>
      <c r="E338" s="189"/>
      <c r="F338" s="64"/>
      <c r="G338" s="64"/>
    </row>
    <row r="339" spans="1:7" ht="14.25" customHeight="1">
      <c r="A339" s="1845"/>
      <c r="B339" s="1828"/>
      <c r="C339" s="64"/>
      <c r="D339" s="64"/>
      <c r="E339" s="64"/>
      <c r="F339" s="64"/>
      <c r="G339" s="64"/>
    </row>
    <row r="340" spans="1:7" ht="14.25" customHeight="1">
      <c r="A340" s="1845"/>
      <c r="B340" s="1828"/>
      <c r="C340" s="64"/>
      <c r="D340" s="64"/>
      <c r="E340" s="64"/>
      <c r="F340" s="64"/>
      <c r="G340" s="64"/>
    </row>
    <row r="341" spans="1:7" ht="14.25" customHeight="1">
      <c r="A341" s="1829" t="s">
        <v>227</v>
      </c>
      <c r="B341" s="1830"/>
      <c r="C341" s="1830"/>
      <c r="D341" s="1830"/>
      <c r="E341" s="1830"/>
      <c r="F341" s="1828"/>
      <c r="G341" s="65">
        <f>SUM(G337:G340)</f>
        <v>2151.75</v>
      </c>
    </row>
    <row r="342" spans="1:7" ht="14.25" customHeight="1">
      <c r="A342" s="1831"/>
      <c r="B342" s="1830"/>
      <c r="C342" s="1830"/>
      <c r="D342" s="1830"/>
      <c r="E342" s="1830"/>
      <c r="F342" s="1830"/>
      <c r="G342" s="1828"/>
    </row>
    <row r="343" spans="1:7" ht="14.25" customHeight="1">
      <c r="A343" s="66" t="s">
        <v>240</v>
      </c>
      <c r="B343" s="1832" t="str">
        <f>+B279</f>
        <v>ESTRUCTURA METÁLICA</v>
      </c>
      <c r="C343" s="1830"/>
      <c r="D343" s="1828"/>
      <c r="E343" s="1833" t="s">
        <v>218</v>
      </c>
      <c r="F343" s="1828"/>
      <c r="G343" s="62" t="s">
        <v>228</v>
      </c>
    </row>
    <row r="344" spans="1:7" ht="26.25" customHeight="1">
      <c r="A344" s="66" t="s">
        <v>667</v>
      </c>
      <c r="B344" s="1840" t="s">
        <v>668</v>
      </c>
      <c r="C344" s="1830"/>
      <c r="D344" s="1830"/>
      <c r="E344" s="1830"/>
      <c r="F344" s="1830"/>
      <c r="G344" s="1828"/>
    </row>
    <row r="345" spans="1:7" ht="14.25" customHeight="1">
      <c r="A345" s="1836" t="s">
        <v>220</v>
      </c>
      <c r="B345" s="1830"/>
      <c r="C345" s="1830"/>
      <c r="D345" s="1830"/>
      <c r="E345" s="1830"/>
      <c r="F345" s="1830"/>
      <c r="G345" s="1828"/>
    </row>
    <row r="346" spans="1:7" ht="14.25" customHeight="1">
      <c r="A346" s="1829" t="s">
        <v>221</v>
      </c>
      <c r="B346" s="1828"/>
      <c r="C346" s="63" t="s">
        <v>222</v>
      </c>
      <c r="D346" s="63" t="s">
        <v>223</v>
      </c>
      <c r="E346" s="63" t="s">
        <v>224</v>
      </c>
      <c r="F346" s="63" t="s">
        <v>225</v>
      </c>
      <c r="G346" s="63" t="s">
        <v>226</v>
      </c>
    </row>
    <row r="347" spans="1:7" ht="14.25" customHeight="1">
      <c r="A347" s="1844" t="s">
        <v>620</v>
      </c>
      <c r="B347" s="1828"/>
      <c r="C347" s="64"/>
      <c r="D347" s="64">
        <v>2151.75</v>
      </c>
      <c r="E347" s="189"/>
      <c r="F347" s="64"/>
      <c r="G347" s="64">
        <f>+D347</f>
        <v>2151.75</v>
      </c>
    </row>
    <row r="348" spans="1:7" ht="14.25" customHeight="1">
      <c r="A348" s="1844"/>
      <c r="B348" s="1828"/>
      <c r="C348" s="64"/>
      <c r="D348" s="64"/>
      <c r="E348" s="189"/>
      <c r="F348" s="64"/>
      <c r="G348" s="64"/>
    </row>
    <row r="349" spans="1:7" ht="14.25" customHeight="1">
      <c r="A349" s="1845"/>
      <c r="B349" s="1828"/>
      <c r="C349" s="64"/>
      <c r="D349" s="64"/>
      <c r="E349" s="64"/>
      <c r="F349" s="64"/>
      <c r="G349" s="64"/>
    </row>
    <row r="350" spans="1:7" ht="14.25" customHeight="1">
      <c r="A350" s="1845"/>
      <c r="B350" s="1828"/>
      <c r="C350" s="64"/>
      <c r="D350" s="64"/>
      <c r="E350" s="64"/>
      <c r="F350" s="64"/>
      <c r="G350" s="64"/>
    </row>
    <row r="351" spans="1:7" ht="14.25" customHeight="1">
      <c r="A351" s="1829" t="s">
        <v>227</v>
      </c>
      <c r="B351" s="1830"/>
      <c r="C351" s="1830"/>
      <c r="D351" s="1830"/>
      <c r="E351" s="1830"/>
      <c r="F351" s="1828"/>
      <c r="G351" s="65">
        <f>SUM(G347:G350)</f>
        <v>2151.75</v>
      </c>
    </row>
    <row r="352" spans="1:7" ht="14.25" hidden="1" customHeight="1">
      <c r="A352" s="1831"/>
      <c r="B352" s="1830"/>
      <c r="C352" s="1830"/>
      <c r="D352" s="1830"/>
      <c r="E352" s="1830"/>
      <c r="F352" s="1830"/>
      <c r="G352" s="1828"/>
    </row>
    <row r="353" spans="1:7" ht="14.25" hidden="1" customHeight="1">
      <c r="A353" s="66" t="s">
        <v>240</v>
      </c>
      <c r="B353" s="1832" t="str">
        <f>+B343</f>
        <v>ESTRUCTURA METÁLICA</v>
      </c>
      <c r="C353" s="1830"/>
      <c r="D353" s="1828"/>
      <c r="E353" s="1833" t="s">
        <v>218</v>
      </c>
      <c r="F353" s="1828"/>
      <c r="G353" s="62" t="s">
        <v>50</v>
      </c>
    </row>
    <row r="354" spans="1:7" ht="65.25" hidden="1" customHeight="1">
      <c r="A354" s="66" t="s">
        <v>244</v>
      </c>
      <c r="B354" s="1840" t="s">
        <v>669</v>
      </c>
      <c r="C354" s="1830"/>
      <c r="D354" s="1830"/>
      <c r="E354" s="1830"/>
      <c r="F354" s="1830"/>
      <c r="G354" s="1828"/>
    </row>
    <row r="355" spans="1:7" ht="14.25" hidden="1" customHeight="1">
      <c r="A355" s="1836" t="s">
        <v>220</v>
      </c>
      <c r="B355" s="1830"/>
      <c r="C355" s="1830"/>
      <c r="D355" s="1830"/>
      <c r="E355" s="1830"/>
      <c r="F355" s="1830"/>
      <c r="G355" s="1828"/>
    </row>
    <row r="356" spans="1:7" ht="14.25" hidden="1" customHeight="1">
      <c r="A356" s="1829" t="s">
        <v>221</v>
      </c>
      <c r="B356" s="1828"/>
      <c r="C356" s="63" t="s">
        <v>670</v>
      </c>
      <c r="D356" s="63" t="s">
        <v>671</v>
      </c>
      <c r="E356" s="63" t="s">
        <v>672</v>
      </c>
      <c r="F356" s="63" t="s">
        <v>673</v>
      </c>
      <c r="G356" s="63" t="s">
        <v>226</v>
      </c>
    </row>
    <row r="357" spans="1:7" ht="14.25" hidden="1" customHeight="1">
      <c r="A357" s="1847" t="s">
        <v>674</v>
      </c>
      <c r="B357" s="1828"/>
      <c r="C357" s="64"/>
      <c r="D357" s="64"/>
      <c r="E357" s="64"/>
      <c r="F357" s="64"/>
      <c r="G357" s="64"/>
    </row>
    <row r="358" spans="1:7" ht="14.25" hidden="1" customHeight="1">
      <c r="A358" s="1845" t="s">
        <v>675</v>
      </c>
      <c r="B358" s="1828"/>
      <c r="C358" s="190" t="s">
        <v>676</v>
      </c>
      <c r="D358" s="64">
        <v>77.010000000000005</v>
      </c>
      <c r="E358" s="64">
        <v>6.43</v>
      </c>
      <c r="F358" s="64"/>
      <c r="G358" s="64">
        <f t="shared" ref="G358:G365" si="17">+D358*E358*F358</f>
        <v>0</v>
      </c>
    </row>
    <row r="359" spans="1:7" ht="14.25" hidden="1" customHeight="1">
      <c r="A359" s="1845" t="s">
        <v>677</v>
      </c>
      <c r="B359" s="1828"/>
      <c r="C359" s="190" t="s">
        <v>676</v>
      </c>
      <c r="D359" s="64">
        <v>19.16</v>
      </c>
      <c r="E359" s="64">
        <v>6.43</v>
      </c>
      <c r="F359" s="64"/>
      <c r="G359" s="64">
        <f t="shared" si="17"/>
        <v>0</v>
      </c>
    </row>
    <row r="360" spans="1:7" ht="14.25" hidden="1" customHeight="1">
      <c r="A360" s="1845" t="s">
        <v>677</v>
      </c>
      <c r="B360" s="1828"/>
      <c r="C360" s="190" t="s">
        <v>678</v>
      </c>
      <c r="D360" s="64">
        <v>132.30000000000001</v>
      </c>
      <c r="E360" s="64">
        <v>2.34</v>
      </c>
      <c r="F360" s="64"/>
      <c r="G360" s="64">
        <f t="shared" si="17"/>
        <v>0</v>
      </c>
    </row>
    <row r="361" spans="1:7" ht="14.25" hidden="1" customHeight="1">
      <c r="A361" s="1845" t="s">
        <v>677</v>
      </c>
      <c r="B361" s="1828"/>
      <c r="C361" s="190" t="s">
        <v>679</v>
      </c>
      <c r="D361" s="64">
        <v>20.6</v>
      </c>
      <c r="E361" s="64">
        <v>4.01</v>
      </c>
      <c r="F361" s="64"/>
      <c r="G361" s="64">
        <f t="shared" si="17"/>
        <v>0</v>
      </c>
    </row>
    <row r="362" spans="1:7" ht="14.25" hidden="1" customHeight="1">
      <c r="A362" s="1845" t="s">
        <v>680</v>
      </c>
      <c r="B362" s="1828"/>
      <c r="C362" s="190" t="s">
        <v>676</v>
      </c>
      <c r="D362" s="64">
        <v>6</v>
      </c>
      <c r="E362" s="64">
        <v>6.43</v>
      </c>
      <c r="F362" s="64"/>
      <c r="G362" s="64">
        <f t="shared" si="17"/>
        <v>0</v>
      </c>
    </row>
    <row r="363" spans="1:7" ht="14.25" hidden="1" customHeight="1">
      <c r="A363" s="1845" t="s">
        <v>680</v>
      </c>
      <c r="B363" s="1828"/>
      <c r="C363" s="190" t="s">
        <v>681</v>
      </c>
      <c r="D363" s="64">
        <v>20.010000000000002</v>
      </c>
      <c r="E363" s="64">
        <v>5.29</v>
      </c>
      <c r="F363" s="64"/>
      <c r="G363" s="64">
        <f t="shared" si="17"/>
        <v>0</v>
      </c>
    </row>
    <row r="364" spans="1:7" ht="14.25" hidden="1" customHeight="1">
      <c r="A364" s="1845" t="s">
        <v>680</v>
      </c>
      <c r="B364" s="1828"/>
      <c r="C364" s="190" t="s">
        <v>682</v>
      </c>
      <c r="D364" s="64">
        <v>50.21</v>
      </c>
      <c r="E364" s="64">
        <v>4.1100000000000003</v>
      </c>
      <c r="F364" s="64"/>
      <c r="G364" s="64">
        <f t="shared" si="17"/>
        <v>0</v>
      </c>
    </row>
    <row r="365" spans="1:7" ht="14.25" hidden="1" customHeight="1">
      <c r="A365" s="1845" t="s">
        <v>683</v>
      </c>
      <c r="B365" s="1828"/>
      <c r="C365" s="190" t="s">
        <v>684</v>
      </c>
      <c r="D365" s="64">
        <v>92.86</v>
      </c>
      <c r="E365" s="64">
        <v>3.21</v>
      </c>
      <c r="F365" s="64"/>
      <c r="G365" s="64">
        <f t="shared" si="17"/>
        <v>0</v>
      </c>
    </row>
    <row r="366" spans="1:7" ht="14.25" hidden="1" customHeight="1">
      <c r="A366" s="1847" t="s">
        <v>685</v>
      </c>
      <c r="B366" s="1828"/>
      <c r="C366" s="64"/>
      <c r="D366" s="64"/>
      <c r="E366" s="64"/>
      <c r="F366" s="64"/>
      <c r="G366" s="64"/>
    </row>
    <row r="367" spans="1:7" ht="14.25" hidden="1" customHeight="1">
      <c r="A367" s="1845" t="s">
        <v>686</v>
      </c>
      <c r="B367" s="1828"/>
      <c r="C367" s="190" t="s">
        <v>676</v>
      </c>
      <c r="D367" s="64">
        <v>18.53</v>
      </c>
      <c r="E367" s="64">
        <v>6.43</v>
      </c>
      <c r="F367" s="64"/>
      <c r="G367" s="64">
        <f t="shared" ref="G367:G371" si="18">+D367*E367*F367</f>
        <v>0</v>
      </c>
    </row>
    <row r="368" spans="1:7" ht="14.25" hidden="1" customHeight="1">
      <c r="A368" s="1845" t="s">
        <v>677</v>
      </c>
      <c r="B368" s="1828"/>
      <c r="C368" s="190" t="s">
        <v>684</v>
      </c>
      <c r="D368" s="64">
        <v>42.68</v>
      </c>
      <c r="E368" s="64">
        <v>3.21</v>
      </c>
      <c r="F368" s="64"/>
      <c r="G368" s="64">
        <f t="shared" si="18"/>
        <v>0</v>
      </c>
    </row>
    <row r="369" spans="1:7" ht="14.25" hidden="1" customHeight="1">
      <c r="A369" s="1845" t="s">
        <v>677</v>
      </c>
      <c r="B369" s="1828"/>
      <c r="C369" s="190" t="s">
        <v>679</v>
      </c>
      <c r="D369" s="64">
        <v>4.7699999999999996</v>
      </c>
      <c r="E369" s="64">
        <v>4.01</v>
      </c>
      <c r="F369" s="64"/>
      <c r="G369" s="64">
        <f t="shared" si="18"/>
        <v>0</v>
      </c>
    </row>
    <row r="370" spans="1:7" ht="14.25" hidden="1" customHeight="1">
      <c r="A370" s="1845" t="s">
        <v>687</v>
      </c>
      <c r="B370" s="1828"/>
      <c r="C370" s="190" t="s">
        <v>676</v>
      </c>
      <c r="D370" s="64">
        <v>18</v>
      </c>
      <c r="E370" s="64">
        <v>6.43</v>
      </c>
      <c r="F370" s="64"/>
      <c r="G370" s="64">
        <f t="shared" si="18"/>
        <v>0</v>
      </c>
    </row>
    <row r="371" spans="1:7" ht="14.25" hidden="1" customHeight="1">
      <c r="A371" s="1845" t="s">
        <v>683</v>
      </c>
      <c r="B371" s="1828"/>
      <c r="C371" s="190" t="s">
        <v>684</v>
      </c>
      <c r="D371" s="64">
        <v>31.02</v>
      </c>
      <c r="E371" s="64">
        <v>3.21</v>
      </c>
      <c r="F371" s="64"/>
      <c r="G371" s="64">
        <f t="shared" si="18"/>
        <v>0</v>
      </c>
    </row>
    <row r="372" spans="1:7" ht="14.25" hidden="1" customHeight="1">
      <c r="A372" s="1847" t="s">
        <v>688</v>
      </c>
      <c r="B372" s="1828"/>
      <c r="C372" s="64"/>
      <c r="D372" s="64"/>
      <c r="E372" s="64"/>
      <c r="F372" s="64"/>
      <c r="G372" s="64"/>
    </row>
    <row r="373" spans="1:7" ht="14.25" hidden="1" customHeight="1">
      <c r="A373" s="1845" t="s">
        <v>675</v>
      </c>
      <c r="B373" s="1828"/>
      <c r="C373" s="190" t="s">
        <v>679</v>
      </c>
      <c r="D373" s="64">
        <v>10.28</v>
      </c>
      <c r="E373" s="64">
        <v>4.01</v>
      </c>
      <c r="F373" s="64"/>
      <c r="G373" s="64">
        <f t="shared" ref="G373:G376" si="19">+D373*E373*F373</f>
        <v>0</v>
      </c>
    </row>
    <row r="374" spans="1:7" ht="14.25" hidden="1" customHeight="1">
      <c r="A374" s="1845" t="s">
        <v>677</v>
      </c>
      <c r="B374" s="1828"/>
      <c r="C374" s="190" t="s">
        <v>689</v>
      </c>
      <c r="D374" s="64">
        <v>22.73</v>
      </c>
      <c r="E374" s="64">
        <v>2.1800000000000002</v>
      </c>
      <c r="F374" s="64"/>
      <c r="G374" s="64">
        <f t="shared" si="19"/>
        <v>0</v>
      </c>
    </row>
    <row r="375" spans="1:7" ht="14.25" hidden="1" customHeight="1">
      <c r="A375" s="1845" t="s">
        <v>680</v>
      </c>
      <c r="B375" s="1828"/>
      <c r="C375" s="190" t="s">
        <v>679</v>
      </c>
      <c r="D375" s="64">
        <v>10.28</v>
      </c>
      <c r="E375" s="64">
        <v>4.01</v>
      </c>
      <c r="F375" s="64"/>
      <c r="G375" s="64">
        <f t="shared" si="19"/>
        <v>0</v>
      </c>
    </row>
    <row r="376" spans="1:7" ht="14.25" hidden="1" customHeight="1">
      <c r="A376" s="1845" t="s">
        <v>683</v>
      </c>
      <c r="B376" s="1828"/>
      <c r="C376" s="190" t="s">
        <v>689</v>
      </c>
      <c r="D376" s="64">
        <v>14.97</v>
      </c>
      <c r="E376" s="64">
        <v>2.1800000000000002</v>
      </c>
      <c r="F376" s="64"/>
      <c r="G376" s="64">
        <f t="shared" si="19"/>
        <v>0</v>
      </c>
    </row>
    <row r="377" spans="1:7" ht="14.25" hidden="1" customHeight="1">
      <c r="A377" s="1847" t="s">
        <v>690</v>
      </c>
      <c r="B377" s="1828"/>
      <c r="C377" s="64"/>
      <c r="D377" s="64"/>
      <c r="E377" s="64"/>
      <c r="F377" s="64"/>
      <c r="G377" s="64"/>
    </row>
    <row r="378" spans="1:7" ht="14.25" hidden="1" customHeight="1">
      <c r="A378" s="1845" t="s">
        <v>675</v>
      </c>
      <c r="B378" s="1828"/>
      <c r="C378" s="190" t="s">
        <v>679</v>
      </c>
      <c r="D378" s="64">
        <v>5.14</v>
      </c>
      <c r="E378" s="64">
        <v>4.01</v>
      </c>
      <c r="F378" s="64"/>
      <c r="G378" s="64">
        <f t="shared" ref="G378:G380" si="20">+D378*E378*F378</f>
        <v>0</v>
      </c>
    </row>
    <row r="379" spans="1:7" ht="14.25" hidden="1" customHeight="1">
      <c r="A379" s="1845" t="s">
        <v>677</v>
      </c>
      <c r="B379" s="1828"/>
      <c r="C379" s="190" t="s">
        <v>689</v>
      </c>
      <c r="D379" s="64">
        <v>28.32</v>
      </c>
      <c r="E379" s="64">
        <v>2.1800000000000002</v>
      </c>
      <c r="F379" s="64"/>
      <c r="G379" s="64">
        <f t="shared" si="20"/>
        <v>0</v>
      </c>
    </row>
    <row r="380" spans="1:7" ht="14.25" hidden="1" customHeight="1">
      <c r="A380" s="1845" t="s">
        <v>680</v>
      </c>
      <c r="B380" s="1828"/>
      <c r="C380" s="190" t="s">
        <v>679</v>
      </c>
      <c r="D380" s="64">
        <v>5.14</v>
      </c>
      <c r="E380" s="64">
        <v>4.01</v>
      </c>
      <c r="F380" s="64"/>
      <c r="G380" s="64">
        <f t="shared" si="20"/>
        <v>0</v>
      </c>
    </row>
    <row r="381" spans="1:7" ht="14.25" hidden="1" customHeight="1">
      <c r="A381" s="1847" t="s">
        <v>691</v>
      </c>
      <c r="B381" s="1828"/>
      <c r="C381" s="64"/>
      <c r="D381" s="64"/>
      <c r="E381" s="64"/>
      <c r="F381" s="64"/>
      <c r="G381" s="64"/>
    </row>
    <row r="382" spans="1:7" ht="14.25" hidden="1" customHeight="1">
      <c r="A382" s="1845" t="s">
        <v>675</v>
      </c>
      <c r="B382" s="1828"/>
      <c r="C382" s="190" t="s">
        <v>679</v>
      </c>
      <c r="D382" s="64">
        <v>5.14</v>
      </c>
      <c r="E382" s="64">
        <v>4.01</v>
      </c>
      <c r="F382" s="64"/>
      <c r="G382" s="64">
        <f t="shared" ref="G382:G384" si="21">+D382*E382*F382</f>
        <v>0</v>
      </c>
    </row>
    <row r="383" spans="1:7" ht="14.25" hidden="1" customHeight="1">
      <c r="A383" s="1845" t="s">
        <v>677</v>
      </c>
      <c r="B383" s="1828"/>
      <c r="C383" s="190" t="s">
        <v>689</v>
      </c>
      <c r="D383" s="64">
        <v>18.25</v>
      </c>
      <c r="E383" s="64">
        <v>2.1800000000000002</v>
      </c>
      <c r="F383" s="64"/>
      <c r="G383" s="64">
        <f t="shared" si="21"/>
        <v>0</v>
      </c>
    </row>
    <row r="384" spans="1:7" ht="14.25" hidden="1" customHeight="1">
      <c r="A384" s="1845" t="s">
        <v>680</v>
      </c>
      <c r="B384" s="1828"/>
      <c r="C384" s="190" t="s">
        <v>679</v>
      </c>
      <c r="D384" s="64">
        <v>5.14</v>
      </c>
      <c r="E384" s="64">
        <v>4.01</v>
      </c>
      <c r="F384" s="64"/>
      <c r="G384" s="64">
        <f t="shared" si="21"/>
        <v>0</v>
      </c>
    </row>
    <row r="385" spans="1:7" ht="14.25" hidden="1" customHeight="1">
      <c r="A385" s="1845"/>
      <c r="B385" s="1828"/>
      <c r="C385" s="190"/>
      <c r="D385" s="64"/>
      <c r="E385" s="64"/>
      <c r="F385" s="64"/>
      <c r="G385" s="64"/>
    </row>
    <row r="386" spans="1:7" ht="14.25" hidden="1" customHeight="1">
      <c r="A386" s="1845" t="s">
        <v>692</v>
      </c>
      <c r="B386" s="1828"/>
      <c r="C386" s="190" t="s">
        <v>693</v>
      </c>
      <c r="D386" s="64">
        <v>36.299999999999997</v>
      </c>
      <c r="E386" s="64">
        <v>4.8099999999999996</v>
      </c>
      <c r="F386" s="64"/>
      <c r="G386" s="64">
        <f t="shared" ref="G386:G387" si="22">+D386*E386*F386</f>
        <v>0</v>
      </c>
    </row>
    <row r="387" spans="1:7" ht="14.25" hidden="1" customHeight="1">
      <c r="A387" s="1845" t="s">
        <v>694</v>
      </c>
      <c r="B387" s="1828"/>
      <c r="C387" s="190" t="s">
        <v>695</v>
      </c>
      <c r="D387" s="64">
        <v>38.5</v>
      </c>
      <c r="E387" s="64">
        <v>1</v>
      </c>
      <c r="F387" s="64"/>
      <c r="G387" s="64">
        <f t="shared" si="22"/>
        <v>0</v>
      </c>
    </row>
    <row r="388" spans="1:7" ht="14.25" hidden="1" customHeight="1">
      <c r="A388" s="1829" t="s">
        <v>227</v>
      </c>
      <c r="B388" s="1830"/>
      <c r="C388" s="1830"/>
      <c r="D388" s="1830"/>
      <c r="E388" s="1830"/>
      <c r="F388" s="1828"/>
      <c r="G388" s="65">
        <f>ROUND(SUM(G358:G387),2)</f>
        <v>0</v>
      </c>
    </row>
    <row r="389" spans="1:7" ht="14.25" customHeight="1">
      <c r="A389" s="1831"/>
      <c r="B389" s="1830"/>
      <c r="C389" s="1830"/>
      <c r="D389" s="1830"/>
      <c r="E389" s="1830"/>
      <c r="F389" s="1830"/>
      <c r="G389" s="1828"/>
    </row>
    <row r="390" spans="1:7" ht="14.25" hidden="1" customHeight="1">
      <c r="A390" s="66" t="s">
        <v>240</v>
      </c>
      <c r="B390" s="1832" t="str">
        <f>+B353</f>
        <v>ESTRUCTURA METÁLICA</v>
      </c>
      <c r="C390" s="1830"/>
      <c r="D390" s="1828"/>
      <c r="E390" s="1833" t="s">
        <v>218</v>
      </c>
      <c r="F390" s="1828"/>
      <c r="G390" s="62" t="s">
        <v>228</v>
      </c>
    </row>
    <row r="391" spans="1:7" ht="24" hidden="1" customHeight="1">
      <c r="A391" s="66" t="s">
        <v>696</v>
      </c>
      <c r="B391" s="1840" t="s">
        <v>697</v>
      </c>
      <c r="C391" s="1830"/>
      <c r="D391" s="1830"/>
      <c r="E391" s="1830"/>
      <c r="F391" s="1830"/>
      <c r="G391" s="1828"/>
    </row>
    <row r="392" spans="1:7" ht="14.25" hidden="1" customHeight="1">
      <c r="A392" s="1836" t="s">
        <v>220</v>
      </c>
      <c r="B392" s="1830"/>
      <c r="C392" s="1830"/>
      <c r="D392" s="1830"/>
      <c r="E392" s="1830"/>
      <c r="F392" s="1830"/>
      <c r="G392" s="1828"/>
    </row>
    <row r="393" spans="1:7" ht="14.25" hidden="1" customHeight="1">
      <c r="A393" s="1829" t="s">
        <v>221</v>
      </c>
      <c r="B393" s="1828"/>
      <c r="C393" s="63" t="s">
        <v>222</v>
      </c>
      <c r="D393" s="63" t="s">
        <v>223</v>
      </c>
      <c r="E393" s="63" t="s">
        <v>252</v>
      </c>
      <c r="F393" s="63" t="s">
        <v>225</v>
      </c>
      <c r="G393" s="63" t="s">
        <v>226</v>
      </c>
    </row>
    <row r="394" spans="1:7" ht="15" hidden="1" customHeight="1">
      <c r="A394" s="1844" t="s">
        <v>698</v>
      </c>
      <c r="B394" s="1828"/>
      <c r="C394" s="64"/>
      <c r="D394" s="64">
        <v>1594.7545</v>
      </c>
      <c r="E394" s="189"/>
      <c r="F394" s="64"/>
      <c r="G394" s="64"/>
    </row>
    <row r="395" spans="1:7" ht="15" hidden="1" customHeight="1">
      <c r="A395" s="1844" t="s">
        <v>699</v>
      </c>
      <c r="B395" s="1828"/>
      <c r="C395" s="64"/>
      <c r="D395" s="64" t="e">
        <v>#REF!</v>
      </c>
      <c r="E395" s="189"/>
      <c r="F395" s="64"/>
      <c r="G395" s="64"/>
    </row>
    <row r="396" spans="1:7" ht="15" hidden="1" customHeight="1">
      <c r="A396" s="1845"/>
      <c r="B396" s="1828"/>
      <c r="C396" s="64"/>
      <c r="D396" s="64"/>
      <c r="E396" s="64"/>
      <c r="F396" s="64"/>
      <c r="G396" s="64"/>
    </row>
    <row r="397" spans="1:7" ht="14.25" hidden="1" customHeight="1">
      <c r="A397" s="1845"/>
      <c r="B397" s="1828"/>
      <c r="C397" s="64"/>
      <c r="D397" s="64"/>
      <c r="E397" s="64"/>
      <c r="F397" s="64"/>
      <c r="G397" s="64"/>
    </row>
    <row r="398" spans="1:7" ht="14.25" hidden="1" customHeight="1">
      <c r="A398" s="1829" t="s">
        <v>227</v>
      </c>
      <c r="B398" s="1830"/>
      <c r="C398" s="1830"/>
      <c r="D398" s="1830"/>
      <c r="E398" s="1830"/>
      <c r="F398" s="1828"/>
      <c r="G398" s="65">
        <f>ROUND(SUM(G394:G397),2)</f>
        <v>0</v>
      </c>
    </row>
    <row r="399" spans="1:7" ht="14.25" hidden="1" customHeight="1">
      <c r="A399" s="1831"/>
      <c r="B399" s="1830"/>
      <c r="C399" s="1830"/>
      <c r="D399" s="1830"/>
      <c r="E399" s="1830"/>
      <c r="F399" s="1830"/>
      <c r="G399" s="1828"/>
    </row>
    <row r="400" spans="1:7" ht="14.25" hidden="1" customHeight="1">
      <c r="A400" s="66" t="s">
        <v>240</v>
      </c>
      <c r="B400" s="1832" t="str">
        <f>+B390</f>
        <v>ESTRUCTURA METÁLICA</v>
      </c>
      <c r="C400" s="1830"/>
      <c r="D400" s="1828"/>
      <c r="E400" s="1833" t="s">
        <v>218</v>
      </c>
      <c r="F400" s="1828"/>
      <c r="G400" s="62" t="s">
        <v>228</v>
      </c>
    </row>
    <row r="401" spans="1:7" ht="48.75" hidden="1" customHeight="1">
      <c r="A401" s="66" t="s">
        <v>700</v>
      </c>
      <c r="B401" s="1840" t="s">
        <v>701</v>
      </c>
      <c r="C401" s="1830"/>
      <c r="D401" s="1830"/>
      <c r="E401" s="1830"/>
      <c r="F401" s="1830"/>
      <c r="G401" s="1828"/>
    </row>
    <row r="402" spans="1:7" ht="14.25" hidden="1" customHeight="1">
      <c r="A402" s="1836" t="s">
        <v>220</v>
      </c>
      <c r="B402" s="1830"/>
      <c r="C402" s="1830"/>
      <c r="D402" s="1830"/>
      <c r="E402" s="1830"/>
      <c r="F402" s="1830"/>
      <c r="G402" s="1828"/>
    </row>
    <row r="403" spans="1:7" ht="14.25" hidden="1" customHeight="1">
      <c r="A403" s="1829" t="s">
        <v>221</v>
      </c>
      <c r="B403" s="1828"/>
      <c r="C403" s="63" t="s">
        <v>222</v>
      </c>
      <c r="D403" s="63" t="s">
        <v>223</v>
      </c>
      <c r="E403" s="63" t="s">
        <v>224</v>
      </c>
      <c r="F403" s="63" t="s">
        <v>225</v>
      </c>
      <c r="G403" s="63" t="s">
        <v>226</v>
      </c>
    </row>
    <row r="404" spans="1:7" ht="14.25" hidden="1" customHeight="1">
      <c r="A404" s="1845" t="s">
        <v>702</v>
      </c>
      <c r="B404" s="1828"/>
      <c r="C404" s="64">
        <v>20.010000000000002</v>
      </c>
      <c r="D404" s="64"/>
      <c r="E404" s="64"/>
      <c r="F404" s="64">
        <v>5</v>
      </c>
      <c r="G404" s="64">
        <f>+F404*C404</f>
        <v>100.05000000000001</v>
      </c>
    </row>
    <row r="405" spans="1:7" ht="14.25" hidden="1" customHeight="1">
      <c r="A405" s="1845" t="s">
        <v>703</v>
      </c>
      <c r="B405" s="1828"/>
      <c r="C405" s="64">
        <v>6</v>
      </c>
      <c r="D405" s="64">
        <v>3</v>
      </c>
      <c r="E405" s="64"/>
      <c r="F405" s="64"/>
      <c r="G405" s="64">
        <f>+D405*C405</f>
        <v>18</v>
      </c>
    </row>
    <row r="406" spans="1:7" ht="14.25" hidden="1" customHeight="1">
      <c r="A406" s="1829" t="s">
        <v>227</v>
      </c>
      <c r="B406" s="1830"/>
      <c r="C406" s="1830"/>
      <c r="D406" s="1830"/>
      <c r="E406" s="1830"/>
      <c r="F406" s="1828"/>
      <c r="G406" s="65"/>
    </row>
    <row r="407" spans="1:7" ht="14.25" hidden="1" customHeight="1">
      <c r="A407" s="1831"/>
      <c r="B407" s="1830"/>
      <c r="C407" s="1830"/>
      <c r="D407" s="1830"/>
      <c r="E407" s="1830"/>
      <c r="F407" s="1830"/>
      <c r="G407" s="1828"/>
    </row>
    <row r="408" spans="1:7" ht="14.25" hidden="1" customHeight="1">
      <c r="A408" s="66" t="s">
        <v>240</v>
      </c>
      <c r="B408" s="1832" t="str">
        <f>+B400</f>
        <v>ESTRUCTURA METÁLICA</v>
      </c>
      <c r="C408" s="1830"/>
      <c r="D408" s="1828"/>
      <c r="E408" s="1833" t="s">
        <v>218</v>
      </c>
      <c r="F408" s="1828"/>
      <c r="G408" s="62" t="s">
        <v>120</v>
      </c>
    </row>
    <row r="409" spans="1:7" ht="30.75" hidden="1" customHeight="1">
      <c r="A409" s="66" t="s">
        <v>247</v>
      </c>
      <c r="B409" s="1840" t="s">
        <v>704</v>
      </c>
      <c r="C409" s="1830"/>
      <c r="D409" s="1830"/>
      <c r="E409" s="1830"/>
      <c r="F409" s="1830"/>
      <c r="G409" s="1828"/>
    </row>
    <row r="410" spans="1:7" ht="14.25" hidden="1" customHeight="1">
      <c r="A410" s="1836" t="s">
        <v>220</v>
      </c>
      <c r="B410" s="1830"/>
      <c r="C410" s="1830"/>
      <c r="D410" s="1830"/>
      <c r="E410" s="1830"/>
      <c r="F410" s="1830"/>
      <c r="G410" s="1828"/>
    </row>
    <row r="411" spans="1:7" ht="14.25" hidden="1" customHeight="1">
      <c r="A411" s="1829" t="s">
        <v>221</v>
      </c>
      <c r="B411" s="1828"/>
      <c r="C411" s="63" t="s">
        <v>222</v>
      </c>
      <c r="D411" s="63" t="s">
        <v>223</v>
      </c>
      <c r="E411" s="63" t="s">
        <v>224</v>
      </c>
      <c r="F411" s="63" t="s">
        <v>225</v>
      </c>
      <c r="G411" s="63" t="s">
        <v>226</v>
      </c>
    </row>
    <row r="412" spans="1:7" ht="14.25" hidden="1" customHeight="1">
      <c r="A412" s="1845" t="s">
        <v>705</v>
      </c>
      <c r="B412" s="1828"/>
      <c r="C412" s="64">
        <v>5.6719999999999997</v>
      </c>
      <c r="D412" s="64"/>
      <c r="E412" s="64"/>
      <c r="F412" s="64">
        <v>2</v>
      </c>
      <c r="G412" s="64"/>
    </row>
    <row r="413" spans="1:7" ht="14.25" hidden="1" customHeight="1">
      <c r="A413" s="1845" t="s">
        <v>706</v>
      </c>
      <c r="B413" s="1828"/>
      <c r="C413" s="64">
        <v>25.81</v>
      </c>
      <c r="D413" s="64"/>
      <c r="E413" s="64"/>
      <c r="F413" s="64">
        <v>1</v>
      </c>
      <c r="G413" s="64"/>
    </row>
    <row r="414" spans="1:7" ht="14.25" hidden="1" customHeight="1">
      <c r="A414" s="1845"/>
      <c r="B414" s="1828"/>
      <c r="C414" s="64"/>
      <c r="D414" s="64"/>
      <c r="E414" s="64"/>
      <c r="F414" s="64"/>
      <c r="G414" s="64"/>
    </row>
    <row r="415" spans="1:7" ht="14.25" hidden="1" customHeight="1">
      <c r="A415" s="1829" t="s">
        <v>227</v>
      </c>
      <c r="B415" s="1830"/>
      <c r="C415" s="1830"/>
      <c r="D415" s="1830"/>
      <c r="E415" s="1830"/>
      <c r="F415" s="1828"/>
      <c r="G415" s="191"/>
    </row>
    <row r="416" spans="1:7" ht="14.25" hidden="1" customHeight="1">
      <c r="A416" s="1831"/>
      <c r="B416" s="1830"/>
      <c r="C416" s="1830"/>
      <c r="D416" s="1830"/>
      <c r="E416" s="1830"/>
      <c r="F416" s="1830"/>
      <c r="G416" s="1828"/>
    </row>
    <row r="417" spans="1:7" ht="14.25" hidden="1" customHeight="1">
      <c r="A417" s="66" t="s">
        <v>240</v>
      </c>
      <c r="B417" s="1832" t="str">
        <f>+B408</f>
        <v>ESTRUCTURA METÁLICA</v>
      </c>
      <c r="C417" s="1830"/>
      <c r="D417" s="1828"/>
      <c r="E417" s="1833" t="s">
        <v>218</v>
      </c>
      <c r="F417" s="1828"/>
      <c r="G417" s="62" t="s">
        <v>228</v>
      </c>
    </row>
    <row r="418" spans="1:7" ht="14.25" hidden="1" customHeight="1">
      <c r="A418" s="66" t="s">
        <v>667</v>
      </c>
      <c r="B418" s="1840" t="s">
        <v>399</v>
      </c>
      <c r="C418" s="1830"/>
      <c r="D418" s="1830"/>
      <c r="E418" s="1830"/>
      <c r="F418" s="1830"/>
      <c r="G418" s="1828"/>
    </row>
    <row r="419" spans="1:7" ht="14.25" hidden="1" customHeight="1">
      <c r="A419" s="1836" t="s">
        <v>220</v>
      </c>
      <c r="B419" s="1830"/>
      <c r="C419" s="1830"/>
      <c r="D419" s="1830"/>
      <c r="E419" s="1830"/>
      <c r="F419" s="1830"/>
      <c r="G419" s="1828"/>
    </row>
    <row r="420" spans="1:7" ht="14.25" hidden="1" customHeight="1">
      <c r="A420" s="1829" t="s">
        <v>221</v>
      </c>
      <c r="B420" s="1828"/>
      <c r="C420" s="63" t="s">
        <v>222</v>
      </c>
      <c r="D420" s="63" t="s">
        <v>223</v>
      </c>
      <c r="E420" s="63" t="s">
        <v>224</v>
      </c>
      <c r="F420" s="63" t="s">
        <v>225</v>
      </c>
      <c r="G420" s="63" t="s">
        <v>226</v>
      </c>
    </row>
    <row r="421" spans="1:7" ht="14.25" hidden="1" customHeight="1">
      <c r="A421" s="1845" t="s">
        <v>707</v>
      </c>
      <c r="B421" s="1828"/>
      <c r="C421" s="64"/>
      <c r="D421" s="64"/>
      <c r="E421" s="64"/>
      <c r="F421" s="64"/>
      <c r="G421" s="64"/>
    </row>
    <row r="422" spans="1:7" ht="14.25" hidden="1" customHeight="1">
      <c r="A422" s="1845"/>
      <c r="B422" s="1828"/>
      <c r="C422" s="64"/>
      <c r="D422" s="64"/>
      <c r="E422" s="64"/>
      <c r="F422" s="64"/>
      <c r="G422" s="64"/>
    </row>
    <row r="423" spans="1:7" ht="14.25" hidden="1" customHeight="1">
      <c r="A423" s="1829" t="s">
        <v>227</v>
      </c>
      <c r="B423" s="1830"/>
      <c r="C423" s="1830"/>
      <c r="D423" s="1830"/>
      <c r="E423" s="1830"/>
      <c r="F423" s="1828"/>
      <c r="G423" s="191">
        <f>ROUND(SUM(G421:G422),2)</f>
        <v>0</v>
      </c>
    </row>
    <row r="424" spans="1:7" ht="14.25" hidden="1" customHeight="1">
      <c r="A424" s="1831"/>
      <c r="B424" s="1830"/>
      <c r="C424" s="1830"/>
      <c r="D424" s="1830"/>
      <c r="E424" s="1830"/>
      <c r="F424" s="1830"/>
      <c r="G424" s="1828"/>
    </row>
    <row r="425" spans="1:7" ht="14.25" hidden="1" customHeight="1">
      <c r="A425" s="66" t="s">
        <v>240</v>
      </c>
      <c r="B425" s="1832" t="str">
        <f>+B417</f>
        <v>ESTRUCTURA METÁLICA</v>
      </c>
      <c r="C425" s="1830"/>
      <c r="D425" s="1828"/>
      <c r="E425" s="1833" t="s">
        <v>218</v>
      </c>
      <c r="F425" s="1828"/>
      <c r="G425" s="62" t="s">
        <v>120</v>
      </c>
    </row>
    <row r="426" spans="1:7" ht="14.25" hidden="1" customHeight="1">
      <c r="A426" s="66" t="s">
        <v>696</v>
      </c>
      <c r="B426" s="1840" t="s">
        <v>400</v>
      </c>
      <c r="C426" s="1830"/>
      <c r="D426" s="1830"/>
      <c r="E426" s="1830"/>
      <c r="F426" s="1830"/>
      <c r="G426" s="1828"/>
    </row>
    <row r="427" spans="1:7" ht="14.25" hidden="1" customHeight="1">
      <c r="A427" s="1836" t="s">
        <v>220</v>
      </c>
      <c r="B427" s="1830"/>
      <c r="C427" s="1830"/>
      <c r="D427" s="1830"/>
      <c r="E427" s="1830"/>
      <c r="F427" s="1830"/>
      <c r="G427" s="1828"/>
    </row>
    <row r="428" spans="1:7" ht="14.25" hidden="1" customHeight="1">
      <c r="A428" s="1829" t="s">
        <v>221</v>
      </c>
      <c r="B428" s="1828"/>
      <c r="C428" s="63" t="s">
        <v>222</v>
      </c>
      <c r="D428" s="63" t="s">
        <v>223</v>
      </c>
      <c r="E428" s="63" t="s">
        <v>224</v>
      </c>
      <c r="F428" s="63" t="s">
        <v>225</v>
      </c>
      <c r="G428" s="63" t="s">
        <v>226</v>
      </c>
    </row>
    <row r="429" spans="1:7" ht="14.25" hidden="1" customHeight="1">
      <c r="A429" s="1845"/>
      <c r="B429" s="1828"/>
      <c r="C429" s="192"/>
      <c r="D429" s="64"/>
      <c r="E429" s="64"/>
      <c r="F429" s="64"/>
      <c r="G429" s="64"/>
    </row>
    <row r="430" spans="1:7" ht="14.25" hidden="1" customHeight="1">
      <c r="A430" s="1845"/>
      <c r="B430" s="1828"/>
      <c r="C430" s="64"/>
      <c r="D430" s="64"/>
      <c r="E430" s="64"/>
      <c r="F430" s="64"/>
      <c r="G430" s="64"/>
    </row>
    <row r="431" spans="1:7" ht="14.25" hidden="1" customHeight="1">
      <c r="A431" s="1829" t="s">
        <v>227</v>
      </c>
      <c r="B431" s="1830"/>
      <c r="C431" s="1830"/>
      <c r="D431" s="1830"/>
      <c r="E431" s="1830"/>
      <c r="F431" s="1828"/>
      <c r="G431" s="191">
        <f>ROUND(SUM(G429:G430),2)</f>
        <v>0</v>
      </c>
    </row>
    <row r="432" spans="1:7" ht="14.25" hidden="1" customHeight="1">
      <c r="A432" s="1831"/>
      <c r="B432" s="1830"/>
      <c r="C432" s="1830"/>
      <c r="D432" s="1830"/>
      <c r="E432" s="1830"/>
      <c r="F432" s="1830"/>
      <c r="G432" s="1828"/>
    </row>
    <row r="433" spans="1:7" ht="14.25" hidden="1" customHeight="1">
      <c r="A433" s="66" t="s">
        <v>240</v>
      </c>
      <c r="B433" s="1832" t="str">
        <f>+B425</f>
        <v>ESTRUCTURA METÁLICA</v>
      </c>
      <c r="C433" s="1830"/>
      <c r="D433" s="1828"/>
      <c r="E433" s="1833" t="s">
        <v>218</v>
      </c>
      <c r="F433" s="1828"/>
      <c r="G433" s="62" t="s">
        <v>120</v>
      </c>
    </row>
    <row r="434" spans="1:7" ht="14.25" hidden="1" customHeight="1">
      <c r="A434" s="66" t="s">
        <v>700</v>
      </c>
      <c r="B434" s="1840" t="s">
        <v>402</v>
      </c>
      <c r="C434" s="1830"/>
      <c r="D434" s="1830"/>
      <c r="E434" s="1830"/>
      <c r="F434" s="1830"/>
      <c r="G434" s="1828"/>
    </row>
    <row r="435" spans="1:7" ht="14.25" hidden="1" customHeight="1">
      <c r="A435" s="1836" t="s">
        <v>220</v>
      </c>
      <c r="B435" s="1830"/>
      <c r="C435" s="1830"/>
      <c r="D435" s="1830"/>
      <c r="E435" s="1830"/>
      <c r="F435" s="1830"/>
      <c r="G435" s="1828"/>
    </row>
    <row r="436" spans="1:7" ht="14.25" hidden="1" customHeight="1">
      <c r="A436" s="1829" t="s">
        <v>221</v>
      </c>
      <c r="B436" s="1828"/>
      <c r="C436" s="63" t="s">
        <v>222</v>
      </c>
      <c r="D436" s="63" t="s">
        <v>223</v>
      </c>
      <c r="E436" s="63" t="s">
        <v>224</v>
      </c>
      <c r="F436" s="63" t="s">
        <v>225</v>
      </c>
      <c r="G436" s="63" t="s">
        <v>226</v>
      </c>
    </row>
    <row r="437" spans="1:7" ht="14.25" hidden="1" customHeight="1">
      <c r="A437" s="1845"/>
      <c r="B437" s="1828"/>
      <c r="C437" s="64"/>
      <c r="D437" s="64"/>
      <c r="E437" s="64"/>
      <c r="F437" s="64"/>
      <c r="G437" s="64"/>
    </row>
    <row r="438" spans="1:7" ht="14.25" hidden="1" customHeight="1">
      <c r="A438" s="1845"/>
      <c r="B438" s="1828"/>
      <c r="C438" s="64"/>
      <c r="D438" s="64"/>
      <c r="E438" s="64"/>
      <c r="F438" s="64"/>
      <c r="G438" s="64"/>
    </row>
    <row r="439" spans="1:7" ht="14.25" hidden="1" customHeight="1">
      <c r="A439" s="1829" t="s">
        <v>227</v>
      </c>
      <c r="B439" s="1830"/>
      <c r="C439" s="1830"/>
      <c r="D439" s="1830"/>
      <c r="E439" s="1830"/>
      <c r="F439" s="1828"/>
      <c r="G439" s="191">
        <f>ROUND(SUM(G437:G438),2)</f>
        <v>0</v>
      </c>
    </row>
    <row r="440" spans="1:7" ht="14.25" hidden="1" customHeight="1">
      <c r="A440" s="1831"/>
      <c r="B440" s="1830"/>
      <c r="C440" s="1830"/>
      <c r="D440" s="1830"/>
      <c r="E440" s="1830"/>
      <c r="F440" s="1830"/>
      <c r="G440" s="1828"/>
    </row>
    <row r="441" spans="1:7" ht="14.25" hidden="1" customHeight="1">
      <c r="A441" s="66" t="s">
        <v>240</v>
      </c>
      <c r="B441" s="1832" t="str">
        <f>+B433</f>
        <v>ESTRUCTURA METÁLICA</v>
      </c>
      <c r="C441" s="1830"/>
      <c r="D441" s="1828"/>
      <c r="E441" s="1833" t="s">
        <v>218</v>
      </c>
      <c r="F441" s="1828"/>
      <c r="G441" s="62" t="s">
        <v>120</v>
      </c>
    </row>
    <row r="442" spans="1:7" ht="14.25" hidden="1" customHeight="1">
      <c r="A442" s="66" t="s">
        <v>708</v>
      </c>
      <c r="B442" s="1840" t="s">
        <v>404</v>
      </c>
      <c r="C442" s="1830"/>
      <c r="D442" s="1830"/>
      <c r="E442" s="1830"/>
      <c r="F442" s="1830"/>
      <c r="G442" s="1828"/>
    </row>
    <row r="443" spans="1:7" ht="14.25" hidden="1" customHeight="1">
      <c r="A443" s="1836" t="s">
        <v>220</v>
      </c>
      <c r="B443" s="1830"/>
      <c r="C443" s="1830"/>
      <c r="D443" s="1830"/>
      <c r="E443" s="1830"/>
      <c r="F443" s="1830"/>
      <c r="G443" s="1828"/>
    </row>
    <row r="444" spans="1:7" ht="14.25" hidden="1" customHeight="1">
      <c r="A444" s="1829" t="s">
        <v>221</v>
      </c>
      <c r="B444" s="1828"/>
      <c r="C444" s="63" t="s">
        <v>222</v>
      </c>
      <c r="D444" s="63" t="s">
        <v>223</v>
      </c>
      <c r="E444" s="63" t="s">
        <v>224</v>
      </c>
      <c r="F444" s="63" t="s">
        <v>225</v>
      </c>
      <c r="G444" s="63" t="s">
        <v>226</v>
      </c>
    </row>
    <row r="445" spans="1:7" ht="14.25" hidden="1" customHeight="1">
      <c r="A445" s="1845"/>
      <c r="B445" s="1828"/>
      <c r="C445" s="64"/>
      <c r="D445" s="64"/>
      <c r="E445" s="64"/>
      <c r="F445" s="64"/>
      <c r="G445" s="64"/>
    </row>
    <row r="446" spans="1:7" ht="14.25" hidden="1" customHeight="1">
      <c r="A446" s="1845"/>
      <c r="B446" s="1828"/>
      <c r="C446" s="64"/>
      <c r="D446" s="64"/>
      <c r="E446" s="64"/>
      <c r="F446" s="64"/>
      <c r="G446" s="64"/>
    </row>
    <row r="447" spans="1:7" ht="14.25" hidden="1" customHeight="1">
      <c r="A447" s="1829" t="s">
        <v>227</v>
      </c>
      <c r="B447" s="1830"/>
      <c r="C447" s="1830"/>
      <c r="D447" s="1830"/>
      <c r="E447" s="1830"/>
      <c r="F447" s="1828"/>
      <c r="G447" s="191">
        <f>ROUND(SUM(G445:G446),2)</f>
        <v>0</v>
      </c>
    </row>
    <row r="448" spans="1:7" ht="14.25" hidden="1" customHeight="1">
      <c r="A448" s="1831"/>
      <c r="B448" s="1830"/>
      <c r="C448" s="1830"/>
      <c r="D448" s="1830"/>
      <c r="E448" s="1830"/>
      <c r="F448" s="1830"/>
      <c r="G448" s="1828"/>
    </row>
    <row r="449" spans="1:7" ht="14.25" hidden="1" customHeight="1">
      <c r="A449" s="66" t="s">
        <v>240</v>
      </c>
      <c r="B449" s="1832" t="str">
        <f>+B400</f>
        <v>ESTRUCTURA METÁLICA</v>
      </c>
      <c r="C449" s="1830"/>
      <c r="D449" s="1828"/>
      <c r="E449" s="1833" t="s">
        <v>218</v>
      </c>
      <c r="F449" s="1828"/>
      <c r="G449" s="62" t="s">
        <v>120</v>
      </c>
    </row>
    <row r="450" spans="1:7" ht="48.75" hidden="1" customHeight="1">
      <c r="A450" s="66" t="s">
        <v>708</v>
      </c>
      <c r="B450" s="1840" t="s">
        <v>709</v>
      </c>
      <c r="C450" s="1830"/>
      <c r="D450" s="1830"/>
      <c r="E450" s="1830"/>
      <c r="F450" s="1830"/>
      <c r="G450" s="1828"/>
    </row>
    <row r="451" spans="1:7" ht="14.25" hidden="1" customHeight="1">
      <c r="A451" s="1836" t="s">
        <v>220</v>
      </c>
      <c r="B451" s="1830"/>
      <c r="C451" s="1830"/>
      <c r="D451" s="1830"/>
      <c r="E451" s="1830"/>
      <c r="F451" s="1830"/>
      <c r="G451" s="1828"/>
    </row>
    <row r="452" spans="1:7" ht="14.25" hidden="1" customHeight="1">
      <c r="A452" s="1829" t="s">
        <v>221</v>
      </c>
      <c r="B452" s="1828"/>
      <c r="C452" s="63" t="s">
        <v>222</v>
      </c>
      <c r="D452" s="63" t="s">
        <v>223</v>
      </c>
      <c r="E452" s="63" t="s">
        <v>224</v>
      </c>
      <c r="F452" s="63" t="s">
        <v>225</v>
      </c>
      <c r="G452" s="63" t="s">
        <v>226</v>
      </c>
    </row>
    <row r="453" spans="1:7" ht="25.5" hidden="1" customHeight="1">
      <c r="A453" s="1845" t="s">
        <v>710</v>
      </c>
      <c r="B453" s="1828"/>
      <c r="C453" s="64">
        <f>+C159</f>
        <v>0</v>
      </c>
      <c r="D453" s="64"/>
      <c r="E453" s="64"/>
      <c r="F453" s="64">
        <v>1</v>
      </c>
      <c r="G453" s="64">
        <f>+F453*C453</f>
        <v>0</v>
      </c>
    </row>
    <row r="454" spans="1:7" ht="14.25" hidden="1" customHeight="1">
      <c r="A454" s="1845"/>
      <c r="B454" s="1828"/>
      <c r="C454" s="64"/>
      <c r="D454" s="64"/>
      <c r="E454" s="64"/>
      <c r="F454" s="64"/>
      <c r="G454" s="64"/>
    </row>
    <row r="455" spans="1:7" ht="14.25" hidden="1" customHeight="1">
      <c r="A455" s="1829" t="s">
        <v>227</v>
      </c>
      <c r="B455" s="1830"/>
      <c r="C455" s="1830"/>
      <c r="D455" s="1830"/>
      <c r="E455" s="1830"/>
      <c r="F455" s="1828"/>
      <c r="G455" s="65">
        <f>ROUND(SUM(G453:G454),2)</f>
        <v>0</v>
      </c>
    </row>
    <row r="456" spans="1:7" ht="14.25" hidden="1" customHeight="1">
      <c r="A456" s="1831"/>
      <c r="B456" s="1830"/>
      <c r="C456" s="1830"/>
      <c r="D456" s="1830"/>
      <c r="E456" s="1830"/>
      <c r="F456" s="1830"/>
      <c r="G456" s="1828"/>
    </row>
    <row r="457" spans="1:7" ht="14.25" hidden="1" customHeight="1">
      <c r="A457" s="66" t="s">
        <v>240</v>
      </c>
      <c r="B457" s="1832" t="str">
        <f>+B449</f>
        <v>ESTRUCTURA METÁLICA</v>
      </c>
      <c r="C457" s="1830"/>
      <c r="D457" s="1828"/>
      <c r="E457" s="1833" t="s">
        <v>218</v>
      </c>
      <c r="F457" s="1828"/>
      <c r="G457" s="62" t="s">
        <v>120</v>
      </c>
    </row>
    <row r="458" spans="1:7" ht="30.75" hidden="1" customHeight="1">
      <c r="A458" s="66" t="s">
        <v>711</v>
      </c>
      <c r="B458" s="1840" t="s">
        <v>704</v>
      </c>
      <c r="C458" s="1830"/>
      <c r="D458" s="1830"/>
      <c r="E458" s="1830"/>
      <c r="F458" s="1830"/>
      <c r="G458" s="1828"/>
    </row>
    <row r="459" spans="1:7" ht="14.25" hidden="1" customHeight="1">
      <c r="A459" s="1836" t="s">
        <v>220</v>
      </c>
      <c r="B459" s="1830"/>
      <c r="C459" s="1830"/>
      <c r="D459" s="1830"/>
      <c r="E459" s="1830"/>
      <c r="F459" s="1830"/>
      <c r="G459" s="1828"/>
    </row>
    <row r="460" spans="1:7" ht="14.25" hidden="1" customHeight="1">
      <c r="A460" s="1829" t="s">
        <v>221</v>
      </c>
      <c r="B460" s="1828"/>
      <c r="C460" s="63" t="s">
        <v>222</v>
      </c>
      <c r="D460" s="63" t="s">
        <v>223</v>
      </c>
      <c r="E460" s="63" t="s">
        <v>224</v>
      </c>
      <c r="F460" s="63" t="s">
        <v>225</v>
      </c>
      <c r="G460" s="63" t="s">
        <v>226</v>
      </c>
    </row>
    <row r="461" spans="1:7" ht="14.25" hidden="1" customHeight="1">
      <c r="A461" s="1845" t="s">
        <v>705</v>
      </c>
      <c r="B461" s="1828"/>
      <c r="C461" s="64">
        <v>25.67</v>
      </c>
      <c r="D461" s="64"/>
      <c r="E461" s="64"/>
      <c r="F461" s="64">
        <v>2</v>
      </c>
      <c r="G461" s="64">
        <f t="shared" ref="G461:G462" si="23">+F461*C461</f>
        <v>51.34</v>
      </c>
    </row>
    <row r="462" spans="1:7" ht="14.25" hidden="1" customHeight="1">
      <c r="A462" s="1845" t="s">
        <v>706</v>
      </c>
      <c r="B462" s="1828"/>
      <c r="C462" s="64">
        <v>45.87</v>
      </c>
      <c r="D462" s="64"/>
      <c r="E462" s="64"/>
      <c r="F462" s="64">
        <v>1</v>
      </c>
      <c r="G462" s="64">
        <f t="shared" si="23"/>
        <v>45.87</v>
      </c>
    </row>
    <row r="463" spans="1:7" ht="14.25" hidden="1" customHeight="1">
      <c r="A463" s="1845"/>
      <c r="B463" s="1828"/>
      <c r="C463" s="64"/>
      <c r="D463" s="64"/>
      <c r="E463" s="64"/>
      <c r="F463" s="64"/>
      <c r="G463" s="64"/>
    </row>
    <row r="464" spans="1:7" ht="14.25" hidden="1" customHeight="1">
      <c r="A464" s="1829" t="s">
        <v>227</v>
      </c>
      <c r="B464" s="1830"/>
      <c r="C464" s="1830"/>
      <c r="D464" s="1830"/>
      <c r="E464" s="1830"/>
      <c r="F464" s="1828"/>
      <c r="G464" s="191"/>
    </row>
    <row r="465" spans="1:7" ht="14.25" hidden="1" customHeight="1">
      <c r="A465" s="1831"/>
      <c r="B465" s="1830"/>
      <c r="C465" s="1830"/>
      <c r="D465" s="1830"/>
      <c r="E465" s="1830"/>
      <c r="F465" s="1830"/>
      <c r="G465" s="1828"/>
    </row>
    <row r="466" spans="1:7" ht="14.25" hidden="1" customHeight="1">
      <c r="A466" s="66" t="s">
        <v>240</v>
      </c>
      <c r="B466" s="1832" t="str">
        <f>+B457</f>
        <v>ESTRUCTURA METÁLICA</v>
      </c>
      <c r="C466" s="1830"/>
      <c r="D466" s="1828"/>
      <c r="E466" s="1833" t="s">
        <v>218</v>
      </c>
      <c r="F466" s="1828"/>
      <c r="G466" s="62" t="s">
        <v>228</v>
      </c>
    </row>
    <row r="467" spans="1:7" ht="14.25" hidden="1" customHeight="1">
      <c r="A467" s="66" t="s">
        <v>667</v>
      </c>
      <c r="B467" s="1840" t="s">
        <v>399</v>
      </c>
      <c r="C467" s="1830"/>
      <c r="D467" s="1830"/>
      <c r="E467" s="1830"/>
      <c r="F467" s="1830"/>
      <c r="G467" s="1828"/>
    </row>
    <row r="468" spans="1:7" ht="14.25" hidden="1" customHeight="1">
      <c r="A468" s="1836" t="s">
        <v>220</v>
      </c>
      <c r="B468" s="1830"/>
      <c r="C468" s="1830"/>
      <c r="D468" s="1830"/>
      <c r="E468" s="1830"/>
      <c r="F468" s="1830"/>
      <c r="G468" s="1828"/>
    </row>
    <row r="469" spans="1:7" ht="14.25" hidden="1" customHeight="1">
      <c r="A469" s="1829" t="s">
        <v>221</v>
      </c>
      <c r="B469" s="1828"/>
      <c r="C469" s="63" t="s">
        <v>222</v>
      </c>
      <c r="D469" s="63" t="s">
        <v>223</v>
      </c>
      <c r="E469" s="63" t="s">
        <v>224</v>
      </c>
      <c r="F469" s="63" t="s">
        <v>225</v>
      </c>
      <c r="G469" s="63" t="s">
        <v>226</v>
      </c>
    </row>
    <row r="470" spans="1:7" ht="14.25" hidden="1" customHeight="1">
      <c r="A470" s="1845" t="s">
        <v>707</v>
      </c>
      <c r="B470" s="1828"/>
      <c r="C470" s="64"/>
      <c r="D470" s="64"/>
      <c r="E470" s="64"/>
      <c r="F470" s="64"/>
      <c r="G470" s="64"/>
    </row>
    <row r="471" spans="1:7" ht="14.25" hidden="1" customHeight="1">
      <c r="A471" s="1845"/>
      <c r="B471" s="1828"/>
      <c r="C471" s="64"/>
      <c r="D471" s="64"/>
      <c r="E471" s="64"/>
      <c r="F471" s="64"/>
      <c r="G471" s="64"/>
    </row>
    <row r="472" spans="1:7" ht="14.25" hidden="1" customHeight="1">
      <c r="A472" s="1829" t="s">
        <v>227</v>
      </c>
      <c r="B472" s="1830"/>
      <c r="C472" s="1830"/>
      <c r="D472" s="1830"/>
      <c r="E472" s="1830"/>
      <c r="F472" s="1828"/>
      <c r="G472" s="191">
        <f>ROUND(SUM(G470:G471),2)</f>
        <v>0</v>
      </c>
    </row>
    <row r="473" spans="1:7" ht="14.25" hidden="1" customHeight="1">
      <c r="A473" s="1831"/>
      <c r="B473" s="1830"/>
      <c r="C473" s="1830"/>
      <c r="D473" s="1830"/>
      <c r="E473" s="1830"/>
      <c r="F473" s="1830"/>
      <c r="G473" s="1828"/>
    </row>
    <row r="474" spans="1:7" ht="14.25" hidden="1" customHeight="1">
      <c r="A474" s="66" t="s">
        <v>240</v>
      </c>
      <c r="B474" s="1832" t="str">
        <f>+B466</f>
        <v>ESTRUCTURA METÁLICA</v>
      </c>
      <c r="C474" s="1830"/>
      <c r="D474" s="1828"/>
      <c r="E474" s="1833" t="s">
        <v>218</v>
      </c>
      <c r="F474" s="1828"/>
      <c r="G474" s="62" t="s">
        <v>120</v>
      </c>
    </row>
    <row r="475" spans="1:7" ht="14.25" hidden="1" customHeight="1">
      <c r="A475" s="66" t="s">
        <v>696</v>
      </c>
      <c r="B475" s="1840" t="s">
        <v>400</v>
      </c>
      <c r="C475" s="1830"/>
      <c r="D475" s="1830"/>
      <c r="E475" s="1830"/>
      <c r="F475" s="1830"/>
      <c r="G475" s="1828"/>
    </row>
    <row r="476" spans="1:7" ht="14.25" hidden="1" customHeight="1">
      <c r="A476" s="1836" t="s">
        <v>220</v>
      </c>
      <c r="B476" s="1830"/>
      <c r="C476" s="1830"/>
      <c r="D476" s="1830"/>
      <c r="E476" s="1830"/>
      <c r="F476" s="1830"/>
      <c r="G476" s="1828"/>
    </row>
    <row r="477" spans="1:7" ht="14.25" hidden="1" customHeight="1">
      <c r="A477" s="1829" t="s">
        <v>221</v>
      </c>
      <c r="B477" s="1828"/>
      <c r="C477" s="63" t="s">
        <v>222</v>
      </c>
      <c r="D477" s="63" t="s">
        <v>223</v>
      </c>
      <c r="E477" s="63" t="s">
        <v>224</v>
      </c>
      <c r="F477" s="63" t="s">
        <v>225</v>
      </c>
      <c r="G477" s="63" t="s">
        <v>226</v>
      </c>
    </row>
    <row r="478" spans="1:7" ht="14.25" hidden="1" customHeight="1">
      <c r="A478" s="1845"/>
      <c r="B478" s="1828"/>
      <c r="C478" s="192"/>
      <c r="D478" s="64"/>
      <c r="E478" s="64"/>
      <c r="F478" s="64"/>
      <c r="G478" s="64"/>
    </row>
    <row r="479" spans="1:7" ht="14.25" hidden="1" customHeight="1">
      <c r="A479" s="1845"/>
      <c r="B479" s="1828"/>
      <c r="C479" s="64"/>
      <c r="D479" s="64"/>
      <c r="E479" s="64"/>
      <c r="F479" s="64"/>
      <c r="G479" s="64"/>
    </row>
    <row r="480" spans="1:7" ht="14.25" hidden="1" customHeight="1">
      <c r="A480" s="1829" t="s">
        <v>227</v>
      </c>
      <c r="B480" s="1830"/>
      <c r="C480" s="1830"/>
      <c r="D480" s="1830"/>
      <c r="E480" s="1830"/>
      <c r="F480" s="1828"/>
      <c r="G480" s="191">
        <f>ROUND(SUM(G478:G479),2)</f>
        <v>0</v>
      </c>
    </row>
    <row r="481" spans="1:7" ht="14.25" hidden="1" customHeight="1">
      <c r="A481" s="1831"/>
      <c r="B481" s="1830"/>
      <c r="C481" s="1830"/>
      <c r="D481" s="1830"/>
      <c r="E481" s="1830"/>
      <c r="F481" s="1830"/>
      <c r="G481" s="1828"/>
    </row>
    <row r="482" spans="1:7" ht="14.25" customHeight="1">
      <c r="A482" s="66" t="s">
        <v>240</v>
      </c>
      <c r="B482" s="1832" t="str">
        <f>+B474</f>
        <v>ESTRUCTURA METÁLICA</v>
      </c>
      <c r="C482" s="1830"/>
      <c r="D482" s="1828"/>
      <c r="E482" s="1833" t="s">
        <v>218</v>
      </c>
      <c r="F482" s="1828"/>
      <c r="G482" s="62" t="s">
        <v>120</v>
      </c>
    </row>
    <row r="483" spans="1:7" ht="14.25" customHeight="1">
      <c r="A483" s="66" t="s">
        <v>712</v>
      </c>
      <c r="B483" s="1840" t="s">
        <v>402</v>
      </c>
      <c r="C483" s="1830"/>
      <c r="D483" s="1830"/>
      <c r="E483" s="1830"/>
      <c r="F483" s="1830"/>
      <c r="G483" s="1828"/>
    </row>
    <row r="484" spans="1:7" ht="14.25" customHeight="1">
      <c r="A484" s="1836" t="s">
        <v>220</v>
      </c>
      <c r="B484" s="1830"/>
      <c r="C484" s="1830"/>
      <c r="D484" s="1830"/>
      <c r="E484" s="1830"/>
      <c r="F484" s="1830"/>
      <c r="G484" s="1828"/>
    </row>
    <row r="485" spans="1:7" ht="14.25" customHeight="1">
      <c r="A485" s="1829" t="s">
        <v>221</v>
      </c>
      <c r="B485" s="1828"/>
      <c r="C485" s="63" t="s">
        <v>222</v>
      </c>
      <c r="D485" s="63" t="s">
        <v>223</v>
      </c>
      <c r="E485" s="63" t="s">
        <v>224</v>
      </c>
      <c r="F485" s="63" t="s">
        <v>225</v>
      </c>
      <c r="G485" s="63" t="s">
        <v>226</v>
      </c>
    </row>
    <row r="486" spans="1:7" ht="14.25" customHeight="1">
      <c r="A486" s="1847" t="s">
        <v>620</v>
      </c>
      <c r="B486" s="1828"/>
      <c r="C486" s="64"/>
      <c r="D486" s="64"/>
      <c r="E486" s="64"/>
      <c r="F486" s="64"/>
      <c r="G486" s="64"/>
    </row>
    <row r="487" spans="1:7" ht="14.25" customHeight="1">
      <c r="A487" s="1845" t="s">
        <v>713</v>
      </c>
      <c r="B487" s="1828"/>
      <c r="C487" s="64">
        <v>45.65</v>
      </c>
      <c r="D487" s="64"/>
      <c r="E487" s="64"/>
      <c r="F487" s="64"/>
      <c r="G487" s="64">
        <f>+C487</f>
        <v>45.65</v>
      </c>
    </row>
    <row r="488" spans="1:7" ht="14.25" customHeight="1">
      <c r="A488" s="1847"/>
      <c r="B488" s="1828"/>
      <c r="C488" s="64"/>
      <c r="D488" s="64"/>
      <c r="E488" s="64"/>
      <c r="F488" s="64"/>
      <c r="G488" s="64"/>
    </row>
    <row r="489" spans="1:7" ht="14.25" hidden="1" customHeight="1">
      <c r="A489" s="1845"/>
      <c r="B489" s="1828"/>
      <c r="C489" s="64"/>
      <c r="D489" s="64"/>
      <c r="E489" s="64"/>
      <c r="F489" s="64"/>
      <c r="G489" s="64"/>
    </row>
    <row r="490" spans="1:7" ht="14.25" hidden="1" customHeight="1">
      <c r="A490" s="1847"/>
      <c r="B490" s="1828"/>
      <c r="C490" s="64"/>
      <c r="D490" s="64"/>
      <c r="E490" s="64"/>
      <c r="F490" s="64"/>
      <c r="G490" s="64"/>
    </row>
    <row r="491" spans="1:7" ht="14.25" hidden="1" customHeight="1">
      <c r="A491" s="1845"/>
      <c r="B491" s="1828"/>
      <c r="C491" s="64"/>
      <c r="D491" s="64"/>
      <c r="E491" s="64"/>
      <c r="F491" s="64"/>
      <c r="G491" s="64"/>
    </row>
    <row r="492" spans="1:7" ht="14.25" hidden="1" customHeight="1">
      <c r="A492" s="1845"/>
      <c r="B492" s="1828"/>
      <c r="C492" s="64"/>
      <c r="D492" s="64"/>
      <c r="E492" s="64"/>
      <c r="F492" s="64"/>
      <c r="G492" s="64"/>
    </row>
    <row r="493" spans="1:7" ht="14.25" hidden="1" customHeight="1">
      <c r="A493" s="1845"/>
      <c r="B493" s="1828"/>
      <c r="C493" s="64"/>
      <c r="D493" s="64"/>
      <c r="E493" s="64"/>
      <c r="F493" s="64"/>
      <c r="G493" s="64"/>
    </row>
    <row r="494" spans="1:7" ht="14.25" customHeight="1">
      <c r="A494" s="1829" t="s">
        <v>227</v>
      </c>
      <c r="B494" s="1830"/>
      <c r="C494" s="1830"/>
      <c r="D494" s="1830"/>
      <c r="E494" s="1830"/>
      <c r="F494" s="1828"/>
      <c r="G494" s="191">
        <f>SUM(G487:G493)</f>
        <v>45.65</v>
      </c>
    </row>
    <row r="495" spans="1:7" ht="14.25" customHeight="1">
      <c r="A495" s="1831"/>
      <c r="B495" s="1830"/>
      <c r="C495" s="1830"/>
      <c r="D495" s="1830"/>
      <c r="E495" s="1830"/>
      <c r="F495" s="1830"/>
      <c r="G495" s="1828"/>
    </row>
    <row r="496" spans="1:7" ht="14.25" customHeight="1">
      <c r="A496" s="66" t="s">
        <v>240</v>
      </c>
      <c r="B496" s="1832" t="str">
        <f>+B482</f>
        <v>ESTRUCTURA METÁLICA</v>
      </c>
      <c r="C496" s="1830"/>
      <c r="D496" s="1828"/>
      <c r="E496" s="1833" t="s">
        <v>218</v>
      </c>
      <c r="F496" s="1828"/>
      <c r="G496" s="62" t="s">
        <v>120</v>
      </c>
    </row>
    <row r="497" spans="1:7" ht="14.25" customHeight="1">
      <c r="A497" s="66" t="s">
        <v>714</v>
      </c>
      <c r="B497" s="1840" t="s">
        <v>404</v>
      </c>
      <c r="C497" s="1830"/>
      <c r="D497" s="1830"/>
      <c r="E497" s="1830"/>
      <c r="F497" s="1830"/>
      <c r="G497" s="1828"/>
    </row>
    <row r="498" spans="1:7" ht="14.25" customHeight="1">
      <c r="A498" s="1836" t="s">
        <v>220</v>
      </c>
      <c r="B498" s="1830"/>
      <c r="C498" s="1830"/>
      <c r="D498" s="1830"/>
      <c r="E498" s="1830"/>
      <c r="F498" s="1830"/>
      <c r="G498" s="1828"/>
    </row>
    <row r="499" spans="1:7" ht="14.25" customHeight="1">
      <c r="A499" s="1829" t="s">
        <v>221</v>
      </c>
      <c r="B499" s="1828"/>
      <c r="C499" s="63" t="s">
        <v>222</v>
      </c>
      <c r="D499" s="63" t="s">
        <v>223</v>
      </c>
      <c r="E499" s="63" t="s">
        <v>224</v>
      </c>
      <c r="F499" s="63" t="s">
        <v>225</v>
      </c>
      <c r="G499" s="63" t="s">
        <v>226</v>
      </c>
    </row>
    <row r="500" spans="1:7" ht="14.25" customHeight="1">
      <c r="A500" s="1847" t="s">
        <v>620</v>
      </c>
      <c r="B500" s="1828"/>
      <c r="C500" s="64"/>
      <c r="D500" s="64"/>
      <c r="E500" s="64"/>
      <c r="F500" s="64"/>
      <c r="G500" s="64"/>
    </row>
    <row r="501" spans="1:7" ht="14.25" customHeight="1">
      <c r="A501" s="1845" t="s">
        <v>715</v>
      </c>
      <c r="B501" s="1828"/>
      <c r="C501" s="64">
        <v>214.5</v>
      </c>
      <c r="D501" s="64"/>
      <c r="E501" s="64"/>
      <c r="F501" s="64"/>
      <c r="G501" s="64">
        <f>+C501</f>
        <v>214.5</v>
      </c>
    </row>
    <row r="502" spans="1:7" ht="14.25" customHeight="1">
      <c r="A502" s="1847"/>
      <c r="B502" s="1828"/>
      <c r="C502" s="64"/>
      <c r="D502" s="64"/>
      <c r="E502" s="64"/>
      <c r="F502" s="64"/>
      <c r="G502" s="64"/>
    </row>
    <row r="503" spans="1:7" ht="14.25" customHeight="1">
      <c r="A503" s="1845"/>
      <c r="B503" s="1828"/>
      <c r="C503" s="64"/>
      <c r="D503" s="64"/>
      <c r="E503" s="64"/>
      <c r="F503" s="64"/>
      <c r="G503" s="64"/>
    </row>
    <row r="504" spans="1:7" ht="14.25" hidden="1" customHeight="1">
      <c r="A504" s="1847"/>
      <c r="B504" s="1828"/>
      <c r="C504" s="64"/>
      <c r="D504" s="64"/>
      <c r="E504" s="64"/>
      <c r="F504" s="64"/>
      <c r="G504" s="64"/>
    </row>
    <row r="505" spans="1:7" ht="14.25" hidden="1" customHeight="1">
      <c r="A505" s="1845"/>
      <c r="B505" s="1828"/>
      <c r="C505" s="64"/>
      <c r="D505" s="64"/>
      <c r="E505" s="64"/>
      <c r="F505" s="64"/>
      <c r="G505" s="64"/>
    </row>
    <row r="506" spans="1:7" ht="14.25" hidden="1" customHeight="1">
      <c r="A506" s="1845"/>
      <c r="B506" s="1828"/>
      <c r="C506" s="64"/>
      <c r="D506" s="64"/>
      <c r="E506" s="64"/>
      <c r="F506" s="64"/>
      <c r="G506" s="64"/>
    </row>
    <row r="507" spans="1:7" ht="14.25" hidden="1" customHeight="1">
      <c r="A507" s="1845"/>
      <c r="B507" s="1828"/>
      <c r="C507" s="64"/>
      <c r="D507" s="64"/>
      <c r="E507" s="64"/>
      <c r="F507" s="64"/>
      <c r="G507" s="64"/>
    </row>
    <row r="508" spans="1:7" ht="14.25" customHeight="1">
      <c r="A508" s="1829" t="s">
        <v>227</v>
      </c>
      <c r="B508" s="1830"/>
      <c r="C508" s="1830"/>
      <c r="D508" s="1830"/>
      <c r="E508" s="1830"/>
      <c r="F508" s="1828"/>
      <c r="G508" s="191">
        <f>ROUND(SUM(G501:G507),2)</f>
        <v>214.5</v>
      </c>
    </row>
    <row r="509" spans="1:7" ht="14.25" customHeight="1">
      <c r="A509" s="1831"/>
      <c r="B509" s="1830"/>
      <c r="C509" s="1830"/>
      <c r="D509" s="1830"/>
      <c r="E509" s="1830"/>
      <c r="F509" s="1830"/>
      <c r="G509" s="1828"/>
    </row>
    <row r="510" spans="1:7" ht="14.25" customHeight="1">
      <c r="A510" s="66" t="s">
        <v>249</v>
      </c>
      <c r="B510" s="1832" t="s">
        <v>405</v>
      </c>
      <c r="C510" s="1830"/>
      <c r="D510" s="1828"/>
      <c r="E510" s="1833" t="s">
        <v>218</v>
      </c>
      <c r="F510" s="1828"/>
      <c r="G510" s="62" t="s">
        <v>228</v>
      </c>
    </row>
    <row r="511" spans="1:7" ht="30" customHeight="1">
      <c r="A511" s="66" t="s">
        <v>250</v>
      </c>
      <c r="B511" s="1840" t="s">
        <v>716</v>
      </c>
      <c r="C511" s="1830"/>
      <c r="D511" s="1830"/>
      <c r="E511" s="1830"/>
      <c r="F511" s="1830"/>
      <c r="G511" s="1828"/>
    </row>
    <row r="512" spans="1:7" ht="14.25" customHeight="1">
      <c r="A512" s="1836" t="s">
        <v>220</v>
      </c>
      <c r="B512" s="1830"/>
      <c r="C512" s="1830"/>
      <c r="D512" s="1830"/>
      <c r="E512" s="1830"/>
      <c r="F512" s="1830"/>
      <c r="G512" s="1828"/>
    </row>
    <row r="513" spans="1:7" ht="14.25" customHeight="1">
      <c r="A513" s="1829" t="s">
        <v>221</v>
      </c>
      <c r="B513" s="1828"/>
      <c r="C513" s="63" t="s">
        <v>222</v>
      </c>
      <c r="D513" s="63" t="s">
        <v>223</v>
      </c>
      <c r="E513" s="63" t="s">
        <v>248</v>
      </c>
      <c r="F513" s="63" t="s">
        <v>225</v>
      </c>
      <c r="G513" s="63" t="s">
        <v>226</v>
      </c>
    </row>
    <row r="514" spans="1:7" ht="14.25" customHeight="1">
      <c r="A514" s="1847" t="s">
        <v>717</v>
      </c>
      <c r="B514" s="1828"/>
      <c r="C514" s="64"/>
      <c r="D514" s="64"/>
      <c r="E514" s="64"/>
      <c r="F514" s="64"/>
      <c r="G514" s="64"/>
    </row>
    <row r="515" spans="1:7" ht="14.25" customHeight="1">
      <c r="A515" s="1844" t="s">
        <v>718</v>
      </c>
      <c r="B515" s="1828"/>
      <c r="C515" s="64">
        <v>723.67000000000007</v>
      </c>
      <c r="D515" s="64"/>
      <c r="E515" s="64"/>
      <c r="F515" s="64"/>
      <c r="G515" s="64">
        <f t="shared" ref="G515:G518" si="24">+C515</f>
        <v>723.67000000000007</v>
      </c>
    </row>
    <row r="516" spans="1:7" ht="14.25" customHeight="1">
      <c r="A516" s="1845" t="s">
        <v>719</v>
      </c>
      <c r="B516" s="1828"/>
      <c r="C516" s="64">
        <v>714.7</v>
      </c>
      <c r="D516" s="64"/>
      <c r="E516" s="64"/>
      <c r="F516" s="64"/>
      <c r="G516" s="64">
        <f t="shared" si="24"/>
        <v>714.7</v>
      </c>
    </row>
    <row r="517" spans="1:7" ht="14.25" customHeight="1">
      <c r="A517" s="1844" t="s">
        <v>720</v>
      </c>
      <c r="B517" s="1828"/>
      <c r="C517" s="64">
        <v>713.16000000000008</v>
      </c>
      <c r="D517" s="64"/>
      <c r="E517" s="64"/>
      <c r="F517" s="64"/>
      <c r="G517" s="64">
        <f t="shared" si="24"/>
        <v>713.16000000000008</v>
      </c>
    </row>
    <row r="518" spans="1:7" ht="14.25" customHeight="1">
      <c r="A518" s="1845" t="s">
        <v>721</v>
      </c>
      <c r="B518" s="1828"/>
      <c r="C518" s="64">
        <v>535.17999999999995</v>
      </c>
      <c r="D518" s="64"/>
      <c r="E518" s="64"/>
      <c r="F518" s="64"/>
      <c r="G518" s="64">
        <f t="shared" si="24"/>
        <v>535.17999999999995</v>
      </c>
    </row>
    <row r="519" spans="1:7" ht="14.25" customHeight="1">
      <c r="A519" s="1851"/>
      <c r="B519" s="1828"/>
      <c r="C519" s="64"/>
      <c r="D519" s="64"/>
      <c r="E519" s="64"/>
      <c r="F519" s="64"/>
      <c r="G519" s="64"/>
    </row>
    <row r="520" spans="1:7" ht="14.25" customHeight="1">
      <c r="A520" s="1844"/>
      <c r="B520" s="1828"/>
      <c r="C520" s="64"/>
      <c r="D520" s="64"/>
      <c r="E520" s="64"/>
      <c r="F520" s="64"/>
      <c r="G520" s="64"/>
    </row>
    <row r="521" spans="1:7" ht="14.25" customHeight="1">
      <c r="A521" s="1829" t="s">
        <v>227</v>
      </c>
      <c r="B521" s="1830"/>
      <c r="C521" s="1830"/>
      <c r="D521" s="1830"/>
      <c r="E521" s="1830"/>
      <c r="F521" s="1828"/>
      <c r="G521" s="65">
        <f>ROUND(SUM(G514:G520),2)</f>
        <v>2686.71</v>
      </c>
    </row>
    <row r="522" spans="1:7" ht="14.25" customHeight="1">
      <c r="A522" s="1831"/>
      <c r="B522" s="1830"/>
      <c r="C522" s="1830"/>
      <c r="D522" s="1830"/>
      <c r="E522" s="1830"/>
      <c r="F522" s="1830"/>
      <c r="G522" s="1828"/>
    </row>
    <row r="523" spans="1:7" ht="14.25" hidden="1" customHeight="1">
      <c r="A523" s="66" t="s">
        <v>249</v>
      </c>
      <c r="B523" s="1832" t="str">
        <f>+B510</f>
        <v>PISOS Y ENCHAPES</v>
      </c>
      <c r="C523" s="1830"/>
      <c r="D523" s="1828"/>
      <c r="E523" s="1833" t="s">
        <v>218</v>
      </c>
      <c r="F523" s="1828"/>
      <c r="G523" s="62" t="s">
        <v>228</v>
      </c>
    </row>
    <row r="524" spans="1:7" ht="14.25" hidden="1" customHeight="1">
      <c r="A524" s="66" t="s">
        <v>251</v>
      </c>
      <c r="B524" s="1840" t="s">
        <v>722</v>
      </c>
      <c r="C524" s="1830"/>
      <c r="D524" s="1830"/>
      <c r="E524" s="1830"/>
      <c r="F524" s="1830"/>
      <c r="G524" s="1828"/>
    </row>
    <row r="525" spans="1:7" ht="14.25" hidden="1" customHeight="1">
      <c r="A525" s="1836" t="s">
        <v>220</v>
      </c>
      <c r="B525" s="1830"/>
      <c r="C525" s="1830"/>
      <c r="D525" s="1830"/>
      <c r="E525" s="1830"/>
      <c r="F525" s="1830"/>
      <c r="G525" s="1828"/>
    </row>
    <row r="526" spans="1:7" ht="14.25" hidden="1" customHeight="1">
      <c r="A526" s="1829" t="s">
        <v>221</v>
      </c>
      <c r="B526" s="1828"/>
      <c r="C526" s="63" t="s">
        <v>222</v>
      </c>
      <c r="D526" s="63" t="s">
        <v>223</v>
      </c>
      <c r="E526" s="63" t="s">
        <v>224</v>
      </c>
      <c r="F526" s="63" t="s">
        <v>225</v>
      </c>
      <c r="G526" s="63" t="s">
        <v>226</v>
      </c>
    </row>
    <row r="527" spans="1:7" ht="14.25" hidden="1" customHeight="1">
      <c r="A527" s="1845" t="s">
        <v>723</v>
      </c>
      <c r="B527" s="1828"/>
      <c r="C527" s="64">
        <v>13.5</v>
      </c>
      <c r="D527" s="64">
        <v>4.2</v>
      </c>
      <c r="E527" s="64"/>
      <c r="F527" s="64"/>
      <c r="G527" s="64">
        <f t="shared" ref="G527:G528" si="25">+C527*D527</f>
        <v>56.7</v>
      </c>
    </row>
    <row r="528" spans="1:7" ht="14.25" hidden="1" customHeight="1">
      <c r="A528" s="1844" t="s">
        <v>724</v>
      </c>
      <c r="B528" s="1828"/>
      <c r="C528" s="64">
        <v>22.48</v>
      </c>
      <c r="D528" s="64">
        <f>74.53/C528</f>
        <v>3.3153914590747329</v>
      </c>
      <c r="E528" s="64"/>
      <c r="F528" s="64"/>
      <c r="G528" s="64">
        <f t="shared" si="25"/>
        <v>74.53</v>
      </c>
    </row>
    <row r="529" spans="1:7" ht="14.25" hidden="1" customHeight="1">
      <c r="A529" s="1844"/>
      <c r="B529" s="1828"/>
      <c r="C529" s="64"/>
      <c r="D529" s="64"/>
      <c r="E529" s="64"/>
      <c r="F529" s="64"/>
      <c r="G529" s="64"/>
    </row>
    <row r="530" spans="1:7" ht="14.25" hidden="1" customHeight="1">
      <c r="A530" s="1829" t="s">
        <v>227</v>
      </c>
      <c r="B530" s="1830"/>
      <c r="C530" s="1830"/>
      <c r="D530" s="1830"/>
      <c r="E530" s="1830"/>
      <c r="F530" s="1828"/>
      <c r="G530" s="191"/>
    </row>
    <row r="531" spans="1:7" ht="14.25" hidden="1" customHeight="1">
      <c r="A531" s="1831"/>
      <c r="B531" s="1830"/>
      <c r="C531" s="1830"/>
      <c r="D531" s="1830"/>
      <c r="E531" s="1830"/>
      <c r="F531" s="1830"/>
      <c r="G531" s="1828"/>
    </row>
    <row r="532" spans="1:7" ht="14.25" customHeight="1">
      <c r="A532" s="66" t="s">
        <v>249</v>
      </c>
      <c r="B532" s="1832" t="str">
        <f>+B523</f>
        <v>PISOS Y ENCHAPES</v>
      </c>
      <c r="C532" s="1830"/>
      <c r="D532" s="1828"/>
      <c r="E532" s="1833" t="s">
        <v>218</v>
      </c>
      <c r="F532" s="1828"/>
      <c r="G532" s="62" t="s">
        <v>228</v>
      </c>
    </row>
    <row r="533" spans="1:7" ht="14.25" customHeight="1">
      <c r="A533" s="66" t="s">
        <v>251</v>
      </c>
      <c r="B533" s="1840" t="s">
        <v>725</v>
      </c>
      <c r="C533" s="1830"/>
      <c r="D533" s="1830"/>
      <c r="E533" s="1830"/>
      <c r="F533" s="1830"/>
      <c r="G533" s="1828"/>
    </row>
    <row r="534" spans="1:7" ht="14.25" customHeight="1">
      <c r="A534" s="1836" t="s">
        <v>220</v>
      </c>
      <c r="B534" s="1830"/>
      <c r="C534" s="1830"/>
      <c r="D534" s="1830"/>
      <c r="E534" s="1830"/>
      <c r="F534" s="1830"/>
      <c r="G534" s="1828"/>
    </row>
    <row r="535" spans="1:7" ht="14.25" customHeight="1">
      <c r="A535" s="1829" t="s">
        <v>221</v>
      </c>
      <c r="B535" s="1828"/>
      <c r="C535" s="63" t="s">
        <v>222</v>
      </c>
      <c r="D535" s="63" t="s">
        <v>223</v>
      </c>
      <c r="E535" s="63" t="s">
        <v>224</v>
      </c>
      <c r="F535" s="63" t="s">
        <v>225</v>
      </c>
      <c r="G535" s="63" t="s">
        <v>226</v>
      </c>
    </row>
    <row r="536" spans="1:7" ht="14.25" customHeight="1">
      <c r="A536" s="1845" t="s">
        <v>726</v>
      </c>
      <c r="B536" s="1828"/>
      <c r="C536" s="64">
        <v>30.97</v>
      </c>
      <c r="D536" s="64"/>
      <c r="E536" s="64"/>
      <c r="F536" s="64"/>
      <c r="G536" s="64">
        <f>+C536</f>
        <v>30.97</v>
      </c>
    </row>
    <row r="537" spans="1:7" ht="14.25" customHeight="1">
      <c r="A537" s="1845"/>
      <c r="B537" s="1828"/>
      <c r="C537" s="64"/>
      <c r="D537" s="64"/>
      <c r="E537" s="64"/>
      <c r="F537" s="64"/>
      <c r="G537" s="64"/>
    </row>
    <row r="538" spans="1:7" ht="14.25" customHeight="1">
      <c r="A538" s="1845"/>
      <c r="B538" s="1828"/>
      <c r="C538" s="64"/>
      <c r="D538" s="64"/>
      <c r="E538" s="64"/>
      <c r="F538" s="64"/>
      <c r="G538" s="64"/>
    </row>
    <row r="539" spans="1:7" ht="14.25" customHeight="1">
      <c r="A539" s="1845"/>
      <c r="B539" s="1828"/>
      <c r="C539" s="64"/>
      <c r="D539" s="64"/>
      <c r="E539" s="64"/>
      <c r="F539" s="64"/>
      <c r="G539" s="64"/>
    </row>
    <row r="540" spans="1:7" ht="14.25" customHeight="1">
      <c r="A540" s="1845"/>
      <c r="B540" s="1828"/>
      <c r="C540" s="64"/>
      <c r="D540" s="64"/>
      <c r="E540" s="64"/>
      <c r="F540" s="64"/>
      <c r="G540" s="64"/>
    </row>
    <row r="541" spans="1:7" ht="14.25" customHeight="1">
      <c r="A541" s="1829" t="s">
        <v>227</v>
      </c>
      <c r="B541" s="1830"/>
      <c r="C541" s="1830"/>
      <c r="D541" s="1830"/>
      <c r="E541" s="1830"/>
      <c r="F541" s="1828"/>
      <c r="G541" s="65">
        <f>ROUND(SUM(G536:G540),2)</f>
        <v>30.97</v>
      </c>
    </row>
    <row r="542" spans="1:7" ht="14.25" hidden="1" customHeight="1">
      <c r="A542" s="1831"/>
      <c r="B542" s="1830"/>
      <c r="C542" s="1830"/>
      <c r="D542" s="1830"/>
      <c r="E542" s="1830"/>
      <c r="F542" s="1830"/>
      <c r="G542" s="1828"/>
    </row>
    <row r="543" spans="1:7" ht="14.25" hidden="1" customHeight="1">
      <c r="A543" s="66" t="s">
        <v>249</v>
      </c>
      <c r="B543" s="1832" t="str">
        <f>+B532</f>
        <v>PISOS Y ENCHAPES</v>
      </c>
      <c r="C543" s="1830"/>
      <c r="D543" s="1828"/>
      <c r="E543" s="1833" t="s">
        <v>218</v>
      </c>
      <c r="F543" s="1828"/>
      <c r="G543" s="62" t="s">
        <v>228</v>
      </c>
    </row>
    <row r="544" spans="1:7" ht="30.75" hidden="1" customHeight="1">
      <c r="A544" s="66" t="s">
        <v>256</v>
      </c>
      <c r="B544" s="1840" t="s">
        <v>727</v>
      </c>
      <c r="C544" s="1830"/>
      <c r="D544" s="1830"/>
      <c r="E544" s="1830"/>
      <c r="F544" s="1830"/>
      <c r="G544" s="1828"/>
    </row>
    <row r="545" spans="1:7" ht="14.25" hidden="1" customHeight="1">
      <c r="A545" s="1836" t="s">
        <v>220</v>
      </c>
      <c r="B545" s="1830"/>
      <c r="C545" s="1830"/>
      <c r="D545" s="1830"/>
      <c r="E545" s="1830"/>
      <c r="F545" s="1830"/>
      <c r="G545" s="1828"/>
    </row>
    <row r="546" spans="1:7" ht="14.25" hidden="1" customHeight="1">
      <c r="A546" s="1829" t="s">
        <v>221</v>
      </c>
      <c r="B546" s="1828"/>
      <c r="C546" s="63" t="s">
        <v>222</v>
      </c>
      <c r="D546" s="63" t="s">
        <v>223</v>
      </c>
      <c r="E546" s="63" t="s">
        <v>224</v>
      </c>
      <c r="F546" s="63" t="s">
        <v>225</v>
      </c>
      <c r="G546" s="63" t="s">
        <v>226</v>
      </c>
    </row>
    <row r="547" spans="1:7" ht="14.25" hidden="1" customHeight="1">
      <c r="A547" s="1846" t="s">
        <v>728</v>
      </c>
      <c r="B547" s="1843"/>
      <c r="C547" s="64">
        <v>28</v>
      </c>
      <c r="D547" s="64">
        <v>19</v>
      </c>
      <c r="E547" s="64"/>
      <c r="F547" s="64"/>
      <c r="G547" s="64"/>
    </row>
    <row r="548" spans="1:7" ht="14.25" hidden="1" customHeight="1">
      <c r="A548" s="1845"/>
      <c r="B548" s="1828"/>
      <c r="C548" s="64"/>
      <c r="D548" s="64"/>
      <c r="E548" s="64"/>
      <c r="F548" s="64"/>
      <c r="G548" s="64"/>
    </row>
    <row r="549" spans="1:7" ht="14.25" hidden="1" customHeight="1">
      <c r="A549" s="1829" t="s">
        <v>227</v>
      </c>
      <c r="B549" s="1830"/>
      <c r="C549" s="1830"/>
      <c r="D549" s="1830"/>
      <c r="E549" s="1830"/>
      <c r="F549" s="1828"/>
      <c r="G549" s="191">
        <f>ROUND(SUM(G547:G548),2)</f>
        <v>0</v>
      </c>
    </row>
    <row r="550" spans="1:7" ht="14.25" hidden="1" customHeight="1">
      <c r="A550" s="1831"/>
      <c r="B550" s="1830"/>
      <c r="C550" s="1830"/>
      <c r="D550" s="1830"/>
      <c r="E550" s="1830"/>
      <c r="F550" s="1830"/>
      <c r="G550" s="1828"/>
    </row>
    <row r="551" spans="1:7" ht="14.25" hidden="1" customHeight="1">
      <c r="A551" s="66" t="s">
        <v>249</v>
      </c>
      <c r="B551" s="1832" t="str">
        <f>+B543</f>
        <v>PISOS Y ENCHAPES</v>
      </c>
      <c r="C551" s="1830"/>
      <c r="D551" s="1828"/>
      <c r="E551" s="1833" t="s">
        <v>218</v>
      </c>
      <c r="F551" s="1828"/>
      <c r="G551" s="62" t="s">
        <v>228</v>
      </c>
    </row>
    <row r="552" spans="1:7" ht="24.75" hidden="1" customHeight="1">
      <c r="A552" s="66" t="s">
        <v>257</v>
      </c>
      <c r="B552" s="1840" t="s">
        <v>729</v>
      </c>
      <c r="C552" s="1830"/>
      <c r="D552" s="1830"/>
      <c r="E552" s="1830"/>
      <c r="F552" s="1830"/>
      <c r="G552" s="1828"/>
    </row>
    <row r="553" spans="1:7" ht="14.25" hidden="1" customHeight="1">
      <c r="A553" s="1836" t="s">
        <v>220</v>
      </c>
      <c r="B553" s="1830"/>
      <c r="C553" s="1830"/>
      <c r="D553" s="1830"/>
      <c r="E553" s="1830"/>
      <c r="F553" s="1830"/>
      <c r="G553" s="1828"/>
    </row>
    <row r="554" spans="1:7" ht="14.25" hidden="1" customHeight="1">
      <c r="A554" s="1829" t="s">
        <v>221</v>
      </c>
      <c r="B554" s="1828"/>
      <c r="C554" s="63" t="s">
        <v>222</v>
      </c>
      <c r="D554" s="63" t="s">
        <v>223</v>
      </c>
      <c r="E554" s="63" t="s">
        <v>224</v>
      </c>
      <c r="F554" s="63" t="s">
        <v>225</v>
      </c>
      <c r="G554" s="63" t="s">
        <v>226</v>
      </c>
    </row>
    <row r="555" spans="1:7" ht="14.25" hidden="1" customHeight="1">
      <c r="A555" s="1846" t="s">
        <v>730</v>
      </c>
      <c r="B555" s="1843"/>
      <c r="C555" s="64">
        <v>33.35</v>
      </c>
      <c r="D555" s="64">
        <v>36.57</v>
      </c>
      <c r="E555" s="64"/>
      <c r="F555" s="64"/>
      <c r="G555" s="64"/>
    </row>
    <row r="556" spans="1:7" ht="14.25" hidden="1" customHeight="1">
      <c r="A556" s="1847" t="s">
        <v>731</v>
      </c>
      <c r="B556" s="1828"/>
      <c r="C556" s="64"/>
      <c r="D556" s="64"/>
      <c r="E556" s="64"/>
      <c r="F556" s="64"/>
      <c r="G556" s="64"/>
    </row>
    <row r="557" spans="1:7" ht="14.25" hidden="1" customHeight="1">
      <c r="A557" s="1852" t="s">
        <v>732</v>
      </c>
      <c r="B557" s="1828"/>
      <c r="C557" s="193">
        <v>28.75</v>
      </c>
      <c r="D557" s="193">
        <v>4.95</v>
      </c>
      <c r="E557" s="193"/>
      <c r="F557" s="193"/>
      <c r="G557" s="193"/>
    </row>
    <row r="558" spans="1:7" ht="14.25" hidden="1" customHeight="1">
      <c r="A558" s="1852" t="s">
        <v>733</v>
      </c>
      <c r="B558" s="1828"/>
      <c r="C558" s="193">
        <v>13.7</v>
      </c>
      <c r="D558" s="193">
        <v>4.6500000000000004</v>
      </c>
      <c r="E558" s="193"/>
      <c r="F558" s="193"/>
      <c r="G558" s="193"/>
    </row>
    <row r="559" spans="1:7" ht="14.25" hidden="1" customHeight="1">
      <c r="A559" s="1852" t="s">
        <v>734</v>
      </c>
      <c r="B559" s="1828"/>
      <c r="C559" s="193"/>
      <c r="D559" s="193"/>
      <c r="E559" s="193"/>
      <c r="F559" s="193"/>
      <c r="G559" s="193"/>
    </row>
    <row r="560" spans="1:7" ht="14.25" hidden="1" customHeight="1">
      <c r="A560" s="1852" t="s">
        <v>735</v>
      </c>
      <c r="B560" s="1828"/>
      <c r="C560" s="193"/>
      <c r="D560" s="193"/>
      <c r="E560" s="193"/>
      <c r="F560" s="193"/>
      <c r="G560" s="193"/>
    </row>
    <row r="561" spans="1:7" ht="14.25" hidden="1" customHeight="1">
      <c r="A561" s="1829" t="s">
        <v>227</v>
      </c>
      <c r="B561" s="1830"/>
      <c r="C561" s="1830"/>
      <c r="D561" s="1830"/>
      <c r="E561" s="1830"/>
      <c r="F561" s="1828"/>
      <c r="G561" s="191">
        <f>ROUND((SUM(G555:G556))-(SUM(G557:G560)),2)</f>
        <v>0</v>
      </c>
    </row>
    <row r="562" spans="1:7" ht="14.25" customHeight="1">
      <c r="A562" s="1831"/>
      <c r="B562" s="1830"/>
      <c r="C562" s="1830"/>
      <c r="D562" s="1830"/>
      <c r="E562" s="1830"/>
      <c r="F562" s="1830"/>
      <c r="G562" s="1828"/>
    </row>
    <row r="563" spans="1:7" ht="14.25" hidden="1" customHeight="1">
      <c r="A563" s="66" t="s">
        <v>249</v>
      </c>
      <c r="B563" s="1832" t="str">
        <f>+B551</f>
        <v>PISOS Y ENCHAPES</v>
      </c>
      <c r="C563" s="1830"/>
      <c r="D563" s="1828"/>
      <c r="E563" s="1833" t="s">
        <v>218</v>
      </c>
      <c r="F563" s="1828"/>
      <c r="G563" s="62" t="s">
        <v>228</v>
      </c>
    </row>
    <row r="564" spans="1:7" ht="14.25" hidden="1" customHeight="1">
      <c r="A564" s="66" t="s">
        <v>253</v>
      </c>
      <c r="B564" s="1840" t="s">
        <v>736</v>
      </c>
      <c r="C564" s="1830"/>
      <c r="D564" s="1830"/>
      <c r="E564" s="1830"/>
      <c r="F564" s="1830"/>
      <c r="G564" s="1828"/>
    </row>
    <row r="565" spans="1:7" ht="14.25" hidden="1" customHeight="1">
      <c r="A565" s="1836" t="s">
        <v>220</v>
      </c>
      <c r="B565" s="1830"/>
      <c r="C565" s="1830"/>
      <c r="D565" s="1830"/>
      <c r="E565" s="1830"/>
      <c r="F565" s="1830"/>
      <c r="G565" s="1828"/>
    </row>
    <row r="566" spans="1:7" ht="14.25" hidden="1" customHeight="1">
      <c r="A566" s="1829" t="s">
        <v>221</v>
      </c>
      <c r="B566" s="1828"/>
      <c r="C566" s="63" t="s">
        <v>222</v>
      </c>
      <c r="D566" s="63" t="s">
        <v>223</v>
      </c>
      <c r="E566" s="63" t="s">
        <v>224</v>
      </c>
      <c r="F566" s="63" t="s">
        <v>225</v>
      </c>
      <c r="G566" s="63" t="s">
        <v>226</v>
      </c>
    </row>
    <row r="567" spans="1:7" ht="14.25" hidden="1" customHeight="1">
      <c r="A567" s="1847" t="s">
        <v>737</v>
      </c>
      <c r="B567" s="1828"/>
      <c r="C567" s="64"/>
      <c r="D567" s="64"/>
      <c r="E567" s="64"/>
      <c r="F567" s="64"/>
      <c r="G567" s="64"/>
    </row>
    <row r="568" spans="1:7" ht="14.25" hidden="1" customHeight="1">
      <c r="A568" s="1844" t="s">
        <v>587</v>
      </c>
      <c r="B568" s="1828"/>
      <c r="C568" s="64">
        <f>+C515*1.15</f>
        <v>832.22050000000002</v>
      </c>
      <c r="D568" s="64"/>
      <c r="E568" s="64"/>
      <c r="F568" s="64"/>
      <c r="G568" s="64">
        <f>+C568</f>
        <v>832.22050000000002</v>
      </c>
    </row>
    <row r="569" spans="1:7" ht="14.25" hidden="1" customHeight="1">
      <c r="A569" s="1845"/>
      <c r="B569" s="1828"/>
      <c r="C569" s="64"/>
      <c r="D569" s="64"/>
      <c r="E569" s="64"/>
      <c r="F569" s="64"/>
      <c r="G569" s="64"/>
    </row>
    <row r="570" spans="1:7" ht="14.25" hidden="1" customHeight="1">
      <c r="A570" s="1845"/>
      <c r="B570" s="1828"/>
      <c r="C570" s="64"/>
      <c r="D570" s="64"/>
      <c r="E570" s="64"/>
      <c r="F570" s="64"/>
      <c r="G570" s="64"/>
    </row>
    <row r="571" spans="1:7" ht="14.25" hidden="1" customHeight="1">
      <c r="A571" s="1829" t="s">
        <v>227</v>
      </c>
      <c r="B571" s="1830"/>
      <c r="C571" s="1830"/>
      <c r="D571" s="1830"/>
      <c r="E571" s="1830"/>
      <c r="F571" s="1828"/>
      <c r="G571" s="65">
        <f>ROUND(SUM(G567:G570),2)</f>
        <v>832.22</v>
      </c>
    </row>
    <row r="572" spans="1:7" ht="14.25" hidden="1" customHeight="1">
      <c r="A572" s="1831"/>
      <c r="B572" s="1830"/>
      <c r="C572" s="1830"/>
      <c r="D572" s="1830"/>
      <c r="E572" s="1830"/>
      <c r="F572" s="1830"/>
      <c r="G572" s="1828"/>
    </row>
    <row r="573" spans="1:7" ht="14.25" hidden="1" customHeight="1">
      <c r="A573" s="66" t="s">
        <v>249</v>
      </c>
      <c r="B573" s="1832" t="str">
        <f>+B563</f>
        <v>PISOS Y ENCHAPES</v>
      </c>
      <c r="C573" s="1830"/>
      <c r="D573" s="1828"/>
      <c r="E573" s="1833" t="s">
        <v>218</v>
      </c>
      <c r="F573" s="1828"/>
      <c r="G573" s="62" t="s">
        <v>228</v>
      </c>
    </row>
    <row r="574" spans="1:7" ht="14.25" hidden="1" customHeight="1">
      <c r="A574" s="66" t="s">
        <v>254</v>
      </c>
      <c r="B574" s="1840" t="s">
        <v>738</v>
      </c>
      <c r="C574" s="1830"/>
      <c r="D574" s="1830"/>
      <c r="E574" s="1830"/>
      <c r="F574" s="1830"/>
      <c r="G574" s="1828"/>
    </row>
    <row r="575" spans="1:7" ht="14.25" hidden="1" customHeight="1">
      <c r="A575" s="1836" t="s">
        <v>220</v>
      </c>
      <c r="B575" s="1830"/>
      <c r="C575" s="1830"/>
      <c r="D575" s="1830"/>
      <c r="E575" s="1830"/>
      <c r="F575" s="1830"/>
      <c r="G575" s="1828"/>
    </row>
    <row r="576" spans="1:7" ht="14.25" hidden="1" customHeight="1">
      <c r="A576" s="1829" t="s">
        <v>221</v>
      </c>
      <c r="B576" s="1828"/>
      <c r="C576" s="63" t="s">
        <v>222</v>
      </c>
      <c r="D576" s="63" t="s">
        <v>223</v>
      </c>
      <c r="E576" s="63" t="s">
        <v>224</v>
      </c>
      <c r="F576" s="63" t="s">
        <v>225</v>
      </c>
      <c r="G576" s="63" t="s">
        <v>226</v>
      </c>
    </row>
    <row r="577" spans="1:7" ht="14.25" hidden="1" customHeight="1">
      <c r="A577" s="1845" t="s">
        <v>739</v>
      </c>
      <c r="B577" s="1828"/>
      <c r="C577" s="64">
        <v>48.8</v>
      </c>
      <c r="D577" s="64"/>
      <c r="E577" s="64"/>
      <c r="F577" s="64"/>
      <c r="G577" s="64">
        <f t="shared" ref="G577:G578" si="26">+C577</f>
        <v>48.8</v>
      </c>
    </row>
    <row r="578" spans="1:7" ht="14.25" hidden="1" customHeight="1">
      <c r="A578" s="1845" t="s">
        <v>740</v>
      </c>
      <c r="B578" s="1828"/>
      <c r="C578" s="64">
        <v>13.39</v>
      </c>
      <c r="D578" s="64"/>
      <c r="E578" s="64"/>
      <c r="F578" s="64"/>
      <c r="G578" s="64">
        <f t="shared" si="26"/>
        <v>13.39</v>
      </c>
    </row>
    <row r="579" spans="1:7" ht="14.25" hidden="1" customHeight="1">
      <c r="A579" s="1845"/>
      <c r="B579" s="1828"/>
      <c r="C579" s="64"/>
      <c r="D579" s="64"/>
      <c r="E579" s="64"/>
      <c r="F579" s="64"/>
      <c r="G579" s="64"/>
    </row>
    <row r="580" spans="1:7" ht="14.25" hidden="1" customHeight="1">
      <c r="A580" s="1829" t="s">
        <v>227</v>
      </c>
      <c r="B580" s="1830"/>
      <c r="C580" s="1830"/>
      <c r="D580" s="1830"/>
      <c r="E580" s="1830"/>
      <c r="F580" s="1828"/>
      <c r="G580" s="191"/>
    </row>
    <row r="581" spans="1:7" ht="14.25" hidden="1" customHeight="1">
      <c r="A581" s="1831"/>
      <c r="B581" s="1830"/>
      <c r="C581" s="1830"/>
      <c r="D581" s="1830"/>
      <c r="E581" s="1830"/>
      <c r="F581" s="1830"/>
      <c r="G581" s="1828"/>
    </row>
    <row r="582" spans="1:7" ht="14.25" hidden="1" customHeight="1">
      <c r="A582" s="66" t="s">
        <v>249</v>
      </c>
      <c r="B582" s="1832" t="str">
        <f>+B563</f>
        <v>PISOS Y ENCHAPES</v>
      </c>
      <c r="C582" s="1830"/>
      <c r="D582" s="1828"/>
      <c r="E582" s="1833" t="s">
        <v>218</v>
      </c>
      <c r="F582" s="1828"/>
      <c r="G582" s="62" t="s">
        <v>228</v>
      </c>
    </row>
    <row r="583" spans="1:7" ht="14.25" hidden="1" customHeight="1">
      <c r="A583" s="66" t="s">
        <v>256</v>
      </c>
      <c r="B583" s="1840" t="s">
        <v>741</v>
      </c>
      <c r="C583" s="1830"/>
      <c r="D583" s="1830"/>
      <c r="E583" s="1830"/>
      <c r="F583" s="1830"/>
      <c r="G583" s="1828"/>
    </row>
    <row r="584" spans="1:7" ht="14.25" hidden="1" customHeight="1">
      <c r="A584" s="1836" t="s">
        <v>220</v>
      </c>
      <c r="B584" s="1830"/>
      <c r="C584" s="1830"/>
      <c r="D584" s="1830"/>
      <c r="E584" s="1830"/>
      <c r="F584" s="1830"/>
      <c r="G584" s="1828"/>
    </row>
    <row r="585" spans="1:7" ht="14.25" hidden="1" customHeight="1">
      <c r="A585" s="1829" t="s">
        <v>221</v>
      </c>
      <c r="B585" s="1828"/>
      <c r="C585" s="63" t="s">
        <v>222</v>
      </c>
      <c r="D585" s="63" t="s">
        <v>223</v>
      </c>
      <c r="E585" s="63" t="s">
        <v>224</v>
      </c>
      <c r="F585" s="63" t="s">
        <v>225</v>
      </c>
      <c r="G585" s="63" t="s">
        <v>226</v>
      </c>
    </row>
    <row r="586" spans="1:7" ht="14.25" hidden="1" customHeight="1">
      <c r="A586" s="1845" t="s">
        <v>742</v>
      </c>
      <c r="B586" s="1828"/>
      <c r="C586" s="64">
        <v>254.92</v>
      </c>
      <c r="D586" s="64"/>
      <c r="E586" s="64"/>
      <c r="F586" s="64"/>
      <c r="G586" s="64">
        <f t="shared" ref="G586:G587" si="27">+C586</f>
        <v>254.92</v>
      </c>
    </row>
    <row r="587" spans="1:7" ht="14.25" hidden="1" customHeight="1">
      <c r="A587" s="1845" t="s">
        <v>743</v>
      </c>
      <c r="B587" s="1828"/>
      <c r="C587" s="64">
        <v>252.49</v>
      </c>
      <c r="D587" s="64"/>
      <c r="E587" s="64"/>
      <c r="F587" s="64"/>
      <c r="G587" s="64">
        <f t="shared" si="27"/>
        <v>252.49</v>
      </c>
    </row>
    <row r="588" spans="1:7" ht="14.25" hidden="1" customHeight="1">
      <c r="A588" s="1845" t="s">
        <v>744</v>
      </c>
      <c r="B588" s="1828"/>
      <c r="C588" s="64">
        <v>65.28</v>
      </c>
      <c r="D588" s="64"/>
      <c r="E588" s="64"/>
      <c r="F588" s="64">
        <v>8</v>
      </c>
      <c r="G588" s="64">
        <f t="shared" ref="G588:G589" si="28">+F588*C588</f>
        <v>522.24</v>
      </c>
    </row>
    <row r="589" spans="1:7" ht="14.25" hidden="1" customHeight="1">
      <c r="A589" s="1845" t="s">
        <v>745</v>
      </c>
      <c r="B589" s="1828"/>
      <c r="C589" s="64">
        <v>5.41</v>
      </c>
      <c r="D589" s="64"/>
      <c r="E589" s="64"/>
      <c r="F589" s="64">
        <v>10</v>
      </c>
      <c r="G589" s="64">
        <f t="shared" si="28"/>
        <v>54.1</v>
      </c>
    </row>
    <row r="590" spans="1:7" ht="14.25" hidden="1" customHeight="1">
      <c r="A590" s="1845"/>
      <c r="B590" s="1828"/>
      <c r="C590" s="64"/>
      <c r="D590" s="64"/>
      <c r="E590" s="64"/>
      <c r="F590" s="64"/>
      <c r="G590" s="64"/>
    </row>
    <row r="591" spans="1:7" ht="14.25" hidden="1" customHeight="1">
      <c r="A591" s="1829" t="s">
        <v>227</v>
      </c>
      <c r="B591" s="1830"/>
      <c r="C591" s="1830"/>
      <c r="D591" s="1830"/>
      <c r="E591" s="1830"/>
      <c r="F591" s="1828"/>
      <c r="G591" s="65">
        <f>ROUND(SUM(G586:G590),2)</f>
        <v>1083.75</v>
      </c>
    </row>
    <row r="592" spans="1:7" ht="14.25" hidden="1" customHeight="1">
      <c r="A592" s="1831"/>
      <c r="B592" s="1830"/>
      <c r="C592" s="1830"/>
      <c r="D592" s="1830"/>
      <c r="E592" s="1830"/>
      <c r="F592" s="1830"/>
      <c r="G592" s="1828"/>
    </row>
    <row r="593" spans="1:7" ht="14.25" hidden="1" customHeight="1">
      <c r="A593" s="66" t="s">
        <v>249</v>
      </c>
      <c r="B593" s="1832" t="str">
        <f>+B582</f>
        <v>PISOS Y ENCHAPES</v>
      </c>
      <c r="C593" s="1830"/>
      <c r="D593" s="1828"/>
      <c r="E593" s="1833" t="s">
        <v>218</v>
      </c>
      <c r="F593" s="1828"/>
      <c r="G593" s="62" t="s">
        <v>228</v>
      </c>
    </row>
    <row r="594" spans="1:7" ht="14.25" hidden="1" customHeight="1">
      <c r="A594" s="66" t="s">
        <v>257</v>
      </c>
      <c r="B594" s="1840" t="s">
        <v>746</v>
      </c>
      <c r="C594" s="1830"/>
      <c r="D594" s="1830"/>
      <c r="E594" s="1830"/>
      <c r="F594" s="1830"/>
      <c r="G594" s="1828"/>
    </row>
    <row r="595" spans="1:7" ht="14.25" hidden="1" customHeight="1">
      <c r="A595" s="1836" t="s">
        <v>220</v>
      </c>
      <c r="B595" s="1830"/>
      <c r="C595" s="1830"/>
      <c r="D595" s="1830"/>
      <c r="E595" s="1830"/>
      <c r="F595" s="1830"/>
      <c r="G595" s="1828"/>
    </row>
    <row r="596" spans="1:7" ht="14.25" hidden="1" customHeight="1">
      <c r="A596" s="1829" t="s">
        <v>221</v>
      </c>
      <c r="B596" s="1828"/>
      <c r="C596" s="63" t="s">
        <v>222</v>
      </c>
      <c r="D596" s="63" t="s">
        <v>223</v>
      </c>
      <c r="E596" s="63" t="s">
        <v>224</v>
      </c>
      <c r="F596" s="63" t="s">
        <v>225</v>
      </c>
      <c r="G596" s="63" t="s">
        <v>226</v>
      </c>
    </row>
    <row r="597" spans="1:7" ht="14.25" hidden="1" customHeight="1">
      <c r="A597" s="1845" t="s">
        <v>747</v>
      </c>
      <c r="B597" s="1828"/>
      <c r="C597" s="64">
        <v>28.263367611066155</v>
      </c>
      <c r="D597" s="64">
        <v>5</v>
      </c>
      <c r="E597" s="64"/>
      <c r="F597" s="64">
        <v>8</v>
      </c>
      <c r="G597" s="64">
        <f t="shared" ref="G597:G598" si="29">+F597*D597*C597</f>
        <v>1130.5347044426462</v>
      </c>
    </row>
    <row r="598" spans="1:7" ht="14.25" hidden="1" customHeight="1">
      <c r="A598" s="1845" t="s">
        <v>748</v>
      </c>
      <c r="B598" s="1828"/>
      <c r="C598" s="64">
        <v>32.700000000000003</v>
      </c>
      <c r="D598" s="64">
        <v>5</v>
      </c>
      <c r="E598" s="64"/>
      <c r="F598" s="64">
        <v>2</v>
      </c>
      <c r="G598" s="64">
        <f t="shared" si="29"/>
        <v>327</v>
      </c>
    </row>
    <row r="599" spans="1:7" ht="14.25" hidden="1" customHeight="1">
      <c r="A599" s="1829" t="s">
        <v>227</v>
      </c>
      <c r="B599" s="1830"/>
      <c r="C599" s="1830"/>
      <c r="D599" s="1830"/>
      <c r="E599" s="1830"/>
      <c r="F599" s="1828"/>
      <c r="G599" s="65">
        <f>ROUND(SUM(G597:G598),2)</f>
        <v>1457.53</v>
      </c>
    </row>
    <row r="600" spans="1:7" ht="14.25" hidden="1" customHeight="1">
      <c r="A600" s="1831"/>
      <c r="B600" s="1830"/>
      <c r="C600" s="1830"/>
      <c r="D600" s="1830"/>
      <c r="E600" s="1830"/>
      <c r="F600" s="1830"/>
      <c r="G600" s="1828"/>
    </row>
    <row r="601" spans="1:7" ht="14.25" hidden="1" customHeight="1">
      <c r="A601" s="66" t="s">
        <v>264</v>
      </c>
      <c r="B601" s="1832" t="s">
        <v>419</v>
      </c>
      <c r="C601" s="1830"/>
      <c r="D601" s="1828"/>
      <c r="E601" s="1833" t="s">
        <v>218</v>
      </c>
      <c r="F601" s="1828"/>
      <c r="G601" s="62" t="s">
        <v>228</v>
      </c>
    </row>
    <row r="602" spans="1:7" ht="14.25" hidden="1" customHeight="1">
      <c r="A602" s="66" t="s">
        <v>265</v>
      </c>
      <c r="B602" s="1840" t="s">
        <v>749</v>
      </c>
      <c r="C602" s="1830"/>
      <c r="D602" s="1830"/>
      <c r="E602" s="1830"/>
      <c r="F602" s="1830"/>
      <c r="G602" s="1828"/>
    </row>
    <row r="603" spans="1:7" ht="14.25" hidden="1" customHeight="1">
      <c r="A603" s="1836" t="s">
        <v>220</v>
      </c>
      <c r="B603" s="1830"/>
      <c r="C603" s="1830"/>
      <c r="D603" s="1830"/>
      <c r="E603" s="1830"/>
      <c r="F603" s="1830"/>
      <c r="G603" s="1828"/>
    </row>
    <row r="604" spans="1:7" ht="14.25" hidden="1" customHeight="1">
      <c r="A604" s="1829" t="s">
        <v>221</v>
      </c>
      <c r="B604" s="1828"/>
      <c r="C604" s="63" t="s">
        <v>222</v>
      </c>
      <c r="D604" s="63" t="s">
        <v>223</v>
      </c>
      <c r="E604" s="63" t="s">
        <v>224</v>
      </c>
      <c r="F604" s="63" t="s">
        <v>225</v>
      </c>
      <c r="G604" s="63" t="s">
        <v>226</v>
      </c>
    </row>
    <row r="605" spans="1:7" ht="14.25" hidden="1" customHeight="1">
      <c r="A605" s="1845" t="s">
        <v>750</v>
      </c>
      <c r="B605" s="1828"/>
      <c r="C605" s="64">
        <v>850.22</v>
      </c>
      <c r="D605" s="64"/>
      <c r="E605" s="64"/>
      <c r="F605" s="64"/>
      <c r="G605" s="64">
        <f>+C605</f>
        <v>850.22</v>
      </c>
    </row>
    <row r="606" spans="1:7" ht="14.25" hidden="1" customHeight="1">
      <c r="A606" s="1845" t="s">
        <v>751</v>
      </c>
      <c r="B606" s="1828"/>
      <c r="C606" s="64">
        <f>3+2.7+2.6+0.3+1.55+3.7+1.46+2.92+3.25+1.5+1.5+2.11</f>
        <v>26.590000000000003</v>
      </c>
      <c r="D606" s="64">
        <v>3.3</v>
      </c>
      <c r="E606" s="64">
        <f>-1.6*2.2</f>
        <v>-3.5200000000000005</v>
      </c>
      <c r="F606" s="64">
        <v>2</v>
      </c>
      <c r="G606" s="64">
        <f t="shared" ref="G606:G607" si="30">+((C606*D606)+E606)*F606</f>
        <v>168.45400000000001</v>
      </c>
    </row>
    <row r="607" spans="1:7" ht="19.5" hidden="1" customHeight="1">
      <c r="A607" s="1845" t="s">
        <v>752</v>
      </c>
      <c r="B607" s="1828"/>
      <c r="C607" s="64">
        <f>2.95+2.95+3+3.55+2.4+2.6+2.6</f>
        <v>20.05</v>
      </c>
      <c r="D607" s="64">
        <v>3.3</v>
      </c>
      <c r="E607" s="64">
        <f>-1.8*2.2</f>
        <v>-3.9600000000000004</v>
      </c>
      <c r="F607" s="64">
        <v>2</v>
      </c>
      <c r="G607" s="64">
        <f t="shared" si="30"/>
        <v>124.40999999999998</v>
      </c>
    </row>
    <row r="608" spans="1:7" ht="14.25" hidden="1" customHeight="1">
      <c r="A608" s="1845" t="s">
        <v>753</v>
      </c>
      <c r="B608" s="1828"/>
      <c r="C608" s="64">
        <f t="shared" ref="C608:C609" si="31">7.7+7.7+3.85+3.85</f>
        <v>23.1</v>
      </c>
      <c r="D608" s="64">
        <v>2.35</v>
      </c>
      <c r="E608" s="64"/>
      <c r="F608" s="64"/>
      <c r="G608" s="64">
        <f t="shared" ref="G608:G610" si="32">+D608*C608</f>
        <v>54.285000000000004</v>
      </c>
    </row>
    <row r="609" spans="1:11" ht="14.25" hidden="1" customHeight="1">
      <c r="A609" s="1845" t="s">
        <v>753</v>
      </c>
      <c r="B609" s="1828"/>
      <c r="C609" s="64">
        <f t="shared" si="31"/>
        <v>23.1</v>
      </c>
      <c r="D609" s="64">
        <v>0.6</v>
      </c>
      <c r="E609" s="64"/>
      <c r="F609" s="64"/>
      <c r="G609" s="64">
        <f t="shared" si="32"/>
        <v>13.860000000000001</v>
      </c>
      <c r="H609" s="59"/>
      <c r="I609" s="60"/>
      <c r="J609" s="60"/>
      <c r="K609" s="61"/>
    </row>
    <row r="610" spans="1:11" ht="14.25" hidden="1" customHeight="1">
      <c r="A610" s="1845" t="s">
        <v>754</v>
      </c>
      <c r="B610" s="1828"/>
      <c r="C610" s="64">
        <f>1.56*3</f>
        <v>4.68</v>
      </c>
      <c r="D610" s="64">
        <v>3.5</v>
      </c>
      <c r="E610" s="64"/>
      <c r="F610" s="64"/>
      <c r="G610" s="64">
        <f t="shared" si="32"/>
        <v>16.38</v>
      </c>
      <c r="H610" s="59"/>
      <c r="I610" s="60"/>
      <c r="J610" s="60"/>
      <c r="K610" s="61"/>
    </row>
    <row r="611" spans="1:11" ht="14.25" hidden="1" customHeight="1">
      <c r="A611" s="1829" t="s">
        <v>227</v>
      </c>
      <c r="B611" s="1830"/>
      <c r="C611" s="1830"/>
      <c r="D611" s="1830"/>
      <c r="E611" s="1830"/>
      <c r="F611" s="1828"/>
      <c r="G611" s="65">
        <f>ROUND(SUM(G605:G610),2)</f>
        <v>1227.6099999999999</v>
      </c>
      <c r="H611" s="59"/>
      <c r="I611" s="60"/>
      <c r="J611" s="60"/>
      <c r="K611" s="61"/>
    </row>
    <row r="612" spans="1:11" ht="14.25" hidden="1" customHeight="1">
      <c r="A612" s="179"/>
      <c r="B612" s="194"/>
      <c r="C612" s="64"/>
      <c r="D612" s="64"/>
      <c r="E612" s="64"/>
      <c r="F612" s="64"/>
      <c r="G612" s="64"/>
      <c r="H612" s="59"/>
      <c r="I612" s="60"/>
      <c r="J612" s="60"/>
      <c r="K612" s="61"/>
    </row>
    <row r="613" spans="1:11" ht="14.25" hidden="1" customHeight="1">
      <c r="A613" s="1831"/>
      <c r="B613" s="1830"/>
      <c r="C613" s="1830"/>
      <c r="D613" s="1830"/>
      <c r="E613" s="1830"/>
      <c r="F613" s="1830"/>
      <c r="G613" s="1828"/>
      <c r="H613" s="59"/>
      <c r="I613" s="60"/>
      <c r="J613" s="60"/>
      <c r="K613" s="61"/>
    </row>
    <row r="614" spans="1:11" ht="14.25" hidden="1" customHeight="1">
      <c r="A614" s="66" t="s">
        <v>264</v>
      </c>
      <c r="B614" s="1832" t="str">
        <f>+B601</f>
        <v>MAMPOSTERIA</v>
      </c>
      <c r="C614" s="1830"/>
      <c r="D614" s="1828"/>
      <c r="E614" s="1833" t="s">
        <v>218</v>
      </c>
      <c r="F614" s="1828"/>
      <c r="G614" s="62" t="s">
        <v>228</v>
      </c>
      <c r="H614" s="59"/>
      <c r="I614" s="60"/>
      <c r="J614" s="60"/>
      <c r="K614" s="61"/>
    </row>
    <row r="615" spans="1:11" ht="14.25" hidden="1" customHeight="1">
      <c r="A615" s="66" t="s">
        <v>755</v>
      </c>
      <c r="B615" s="1840" t="s">
        <v>756</v>
      </c>
      <c r="C615" s="1830"/>
      <c r="D615" s="1830"/>
      <c r="E615" s="1830"/>
      <c r="F615" s="1830"/>
      <c r="G615" s="1828"/>
      <c r="H615" s="59"/>
      <c r="I615" s="60"/>
      <c r="J615" s="60"/>
      <c r="K615" s="61"/>
    </row>
    <row r="616" spans="1:11" ht="14.25" hidden="1" customHeight="1">
      <c r="A616" s="1836" t="s">
        <v>220</v>
      </c>
      <c r="B616" s="1830"/>
      <c r="C616" s="1830"/>
      <c r="D616" s="1830"/>
      <c r="E616" s="1830"/>
      <c r="F616" s="1830"/>
      <c r="G616" s="1828"/>
      <c r="H616" s="59"/>
      <c r="I616" s="60"/>
      <c r="J616" s="60"/>
      <c r="K616" s="61"/>
    </row>
    <row r="617" spans="1:11" ht="14.25" hidden="1" customHeight="1">
      <c r="A617" s="1829" t="s">
        <v>221</v>
      </c>
      <c r="B617" s="1828"/>
      <c r="C617" s="63" t="s">
        <v>222</v>
      </c>
      <c r="D617" s="63" t="s">
        <v>223</v>
      </c>
      <c r="E617" s="63" t="s">
        <v>224</v>
      </c>
      <c r="F617" s="63" t="s">
        <v>225</v>
      </c>
      <c r="G617" s="63" t="s">
        <v>226</v>
      </c>
      <c r="H617" s="59"/>
      <c r="I617" s="60"/>
      <c r="J617" s="60"/>
      <c r="K617" s="61" t="s">
        <v>757</v>
      </c>
    </row>
    <row r="618" spans="1:11" ht="14.25" hidden="1" customHeight="1">
      <c r="A618" s="1847" t="s">
        <v>758</v>
      </c>
      <c r="B618" s="1828"/>
      <c r="C618" s="64"/>
      <c r="D618" s="64"/>
      <c r="E618" s="64"/>
      <c r="F618" s="64"/>
      <c r="G618" s="64"/>
      <c r="H618" s="59"/>
      <c r="I618" s="60"/>
      <c r="J618" s="60"/>
      <c r="K618" s="61"/>
    </row>
    <row r="619" spans="1:11" ht="14.25" hidden="1" customHeight="1">
      <c r="A619" s="1845" t="s">
        <v>759</v>
      </c>
      <c r="B619" s="1828"/>
      <c r="C619" s="64">
        <f>+K619</f>
        <v>140.89999999999998</v>
      </c>
      <c r="D619" s="64">
        <v>3.3</v>
      </c>
      <c r="E619" s="64"/>
      <c r="F619" s="64"/>
      <c r="G619" s="64">
        <f t="shared" ref="G619:G621" si="33">+D619*C619</f>
        <v>464.96999999999991</v>
      </c>
      <c r="H619" s="59"/>
      <c r="I619" s="60"/>
      <c r="J619" s="60"/>
      <c r="K619" s="61">
        <f>5.12+23.5+4.4+20.34+5.12+4.5+2.88+2.9+7.7+1.44+1.55+(2.35-(0.9*2.2))+5.4+(5-(1.6*2.2))+7.9+1.55+1.45+(1.8-(0.7*2.2))+3.7+5.1+(1.25-(0.7*2.2))+1.7+(1.75-(0.9*2.2))+(3.95-(1.7*2.2))+3.95+3.8+4.5+2.9+(7.9-(1*2.2))+1.85+1.1+2+1.1+1.35+4.6</f>
        <v>140.89999999999998</v>
      </c>
    </row>
    <row r="620" spans="1:11" ht="15" hidden="1" customHeight="1">
      <c r="A620" s="1845" t="s">
        <v>760</v>
      </c>
      <c r="B620" s="1828"/>
      <c r="C620" s="64">
        <f>+K621</f>
        <v>106.48000000000002</v>
      </c>
      <c r="D620" s="64">
        <v>3.3</v>
      </c>
      <c r="E620" s="64"/>
      <c r="F620" s="64"/>
      <c r="G620" s="64">
        <f t="shared" si="33"/>
        <v>351.38400000000001</v>
      </c>
      <c r="H620" s="59"/>
      <c r="I620" s="60"/>
      <c r="J620" s="60"/>
      <c r="K620" s="61" t="s">
        <v>61</v>
      </c>
    </row>
    <row r="621" spans="1:11" ht="14.25" hidden="1" customHeight="1">
      <c r="A621" s="1845" t="s">
        <v>761</v>
      </c>
      <c r="B621" s="1828"/>
      <c r="C621" s="64">
        <f>5.85+7.9+1.2+6.57+1.2+(5.27-(0.9*2.2))+4.92+1.74+1.5+3.03+(4.45-(0.8*2*2.2))+(1.35-(0.9*2.2))</f>
        <v>37.5</v>
      </c>
      <c r="D621" s="64">
        <v>3.3</v>
      </c>
      <c r="E621" s="64"/>
      <c r="F621" s="64"/>
      <c r="G621" s="64">
        <f t="shared" si="33"/>
        <v>123.75</v>
      </c>
      <c r="H621" s="59"/>
      <c r="I621" s="60"/>
      <c r="J621" s="60"/>
      <c r="K621" s="61">
        <f>5.27+16.85+1.3+0.8+3.62+(7.7-(1.6*2.2))+((3.48-(0.7*2.2))*2)+1.3+3.48+4.85+2.15+5.7+1.1+3.25+3.2+(1.3-(0.9*2.2))+1.35+2.9+1.1+1.5+(2.8-(0.7*2.2))+0.4+4.35+4.5+(3.5-(0.9*2.2))+7.7+7.9+2.9+7.05+1.8</f>
        <v>106.48000000000002</v>
      </c>
    </row>
    <row r="622" spans="1:11" ht="14.25" hidden="1" customHeight="1">
      <c r="A622" s="1845" t="s">
        <v>762</v>
      </c>
      <c r="B622" s="1828"/>
      <c r="C622" s="64">
        <f>2.6+1.55+3+1.4+1.55+1.6+5.05</f>
        <v>16.75</v>
      </c>
      <c r="D622" s="64">
        <v>3.3</v>
      </c>
      <c r="E622" s="64">
        <f>-K622-K623</f>
        <v>-3.5200000000000005</v>
      </c>
      <c r="F622" s="64"/>
      <c r="G622" s="64">
        <f t="shared" ref="G622:G625" si="34">+(C622*D622)+E622</f>
        <v>51.754999999999995</v>
      </c>
      <c r="H622" s="59"/>
      <c r="I622" s="60"/>
      <c r="J622" s="60"/>
      <c r="K622" s="61">
        <f>0.9*2.2</f>
        <v>1.9800000000000002</v>
      </c>
    </row>
    <row r="623" spans="1:11" ht="14.25" hidden="1" customHeight="1">
      <c r="A623" s="1845" t="s">
        <v>763</v>
      </c>
      <c r="B623" s="1828"/>
      <c r="C623" s="64">
        <f>2.9+1.58+1.8+4.22+4.5</f>
        <v>15</v>
      </c>
      <c r="D623" s="64">
        <v>3.3</v>
      </c>
      <c r="E623" s="64">
        <f>-J623</f>
        <v>-3.5200000000000005</v>
      </c>
      <c r="F623" s="64"/>
      <c r="G623" s="64">
        <f t="shared" si="34"/>
        <v>45.98</v>
      </c>
      <c r="H623" s="59"/>
      <c r="I623" s="60"/>
      <c r="J623" s="60">
        <f>1.6*2.2</f>
        <v>3.5200000000000005</v>
      </c>
      <c r="K623" s="61">
        <f>0.7*2.2</f>
        <v>1.54</v>
      </c>
    </row>
    <row r="624" spans="1:11" ht="14.25" hidden="1" customHeight="1">
      <c r="A624" s="1845" t="s">
        <v>764</v>
      </c>
      <c r="B624" s="1828"/>
      <c r="C624" s="64">
        <f>4.56+4.5+6.27+1.15+0.65+1.9+2.9+0.9</f>
        <v>22.829999999999991</v>
      </c>
      <c r="D624" s="64">
        <v>3.3</v>
      </c>
      <c r="E624" s="64">
        <f>-0.9*2.2</f>
        <v>-1.9800000000000002</v>
      </c>
      <c r="F624" s="64"/>
      <c r="G624" s="64">
        <f t="shared" si="34"/>
        <v>73.358999999999966</v>
      </c>
      <c r="H624" s="59"/>
      <c r="I624" s="60"/>
      <c r="J624" s="60"/>
      <c r="K624" s="61"/>
    </row>
    <row r="625" spans="1:13" ht="14.25" hidden="1" customHeight="1">
      <c r="A625" s="1845" t="s">
        <v>765</v>
      </c>
      <c r="B625" s="1828"/>
      <c r="C625" s="64">
        <f>4.05+2.45+4.05+3.1+0.5+1.9+2.07+7.9+5.22+2.07+1.2+1.9+3.1+6.57</f>
        <v>46.080000000000005</v>
      </c>
      <c r="D625" s="64">
        <v>3.3</v>
      </c>
      <c r="E625" s="64">
        <f>-1.8*2.2</f>
        <v>-3.9600000000000004</v>
      </c>
      <c r="F625" s="64"/>
      <c r="G625" s="64">
        <f t="shared" si="34"/>
        <v>148.10400000000001</v>
      </c>
      <c r="H625" s="59"/>
      <c r="I625" s="60"/>
      <c r="J625" s="60"/>
      <c r="K625" s="61"/>
      <c r="L625" s="59"/>
      <c r="M625" s="59"/>
    </row>
    <row r="626" spans="1:13" ht="14.25" hidden="1" customHeight="1">
      <c r="A626" s="1845" t="s">
        <v>766</v>
      </c>
      <c r="B626" s="1828"/>
      <c r="C626" s="64">
        <f>7.9+2.9+4.5+7.9+7.9+2.9+4.5+3+4.75+7.9+4.5+2.9+7.9+7.9+4.5+2.9+7.9+7.9+7.9+2.6+1.55+5.05+2.6</f>
        <v>120.25000000000001</v>
      </c>
      <c r="D626" s="64">
        <v>6.9</v>
      </c>
      <c r="E626" s="64"/>
      <c r="F626" s="64"/>
      <c r="G626" s="64">
        <f>+D626*C626</f>
        <v>829.72500000000014</v>
      </c>
      <c r="H626" s="59"/>
      <c r="I626" s="60"/>
      <c r="J626" s="60"/>
      <c r="K626" s="61"/>
      <c r="L626" s="59">
        <f>3.85*17.87*2</f>
        <v>137.59900000000002</v>
      </c>
      <c r="M626" s="59">
        <f t="shared" ref="M626:M627" si="35">+L626*2</f>
        <v>275.19800000000004</v>
      </c>
    </row>
    <row r="627" spans="1:13" ht="14.25" hidden="1" customHeight="1">
      <c r="A627" s="1847" t="s">
        <v>767</v>
      </c>
      <c r="B627" s="1828"/>
      <c r="C627" s="64"/>
      <c r="D627" s="64"/>
      <c r="E627" s="64"/>
      <c r="F627" s="64"/>
      <c r="G627" s="64"/>
      <c r="H627" s="59"/>
      <c r="I627" s="60"/>
      <c r="J627" s="60"/>
      <c r="K627" s="61"/>
      <c r="L627" s="59">
        <f>9.1*17.87</f>
        <v>162.61699999999999</v>
      </c>
      <c r="M627" s="59">
        <f t="shared" si="35"/>
        <v>325.23399999999998</v>
      </c>
    </row>
    <row r="628" spans="1:13" ht="14.25" hidden="1" customHeight="1">
      <c r="A628" s="1845" t="s">
        <v>768</v>
      </c>
      <c r="B628" s="1828"/>
      <c r="C628" s="64">
        <f>7.65+2.3+2.98</f>
        <v>12.93</v>
      </c>
      <c r="D628" s="64">
        <v>3.3</v>
      </c>
      <c r="E628" s="64"/>
      <c r="F628" s="64"/>
      <c r="G628" s="64">
        <f>+D628*C628</f>
        <v>42.668999999999997</v>
      </c>
      <c r="H628" s="59"/>
      <c r="I628" s="60"/>
      <c r="J628" s="60"/>
      <c r="K628" s="61">
        <f>5.12+23.5+4.4+20.34+5.12+4.5+2.88+2.9+7.7+1.44+1.55+(2.35-(0.9*2.2))+5.4+(5-(1.6*2.2))+7.9+1.55+1.45+(1.8-(0.7*2.2))+3.7+5.1+(1.25-(0.7*2.2))+1.7+(1.75-(0.9*2.2))+(3.95-(1.7*2.2))+3.95+3.8+4.5+2.9+(7.9-(1*2.2))+1.85+1.1+2+1.1+1.35+4.6</f>
        <v>140.89999999999998</v>
      </c>
      <c r="L628" s="59">
        <f>4.15*60.19</f>
        <v>249.7885</v>
      </c>
      <c r="M628" s="59"/>
    </row>
    <row r="629" spans="1:13" ht="15" hidden="1" customHeight="1">
      <c r="A629" s="1844" t="s">
        <v>769</v>
      </c>
      <c r="B629" s="1828"/>
      <c r="C629" s="64">
        <v>2.9</v>
      </c>
      <c r="D629" s="64">
        <v>3.9</v>
      </c>
      <c r="E629" s="64"/>
      <c r="F629" s="64">
        <v>2</v>
      </c>
      <c r="G629" s="64">
        <f t="shared" ref="G629:G630" si="36">+D629*C629*F629</f>
        <v>22.619999999999997</v>
      </c>
      <c r="H629" s="59"/>
      <c r="I629" s="195">
        <f>7.8/2</f>
        <v>3.9</v>
      </c>
      <c r="J629" s="60"/>
      <c r="K629" s="61" t="s">
        <v>61</v>
      </c>
      <c r="L629" s="59">
        <f>+L628+M626+M627</f>
        <v>850.2204999999999</v>
      </c>
      <c r="M629" s="59"/>
    </row>
    <row r="630" spans="1:13" ht="14.25" hidden="1" customHeight="1">
      <c r="A630" s="1844" t="s">
        <v>770</v>
      </c>
      <c r="B630" s="1828"/>
      <c r="C630" s="64">
        <v>2.9</v>
      </c>
      <c r="D630" s="64">
        <v>3.9</v>
      </c>
      <c r="E630" s="64"/>
      <c r="F630" s="64">
        <v>2</v>
      </c>
      <c r="G630" s="64">
        <f t="shared" si="36"/>
        <v>22.619999999999997</v>
      </c>
      <c r="H630" s="59"/>
      <c r="I630" s="60"/>
      <c r="J630" s="60"/>
      <c r="K630" s="61">
        <f>5.27+16.85+1.3+0.8+3.62+(7.7-(1.6*2.2))+((3.48-(0.7*2.2))*2)+1.3+3.48+4.85+2.15+5.7+1.1+3.25+3.2+(1.3-(0.9*2.2))+1.35+2.9+1.1+1.5+(2.8-(0.7*2.2))+0.4+4.35+4.5+(3.5-(0.9*2.2))+7.7+7.9+2.9+7.05+1.8</f>
        <v>106.48000000000002</v>
      </c>
      <c r="L630" s="59"/>
      <c r="M630" s="59"/>
    </row>
    <row r="631" spans="1:13" ht="14.25" hidden="1" customHeight="1">
      <c r="A631" s="1845" t="s">
        <v>771</v>
      </c>
      <c r="B631" s="1828"/>
      <c r="C631" s="64">
        <f>1.35+5.5+1.8+2.9</f>
        <v>11.55</v>
      </c>
      <c r="D631" s="64">
        <v>3.3</v>
      </c>
      <c r="E631" s="64">
        <f>+(0.7*2.2)*2</f>
        <v>3.08</v>
      </c>
      <c r="F631" s="64"/>
      <c r="G631" s="64">
        <f t="shared" ref="G631:G635" si="37">+(C631*D631)+E631</f>
        <v>41.195</v>
      </c>
      <c r="H631" s="59"/>
      <c r="I631" s="60"/>
      <c r="J631" s="60"/>
      <c r="K631" s="61">
        <f>0.9*2.2</f>
        <v>1.9800000000000002</v>
      </c>
      <c r="L631" s="59"/>
      <c r="M631" s="59"/>
    </row>
    <row r="632" spans="1:13" ht="14.25" hidden="1" customHeight="1">
      <c r="A632" s="1844" t="s">
        <v>772</v>
      </c>
      <c r="B632" s="1828"/>
      <c r="C632" s="64">
        <v>7.2</v>
      </c>
      <c r="D632" s="64">
        <v>3.3</v>
      </c>
      <c r="E632" s="64"/>
      <c r="F632" s="64"/>
      <c r="G632" s="64">
        <f t="shared" si="37"/>
        <v>23.759999999999998</v>
      </c>
      <c r="H632" s="59"/>
      <c r="I632" s="60"/>
      <c r="J632" s="60">
        <f>1.6*2.2</f>
        <v>3.5200000000000005</v>
      </c>
      <c r="K632" s="61">
        <f>0.7*2.2</f>
        <v>1.54</v>
      </c>
      <c r="L632" s="59"/>
      <c r="M632" s="59"/>
    </row>
    <row r="633" spans="1:13" ht="14.25" hidden="1" customHeight="1">
      <c r="A633" s="1845" t="s">
        <v>773</v>
      </c>
      <c r="B633" s="1828"/>
      <c r="C633" s="64">
        <f>3.7+5.05+4.95+2.55+1.55+1.82</f>
        <v>19.62</v>
      </c>
      <c r="D633" s="64">
        <v>3.3</v>
      </c>
      <c r="E633" s="64">
        <f>-((0.7+0.8+1.1)*2.2)</f>
        <v>-5.7200000000000006</v>
      </c>
      <c r="F633" s="64"/>
      <c r="G633" s="64">
        <f t="shared" si="37"/>
        <v>59.025999999999996</v>
      </c>
      <c r="H633" s="59"/>
      <c r="I633" s="60"/>
      <c r="J633" s="60"/>
      <c r="K633" s="61"/>
      <c r="L633" s="59"/>
      <c r="M633" s="59"/>
    </row>
    <row r="634" spans="1:13" ht="14.25" hidden="1" customHeight="1">
      <c r="A634" s="1844" t="s">
        <v>774</v>
      </c>
      <c r="B634" s="1828"/>
      <c r="C634" s="64">
        <f>7.9+2.6</f>
        <v>10.5</v>
      </c>
      <c r="D634" s="64">
        <v>3.3</v>
      </c>
      <c r="E634" s="64">
        <f>-0.9*2.2</f>
        <v>-1.9800000000000002</v>
      </c>
      <c r="F634" s="64"/>
      <c r="G634" s="64">
        <f t="shared" si="37"/>
        <v>32.67</v>
      </c>
      <c r="H634" s="59"/>
      <c r="I634" s="60"/>
      <c r="J634" s="60"/>
      <c r="K634" s="61"/>
      <c r="L634" s="59"/>
      <c r="M634" s="59"/>
    </row>
    <row r="635" spans="1:13" ht="15" hidden="1" customHeight="1">
      <c r="A635" s="1846" t="s">
        <v>775</v>
      </c>
      <c r="B635" s="1843"/>
      <c r="C635" s="64">
        <f>+(7.9+7.8)</f>
        <v>15.7</v>
      </c>
      <c r="D635" s="64">
        <v>3.3</v>
      </c>
      <c r="E635" s="64">
        <f>-(0.9*2.2)-(1.8*2.2*2)</f>
        <v>-9.9</v>
      </c>
      <c r="F635" s="64"/>
      <c r="G635" s="64">
        <f t="shared" si="37"/>
        <v>41.91</v>
      </c>
      <c r="H635" s="59"/>
      <c r="I635" s="60"/>
      <c r="J635" s="60"/>
      <c r="K635" s="61"/>
      <c r="L635" s="59"/>
      <c r="M635" s="59"/>
    </row>
    <row r="636" spans="1:13" ht="15" hidden="1" customHeight="1">
      <c r="A636" s="1620"/>
      <c r="B636" s="1622"/>
      <c r="C636" s="64">
        <v>2.9</v>
      </c>
      <c r="D636" s="64">
        <v>3.9</v>
      </c>
      <c r="E636" s="64"/>
      <c r="F636" s="64">
        <v>2</v>
      </c>
      <c r="G636" s="64">
        <f>+F636*D636*C636</f>
        <v>22.619999999999997</v>
      </c>
      <c r="H636" s="59"/>
      <c r="I636" s="60"/>
      <c r="J636" s="60"/>
      <c r="K636" s="61"/>
      <c r="L636" s="59"/>
      <c r="M636" s="59"/>
    </row>
    <row r="637" spans="1:13" ht="15" hidden="1" customHeight="1">
      <c r="A637" s="1844" t="s">
        <v>776</v>
      </c>
      <c r="B637" s="1828"/>
      <c r="C637" s="64">
        <f>2+1.54+1.1</f>
        <v>4.6400000000000006</v>
      </c>
      <c r="D637" s="64">
        <v>3.3</v>
      </c>
      <c r="E637" s="64"/>
      <c r="F637" s="64"/>
      <c r="G637" s="64">
        <f>+D637*C637</f>
        <v>15.312000000000001</v>
      </c>
      <c r="H637" s="59"/>
      <c r="I637" s="60"/>
      <c r="J637" s="60"/>
      <c r="K637" s="61"/>
      <c r="L637" s="59"/>
      <c r="M637" s="59"/>
    </row>
    <row r="638" spans="1:13" ht="15" hidden="1" customHeight="1">
      <c r="A638" s="1844" t="s">
        <v>320</v>
      </c>
      <c r="B638" s="1828"/>
      <c r="C638" s="64">
        <f>1.3+1.85+3.3+6.44+1.68+1.54</f>
        <v>16.11</v>
      </c>
      <c r="D638" s="64">
        <v>3.3</v>
      </c>
      <c r="E638" s="64">
        <f>-2.1*2.2</f>
        <v>-4.620000000000001</v>
      </c>
      <c r="F638" s="64"/>
      <c r="G638" s="64">
        <f>+(C638*D638)+E638</f>
        <v>48.542999999999992</v>
      </c>
      <c r="H638" s="59"/>
      <c r="I638" s="60"/>
      <c r="J638" s="60"/>
      <c r="K638" s="61"/>
      <c r="L638" s="59"/>
      <c r="M638" s="59"/>
    </row>
    <row r="639" spans="1:13" ht="15" hidden="1" customHeight="1">
      <c r="A639" s="1846" t="s">
        <v>777</v>
      </c>
      <c r="B639" s="1843"/>
      <c r="C639" s="64">
        <f>3.75+7.9+3.75</f>
        <v>15.4</v>
      </c>
      <c r="D639" s="64">
        <v>18</v>
      </c>
      <c r="E639" s="64"/>
      <c r="F639" s="64"/>
      <c r="G639" s="64">
        <f t="shared" ref="G639:G640" si="38">+D639*C639</f>
        <v>277.2</v>
      </c>
      <c r="H639" s="59"/>
      <c r="I639" s="60"/>
      <c r="J639" s="60"/>
      <c r="K639" s="61"/>
      <c r="L639" s="59"/>
      <c r="M639" s="59"/>
    </row>
    <row r="640" spans="1:13" ht="15" hidden="1" customHeight="1">
      <c r="A640" s="1620"/>
      <c r="B640" s="1622"/>
      <c r="C640" s="64">
        <f>2.63+2.7+4</f>
        <v>9.33</v>
      </c>
      <c r="D640" s="64">
        <v>14</v>
      </c>
      <c r="E640" s="64"/>
      <c r="F640" s="64"/>
      <c r="G640" s="64">
        <f t="shared" si="38"/>
        <v>130.62</v>
      </c>
      <c r="H640" s="59"/>
      <c r="I640" s="60"/>
      <c r="J640" s="60"/>
      <c r="K640" s="61"/>
      <c r="L640" s="59"/>
      <c r="M640" s="59"/>
    </row>
    <row r="641" spans="1:7" ht="14.25" hidden="1" customHeight="1">
      <c r="A641" s="1847" t="s">
        <v>71</v>
      </c>
      <c r="B641" s="1828"/>
      <c r="C641" s="64"/>
      <c r="D641" s="64"/>
      <c r="E641" s="64"/>
      <c r="F641" s="64"/>
      <c r="G641" s="64"/>
    </row>
    <row r="642" spans="1:7" ht="14.25" hidden="1" customHeight="1">
      <c r="A642" s="1845" t="s">
        <v>753</v>
      </c>
      <c r="B642" s="1828"/>
      <c r="C642" s="64">
        <f>7.7+0.65+0.65+0.54+1.6+1.2+2.71+3.55+0.5+2.66+1.51+2.56+0.6+1.6+2.84+1.1+7.7+0.6+2.01+1.5+1.95+0.45+2.8+1.75</f>
        <v>50.730000000000004</v>
      </c>
      <c r="D642" s="64">
        <v>3</v>
      </c>
      <c r="E642" s="64"/>
      <c r="F642" s="64"/>
      <c r="G642" s="64">
        <f t="shared" ref="G642:G643" si="39">+D642*C642</f>
        <v>152.19</v>
      </c>
    </row>
    <row r="643" spans="1:7" ht="14.25" hidden="1" customHeight="1">
      <c r="A643" s="1845" t="s">
        <v>753</v>
      </c>
      <c r="B643" s="1828"/>
      <c r="C643" s="64">
        <v>60.02</v>
      </c>
      <c r="D643" s="64">
        <v>1</v>
      </c>
      <c r="E643" s="64"/>
      <c r="F643" s="64"/>
      <c r="G643" s="64">
        <f t="shared" si="39"/>
        <v>60.02</v>
      </c>
    </row>
    <row r="644" spans="1:7" ht="14.25" hidden="1" customHeight="1">
      <c r="A644" s="1845" t="s">
        <v>778</v>
      </c>
      <c r="B644" s="1828"/>
      <c r="C644" s="64">
        <v>161.22999999999999</v>
      </c>
      <c r="D644" s="64"/>
      <c r="E644" s="64"/>
      <c r="F644" s="64">
        <v>2</v>
      </c>
      <c r="G644" s="64">
        <f>+F644*C644</f>
        <v>322.45999999999998</v>
      </c>
    </row>
    <row r="645" spans="1:7" ht="14.25" hidden="1" customHeight="1">
      <c r="A645" s="1851" t="s">
        <v>754</v>
      </c>
      <c r="B645" s="1828"/>
      <c r="C645" s="64"/>
      <c r="D645" s="64"/>
      <c r="E645" s="64"/>
      <c r="F645" s="64"/>
      <c r="G645" s="64"/>
    </row>
    <row r="646" spans="1:7" ht="14.25" hidden="1" customHeight="1">
      <c r="A646" s="1844" t="s">
        <v>779</v>
      </c>
      <c r="B646" s="1828"/>
      <c r="C646" s="64">
        <f>0.85+0.35+2.18+3.17+54.52+2.1+1+1.51+2.2+7+2.78+11.23+9.64+9.39</f>
        <v>107.92000000000002</v>
      </c>
      <c r="D646" s="64">
        <v>3.5</v>
      </c>
      <c r="E646" s="64"/>
      <c r="F646" s="64">
        <f>-(7.5*3.5)-(6*3)</f>
        <v>-44.25</v>
      </c>
      <c r="G646" s="64">
        <f>+(C646*D646)+F646</f>
        <v>333.47</v>
      </c>
    </row>
    <row r="647" spans="1:7" ht="14.25" hidden="1" customHeight="1">
      <c r="A647" s="1829" t="s">
        <v>227</v>
      </c>
      <c r="B647" s="1830"/>
      <c r="C647" s="1830"/>
      <c r="D647" s="1830"/>
      <c r="E647" s="1830"/>
      <c r="F647" s="1828"/>
      <c r="G647" s="65">
        <f>ROUND(SUM(G619:G646),2)</f>
        <v>3737.93</v>
      </c>
    </row>
    <row r="648" spans="1:7" ht="14.25" hidden="1" customHeight="1">
      <c r="A648" s="1831"/>
      <c r="B648" s="1830"/>
      <c r="C648" s="1830"/>
      <c r="D648" s="1830"/>
      <c r="E648" s="1830"/>
      <c r="F648" s="1830"/>
      <c r="G648" s="1828"/>
    </row>
    <row r="649" spans="1:7" ht="14.25" hidden="1" customHeight="1">
      <c r="A649" s="66" t="s">
        <v>264</v>
      </c>
      <c r="B649" s="1832" t="str">
        <f>+B614</f>
        <v>MAMPOSTERIA</v>
      </c>
      <c r="C649" s="1830"/>
      <c r="D649" s="1828"/>
      <c r="E649" s="1833" t="s">
        <v>218</v>
      </c>
      <c r="F649" s="1828"/>
      <c r="G649" s="62" t="str">
        <f>+G614</f>
        <v>M2</v>
      </c>
    </row>
    <row r="650" spans="1:7" ht="14.25" hidden="1" customHeight="1">
      <c r="A650" s="66" t="s">
        <v>780</v>
      </c>
      <c r="B650" s="1840" t="s">
        <v>781</v>
      </c>
      <c r="C650" s="1830"/>
      <c r="D650" s="1830"/>
      <c r="E650" s="1830"/>
      <c r="F650" s="1830"/>
      <c r="G650" s="1828"/>
    </row>
    <row r="651" spans="1:7" ht="14.25" hidden="1" customHeight="1">
      <c r="A651" s="1836" t="s">
        <v>220</v>
      </c>
      <c r="B651" s="1830"/>
      <c r="C651" s="1830"/>
      <c r="D651" s="1830"/>
      <c r="E651" s="1830"/>
      <c r="F651" s="1830"/>
      <c r="G651" s="1828"/>
    </row>
    <row r="652" spans="1:7" ht="14.25" hidden="1" customHeight="1">
      <c r="A652" s="1829" t="s">
        <v>221</v>
      </c>
      <c r="B652" s="1828"/>
      <c r="C652" s="63" t="s">
        <v>222</v>
      </c>
      <c r="D652" s="63" t="s">
        <v>223</v>
      </c>
      <c r="E652" s="63" t="s">
        <v>224</v>
      </c>
      <c r="F652" s="63" t="s">
        <v>225</v>
      </c>
      <c r="G652" s="63" t="s">
        <v>226</v>
      </c>
    </row>
    <row r="653" spans="1:7" ht="14.25" hidden="1" customHeight="1">
      <c r="A653" s="1845" t="s">
        <v>782</v>
      </c>
      <c r="B653" s="1828"/>
      <c r="C653" s="64">
        <f>+C605</f>
        <v>850.22</v>
      </c>
      <c r="D653" s="64"/>
      <c r="E653" s="64"/>
      <c r="F653" s="64">
        <v>2</v>
      </c>
      <c r="G653" s="64">
        <f>+C653*F653</f>
        <v>1700.44</v>
      </c>
    </row>
    <row r="654" spans="1:7" ht="14.25" hidden="1" customHeight="1">
      <c r="A654" s="1845" t="s">
        <v>783</v>
      </c>
      <c r="B654" s="1828"/>
      <c r="C654" s="64">
        <f>+C608</f>
        <v>23.1</v>
      </c>
      <c r="D654" s="64">
        <v>4.0999999999999996</v>
      </c>
      <c r="E654" s="64"/>
      <c r="F654" s="64">
        <v>2</v>
      </c>
      <c r="G654" s="64">
        <f>+C654*D654*F654</f>
        <v>189.42</v>
      </c>
    </row>
    <row r="655" spans="1:7" ht="14.25" hidden="1" customHeight="1">
      <c r="A655" s="1845" t="s">
        <v>784</v>
      </c>
      <c r="B655" s="1828"/>
      <c r="C655" s="64">
        <f>+G607+G606</f>
        <v>292.86399999999998</v>
      </c>
      <c r="D655" s="64"/>
      <c r="E655" s="64"/>
      <c r="F655" s="64">
        <v>2</v>
      </c>
      <c r="G655" s="64">
        <f t="shared" ref="G655:G656" si="40">+F655*C655</f>
        <v>585.72799999999995</v>
      </c>
    </row>
    <row r="656" spans="1:7" ht="14.25" hidden="1" customHeight="1">
      <c r="A656" s="1845" t="s">
        <v>785</v>
      </c>
      <c r="B656" s="1828"/>
      <c r="C656" s="64">
        <f>+G610</f>
        <v>16.38</v>
      </c>
      <c r="D656" s="64"/>
      <c r="E656" s="64"/>
      <c r="F656" s="64">
        <v>2</v>
      </c>
      <c r="G656" s="64">
        <f t="shared" si="40"/>
        <v>32.76</v>
      </c>
    </row>
    <row r="657" spans="1:7" ht="14.25" hidden="1" customHeight="1">
      <c r="A657" s="1845" t="s">
        <v>785</v>
      </c>
      <c r="B657" s="1828"/>
      <c r="C657" s="64">
        <f>+G646</f>
        <v>333.47</v>
      </c>
      <c r="D657" s="64"/>
      <c r="E657" s="64"/>
      <c r="F657" s="64"/>
      <c r="G657" s="64">
        <f>+C657</f>
        <v>333.47</v>
      </c>
    </row>
    <row r="658" spans="1:7" ht="14.25" hidden="1" customHeight="1">
      <c r="A658" s="1829" t="s">
        <v>227</v>
      </c>
      <c r="B658" s="1830"/>
      <c r="C658" s="1830"/>
      <c r="D658" s="1830"/>
      <c r="E658" s="1830"/>
      <c r="F658" s="1828"/>
      <c r="G658" s="65">
        <f>SUM(G653:G657)</f>
        <v>2841.8180000000002</v>
      </c>
    </row>
    <row r="659" spans="1:7" ht="14.25" hidden="1" customHeight="1">
      <c r="A659" s="1831"/>
      <c r="B659" s="1830"/>
      <c r="C659" s="1830"/>
      <c r="D659" s="1830"/>
      <c r="E659" s="1830"/>
      <c r="F659" s="1830"/>
      <c r="G659" s="1828"/>
    </row>
    <row r="660" spans="1:7" ht="14.25" hidden="1" customHeight="1">
      <c r="A660" s="66" t="s">
        <v>268</v>
      </c>
      <c r="B660" s="1832" t="s">
        <v>423</v>
      </c>
      <c r="C660" s="1830"/>
      <c r="D660" s="1828"/>
      <c r="E660" s="1833" t="s">
        <v>218</v>
      </c>
      <c r="F660" s="1828"/>
      <c r="G660" s="62" t="str">
        <f>+G649</f>
        <v>M2</v>
      </c>
    </row>
    <row r="661" spans="1:7" ht="14.25" hidden="1" customHeight="1">
      <c r="A661" s="66" t="s">
        <v>786</v>
      </c>
      <c r="B661" s="1840" t="s">
        <v>424</v>
      </c>
      <c r="C661" s="1830"/>
      <c r="D661" s="1830"/>
      <c r="E661" s="1830"/>
      <c r="F661" s="1830"/>
      <c r="G661" s="1828"/>
    </row>
    <row r="662" spans="1:7" ht="14.25" hidden="1" customHeight="1">
      <c r="A662" s="1836" t="s">
        <v>220</v>
      </c>
      <c r="B662" s="1830"/>
      <c r="C662" s="1830"/>
      <c r="D662" s="1830"/>
      <c r="E662" s="1830"/>
      <c r="F662" s="1830"/>
      <c r="G662" s="1828"/>
    </row>
    <row r="663" spans="1:7" ht="14.25" hidden="1" customHeight="1">
      <c r="A663" s="1829" t="s">
        <v>221</v>
      </c>
      <c r="B663" s="1828"/>
      <c r="C663" s="63" t="s">
        <v>222</v>
      </c>
      <c r="D663" s="63" t="s">
        <v>223</v>
      </c>
      <c r="E663" s="63" t="s">
        <v>224</v>
      </c>
      <c r="F663" s="63" t="s">
        <v>225</v>
      </c>
      <c r="G663" s="63" t="s">
        <v>226</v>
      </c>
    </row>
    <row r="664" spans="1:7" ht="14.25" hidden="1" customHeight="1">
      <c r="A664" s="1845" t="s">
        <v>787</v>
      </c>
      <c r="B664" s="1828"/>
      <c r="C664" s="64">
        <v>610.83999999999992</v>
      </c>
      <c r="D664" s="64"/>
      <c r="E664" s="64">
        <f>-G607</f>
        <v>-124.40999999999998</v>
      </c>
      <c r="F664" s="64"/>
      <c r="G664" s="64">
        <f>+C664+E664</f>
        <v>486.42999999999995</v>
      </c>
    </row>
    <row r="665" spans="1:7" ht="14.25" hidden="1" customHeight="1">
      <c r="A665" s="1845" t="s">
        <v>788</v>
      </c>
      <c r="B665" s="1828"/>
      <c r="C665" s="64">
        <f t="shared" ref="C665:D665" si="41">+C654</f>
        <v>23.1</v>
      </c>
      <c r="D665" s="64">
        <f t="shared" si="41"/>
        <v>4.0999999999999996</v>
      </c>
      <c r="E665" s="64"/>
      <c r="F665" s="64"/>
      <c r="G665" s="64">
        <f>+C665*D665</f>
        <v>94.71</v>
      </c>
    </row>
    <row r="666" spans="1:7" ht="14.25" hidden="1" customHeight="1">
      <c r="A666" s="1845" t="s">
        <v>789</v>
      </c>
      <c r="B666" s="1828"/>
      <c r="C666" s="64">
        <f>+G656+G657</f>
        <v>366.23</v>
      </c>
      <c r="D666" s="64"/>
      <c r="E666" s="64"/>
      <c r="F666" s="64"/>
      <c r="G666" s="64">
        <f>+C666</f>
        <v>366.23</v>
      </c>
    </row>
    <row r="667" spans="1:7" ht="14.25" hidden="1" customHeight="1">
      <c r="A667" s="1829" t="s">
        <v>227</v>
      </c>
      <c r="B667" s="1830"/>
      <c r="C667" s="1830"/>
      <c r="D667" s="1830"/>
      <c r="E667" s="1830"/>
      <c r="F667" s="1828"/>
      <c r="G667" s="65">
        <f>SUM(G664:G666)</f>
        <v>947.37</v>
      </c>
    </row>
    <row r="668" spans="1:7" ht="14.25" hidden="1" customHeight="1">
      <c r="A668" s="1831"/>
      <c r="B668" s="1830"/>
      <c r="C668" s="1830"/>
      <c r="D668" s="1830"/>
      <c r="E668" s="1830"/>
      <c r="F668" s="1830"/>
      <c r="G668" s="1828"/>
    </row>
    <row r="669" spans="1:7" ht="14.25" hidden="1" customHeight="1">
      <c r="A669" s="66" t="str">
        <f t="shared" ref="A669:B669" si="42">+A660</f>
        <v>CAPITULO 6:</v>
      </c>
      <c r="B669" s="1832" t="str">
        <f t="shared" si="42"/>
        <v>ACABADOS</v>
      </c>
      <c r="C669" s="1830"/>
      <c r="D669" s="1828"/>
      <c r="E669" s="1833" t="s">
        <v>218</v>
      </c>
      <c r="F669" s="1828"/>
      <c r="G669" s="62" t="str">
        <f>+G660</f>
        <v>M2</v>
      </c>
    </row>
    <row r="670" spans="1:7" ht="14.25" hidden="1" customHeight="1">
      <c r="A670" s="66" t="s">
        <v>790</v>
      </c>
      <c r="B670" s="1840" t="s">
        <v>425</v>
      </c>
      <c r="C670" s="1830"/>
      <c r="D670" s="1830"/>
      <c r="E670" s="1830"/>
      <c r="F670" s="1830"/>
      <c r="G670" s="1828"/>
    </row>
    <row r="671" spans="1:7" ht="14.25" hidden="1" customHeight="1">
      <c r="A671" s="1836" t="s">
        <v>220</v>
      </c>
      <c r="B671" s="1830"/>
      <c r="C671" s="1830"/>
      <c r="D671" s="1830"/>
      <c r="E671" s="1830"/>
      <c r="F671" s="1830"/>
      <c r="G671" s="1828"/>
    </row>
    <row r="672" spans="1:7" ht="14.25" hidden="1" customHeight="1">
      <c r="A672" s="1829" t="s">
        <v>221</v>
      </c>
      <c r="B672" s="1828"/>
      <c r="C672" s="63" t="s">
        <v>222</v>
      </c>
      <c r="D672" s="63" t="s">
        <v>223</v>
      </c>
      <c r="E672" s="63" t="s">
        <v>224</v>
      </c>
      <c r="F672" s="63" t="s">
        <v>225</v>
      </c>
      <c r="G672" s="63" t="s">
        <v>226</v>
      </c>
    </row>
    <row r="673" spans="1:7" ht="14.25" hidden="1" customHeight="1">
      <c r="A673" s="1845" t="s">
        <v>791</v>
      </c>
      <c r="B673" s="1828"/>
      <c r="C673" s="64">
        <f>+C653+G665</f>
        <v>944.93000000000006</v>
      </c>
      <c r="D673" s="64"/>
      <c r="E673" s="64"/>
      <c r="F673" s="64">
        <v>1</v>
      </c>
      <c r="G673" s="64">
        <f>+C673*F673</f>
        <v>944.93000000000006</v>
      </c>
    </row>
    <row r="674" spans="1:7" ht="14.25" hidden="1" customHeight="1">
      <c r="A674" s="1845"/>
      <c r="B674" s="1828"/>
      <c r="C674" s="64"/>
      <c r="D674" s="64"/>
      <c r="E674" s="64"/>
      <c r="F674" s="64"/>
      <c r="G674" s="64"/>
    </row>
    <row r="675" spans="1:7" ht="14.25" hidden="1" customHeight="1">
      <c r="A675" s="1845"/>
      <c r="B675" s="1828"/>
      <c r="C675" s="64"/>
      <c r="D675" s="64"/>
      <c r="E675" s="64"/>
      <c r="F675" s="64"/>
      <c r="G675" s="64"/>
    </row>
    <row r="676" spans="1:7" ht="14.25" hidden="1" customHeight="1">
      <c r="A676" s="1829" t="s">
        <v>227</v>
      </c>
      <c r="B676" s="1830"/>
      <c r="C676" s="1830"/>
      <c r="D676" s="1830"/>
      <c r="E676" s="1830"/>
      <c r="F676" s="1828"/>
      <c r="G676" s="65">
        <f>SUM(G673:G675)</f>
        <v>944.93000000000006</v>
      </c>
    </row>
    <row r="677" spans="1:7" ht="14.25" hidden="1" customHeight="1">
      <c r="A677" s="1831"/>
      <c r="B677" s="1830"/>
      <c r="C677" s="1830"/>
      <c r="D677" s="1830"/>
      <c r="E677" s="1830"/>
      <c r="F677" s="1830"/>
      <c r="G677" s="1828"/>
    </row>
    <row r="678" spans="1:7" ht="14.25" hidden="1" customHeight="1">
      <c r="A678" s="66" t="str">
        <f t="shared" ref="A678:B678" si="43">+A669</f>
        <v>CAPITULO 6:</v>
      </c>
      <c r="B678" s="1832" t="str">
        <f t="shared" si="43"/>
        <v>ACABADOS</v>
      </c>
      <c r="C678" s="1830"/>
      <c r="D678" s="1828"/>
      <c r="E678" s="1833" t="s">
        <v>218</v>
      </c>
      <c r="F678" s="1828"/>
      <c r="G678" s="62" t="str">
        <f>+G669</f>
        <v>M2</v>
      </c>
    </row>
    <row r="679" spans="1:7" ht="14.25" hidden="1" customHeight="1">
      <c r="A679" s="66" t="s">
        <v>792</v>
      </c>
      <c r="B679" s="1840" t="s">
        <v>426</v>
      </c>
      <c r="C679" s="1830"/>
      <c r="D679" s="1830"/>
      <c r="E679" s="1830"/>
      <c r="F679" s="1830"/>
      <c r="G679" s="1828"/>
    </row>
    <row r="680" spans="1:7" ht="14.25" hidden="1" customHeight="1">
      <c r="A680" s="1836" t="s">
        <v>220</v>
      </c>
      <c r="B680" s="1830"/>
      <c r="C680" s="1830"/>
      <c r="D680" s="1830"/>
      <c r="E680" s="1830"/>
      <c r="F680" s="1830"/>
      <c r="G680" s="1828"/>
    </row>
    <row r="681" spans="1:7" ht="14.25" hidden="1" customHeight="1">
      <c r="A681" s="1829" t="s">
        <v>221</v>
      </c>
      <c r="B681" s="1828"/>
      <c r="C681" s="63" t="s">
        <v>222</v>
      </c>
      <c r="D681" s="63" t="s">
        <v>223</v>
      </c>
      <c r="E681" s="63" t="s">
        <v>224</v>
      </c>
      <c r="F681" s="63" t="s">
        <v>225</v>
      </c>
      <c r="G681" s="63" t="s">
        <v>226</v>
      </c>
    </row>
    <row r="682" spans="1:7" ht="14.25" hidden="1" customHeight="1">
      <c r="A682" s="1827" t="s">
        <v>793</v>
      </c>
      <c r="B682" s="1828"/>
      <c r="C682" s="64">
        <v>331.97</v>
      </c>
      <c r="D682" s="64"/>
      <c r="E682" s="64"/>
      <c r="F682" s="64">
        <v>1</v>
      </c>
      <c r="G682" s="64"/>
    </row>
    <row r="683" spans="1:7" ht="14.25" hidden="1" customHeight="1">
      <c r="A683" s="1845" t="s">
        <v>794</v>
      </c>
      <c r="B683" s="1828"/>
      <c r="C683" s="64">
        <f>+C272</f>
        <v>209.4</v>
      </c>
      <c r="D683" s="64"/>
      <c r="E683" s="64"/>
      <c r="F683" s="64"/>
      <c r="G683" s="64"/>
    </row>
    <row r="684" spans="1:7" ht="14.25" hidden="1" customHeight="1">
      <c r="A684" s="1829" t="s">
        <v>227</v>
      </c>
      <c r="B684" s="1830"/>
      <c r="C684" s="1830"/>
      <c r="D684" s="1830"/>
      <c r="E684" s="1830"/>
      <c r="F684" s="1828"/>
      <c r="G684" s="191"/>
    </row>
    <row r="685" spans="1:7" ht="14.25" hidden="1" customHeight="1">
      <c r="A685" s="1831"/>
      <c r="B685" s="1830"/>
      <c r="C685" s="1830"/>
      <c r="D685" s="1830"/>
      <c r="E685" s="1830"/>
      <c r="F685" s="1830"/>
      <c r="G685" s="1828"/>
    </row>
    <row r="686" spans="1:7" ht="14.25" hidden="1" customHeight="1">
      <c r="A686" s="66" t="str">
        <f t="shared" ref="A686:B686" si="44">+A678</f>
        <v>CAPITULO 6:</v>
      </c>
      <c r="B686" s="1832" t="str">
        <f t="shared" si="44"/>
        <v>ACABADOS</v>
      </c>
      <c r="C686" s="1830"/>
      <c r="D686" s="1828"/>
      <c r="E686" s="1833" t="s">
        <v>218</v>
      </c>
      <c r="F686" s="1828"/>
      <c r="G686" s="62" t="str">
        <f>+G678</f>
        <v>M2</v>
      </c>
    </row>
    <row r="687" spans="1:7" ht="27.75" hidden="1" customHeight="1">
      <c r="A687" s="66" t="s">
        <v>792</v>
      </c>
      <c r="B687" s="1840" t="s">
        <v>795</v>
      </c>
      <c r="C687" s="1830"/>
      <c r="D687" s="1830"/>
      <c r="E687" s="1830"/>
      <c r="F687" s="1830"/>
      <c r="G687" s="1828"/>
    </row>
    <row r="688" spans="1:7" ht="14.25" hidden="1" customHeight="1">
      <c r="A688" s="1836" t="s">
        <v>220</v>
      </c>
      <c r="B688" s="1830"/>
      <c r="C688" s="1830"/>
      <c r="D688" s="1830"/>
      <c r="E688" s="1830"/>
      <c r="F688" s="1830"/>
      <c r="G688" s="1828"/>
    </row>
    <row r="689" spans="1:7" ht="14.25" hidden="1" customHeight="1">
      <c r="A689" s="1848" t="s">
        <v>221</v>
      </c>
      <c r="B689" s="1843"/>
      <c r="C689" s="63" t="s">
        <v>222</v>
      </c>
      <c r="D689" s="63" t="s">
        <v>223</v>
      </c>
      <c r="E689" s="63" t="s">
        <v>252</v>
      </c>
      <c r="F689" s="63" t="s">
        <v>225</v>
      </c>
      <c r="G689" s="63" t="s">
        <v>226</v>
      </c>
    </row>
    <row r="690" spans="1:7" ht="14.25" hidden="1" customHeight="1">
      <c r="A690" s="1847" t="s">
        <v>758</v>
      </c>
      <c r="B690" s="1828"/>
      <c r="C690" s="64"/>
      <c r="D690" s="64"/>
      <c r="E690" s="64"/>
      <c r="F690" s="64"/>
      <c r="G690" s="64"/>
    </row>
    <row r="691" spans="1:7" ht="14.25" hidden="1" customHeight="1">
      <c r="A691" s="1846" t="s">
        <v>59</v>
      </c>
      <c r="B691" s="1843"/>
      <c r="C691" s="64"/>
      <c r="D691" s="64">
        <v>1.05</v>
      </c>
      <c r="E691" s="64">
        <v>2.2000000000000002</v>
      </c>
      <c r="F691" s="64">
        <v>2</v>
      </c>
      <c r="G691" s="64">
        <f t="shared" ref="G691:G711" si="45">+D691*E691*F691</f>
        <v>4.620000000000001</v>
      </c>
    </row>
    <row r="692" spans="1:7" ht="14.25" hidden="1" customHeight="1">
      <c r="A692" s="1618"/>
      <c r="B692" s="1619"/>
      <c r="C692" s="64"/>
      <c r="D692" s="64">
        <v>1</v>
      </c>
      <c r="E692" s="64">
        <v>2.2000000000000002</v>
      </c>
      <c r="F692" s="64">
        <v>1</v>
      </c>
      <c r="G692" s="64">
        <f t="shared" si="45"/>
        <v>2.2000000000000002</v>
      </c>
    </row>
    <row r="693" spans="1:7" ht="14.25" hidden="1" customHeight="1">
      <c r="A693" s="1618"/>
      <c r="B693" s="1619"/>
      <c r="C693" s="64"/>
      <c r="D693" s="64">
        <v>0.9</v>
      </c>
      <c r="E693" s="64">
        <v>2.2000000000000002</v>
      </c>
      <c r="F693" s="64">
        <v>4</v>
      </c>
      <c r="G693" s="64">
        <f t="shared" si="45"/>
        <v>7.9200000000000008</v>
      </c>
    </row>
    <row r="694" spans="1:7" ht="14.25" hidden="1" customHeight="1">
      <c r="A694" s="1618"/>
      <c r="B694" s="1619"/>
      <c r="C694" s="64"/>
      <c r="D694" s="64">
        <v>0.8</v>
      </c>
      <c r="E694" s="64">
        <v>2.2000000000000002</v>
      </c>
      <c r="F694" s="64">
        <v>1</v>
      </c>
      <c r="G694" s="64">
        <f t="shared" si="45"/>
        <v>1.7600000000000002</v>
      </c>
    </row>
    <row r="695" spans="1:7" ht="14.25" hidden="1" customHeight="1">
      <c r="A695" s="1618"/>
      <c r="B695" s="1619"/>
      <c r="C695" s="64"/>
      <c r="D695" s="64">
        <v>0.7</v>
      </c>
      <c r="E695" s="64">
        <v>2.2000000000000002</v>
      </c>
      <c r="F695" s="64">
        <v>3</v>
      </c>
      <c r="G695" s="64">
        <f t="shared" si="45"/>
        <v>4.62</v>
      </c>
    </row>
    <row r="696" spans="1:7" ht="14.25" hidden="1" customHeight="1">
      <c r="A696" s="1620"/>
      <c r="B696" s="1622"/>
      <c r="C696" s="64"/>
      <c r="D696" s="64">
        <v>2</v>
      </c>
      <c r="E696" s="64">
        <v>2.2000000000000002</v>
      </c>
      <c r="F696" s="64">
        <v>1</v>
      </c>
      <c r="G696" s="64">
        <f t="shared" si="45"/>
        <v>4.4000000000000004</v>
      </c>
    </row>
    <row r="697" spans="1:7" ht="14.25" hidden="1" customHeight="1">
      <c r="A697" s="1846" t="s">
        <v>796</v>
      </c>
      <c r="B697" s="1843"/>
      <c r="C697" s="64"/>
      <c r="D697" s="64">
        <v>0.9</v>
      </c>
      <c r="E697" s="64">
        <v>2.2000000000000002</v>
      </c>
      <c r="F697" s="64">
        <v>2</v>
      </c>
      <c r="G697" s="64">
        <f t="shared" si="45"/>
        <v>3.9600000000000004</v>
      </c>
    </row>
    <row r="698" spans="1:7" ht="14.25" hidden="1" customHeight="1">
      <c r="A698" s="1620"/>
      <c r="B698" s="1622"/>
      <c r="C698" s="64"/>
      <c r="D698" s="64">
        <v>0.8</v>
      </c>
      <c r="E698" s="64">
        <v>2.2000000000000002</v>
      </c>
      <c r="F698" s="64">
        <v>2</v>
      </c>
      <c r="G698" s="64">
        <f t="shared" si="45"/>
        <v>3.5200000000000005</v>
      </c>
    </row>
    <row r="699" spans="1:7" ht="14.25" hidden="1" customHeight="1">
      <c r="A699" s="1846" t="s">
        <v>762</v>
      </c>
      <c r="B699" s="1843"/>
      <c r="C699" s="64"/>
      <c r="D699" s="64">
        <v>0.9</v>
      </c>
      <c r="E699" s="64">
        <v>2.2000000000000002</v>
      </c>
      <c r="F699" s="64">
        <v>1</v>
      </c>
      <c r="G699" s="64">
        <f t="shared" si="45"/>
        <v>1.9800000000000002</v>
      </c>
    </row>
    <row r="700" spans="1:7" ht="14.25" hidden="1" customHeight="1">
      <c r="A700" s="1620"/>
      <c r="B700" s="1622"/>
      <c r="C700" s="64"/>
      <c r="D700" s="64">
        <v>0.7</v>
      </c>
      <c r="E700" s="64">
        <v>2.2000000000000002</v>
      </c>
      <c r="F700" s="64">
        <v>1</v>
      </c>
      <c r="G700" s="64">
        <f t="shared" si="45"/>
        <v>1.54</v>
      </c>
    </row>
    <row r="701" spans="1:7" ht="15.75" hidden="1" customHeight="1">
      <c r="A701" s="1845" t="s">
        <v>797</v>
      </c>
      <c r="B701" s="1828"/>
      <c r="C701" s="64"/>
      <c r="D701" s="64">
        <v>1.2</v>
      </c>
      <c r="E701" s="64">
        <v>2.2000000000000002</v>
      </c>
      <c r="F701" s="64">
        <v>1</v>
      </c>
      <c r="G701" s="64">
        <f t="shared" si="45"/>
        <v>2.64</v>
      </c>
    </row>
    <row r="702" spans="1:7" ht="14.25" hidden="1" customHeight="1">
      <c r="A702" s="1846" t="s">
        <v>61</v>
      </c>
      <c r="B702" s="1843"/>
      <c r="C702" s="64"/>
      <c r="D702" s="64">
        <v>1.05</v>
      </c>
      <c r="E702" s="64">
        <v>2.2000000000000002</v>
      </c>
      <c r="F702" s="64">
        <v>2</v>
      </c>
      <c r="G702" s="64">
        <f t="shared" si="45"/>
        <v>4.620000000000001</v>
      </c>
    </row>
    <row r="703" spans="1:7" ht="14.25" hidden="1" customHeight="1">
      <c r="A703" s="1618"/>
      <c r="B703" s="1619"/>
      <c r="C703" s="64"/>
      <c r="D703" s="64">
        <v>1</v>
      </c>
      <c r="E703" s="64">
        <v>2.2000000000000002</v>
      </c>
      <c r="F703" s="64">
        <v>1</v>
      </c>
      <c r="G703" s="64">
        <f t="shared" si="45"/>
        <v>2.2000000000000002</v>
      </c>
    </row>
    <row r="704" spans="1:7" ht="14.25" hidden="1" customHeight="1">
      <c r="A704" s="1618"/>
      <c r="B704" s="1619"/>
      <c r="C704" s="64"/>
      <c r="D704" s="64">
        <v>0.9</v>
      </c>
      <c r="E704" s="64">
        <v>2.2000000000000002</v>
      </c>
      <c r="F704" s="64">
        <v>3</v>
      </c>
      <c r="G704" s="64">
        <f t="shared" si="45"/>
        <v>5.94</v>
      </c>
    </row>
    <row r="705" spans="1:7" ht="14.25" hidden="1" customHeight="1">
      <c r="A705" s="1618"/>
      <c r="B705" s="1619"/>
      <c r="C705" s="64"/>
      <c r="D705" s="64">
        <v>0.8</v>
      </c>
      <c r="E705" s="64">
        <v>2.2000000000000002</v>
      </c>
      <c r="F705" s="64">
        <v>2</v>
      </c>
      <c r="G705" s="64">
        <f t="shared" si="45"/>
        <v>3.5200000000000005</v>
      </c>
    </row>
    <row r="706" spans="1:7" ht="14.25" hidden="1" customHeight="1">
      <c r="A706" s="1618"/>
      <c r="B706" s="1619"/>
      <c r="C706" s="64"/>
      <c r="D706" s="64">
        <v>0.7</v>
      </c>
      <c r="E706" s="64">
        <v>2.2000000000000002</v>
      </c>
      <c r="F706" s="64">
        <v>3</v>
      </c>
      <c r="G706" s="64">
        <f t="shared" si="45"/>
        <v>4.62</v>
      </c>
    </row>
    <row r="707" spans="1:7" ht="14.25" hidden="1" customHeight="1">
      <c r="A707" s="1620"/>
      <c r="B707" s="1622"/>
      <c r="C707" s="64"/>
      <c r="D707" s="64">
        <v>2</v>
      </c>
      <c r="E707" s="64">
        <v>2.2000000000000002</v>
      </c>
      <c r="F707" s="64">
        <v>1</v>
      </c>
      <c r="G707" s="64">
        <f t="shared" si="45"/>
        <v>4.4000000000000004</v>
      </c>
    </row>
    <row r="708" spans="1:7" ht="14.25" hidden="1" customHeight="1">
      <c r="A708" s="1846" t="s">
        <v>763</v>
      </c>
      <c r="B708" s="1843"/>
      <c r="C708" s="64"/>
      <c r="D708" s="64">
        <v>0.9</v>
      </c>
      <c r="E708" s="64">
        <v>2.2000000000000002</v>
      </c>
      <c r="F708" s="64">
        <v>1</v>
      </c>
      <c r="G708" s="64">
        <f t="shared" si="45"/>
        <v>1.9800000000000002</v>
      </c>
    </row>
    <row r="709" spans="1:7" ht="14.25" hidden="1" customHeight="1">
      <c r="A709" s="1620"/>
      <c r="B709" s="1622"/>
      <c r="C709" s="64"/>
      <c r="D709" s="64">
        <v>0.7</v>
      </c>
      <c r="E709" s="64">
        <v>2.2000000000000002</v>
      </c>
      <c r="F709" s="64">
        <v>1</v>
      </c>
      <c r="G709" s="64">
        <f t="shared" si="45"/>
        <v>1.54</v>
      </c>
    </row>
    <row r="710" spans="1:7" ht="14.25" hidden="1" customHeight="1">
      <c r="A710" s="1844" t="s">
        <v>764</v>
      </c>
      <c r="B710" s="1828"/>
      <c r="C710" s="64"/>
      <c r="D710" s="64">
        <v>0.9</v>
      </c>
      <c r="E710" s="64">
        <v>2.2000000000000002</v>
      </c>
      <c r="F710" s="64">
        <v>1</v>
      </c>
      <c r="G710" s="64">
        <f t="shared" si="45"/>
        <v>1.9800000000000002</v>
      </c>
    </row>
    <row r="711" spans="1:7" ht="14.25" hidden="1" customHeight="1">
      <c r="A711" s="1845" t="s">
        <v>765</v>
      </c>
      <c r="B711" s="1828"/>
      <c r="C711" s="64"/>
      <c r="D711" s="64">
        <v>0.9</v>
      </c>
      <c r="E711" s="64">
        <v>2.2000000000000002</v>
      </c>
      <c r="F711" s="64">
        <v>2</v>
      </c>
      <c r="G711" s="64">
        <f t="shared" si="45"/>
        <v>3.9600000000000004</v>
      </c>
    </row>
    <row r="712" spans="1:7" ht="14.25" hidden="1" customHeight="1">
      <c r="A712" s="1847" t="s">
        <v>767</v>
      </c>
      <c r="B712" s="1828"/>
      <c r="C712" s="64"/>
      <c r="D712" s="64"/>
      <c r="E712" s="64"/>
      <c r="F712" s="64"/>
      <c r="G712" s="64"/>
    </row>
    <row r="713" spans="1:7" ht="14.25" hidden="1" customHeight="1">
      <c r="A713" s="1844" t="s">
        <v>798</v>
      </c>
      <c r="B713" s="1828"/>
      <c r="C713" s="64"/>
      <c r="D713" s="64">
        <v>1.4</v>
      </c>
      <c r="E713" s="64">
        <v>2.2000000000000002</v>
      </c>
      <c r="F713" s="64">
        <v>1</v>
      </c>
      <c r="G713" s="64">
        <f t="shared" ref="G713:G730" si="46">+D713*E713*F713</f>
        <v>3.08</v>
      </c>
    </row>
    <row r="714" spans="1:7" ht="14.25" hidden="1" customHeight="1">
      <c r="A714" s="1845" t="s">
        <v>799</v>
      </c>
      <c r="B714" s="1828"/>
      <c r="C714" s="64"/>
      <c r="D714" s="64">
        <v>0.9</v>
      </c>
      <c r="E714" s="64">
        <v>2.2000000000000002</v>
      </c>
      <c r="F714" s="64">
        <v>1</v>
      </c>
      <c r="G714" s="64">
        <f t="shared" si="46"/>
        <v>1.9800000000000002</v>
      </c>
    </row>
    <row r="715" spans="1:7" ht="14.25" hidden="1" customHeight="1">
      <c r="A715" s="1845" t="s">
        <v>800</v>
      </c>
      <c r="B715" s="1828"/>
      <c r="C715" s="64"/>
      <c r="D715" s="64">
        <v>0.9</v>
      </c>
      <c r="E715" s="64">
        <v>2.2000000000000002</v>
      </c>
      <c r="F715" s="64">
        <v>1</v>
      </c>
      <c r="G715" s="64">
        <f t="shared" si="46"/>
        <v>1.9800000000000002</v>
      </c>
    </row>
    <row r="716" spans="1:7" ht="14.25" hidden="1" customHeight="1">
      <c r="A716" s="1846" t="s">
        <v>751</v>
      </c>
      <c r="B716" s="1843"/>
      <c r="C716" s="64"/>
      <c r="D716" s="64">
        <v>1.2</v>
      </c>
      <c r="E716" s="64">
        <v>2.2000000000000002</v>
      </c>
      <c r="F716" s="64">
        <v>2</v>
      </c>
      <c r="G716" s="64">
        <f t="shared" si="46"/>
        <v>5.28</v>
      </c>
    </row>
    <row r="717" spans="1:7" ht="14.25" hidden="1" customHeight="1">
      <c r="A717" s="1618"/>
      <c r="B717" s="1619"/>
      <c r="C717" s="64"/>
      <c r="D717" s="64">
        <v>0.9</v>
      </c>
      <c r="E717" s="64">
        <v>2.2000000000000002</v>
      </c>
      <c r="F717" s="64">
        <v>2</v>
      </c>
      <c r="G717" s="64">
        <f t="shared" si="46"/>
        <v>3.9600000000000004</v>
      </c>
    </row>
    <row r="718" spans="1:7" ht="14.25" hidden="1" customHeight="1">
      <c r="A718" s="1620"/>
      <c r="B718" s="1622"/>
      <c r="C718" s="64"/>
      <c r="D718" s="64">
        <v>0.7</v>
      </c>
      <c r="E718" s="64">
        <v>2.2000000000000002</v>
      </c>
      <c r="F718" s="64">
        <v>2</v>
      </c>
      <c r="G718" s="64">
        <f t="shared" si="46"/>
        <v>3.08</v>
      </c>
    </row>
    <row r="719" spans="1:7" ht="14.25" hidden="1" customHeight="1">
      <c r="A719" s="1844" t="s">
        <v>752</v>
      </c>
      <c r="B719" s="1828"/>
      <c r="C719" s="64"/>
      <c r="D719" s="64">
        <v>0.9</v>
      </c>
      <c r="E719" s="64">
        <v>2.2000000000000002</v>
      </c>
      <c r="F719" s="64">
        <v>4</v>
      </c>
      <c r="G719" s="64">
        <f t="shared" si="46"/>
        <v>7.9200000000000008</v>
      </c>
    </row>
    <row r="720" spans="1:7" ht="14.25" hidden="1" customHeight="1">
      <c r="A720" s="1844" t="s">
        <v>769</v>
      </c>
      <c r="B720" s="1828"/>
      <c r="C720" s="64"/>
      <c r="D720" s="64">
        <v>0.7</v>
      </c>
      <c r="E720" s="64">
        <v>2.2000000000000002</v>
      </c>
      <c r="F720" s="64">
        <v>2</v>
      </c>
      <c r="G720" s="64">
        <f t="shared" si="46"/>
        <v>3.08</v>
      </c>
    </row>
    <row r="721" spans="1:7" ht="14.25" hidden="1" customHeight="1">
      <c r="A721" s="1845" t="s">
        <v>771</v>
      </c>
      <c r="B721" s="1828"/>
      <c r="C721" s="64"/>
      <c r="D721" s="64">
        <v>0.7</v>
      </c>
      <c r="E721" s="64">
        <v>2.2000000000000002</v>
      </c>
      <c r="F721" s="64">
        <v>2</v>
      </c>
      <c r="G721" s="64">
        <f t="shared" si="46"/>
        <v>3.08</v>
      </c>
    </row>
    <row r="722" spans="1:7" ht="14.25" hidden="1" customHeight="1">
      <c r="A722" s="1844" t="s">
        <v>772</v>
      </c>
      <c r="B722" s="1828"/>
      <c r="C722" s="64"/>
      <c r="D722" s="64">
        <v>1.4</v>
      </c>
      <c r="E722" s="64">
        <v>2.2000000000000002</v>
      </c>
      <c r="F722" s="64">
        <v>1</v>
      </c>
      <c r="G722" s="64">
        <f t="shared" si="46"/>
        <v>3.08</v>
      </c>
    </row>
    <row r="723" spans="1:7" ht="14.25" hidden="1" customHeight="1">
      <c r="A723" s="1846" t="s">
        <v>773</v>
      </c>
      <c r="B723" s="1843"/>
      <c r="C723" s="64"/>
      <c r="D723" s="64">
        <v>1.1000000000000001</v>
      </c>
      <c r="E723" s="64">
        <v>2.2000000000000002</v>
      </c>
      <c r="F723" s="64">
        <v>1</v>
      </c>
      <c r="G723" s="64">
        <f t="shared" si="46"/>
        <v>2.4200000000000004</v>
      </c>
    </row>
    <row r="724" spans="1:7" ht="14.25" hidden="1" customHeight="1">
      <c r="A724" s="1618"/>
      <c r="B724" s="1619"/>
      <c r="C724" s="64"/>
      <c r="D724" s="64">
        <v>0.8</v>
      </c>
      <c r="E724" s="64">
        <v>2.2000000000000002</v>
      </c>
      <c r="F724" s="64">
        <v>1</v>
      </c>
      <c r="G724" s="64">
        <f t="shared" si="46"/>
        <v>1.7600000000000002</v>
      </c>
    </row>
    <row r="725" spans="1:7" ht="14.25" hidden="1" customHeight="1">
      <c r="A725" s="1620"/>
      <c r="B725" s="1622"/>
      <c r="C725" s="64"/>
      <c r="D725" s="64">
        <v>0.7</v>
      </c>
      <c r="E725" s="64">
        <v>2.2000000000000002</v>
      </c>
      <c r="F725" s="64">
        <v>1</v>
      </c>
      <c r="G725" s="64">
        <f t="shared" si="46"/>
        <v>1.54</v>
      </c>
    </row>
    <row r="726" spans="1:7" ht="14.25" hidden="1" customHeight="1">
      <c r="A726" s="1844" t="s">
        <v>776</v>
      </c>
      <c r="B726" s="1828"/>
      <c r="C726" s="64"/>
      <c r="D726" s="64">
        <v>1.1000000000000001</v>
      </c>
      <c r="E726" s="64">
        <v>2.2000000000000002</v>
      </c>
      <c r="F726" s="64">
        <v>1</v>
      </c>
      <c r="G726" s="64">
        <f t="shared" si="46"/>
        <v>2.4200000000000004</v>
      </c>
    </row>
    <row r="727" spans="1:7" ht="14.25" hidden="1" customHeight="1">
      <c r="A727" s="1846" t="s">
        <v>775</v>
      </c>
      <c r="B727" s="1843"/>
      <c r="C727" s="64"/>
      <c r="D727" s="64">
        <v>1.8</v>
      </c>
      <c r="E727" s="64">
        <v>2.2000000000000002</v>
      </c>
      <c r="F727" s="64">
        <v>2</v>
      </c>
      <c r="G727" s="64">
        <f t="shared" si="46"/>
        <v>7.9200000000000008</v>
      </c>
    </row>
    <row r="728" spans="1:7" ht="14.25" hidden="1" customHeight="1">
      <c r="A728" s="1620"/>
      <c r="B728" s="1622"/>
      <c r="C728" s="64"/>
      <c r="D728" s="64">
        <v>0.9</v>
      </c>
      <c r="E728" s="64">
        <v>2.2000000000000002</v>
      </c>
      <c r="F728" s="64">
        <v>1</v>
      </c>
      <c r="G728" s="64">
        <f t="shared" si="46"/>
        <v>1.9800000000000002</v>
      </c>
    </row>
    <row r="729" spans="1:7" ht="14.25" hidden="1" customHeight="1">
      <c r="A729" s="1846" t="s">
        <v>801</v>
      </c>
      <c r="B729" s="1843"/>
      <c r="C729" s="64"/>
      <c r="D729" s="64">
        <v>1.4</v>
      </c>
      <c r="E729" s="64">
        <v>2.2000000000000002</v>
      </c>
      <c r="F729" s="64">
        <v>1</v>
      </c>
      <c r="G729" s="64">
        <f t="shared" si="46"/>
        <v>3.08</v>
      </c>
    </row>
    <row r="730" spans="1:7" ht="14.25" hidden="1" customHeight="1">
      <c r="A730" s="1620"/>
      <c r="B730" s="1622"/>
      <c r="C730" s="64"/>
      <c r="D730" s="64">
        <v>0.7</v>
      </c>
      <c r="E730" s="64">
        <v>2.2000000000000002</v>
      </c>
      <c r="F730" s="64">
        <v>1</v>
      </c>
      <c r="G730" s="64">
        <f t="shared" si="46"/>
        <v>1.54</v>
      </c>
    </row>
    <row r="731" spans="1:7" ht="14.25" hidden="1" customHeight="1">
      <c r="A731" s="1847" t="s">
        <v>802</v>
      </c>
      <c r="B731" s="1828"/>
      <c r="C731" s="64"/>
      <c r="D731" s="64"/>
      <c r="E731" s="64"/>
      <c r="F731" s="64"/>
      <c r="G731" s="64"/>
    </row>
    <row r="732" spans="1:7" ht="15" hidden="1" customHeight="1">
      <c r="A732" s="1846" t="s">
        <v>803</v>
      </c>
      <c r="B732" s="1843"/>
      <c r="C732" s="64"/>
      <c r="D732" s="64">
        <v>1.5</v>
      </c>
      <c r="E732" s="64">
        <v>2.2000000000000002</v>
      </c>
      <c r="F732" s="64">
        <v>2</v>
      </c>
      <c r="G732" s="64">
        <f t="shared" ref="G732:G737" si="47">+D732*E732*F732</f>
        <v>6.6000000000000005</v>
      </c>
    </row>
    <row r="733" spans="1:7" ht="14.25" hidden="1" customHeight="1">
      <c r="A733" s="1618"/>
      <c r="B733" s="1619"/>
      <c r="C733" s="64"/>
      <c r="D733" s="64">
        <v>1.2</v>
      </c>
      <c r="E733" s="64">
        <v>2.2000000000000002</v>
      </c>
      <c r="F733" s="64">
        <v>2</v>
      </c>
      <c r="G733" s="64">
        <f t="shared" si="47"/>
        <v>5.28</v>
      </c>
    </row>
    <row r="734" spans="1:7" ht="14.25" hidden="1" customHeight="1">
      <c r="A734" s="1618"/>
      <c r="B734" s="1619"/>
      <c r="C734" s="64"/>
      <c r="D734" s="64">
        <v>1.4</v>
      </c>
      <c r="E734" s="64">
        <v>2.2000000000000002</v>
      </c>
      <c r="F734" s="64">
        <v>2</v>
      </c>
      <c r="G734" s="64">
        <f t="shared" si="47"/>
        <v>6.16</v>
      </c>
    </row>
    <row r="735" spans="1:7" ht="14.25" hidden="1" customHeight="1">
      <c r="A735" s="1620"/>
      <c r="B735" s="1622"/>
      <c r="C735" s="64"/>
      <c r="D735" s="64">
        <v>0.9</v>
      </c>
      <c r="E735" s="64">
        <v>2.2000000000000002</v>
      </c>
      <c r="F735" s="64">
        <v>1</v>
      </c>
      <c r="G735" s="64">
        <f t="shared" si="47"/>
        <v>1.9800000000000002</v>
      </c>
    </row>
    <row r="736" spans="1:7" ht="14.25" hidden="1" customHeight="1">
      <c r="A736" s="1845" t="s">
        <v>804</v>
      </c>
      <c r="B736" s="1828"/>
      <c r="C736" s="64"/>
      <c r="D736" s="64">
        <v>1.2</v>
      </c>
      <c r="E736" s="64">
        <v>2.2000000000000002</v>
      </c>
      <c r="F736" s="64">
        <v>1</v>
      </c>
      <c r="G736" s="64">
        <f t="shared" si="47"/>
        <v>2.64</v>
      </c>
    </row>
    <row r="737" spans="1:7" ht="14.25" hidden="1" customHeight="1">
      <c r="A737" s="1844" t="s">
        <v>805</v>
      </c>
      <c r="B737" s="1828"/>
      <c r="C737" s="64"/>
      <c r="D737" s="64">
        <v>1.1000000000000001</v>
      </c>
      <c r="E737" s="64">
        <v>2.2000000000000002</v>
      </c>
      <c r="F737" s="64">
        <v>4</v>
      </c>
      <c r="G737" s="64">
        <f t="shared" si="47"/>
        <v>9.6800000000000015</v>
      </c>
    </row>
    <row r="738" spans="1:7" ht="14.25" hidden="1" customHeight="1">
      <c r="A738" s="1847" t="s">
        <v>806</v>
      </c>
      <c r="B738" s="1828"/>
      <c r="C738" s="64"/>
      <c r="D738" s="64"/>
      <c r="E738" s="64"/>
      <c r="F738" s="64"/>
      <c r="G738" s="64"/>
    </row>
    <row r="739" spans="1:7" ht="15" hidden="1" customHeight="1">
      <c r="A739" s="1846" t="s">
        <v>806</v>
      </c>
      <c r="B739" s="1843"/>
      <c r="C739" s="64"/>
      <c r="D739" s="64">
        <v>1.2</v>
      </c>
      <c r="E739" s="64">
        <v>2.2000000000000002</v>
      </c>
      <c r="F739" s="64">
        <v>4</v>
      </c>
      <c r="G739" s="64">
        <f t="shared" ref="G739:G742" si="48">+D739*E739*F739</f>
        <v>10.56</v>
      </c>
    </row>
    <row r="740" spans="1:7" ht="14.25" hidden="1" customHeight="1">
      <c r="A740" s="1618"/>
      <c r="B740" s="1619"/>
      <c r="C740" s="64"/>
      <c r="D740" s="64">
        <v>0.7</v>
      </c>
      <c r="E740" s="64">
        <v>2.2000000000000002</v>
      </c>
      <c r="F740" s="64">
        <v>2</v>
      </c>
      <c r="G740" s="64">
        <f t="shared" si="48"/>
        <v>3.08</v>
      </c>
    </row>
    <row r="741" spans="1:7" ht="14.25" hidden="1" customHeight="1">
      <c r="A741" s="1618"/>
      <c r="B741" s="1619"/>
      <c r="C741" s="64"/>
      <c r="D741" s="64">
        <v>0.8</v>
      </c>
      <c r="E741" s="64">
        <v>2.2000000000000002</v>
      </c>
      <c r="F741" s="64">
        <v>1</v>
      </c>
      <c r="G741" s="64">
        <f t="shared" si="48"/>
        <v>1.7600000000000002</v>
      </c>
    </row>
    <row r="742" spans="1:7" ht="14.25" hidden="1" customHeight="1">
      <c r="A742" s="1620"/>
      <c r="B742" s="1622"/>
      <c r="C742" s="64"/>
      <c r="D742" s="64"/>
      <c r="E742" s="64"/>
      <c r="F742" s="64"/>
      <c r="G742" s="64">
        <f t="shared" si="48"/>
        <v>0</v>
      </c>
    </row>
    <row r="743" spans="1:7" ht="14.25" hidden="1" customHeight="1">
      <c r="A743" s="1849" t="s">
        <v>227</v>
      </c>
      <c r="B743" s="1621"/>
      <c r="C743" s="1621"/>
      <c r="D743" s="1621"/>
      <c r="E743" s="1621"/>
      <c r="F743" s="1622"/>
      <c r="G743" s="65">
        <f>SUM(G691:G742)</f>
        <v>180.84</v>
      </c>
    </row>
    <row r="744" spans="1:7" ht="14.25" hidden="1" customHeight="1">
      <c r="A744" s="1831"/>
      <c r="B744" s="1830"/>
      <c r="C744" s="1830"/>
      <c r="D744" s="1830"/>
      <c r="E744" s="1830"/>
      <c r="F744" s="1830"/>
      <c r="G744" s="1828"/>
    </row>
    <row r="745" spans="1:7" ht="14.25" hidden="1" customHeight="1">
      <c r="A745" s="66" t="str">
        <f t="shared" ref="A745:B745" si="49">+A686</f>
        <v>CAPITULO 6:</v>
      </c>
      <c r="B745" s="1832" t="str">
        <f t="shared" si="49"/>
        <v>ACABADOS</v>
      </c>
      <c r="C745" s="1830"/>
      <c r="D745" s="1828"/>
      <c r="E745" s="1833" t="s">
        <v>218</v>
      </c>
      <c r="F745" s="1828"/>
      <c r="G745" s="62" t="str">
        <f>+G686</f>
        <v>M2</v>
      </c>
    </row>
    <row r="746" spans="1:7" ht="14.25" hidden="1" customHeight="1">
      <c r="A746" s="66" t="s">
        <v>807</v>
      </c>
      <c r="B746" s="1840" t="s">
        <v>808</v>
      </c>
      <c r="C746" s="1830"/>
      <c r="D746" s="1830"/>
      <c r="E746" s="1830"/>
      <c r="F746" s="1830"/>
      <c r="G746" s="1828"/>
    </row>
    <row r="747" spans="1:7" ht="14.25" hidden="1" customHeight="1">
      <c r="A747" s="1836" t="s">
        <v>220</v>
      </c>
      <c r="B747" s="1830"/>
      <c r="C747" s="1830"/>
      <c r="D747" s="1830"/>
      <c r="E747" s="1830"/>
      <c r="F747" s="1830"/>
      <c r="G747" s="1828"/>
    </row>
    <row r="748" spans="1:7" ht="14.25" hidden="1" customHeight="1">
      <c r="A748" s="1829" t="s">
        <v>221</v>
      </c>
      <c r="B748" s="1828"/>
      <c r="C748" s="63" t="s">
        <v>222</v>
      </c>
      <c r="D748" s="63" t="s">
        <v>223</v>
      </c>
      <c r="E748" s="63" t="s">
        <v>252</v>
      </c>
      <c r="F748" s="63" t="s">
        <v>225</v>
      </c>
      <c r="G748" s="63" t="s">
        <v>226</v>
      </c>
    </row>
    <row r="749" spans="1:7" ht="14.25" hidden="1" customHeight="1">
      <c r="A749" s="1847" t="s">
        <v>758</v>
      </c>
      <c r="B749" s="1828"/>
      <c r="C749" s="64"/>
      <c r="D749" s="64"/>
      <c r="E749" s="64"/>
      <c r="F749" s="64"/>
      <c r="G749" s="64"/>
    </row>
    <row r="750" spans="1:7" ht="14.25" hidden="1" customHeight="1">
      <c r="A750" s="1845" t="s">
        <v>796</v>
      </c>
      <c r="B750" s="1828"/>
      <c r="C750" s="64"/>
      <c r="D750" s="64">
        <f>1+1.74+1.34</f>
        <v>4.08</v>
      </c>
      <c r="E750" s="64">
        <v>2.2000000000000002</v>
      </c>
      <c r="F750" s="64">
        <v>1</v>
      </c>
      <c r="G750" s="64">
        <f t="shared" ref="G750:G754" si="50">+D750*E750*F750</f>
        <v>8.9760000000000009</v>
      </c>
    </row>
    <row r="751" spans="1:7" ht="14.25" hidden="1" customHeight="1">
      <c r="A751" s="1845" t="s">
        <v>764</v>
      </c>
      <c r="B751" s="1828"/>
      <c r="C751" s="64"/>
      <c r="D751" s="64">
        <f>1.3+0.6</f>
        <v>1.9</v>
      </c>
      <c r="E751" s="64">
        <v>2.2000000000000002</v>
      </c>
      <c r="F751" s="64">
        <v>1</v>
      </c>
      <c r="G751" s="64">
        <f t="shared" si="50"/>
        <v>4.18</v>
      </c>
    </row>
    <row r="752" spans="1:7" ht="14.25" hidden="1" customHeight="1">
      <c r="A752" s="1845" t="s">
        <v>765</v>
      </c>
      <c r="B752" s="1828"/>
      <c r="C752" s="64"/>
      <c r="D752" s="64">
        <f>1.2+0.8+0.8</f>
        <v>2.8</v>
      </c>
      <c r="E752" s="64">
        <v>2.2000000000000002</v>
      </c>
      <c r="F752" s="64">
        <v>2</v>
      </c>
      <c r="G752" s="64">
        <f t="shared" si="50"/>
        <v>12.32</v>
      </c>
    </row>
    <row r="753" spans="1:256" ht="14.25" hidden="1" customHeight="1">
      <c r="A753" s="1846" t="s">
        <v>751</v>
      </c>
      <c r="B753" s="1843"/>
      <c r="C753" s="64"/>
      <c r="D753" s="64">
        <f>3.5+4.2</f>
        <v>7.7</v>
      </c>
      <c r="E753" s="64">
        <v>2.2000000000000002</v>
      </c>
      <c r="F753" s="64">
        <v>2</v>
      </c>
      <c r="G753" s="64">
        <f t="shared" si="50"/>
        <v>33.880000000000003</v>
      </c>
      <c r="H753" s="59"/>
      <c r="I753" s="60"/>
      <c r="J753" s="60"/>
      <c r="K753" s="61"/>
      <c r="L753" s="59"/>
      <c r="M753" s="59"/>
      <c r="N753" s="59"/>
      <c r="O753" s="59"/>
      <c r="P753" s="59"/>
      <c r="Q753" s="59"/>
      <c r="R753" s="59"/>
      <c r="S753" s="59"/>
      <c r="T753" s="59"/>
      <c r="U753" s="59"/>
      <c r="V753" s="59"/>
      <c r="W753" s="59"/>
      <c r="X753" s="59"/>
      <c r="Y753" s="59"/>
      <c r="Z753" s="59"/>
      <c r="AA753" s="59"/>
      <c r="AB753" s="59"/>
      <c r="AC753" s="59"/>
      <c r="AD753" s="59"/>
      <c r="AE753" s="59"/>
      <c r="AF753" s="59"/>
      <c r="AG753" s="59"/>
      <c r="AH753" s="59"/>
      <c r="AI753" s="59"/>
      <c r="AJ753" s="59"/>
      <c r="AK753" s="59"/>
      <c r="AL753" s="59"/>
      <c r="AM753" s="59"/>
      <c r="AN753" s="59"/>
      <c r="AO753" s="59"/>
      <c r="AP753" s="59"/>
      <c r="AQ753" s="59"/>
      <c r="AR753" s="59"/>
      <c r="AS753" s="59"/>
      <c r="AT753" s="59"/>
      <c r="AU753" s="59"/>
      <c r="AV753" s="59"/>
      <c r="AW753" s="59"/>
      <c r="AX753" s="59"/>
      <c r="AY753" s="59"/>
      <c r="AZ753" s="59"/>
      <c r="BA753" s="59"/>
      <c r="BB753" s="59"/>
      <c r="BC753" s="59"/>
      <c r="BD753" s="59"/>
      <c r="BE753" s="59"/>
      <c r="BF753" s="59"/>
      <c r="BG753" s="59"/>
      <c r="BH753" s="59"/>
      <c r="BI753" s="59"/>
      <c r="BJ753" s="59"/>
      <c r="BK753" s="59"/>
      <c r="BL753" s="59"/>
      <c r="BM753" s="59"/>
      <c r="BN753" s="59"/>
      <c r="BO753" s="59"/>
      <c r="BP753" s="59"/>
      <c r="BQ753" s="59"/>
      <c r="BR753" s="59"/>
      <c r="BS753" s="59"/>
      <c r="BT753" s="59"/>
      <c r="BU753" s="59"/>
      <c r="BV753" s="59"/>
      <c r="BW753" s="59"/>
      <c r="BX753" s="59"/>
      <c r="BY753" s="59"/>
      <c r="BZ753" s="59"/>
      <c r="CA753" s="59"/>
      <c r="CB753" s="59"/>
      <c r="CC753" s="59"/>
      <c r="CD753" s="59"/>
      <c r="CE753" s="59"/>
      <c r="CF753" s="59"/>
      <c r="CG753" s="59"/>
      <c r="CH753" s="59"/>
      <c r="CI753" s="59"/>
      <c r="CJ753" s="59"/>
      <c r="CK753" s="59"/>
      <c r="CL753" s="59"/>
      <c r="CM753" s="59"/>
      <c r="CN753" s="59"/>
      <c r="CO753" s="59"/>
      <c r="CP753" s="59"/>
      <c r="CQ753" s="59"/>
      <c r="CR753" s="59"/>
      <c r="CS753" s="59"/>
      <c r="CT753" s="59"/>
      <c r="CU753" s="59"/>
      <c r="CV753" s="59"/>
      <c r="CW753" s="59"/>
      <c r="CX753" s="59"/>
      <c r="CY753" s="59"/>
      <c r="CZ753" s="59"/>
      <c r="DA753" s="59"/>
      <c r="DB753" s="59"/>
      <c r="DC753" s="59"/>
      <c r="DD753" s="59"/>
      <c r="DE753" s="59"/>
      <c r="DF753" s="59"/>
      <c r="DG753" s="59"/>
      <c r="DH753" s="59"/>
      <c r="DI753" s="59"/>
      <c r="DJ753" s="59"/>
      <c r="DK753" s="59"/>
      <c r="DL753" s="59"/>
      <c r="DM753" s="59"/>
      <c r="DN753" s="59"/>
      <c r="DO753" s="59"/>
      <c r="DP753" s="59"/>
      <c r="DQ753" s="59"/>
      <c r="DR753" s="59"/>
      <c r="DS753" s="59"/>
      <c r="DT753" s="59"/>
      <c r="DU753" s="59"/>
      <c r="DV753" s="59"/>
      <c r="DW753" s="59"/>
      <c r="DX753" s="59"/>
      <c r="DY753" s="59"/>
      <c r="DZ753" s="59"/>
      <c r="EA753" s="59"/>
      <c r="EB753" s="59"/>
      <c r="EC753" s="59"/>
      <c r="ED753" s="59"/>
      <c r="EE753" s="59"/>
      <c r="EF753" s="59"/>
      <c r="EG753" s="59"/>
      <c r="EH753" s="59"/>
      <c r="EI753" s="59"/>
      <c r="EJ753" s="59"/>
      <c r="EK753" s="59"/>
      <c r="EL753" s="59"/>
      <c r="EM753" s="59"/>
      <c r="EN753" s="59"/>
      <c r="EO753" s="59"/>
      <c r="EP753" s="59"/>
      <c r="EQ753" s="59"/>
      <c r="ER753" s="59"/>
      <c r="ES753" s="59"/>
      <c r="ET753" s="59"/>
      <c r="EU753" s="59"/>
      <c r="EV753" s="59"/>
      <c r="EW753" s="59"/>
      <c r="EX753" s="59"/>
      <c r="EY753" s="59"/>
      <c r="EZ753" s="59"/>
      <c r="FA753" s="59"/>
      <c r="FB753" s="59"/>
      <c r="FC753" s="59"/>
      <c r="FD753" s="59"/>
      <c r="FE753" s="59"/>
      <c r="FF753" s="59"/>
      <c r="FG753" s="59"/>
      <c r="FH753" s="59"/>
      <c r="FI753" s="59"/>
      <c r="FJ753" s="59"/>
      <c r="FK753" s="59"/>
      <c r="FL753" s="59"/>
      <c r="FM753" s="59"/>
      <c r="FN753" s="59"/>
      <c r="FO753" s="59"/>
      <c r="FP753" s="59"/>
      <c r="FQ753" s="59"/>
      <c r="FR753" s="59"/>
      <c r="FS753" s="59"/>
      <c r="FT753" s="59"/>
      <c r="FU753" s="59"/>
      <c r="FV753" s="59"/>
      <c r="FW753" s="59"/>
      <c r="FX753" s="59"/>
      <c r="FY753" s="59"/>
      <c r="FZ753" s="59"/>
      <c r="GA753" s="59"/>
      <c r="GB753" s="59"/>
      <c r="GC753" s="59"/>
      <c r="GD753" s="59"/>
      <c r="GE753" s="59"/>
      <c r="GF753" s="59"/>
      <c r="GG753" s="59"/>
      <c r="GH753" s="59"/>
      <c r="GI753" s="59"/>
      <c r="GJ753" s="59"/>
      <c r="GK753" s="59"/>
      <c r="GL753" s="59"/>
      <c r="GM753" s="59"/>
      <c r="GN753" s="59"/>
      <c r="GO753" s="59"/>
      <c r="GP753" s="59"/>
      <c r="GQ753" s="59"/>
      <c r="GR753" s="59"/>
      <c r="GS753" s="59"/>
      <c r="GT753" s="59"/>
      <c r="GU753" s="59"/>
      <c r="GV753" s="59"/>
      <c r="GW753" s="59"/>
      <c r="GX753" s="59"/>
      <c r="GY753" s="59"/>
      <c r="GZ753" s="59"/>
      <c r="HA753" s="59"/>
      <c r="HB753" s="59"/>
      <c r="HC753" s="59"/>
      <c r="HD753" s="59"/>
      <c r="HE753" s="59"/>
      <c r="HF753" s="59"/>
      <c r="HG753" s="59"/>
      <c r="HH753" s="59"/>
      <c r="HI753" s="59"/>
      <c r="HJ753" s="59"/>
      <c r="HK753" s="59"/>
      <c r="HL753" s="59"/>
      <c r="HM753" s="59"/>
      <c r="HN753" s="59"/>
      <c r="HO753" s="59"/>
      <c r="HP753" s="59"/>
      <c r="HQ753" s="59"/>
      <c r="HR753" s="59"/>
      <c r="HS753" s="59"/>
      <c r="HT753" s="59"/>
      <c r="HU753" s="59"/>
      <c r="HV753" s="59"/>
      <c r="HW753" s="59"/>
      <c r="HX753" s="59"/>
      <c r="HY753" s="59"/>
      <c r="HZ753" s="59"/>
      <c r="IA753" s="59"/>
      <c r="IB753" s="59"/>
      <c r="IC753" s="59"/>
      <c r="ID753" s="59"/>
      <c r="IE753" s="59"/>
      <c r="IF753" s="59"/>
      <c r="IG753" s="59"/>
      <c r="IH753" s="59"/>
      <c r="II753" s="59"/>
      <c r="IJ753" s="59"/>
      <c r="IK753" s="59"/>
      <c r="IL753" s="59"/>
      <c r="IM753" s="59"/>
      <c r="IN753" s="59"/>
      <c r="IO753" s="59"/>
      <c r="IP753" s="59"/>
      <c r="IQ753" s="59"/>
      <c r="IR753" s="59"/>
      <c r="IS753" s="59"/>
      <c r="IT753" s="59"/>
      <c r="IU753" s="59"/>
      <c r="IV753" s="59"/>
    </row>
    <row r="754" spans="1:256" ht="14.25" hidden="1" customHeight="1">
      <c r="A754" s="1844" t="s">
        <v>752</v>
      </c>
      <c r="B754" s="1828"/>
      <c r="C754" s="64"/>
      <c r="D754" s="64">
        <f>+((3.55*2)+(1.44*6))</f>
        <v>15.74</v>
      </c>
      <c r="E754" s="64">
        <v>2.2000000000000002</v>
      </c>
      <c r="F754" s="64">
        <v>2</v>
      </c>
      <c r="G754" s="64">
        <f t="shared" si="50"/>
        <v>69.256</v>
      </c>
      <c r="H754" s="59"/>
      <c r="I754" s="60"/>
      <c r="J754" s="60"/>
      <c r="K754" s="61"/>
      <c r="L754" s="59"/>
      <c r="M754" s="59"/>
      <c r="N754" s="59"/>
      <c r="O754" s="59"/>
      <c r="P754" s="59"/>
      <c r="Q754" s="59"/>
      <c r="R754" s="59"/>
      <c r="S754" s="59"/>
      <c r="T754" s="59"/>
      <c r="U754" s="59"/>
      <c r="V754" s="59"/>
      <c r="W754" s="59"/>
      <c r="X754" s="59"/>
      <c r="Y754" s="59"/>
      <c r="Z754" s="59"/>
      <c r="AA754" s="59"/>
      <c r="AB754" s="59"/>
      <c r="AC754" s="59"/>
      <c r="AD754" s="59"/>
      <c r="AE754" s="59"/>
      <c r="AF754" s="59"/>
      <c r="AG754" s="59"/>
      <c r="AH754" s="59"/>
      <c r="AI754" s="59"/>
      <c r="AJ754" s="59"/>
      <c r="AK754" s="59"/>
      <c r="AL754" s="59"/>
      <c r="AM754" s="59"/>
      <c r="AN754" s="59"/>
      <c r="AO754" s="59"/>
      <c r="AP754" s="59"/>
      <c r="AQ754" s="59"/>
      <c r="AR754" s="59"/>
      <c r="AS754" s="59"/>
      <c r="AT754" s="59"/>
      <c r="AU754" s="59"/>
      <c r="AV754" s="59"/>
      <c r="AW754" s="59"/>
      <c r="AX754" s="59"/>
      <c r="AY754" s="59"/>
      <c r="AZ754" s="59"/>
      <c r="BA754" s="59"/>
      <c r="BB754" s="59"/>
      <c r="BC754" s="59"/>
      <c r="BD754" s="59"/>
      <c r="BE754" s="59"/>
      <c r="BF754" s="59"/>
      <c r="BG754" s="59"/>
      <c r="BH754" s="59"/>
      <c r="BI754" s="59"/>
      <c r="BJ754" s="59"/>
      <c r="BK754" s="59"/>
      <c r="BL754" s="59"/>
      <c r="BM754" s="59"/>
      <c r="BN754" s="59"/>
      <c r="BO754" s="59"/>
      <c r="BP754" s="59"/>
      <c r="BQ754" s="59"/>
      <c r="BR754" s="59"/>
      <c r="BS754" s="59"/>
      <c r="BT754" s="59"/>
      <c r="BU754" s="59"/>
      <c r="BV754" s="59"/>
      <c r="BW754" s="59"/>
      <c r="BX754" s="59"/>
      <c r="BY754" s="59"/>
      <c r="BZ754" s="59"/>
      <c r="CA754" s="59"/>
      <c r="CB754" s="59"/>
      <c r="CC754" s="59"/>
      <c r="CD754" s="59"/>
      <c r="CE754" s="59"/>
      <c r="CF754" s="59"/>
      <c r="CG754" s="59"/>
      <c r="CH754" s="59"/>
      <c r="CI754" s="59"/>
      <c r="CJ754" s="59"/>
      <c r="CK754" s="59"/>
      <c r="CL754" s="59"/>
      <c r="CM754" s="59"/>
      <c r="CN754" s="59"/>
      <c r="CO754" s="59"/>
      <c r="CP754" s="59"/>
      <c r="CQ754" s="59"/>
      <c r="CR754" s="59"/>
      <c r="CS754" s="59"/>
      <c r="CT754" s="59"/>
      <c r="CU754" s="59"/>
      <c r="CV754" s="59"/>
      <c r="CW754" s="59"/>
      <c r="CX754" s="59"/>
      <c r="CY754" s="59"/>
      <c r="CZ754" s="59"/>
      <c r="DA754" s="59"/>
      <c r="DB754" s="59"/>
      <c r="DC754" s="59"/>
      <c r="DD754" s="59"/>
      <c r="DE754" s="59"/>
      <c r="DF754" s="59"/>
      <c r="DG754" s="59"/>
      <c r="DH754" s="59"/>
      <c r="DI754" s="59"/>
      <c r="DJ754" s="59"/>
      <c r="DK754" s="59"/>
      <c r="DL754" s="59"/>
      <c r="DM754" s="59"/>
      <c r="DN754" s="59"/>
      <c r="DO754" s="59"/>
      <c r="DP754" s="59"/>
      <c r="DQ754" s="59"/>
      <c r="DR754" s="59"/>
      <c r="DS754" s="59"/>
      <c r="DT754" s="59"/>
      <c r="DU754" s="59"/>
      <c r="DV754" s="59"/>
      <c r="DW754" s="59"/>
      <c r="DX754" s="59"/>
      <c r="DY754" s="59"/>
      <c r="DZ754" s="59"/>
      <c r="EA754" s="59"/>
      <c r="EB754" s="59"/>
      <c r="EC754" s="59"/>
      <c r="ED754" s="59"/>
      <c r="EE754" s="59"/>
      <c r="EF754" s="59"/>
      <c r="EG754" s="59"/>
      <c r="EH754" s="59"/>
      <c r="EI754" s="59"/>
      <c r="EJ754" s="59"/>
      <c r="EK754" s="59"/>
      <c r="EL754" s="59"/>
      <c r="EM754" s="59"/>
      <c r="EN754" s="59"/>
      <c r="EO754" s="59"/>
      <c r="EP754" s="59"/>
      <c r="EQ754" s="59"/>
      <c r="ER754" s="59"/>
      <c r="ES754" s="59"/>
      <c r="ET754" s="59"/>
      <c r="EU754" s="59"/>
      <c r="EV754" s="59"/>
      <c r="EW754" s="59"/>
      <c r="EX754" s="59"/>
      <c r="EY754" s="59"/>
      <c r="EZ754" s="59"/>
      <c r="FA754" s="59"/>
      <c r="FB754" s="59"/>
      <c r="FC754" s="59"/>
      <c r="FD754" s="59"/>
      <c r="FE754" s="59"/>
      <c r="FF754" s="59"/>
      <c r="FG754" s="59"/>
      <c r="FH754" s="59"/>
      <c r="FI754" s="59"/>
      <c r="FJ754" s="59"/>
      <c r="FK754" s="59"/>
      <c r="FL754" s="59"/>
      <c r="FM754" s="59"/>
      <c r="FN754" s="59"/>
      <c r="FO754" s="59"/>
      <c r="FP754" s="59"/>
      <c r="FQ754" s="59"/>
      <c r="FR754" s="59"/>
      <c r="FS754" s="59"/>
      <c r="FT754" s="59"/>
      <c r="FU754" s="59"/>
      <c r="FV754" s="59"/>
      <c r="FW754" s="59"/>
      <c r="FX754" s="59"/>
      <c r="FY754" s="59"/>
      <c r="FZ754" s="59"/>
      <c r="GA754" s="59"/>
      <c r="GB754" s="59"/>
      <c r="GC754" s="59"/>
      <c r="GD754" s="59"/>
      <c r="GE754" s="59"/>
      <c r="GF754" s="59"/>
      <c r="GG754" s="59"/>
      <c r="GH754" s="59"/>
      <c r="GI754" s="59"/>
      <c r="GJ754" s="59"/>
      <c r="GK754" s="59"/>
      <c r="GL754" s="59"/>
      <c r="GM754" s="59"/>
      <c r="GN754" s="59"/>
      <c r="GO754" s="59"/>
      <c r="GP754" s="59"/>
      <c r="GQ754" s="59"/>
      <c r="GR754" s="59"/>
      <c r="GS754" s="59"/>
      <c r="GT754" s="59"/>
      <c r="GU754" s="59"/>
      <c r="GV754" s="59"/>
      <c r="GW754" s="59"/>
      <c r="GX754" s="59"/>
      <c r="GY754" s="59"/>
      <c r="GZ754" s="59"/>
      <c r="HA754" s="59"/>
      <c r="HB754" s="59"/>
      <c r="HC754" s="59"/>
      <c r="HD754" s="59"/>
      <c r="HE754" s="59"/>
      <c r="HF754" s="59"/>
      <c r="HG754" s="59"/>
      <c r="HH754" s="59"/>
      <c r="HI754" s="59"/>
      <c r="HJ754" s="59"/>
      <c r="HK754" s="59"/>
      <c r="HL754" s="59"/>
      <c r="HM754" s="59"/>
      <c r="HN754" s="59"/>
      <c r="HO754" s="59"/>
      <c r="HP754" s="59"/>
      <c r="HQ754" s="59"/>
      <c r="HR754" s="59"/>
      <c r="HS754" s="59"/>
      <c r="HT754" s="59"/>
      <c r="HU754" s="59"/>
      <c r="HV754" s="59"/>
      <c r="HW754" s="59"/>
      <c r="HX754" s="59"/>
      <c r="HY754" s="59"/>
      <c r="HZ754" s="59"/>
      <c r="IA754" s="59"/>
      <c r="IB754" s="59"/>
      <c r="IC754" s="59"/>
      <c r="ID754" s="59"/>
      <c r="IE754" s="59"/>
      <c r="IF754" s="59"/>
      <c r="IG754" s="59"/>
      <c r="IH754" s="59"/>
      <c r="II754" s="59"/>
      <c r="IJ754" s="59"/>
      <c r="IK754" s="59"/>
      <c r="IL754" s="59"/>
      <c r="IM754" s="59"/>
      <c r="IN754" s="59"/>
      <c r="IO754" s="59"/>
      <c r="IP754" s="59"/>
      <c r="IQ754" s="59"/>
      <c r="IR754" s="59"/>
      <c r="IS754" s="59"/>
      <c r="IT754" s="59"/>
      <c r="IU754" s="59"/>
      <c r="IV754" s="59"/>
    </row>
    <row r="755" spans="1:256" ht="14.25" hidden="1" customHeight="1">
      <c r="A755" s="1829" t="s">
        <v>227</v>
      </c>
      <c r="B755" s="1830"/>
      <c r="C755" s="1830"/>
      <c r="D755" s="1830"/>
      <c r="E755" s="1830"/>
      <c r="F755" s="1828"/>
      <c r="G755" s="65">
        <f>SUM(G750:G754)</f>
        <v>128.61199999999999</v>
      </c>
      <c r="H755" s="59"/>
      <c r="I755" s="60"/>
      <c r="J755" s="60"/>
      <c r="K755" s="61"/>
      <c r="L755" s="59"/>
      <c r="M755" s="59"/>
      <c r="N755" s="59"/>
      <c r="O755" s="59"/>
      <c r="P755" s="59"/>
      <c r="Q755" s="59"/>
      <c r="R755" s="59"/>
      <c r="S755" s="59"/>
      <c r="T755" s="59"/>
      <c r="U755" s="59"/>
      <c r="V755" s="59"/>
      <c r="W755" s="59"/>
      <c r="X755" s="59"/>
      <c r="Y755" s="59"/>
      <c r="Z755" s="59"/>
      <c r="AA755" s="59"/>
      <c r="AB755" s="59"/>
      <c r="AC755" s="59"/>
      <c r="AD755" s="59"/>
      <c r="AE755" s="59"/>
      <c r="AF755" s="59"/>
      <c r="AG755" s="59"/>
      <c r="AH755" s="59"/>
      <c r="AI755" s="59"/>
      <c r="AJ755" s="59"/>
      <c r="AK755" s="59"/>
      <c r="AL755" s="59"/>
      <c r="AM755" s="59"/>
      <c r="AN755" s="59"/>
      <c r="AO755" s="59"/>
      <c r="AP755" s="59"/>
      <c r="AQ755" s="59"/>
      <c r="AR755" s="59"/>
      <c r="AS755" s="59"/>
      <c r="AT755" s="59"/>
      <c r="AU755" s="59"/>
      <c r="AV755" s="59"/>
      <c r="AW755" s="59"/>
      <c r="AX755" s="59"/>
      <c r="AY755" s="59"/>
      <c r="AZ755" s="59"/>
      <c r="BA755" s="59"/>
      <c r="BB755" s="59"/>
      <c r="BC755" s="59"/>
      <c r="BD755" s="59"/>
      <c r="BE755" s="59"/>
      <c r="BF755" s="59"/>
      <c r="BG755" s="59"/>
      <c r="BH755" s="59"/>
      <c r="BI755" s="59"/>
      <c r="BJ755" s="59"/>
      <c r="BK755" s="59"/>
      <c r="BL755" s="59"/>
      <c r="BM755" s="59"/>
      <c r="BN755" s="59"/>
      <c r="BO755" s="59"/>
      <c r="BP755" s="59"/>
      <c r="BQ755" s="59"/>
      <c r="BR755" s="59"/>
      <c r="BS755" s="59"/>
      <c r="BT755" s="59"/>
      <c r="BU755" s="59"/>
      <c r="BV755" s="59"/>
      <c r="BW755" s="59"/>
      <c r="BX755" s="59"/>
      <c r="BY755" s="59"/>
      <c r="BZ755" s="59"/>
      <c r="CA755" s="59"/>
      <c r="CB755" s="59"/>
      <c r="CC755" s="59"/>
      <c r="CD755" s="59"/>
      <c r="CE755" s="59"/>
      <c r="CF755" s="59"/>
      <c r="CG755" s="59"/>
      <c r="CH755" s="59"/>
      <c r="CI755" s="59"/>
      <c r="CJ755" s="59"/>
      <c r="CK755" s="59"/>
      <c r="CL755" s="59"/>
      <c r="CM755" s="59"/>
      <c r="CN755" s="59"/>
      <c r="CO755" s="59"/>
      <c r="CP755" s="59"/>
      <c r="CQ755" s="59"/>
      <c r="CR755" s="59"/>
      <c r="CS755" s="59"/>
      <c r="CT755" s="59"/>
      <c r="CU755" s="59"/>
      <c r="CV755" s="59"/>
      <c r="CW755" s="59"/>
      <c r="CX755" s="59"/>
      <c r="CY755" s="59"/>
      <c r="CZ755" s="59"/>
      <c r="DA755" s="59"/>
      <c r="DB755" s="59"/>
      <c r="DC755" s="59"/>
      <c r="DD755" s="59"/>
      <c r="DE755" s="59"/>
      <c r="DF755" s="59"/>
      <c r="DG755" s="59"/>
      <c r="DH755" s="59"/>
      <c r="DI755" s="59"/>
      <c r="DJ755" s="59"/>
      <c r="DK755" s="59"/>
      <c r="DL755" s="59"/>
      <c r="DM755" s="59"/>
      <c r="DN755" s="59"/>
      <c r="DO755" s="59"/>
      <c r="DP755" s="59"/>
      <c r="DQ755" s="59"/>
      <c r="DR755" s="59"/>
      <c r="DS755" s="59"/>
      <c r="DT755" s="59"/>
      <c r="DU755" s="59"/>
      <c r="DV755" s="59"/>
      <c r="DW755" s="59"/>
      <c r="DX755" s="59"/>
      <c r="DY755" s="59"/>
      <c r="DZ755" s="59"/>
      <c r="EA755" s="59"/>
      <c r="EB755" s="59"/>
      <c r="EC755" s="59"/>
      <c r="ED755" s="59"/>
      <c r="EE755" s="59"/>
      <c r="EF755" s="59"/>
      <c r="EG755" s="59"/>
      <c r="EH755" s="59"/>
      <c r="EI755" s="59"/>
      <c r="EJ755" s="59"/>
      <c r="EK755" s="59"/>
      <c r="EL755" s="59"/>
      <c r="EM755" s="59"/>
      <c r="EN755" s="59"/>
      <c r="EO755" s="59"/>
      <c r="EP755" s="59"/>
      <c r="EQ755" s="59"/>
      <c r="ER755" s="59"/>
      <c r="ES755" s="59"/>
      <c r="ET755" s="59"/>
      <c r="EU755" s="59"/>
      <c r="EV755" s="59"/>
      <c r="EW755" s="59"/>
      <c r="EX755" s="59"/>
      <c r="EY755" s="59"/>
      <c r="EZ755" s="59"/>
      <c r="FA755" s="59"/>
      <c r="FB755" s="59"/>
      <c r="FC755" s="59"/>
      <c r="FD755" s="59"/>
      <c r="FE755" s="59"/>
      <c r="FF755" s="59"/>
      <c r="FG755" s="59"/>
      <c r="FH755" s="59"/>
      <c r="FI755" s="59"/>
      <c r="FJ755" s="59"/>
      <c r="FK755" s="59"/>
      <c r="FL755" s="59"/>
      <c r="FM755" s="59"/>
      <c r="FN755" s="59"/>
      <c r="FO755" s="59"/>
      <c r="FP755" s="59"/>
      <c r="FQ755" s="59"/>
      <c r="FR755" s="59"/>
      <c r="FS755" s="59"/>
      <c r="FT755" s="59"/>
      <c r="FU755" s="59"/>
      <c r="FV755" s="59"/>
      <c r="FW755" s="59"/>
      <c r="FX755" s="59"/>
      <c r="FY755" s="59"/>
      <c r="FZ755" s="59"/>
      <c r="GA755" s="59"/>
      <c r="GB755" s="59"/>
      <c r="GC755" s="59"/>
      <c r="GD755" s="59"/>
      <c r="GE755" s="59"/>
      <c r="GF755" s="59"/>
      <c r="GG755" s="59"/>
      <c r="GH755" s="59"/>
      <c r="GI755" s="59"/>
      <c r="GJ755" s="59"/>
      <c r="GK755" s="59"/>
      <c r="GL755" s="59"/>
      <c r="GM755" s="59"/>
      <c r="GN755" s="59"/>
      <c r="GO755" s="59"/>
      <c r="GP755" s="59"/>
      <c r="GQ755" s="59"/>
      <c r="GR755" s="59"/>
      <c r="GS755" s="59"/>
      <c r="GT755" s="59"/>
      <c r="GU755" s="59"/>
      <c r="GV755" s="59"/>
      <c r="GW755" s="59"/>
      <c r="GX755" s="59"/>
      <c r="GY755" s="59"/>
      <c r="GZ755" s="59"/>
      <c r="HA755" s="59"/>
      <c r="HB755" s="59"/>
      <c r="HC755" s="59"/>
      <c r="HD755" s="59"/>
      <c r="HE755" s="59"/>
      <c r="HF755" s="59"/>
      <c r="HG755" s="59"/>
      <c r="HH755" s="59"/>
      <c r="HI755" s="59"/>
      <c r="HJ755" s="59"/>
      <c r="HK755" s="59"/>
      <c r="HL755" s="59"/>
      <c r="HM755" s="59"/>
      <c r="HN755" s="59"/>
      <c r="HO755" s="59"/>
      <c r="HP755" s="59"/>
      <c r="HQ755" s="59"/>
      <c r="HR755" s="59"/>
      <c r="HS755" s="59"/>
      <c r="HT755" s="59"/>
      <c r="HU755" s="59"/>
      <c r="HV755" s="59"/>
      <c r="HW755" s="59"/>
      <c r="HX755" s="59"/>
      <c r="HY755" s="59"/>
      <c r="HZ755" s="59"/>
      <c r="IA755" s="59"/>
      <c r="IB755" s="59"/>
      <c r="IC755" s="59"/>
      <c r="ID755" s="59"/>
      <c r="IE755" s="59"/>
      <c r="IF755" s="59"/>
      <c r="IG755" s="59"/>
      <c r="IH755" s="59"/>
      <c r="II755" s="59"/>
      <c r="IJ755" s="59"/>
      <c r="IK755" s="59"/>
      <c r="IL755" s="59"/>
      <c r="IM755" s="59"/>
      <c r="IN755" s="59"/>
      <c r="IO755" s="59"/>
      <c r="IP755" s="59"/>
      <c r="IQ755" s="59"/>
      <c r="IR755" s="59"/>
      <c r="IS755" s="59"/>
      <c r="IT755" s="59"/>
      <c r="IU755" s="59"/>
      <c r="IV755" s="69">
        <f>SUM(G755:IU755)</f>
        <v>128.61199999999999</v>
      </c>
    </row>
    <row r="756" spans="1:256" ht="14.25" hidden="1" customHeight="1">
      <c r="A756" s="1831"/>
      <c r="B756" s="1830"/>
      <c r="C756" s="1830"/>
      <c r="D756" s="1830"/>
      <c r="E756" s="1830"/>
      <c r="F756" s="1830"/>
      <c r="G756" s="1828"/>
      <c r="H756" s="59"/>
      <c r="I756" s="60"/>
      <c r="J756" s="60"/>
      <c r="K756" s="61"/>
      <c r="L756" s="59"/>
      <c r="M756" s="59"/>
      <c r="N756" s="59"/>
      <c r="O756" s="59"/>
      <c r="P756" s="59"/>
      <c r="Q756" s="59"/>
      <c r="R756" s="59"/>
      <c r="S756" s="59"/>
      <c r="T756" s="59"/>
      <c r="U756" s="59"/>
      <c r="V756" s="59"/>
      <c r="W756" s="59"/>
      <c r="X756" s="59"/>
      <c r="Y756" s="59"/>
      <c r="Z756" s="59"/>
      <c r="AA756" s="59"/>
      <c r="AB756" s="59"/>
      <c r="AC756" s="59"/>
      <c r="AD756" s="59"/>
      <c r="AE756" s="59"/>
      <c r="AF756" s="59"/>
      <c r="AG756" s="59"/>
      <c r="AH756" s="59"/>
      <c r="AI756" s="59"/>
      <c r="AJ756" s="59"/>
      <c r="AK756" s="59"/>
      <c r="AL756" s="59"/>
      <c r="AM756" s="59"/>
      <c r="AN756" s="59"/>
      <c r="AO756" s="59"/>
      <c r="AP756" s="59"/>
      <c r="AQ756" s="59"/>
      <c r="AR756" s="59"/>
      <c r="AS756" s="59"/>
      <c r="AT756" s="59"/>
      <c r="AU756" s="59"/>
      <c r="AV756" s="59"/>
      <c r="AW756" s="59"/>
      <c r="AX756" s="59"/>
      <c r="AY756" s="59"/>
      <c r="AZ756" s="59"/>
      <c r="BA756" s="59"/>
      <c r="BB756" s="59"/>
      <c r="BC756" s="59"/>
      <c r="BD756" s="59"/>
      <c r="BE756" s="59"/>
      <c r="BF756" s="59"/>
      <c r="BG756" s="59"/>
      <c r="BH756" s="59"/>
      <c r="BI756" s="59"/>
      <c r="BJ756" s="59"/>
      <c r="BK756" s="59"/>
      <c r="BL756" s="59"/>
      <c r="BM756" s="59"/>
      <c r="BN756" s="59"/>
      <c r="BO756" s="59"/>
      <c r="BP756" s="59"/>
      <c r="BQ756" s="59"/>
      <c r="BR756" s="59"/>
      <c r="BS756" s="59"/>
      <c r="BT756" s="59"/>
      <c r="BU756" s="59"/>
      <c r="BV756" s="59"/>
      <c r="BW756" s="59"/>
      <c r="BX756" s="59"/>
      <c r="BY756" s="59"/>
      <c r="BZ756" s="59"/>
      <c r="CA756" s="59"/>
      <c r="CB756" s="59"/>
      <c r="CC756" s="59"/>
      <c r="CD756" s="59"/>
      <c r="CE756" s="59"/>
      <c r="CF756" s="59"/>
      <c r="CG756" s="59"/>
      <c r="CH756" s="59"/>
      <c r="CI756" s="59"/>
      <c r="CJ756" s="59"/>
      <c r="CK756" s="59"/>
      <c r="CL756" s="59"/>
      <c r="CM756" s="59"/>
      <c r="CN756" s="59"/>
      <c r="CO756" s="59"/>
      <c r="CP756" s="59"/>
      <c r="CQ756" s="59"/>
      <c r="CR756" s="59"/>
      <c r="CS756" s="59"/>
      <c r="CT756" s="59"/>
      <c r="CU756" s="59"/>
      <c r="CV756" s="59"/>
      <c r="CW756" s="59"/>
      <c r="CX756" s="59"/>
      <c r="CY756" s="59"/>
      <c r="CZ756" s="59"/>
      <c r="DA756" s="59"/>
      <c r="DB756" s="59"/>
      <c r="DC756" s="59"/>
      <c r="DD756" s="59"/>
      <c r="DE756" s="59"/>
      <c r="DF756" s="59"/>
      <c r="DG756" s="59"/>
      <c r="DH756" s="59"/>
      <c r="DI756" s="59"/>
      <c r="DJ756" s="59"/>
      <c r="DK756" s="59"/>
      <c r="DL756" s="59"/>
      <c r="DM756" s="59"/>
      <c r="DN756" s="59"/>
      <c r="DO756" s="59"/>
      <c r="DP756" s="59"/>
      <c r="DQ756" s="59"/>
      <c r="DR756" s="59"/>
      <c r="DS756" s="59"/>
      <c r="DT756" s="59"/>
      <c r="DU756" s="59"/>
      <c r="DV756" s="59"/>
      <c r="DW756" s="59"/>
      <c r="DX756" s="59"/>
      <c r="DY756" s="59"/>
      <c r="DZ756" s="59"/>
      <c r="EA756" s="59"/>
      <c r="EB756" s="59"/>
      <c r="EC756" s="59"/>
      <c r="ED756" s="59"/>
      <c r="EE756" s="59"/>
      <c r="EF756" s="59"/>
      <c r="EG756" s="59"/>
      <c r="EH756" s="59"/>
      <c r="EI756" s="59"/>
      <c r="EJ756" s="59"/>
      <c r="EK756" s="59"/>
      <c r="EL756" s="59"/>
      <c r="EM756" s="59"/>
      <c r="EN756" s="59"/>
      <c r="EO756" s="59"/>
      <c r="EP756" s="59"/>
      <c r="EQ756" s="59"/>
      <c r="ER756" s="59"/>
      <c r="ES756" s="59"/>
      <c r="ET756" s="59"/>
      <c r="EU756" s="59"/>
      <c r="EV756" s="59"/>
      <c r="EW756" s="59"/>
      <c r="EX756" s="59"/>
      <c r="EY756" s="59"/>
      <c r="EZ756" s="59"/>
      <c r="FA756" s="59"/>
      <c r="FB756" s="59"/>
      <c r="FC756" s="59"/>
      <c r="FD756" s="59"/>
      <c r="FE756" s="59"/>
      <c r="FF756" s="59"/>
      <c r="FG756" s="59"/>
      <c r="FH756" s="59"/>
      <c r="FI756" s="59"/>
      <c r="FJ756" s="59"/>
      <c r="FK756" s="59"/>
      <c r="FL756" s="59"/>
      <c r="FM756" s="59"/>
      <c r="FN756" s="59"/>
      <c r="FO756" s="59"/>
      <c r="FP756" s="59"/>
      <c r="FQ756" s="59"/>
      <c r="FR756" s="59"/>
      <c r="FS756" s="59"/>
      <c r="FT756" s="59"/>
      <c r="FU756" s="59"/>
      <c r="FV756" s="59"/>
      <c r="FW756" s="59"/>
      <c r="FX756" s="59"/>
      <c r="FY756" s="59"/>
      <c r="FZ756" s="59"/>
      <c r="GA756" s="59"/>
      <c r="GB756" s="59"/>
      <c r="GC756" s="59"/>
      <c r="GD756" s="59"/>
      <c r="GE756" s="59"/>
      <c r="GF756" s="59"/>
      <c r="GG756" s="59"/>
      <c r="GH756" s="59"/>
      <c r="GI756" s="59"/>
      <c r="GJ756" s="59"/>
      <c r="GK756" s="59"/>
      <c r="GL756" s="59"/>
      <c r="GM756" s="59"/>
      <c r="GN756" s="59"/>
      <c r="GO756" s="59"/>
      <c r="GP756" s="59"/>
      <c r="GQ756" s="59"/>
      <c r="GR756" s="59"/>
      <c r="GS756" s="59"/>
      <c r="GT756" s="59"/>
      <c r="GU756" s="59"/>
      <c r="GV756" s="59"/>
      <c r="GW756" s="59"/>
      <c r="GX756" s="59"/>
      <c r="GY756" s="59"/>
      <c r="GZ756" s="59"/>
      <c r="HA756" s="59"/>
      <c r="HB756" s="59"/>
      <c r="HC756" s="59"/>
      <c r="HD756" s="59"/>
      <c r="HE756" s="59"/>
      <c r="HF756" s="59"/>
      <c r="HG756" s="59"/>
      <c r="HH756" s="59"/>
      <c r="HI756" s="59"/>
      <c r="HJ756" s="59"/>
      <c r="HK756" s="59"/>
      <c r="HL756" s="59"/>
      <c r="HM756" s="59"/>
      <c r="HN756" s="59"/>
      <c r="HO756" s="59"/>
      <c r="HP756" s="59"/>
      <c r="HQ756" s="59"/>
      <c r="HR756" s="59"/>
      <c r="HS756" s="59"/>
      <c r="HT756" s="59"/>
      <c r="HU756" s="59"/>
      <c r="HV756" s="59"/>
      <c r="HW756" s="59"/>
      <c r="HX756" s="59"/>
      <c r="HY756" s="59"/>
      <c r="HZ756" s="59"/>
      <c r="IA756" s="59"/>
      <c r="IB756" s="59"/>
      <c r="IC756" s="59"/>
      <c r="ID756" s="59"/>
      <c r="IE756" s="59"/>
      <c r="IF756" s="59"/>
      <c r="IG756" s="59"/>
      <c r="IH756" s="59"/>
      <c r="II756" s="59"/>
      <c r="IJ756" s="59"/>
      <c r="IK756" s="59"/>
      <c r="IL756" s="59"/>
      <c r="IM756" s="59"/>
      <c r="IN756" s="59"/>
      <c r="IO756" s="59"/>
      <c r="IP756" s="59"/>
      <c r="IQ756" s="59"/>
      <c r="IR756" s="59"/>
      <c r="IS756" s="59"/>
      <c r="IT756" s="59"/>
      <c r="IU756" s="59"/>
      <c r="IV756" s="59"/>
    </row>
    <row r="757" spans="1:256" ht="14.25" hidden="1" customHeight="1">
      <c r="A757" s="66" t="s">
        <v>268</v>
      </c>
      <c r="B757" s="1832" t="str">
        <f>+B745</f>
        <v>ACABADOS</v>
      </c>
      <c r="C757" s="1830"/>
      <c r="D757" s="1828"/>
      <c r="E757" s="1833" t="s">
        <v>218</v>
      </c>
      <c r="F757" s="1828"/>
      <c r="G757" s="62" t="s">
        <v>228</v>
      </c>
      <c r="H757" s="59"/>
      <c r="I757" s="60"/>
      <c r="J757" s="60"/>
      <c r="K757" s="61"/>
      <c r="L757" s="59"/>
      <c r="M757" s="59"/>
      <c r="N757" s="59"/>
      <c r="O757" s="59"/>
      <c r="P757" s="59"/>
      <c r="Q757" s="59"/>
      <c r="R757" s="59"/>
      <c r="S757" s="59"/>
      <c r="T757" s="59"/>
      <c r="U757" s="59"/>
      <c r="V757" s="59"/>
      <c r="W757" s="59"/>
      <c r="X757" s="59"/>
      <c r="Y757" s="59"/>
      <c r="Z757" s="59"/>
      <c r="AA757" s="59"/>
      <c r="AB757" s="59"/>
      <c r="AC757" s="59"/>
      <c r="AD757" s="59"/>
      <c r="AE757" s="59"/>
      <c r="AF757" s="59"/>
      <c r="AG757" s="59"/>
      <c r="AH757" s="59"/>
      <c r="AI757" s="59"/>
      <c r="AJ757" s="59"/>
      <c r="AK757" s="59"/>
      <c r="AL757" s="59"/>
      <c r="AM757" s="59"/>
      <c r="AN757" s="59"/>
      <c r="AO757" s="59"/>
      <c r="AP757" s="59"/>
      <c r="AQ757" s="59"/>
      <c r="AR757" s="59"/>
      <c r="AS757" s="59"/>
      <c r="AT757" s="59"/>
      <c r="AU757" s="59"/>
      <c r="AV757" s="59"/>
      <c r="AW757" s="59"/>
      <c r="AX757" s="59"/>
      <c r="AY757" s="59"/>
      <c r="AZ757" s="59"/>
      <c r="BA757" s="59"/>
      <c r="BB757" s="59"/>
      <c r="BC757" s="59"/>
      <c r="BD757" s="59"/>
      <c r="BE757" s="59"/>
      <c r="BF757" s="59"/>
      <c r="BG757" s="59"/>
      <c r="BH757" s="59"/>
      <c r="BI757" s="59"/>
      <c r="BJ757" s="59"/>
      <c r="BK757" s="59"/>
      <c r="BL757" s="59"/>
      <c r="BM757" s="59"/>
      <c r="BN757" s="59"/>
      <c r="BO757" s="59"/>
      <c r="BP757" s="59"/>
      <c r="BQ757" s="59"/>
      <c r="BR757" s="59"/>
      <c r="BS757" s="59"/>
      <c r="BT757" s="59"/>
      <c r="BU757" s="59"/>
      <c r="BV757" s="59"/>
      <c r="BW757" s="59"/>
      <c r="BX757" s="59"/>
      <c r="BY757" s="59"/>
      <c r="BZ757" s="59"/>
      <c r="CA757" s="59"/>
      <c r="CB757" s="59"/>
      <c r="CC757" s="59"/>
      <c r="CD757" s="59"/>
      <c r="CE757" s="59"/>
      <c r="CF757" s="59"/>
      <c r="CG757" s="59"/>
      <c r="CH757" s="59"/>
      <c r="CI757" s="59"/>
      <c r="CJ757" s="59"/>
      <c r="CK757" s="59"/>
      <c r="CL757" s="59"/>
      <c r="CM757" s="59"/>
      <c r="CN757" s="59"/>
      <c r="CO757" s="59"/>
      <c r="CP757" s="59"/>
      <c r="CQ757" s="59"/>
      <c r="CR757" s="59"/>
      <c r="CS757" s="59"/>
      <c r="CT757" s="59"/>
      <c r="CU757" s="59"/>
      <c r="CV757" s="59"/>
      <c r="CW757" s="59"/>
      <c r="CX757" s="59"/>
      <c r="CY757" s="59"/>
      <c r="CZ757" s="59"/>
      <c r="DA757" s="59"/>
      <c r="DB757" s="59"/>
      <c r="DC757" s="59"/>
      <c r="DD757" s="59"/>
      <c r="DE757" s="59"/>
      <c r="DF757" s="59"/>
      <c r="DG757" s="59"/>
      <c r="DH757" s="59"/>
      <c r="DI757" s="59"/>
      <c r="DJ757" s="59"/>
      <c r="DK757" s="59"/>
      <c r="DL757" s="59"/>
      <c r="DM757" s="59"/>
      <c r="DN757" s="59"/>
      <c r="DO757" s="59"/>
      <c r="DP757" s="59"/>
      <c r="DQ757" s="59"/>
      <c r="DR757" s="59"/>
      <c r="DS757" s="59"/>
      <c r="DT757" s="59"/>
      <c r="DU757" s="59"/>
      <c r="DV757" s="59"/>
      <c r="DW757" s="59"/>
      <c r="DX757" s="59"/>
      <c r="DY757" s="59"/>
      <c r="DZ757" s="59"/>
      <c r="EA757" s="59"/>
      <c r="EB757" s="59"/>
      <c r="EC757" s="59"/>
      <c r="ED757" s="59"/>
      <c r="EE757" s="59"/>
      <c r="EF757" s="59"/>
      <c r="EG757" s="59"/>
      <c r="EH757" s="59"/>
      <c r="EI757" s="59"/>
      <c r="EJ757" s="59"/>
      <c r="EK757" s="59"/>
      <c r="EL757" s="59"/>
      <c r="EM757" s="59"/>
      <c r="EN757" s="59"/>
      <c r="EO757" s="59"/>
      <c r="EP757" s="59"/>
      <c r="EQ757" s="59"/>
      <c r="ER757" s="59"/>
      <c r="ES757" s="59"/>
      <c r="ET757" s="59"/>
      <c r="EU757" s="59"/>
      <c r="EV757" s="59"/>
      <c r="EW757" s="59"/>
      <c r="EX757" s="59"/>
      <c r="EY757" s="59"/>
      <c r="EZ757" s="59"/>
      <c r="FA757" s="59"/>
      <c r="FB757" s="59"/>
      <c r="FC757" s="59"/>
      <c r="FD757" s="59"/>
      <c r="FE757" s="59"/>
      <c r="FF757" s="59"/>
      <c r="FG757" s="59"/>
      <c r="FH757" s="59"/>
      <c r="FI757" s="59"/>
      <c r="FJ757" s="59"/>
      <c r="FK757" s="59"/>
      <c r="FL757" s="59"/>
      <c r="FM757" s="59"/>
      <c r="FN757" s="59"/>
      <c r="FO757" s="59"/>
      <c r="FP757" s="59"/>
      <c r="FQ757" s="59"/>
      <c r="FR757" s="59"/>
      <c r="FS757" s="59"/>
      <c r="FT757" s="59"/>
      <c r="FU757" s="59"/>
      <c r="FV757" s="59"/>
      <c r="FW757" s="59"/>
      <c r="FX757" s="59"/>
      <c r="FY757" s="59"/>
      <c r="FZ757" s="59"/>
      <c r="GA757" s="59"/>
      <c r="GB757" s="59"/>
      <c r="GC757" s="59"/>
      <c r="GD757" s="59"/>
      <c r="GE757" s="59"/>
      <c r="GF757" s="59"/>
      <c r="GG757" s="59"/>
      <c r="GH757" s="59"/>
      <c r="GI757" s="59"/>
      <c r="GJ757" s="59"/>
      <c r="GK757" s="59"/>
      <c r="GL757" s="59"/>
      <c r="GM757" s="59"/>
      <c r="GN757" s="59"/>
      <c r="GO757" s="59"/>
      <c r="GP757" s="59"/>
      <c r="GQ757" s="59"/>
      <c r="GR757" s="59"/>
      <c r="GS757" s="59"/>
      <c r="GT757" s="59"/>
      <c r="GU757" s="59"/>
      <c r="GV757" s="59"/>
      <c r="GW757" s="59"/>
      <c r="GX757" s="59"/>
      <c r="GY757" s="59"/>
      <c r="GZ757" s="59"/>
      <c r="HA757" s="59"/>
      <c r="HB757" s="59"/>
      <c r="HC757" s="59"/>
      <c r="HD757" s="59"/>
      <c r="HE757" s="59"/>
      <c r="HF757" s="59"/>
      <c r="HG757" s="59"/>
      <c r="HH757" s="59"/>
      <c r="HI757" s="59"/>
      <c r="HJ757" s="59"/>
      <c r="HK757" s="59"/>
      <c r="HL757" s="59"/>
      <c r="HM757" s="59"/>
      <c r="HN757" s="59"/>
      <c r="HO757" s="59"/>
      <c r="HP757" s="59"/>
      <c r="HQ757" s="59"/>
      <c r="HR757" s="59"/>
      <c r="HS757" s="59"/>
      <c r="HT757" s="59"/>
      <c r="HU757" s="59"/>
      <c r="HV757" s="59"/>
      <c r="HW757" s="59"/>
      <c r="HX757" s="59"/>
      <c r="HY757" s="59"/>
      <c r="HZ757" s="59"/>
      <c r="IA757" s="59"/>
      <c r="IB757" s="59"/>
      <c r="IC757" s="59"/>
      <c r="ID757" s="59"/>
      <c r="IE757" s="59"/>
      <c r="IF757" s="59"/>
      <c r="IG757" s="59"/>
      <c r="IH757" s="59"/>
      <c r="II757" s="59"/>
      <c r="IJ757" s="59"/>
      <c r="IK757" s="59"/>
      <c r="IL757" s="59"/>
      <c r="IM757" s="59"/>
      <c r="IN757" s="59"/>
      <c r="IO757" s="59"/>
      <c r="IP757" s="59"/>
      <c r="IQ757" s="59"/>
      <c r="IR757" s="59"/>
      <c r="IS757" s="59"/>
      <c r="IT757" s="59"/>
      <c r="IU757" s="59"/>
      <c r="IV757" s="59"/>
    </row>
    <row r="758" spans="1:256" ht="28.5" hidden="1" customHeight="1">
      <c r="A758" s="66" t="s">
        <v>267</v>
      </c>
      <c r="B758" s="1840" t="s">
        <v>809</v>
      </c>
      <c r="C758" s="1830"/>
      <c r="D758" s="1830"/>
      <c r="E758" s="1830"/>
      <c r="F758" s="1830"/>
      <c r="G758" s="1828"/>
      <c r="H758" s="59"/>
      <c r="I758" s="60"/>
      <c r="J758" s="60"/>
      <c r="K758" s="61"/>
      <c r="L758" s="59"/>
      <c r="M758" s="59"/>
      <c r="N758" s="59"/>
      <c r="O758" s="59"/>
      <c r="P758" s="59"/>
      <c r="Q758" s="59"/>
      <c r="R758" s="59"/>
      <c r="S758" s="59"/>
      <c r="T758" s="59"/>
      <c r="U758" s="59"/>
      <c r="V758" s="59"/>
      <c r="W758" s="59"/>
      <c r="X758" s="59"/>
      <c r="Y758" s="59"/>
      <c r="Z758" s="59"/>
      <c r="AA758" s="59"/>
      <c r="AB758" s="59"/>
      <c r="AC758" s="59"/>
      <c r="AD758" s="59"/>
      <c r="AE758" s="59"/>
      <c r="AF758" s="59"/>
      <c r="AG758" s="59"/>
      <c r="AH758" s="59"/>
      <c r="AI758" s="59"/>
      <c r="AJ758" s="59"/>
      <c r="AK758" s="59"/>
      <c r="AL758" s="59"/>
      <c r="AM758" s="59"/>
      <c r="AN758" s="59"/>
      <c r="AO758" s="59"/>
      <c r="AP758" s="59"/>
      <c r="AQ758" s="59"/>
      <c r="AR758" s="59"/>
      <c r="AS758" s="59"/>
      <c r="AT758" s="59"/>
      <c r="AU758" s="59"/>
      <c r="AV758" s="59"/>
      <c r="AW758" s="59"/>
      <c r="AX758" s="59"/>
      <c r="AY758" s="59"/>
      <c r="AZ758" s="59"/>
      <c r="BA758" s="59"/>
      <c r="BB758" s="59"/>
      <c r="BC758" s="59"/>
      <c r="BD758" s="59"/>
      <c r="BE758" s="59"/>
      <c r="BF758" s="59"/>
      <c r="BG758" s="59"/>
      <c r="BH758" s="59"/>
      <c r="BI758" s="59"/>
      <c r="BJ758" s="59"/>
      <c r="BK758" s="59"/>
      <c r="BL758" s="59"/>
      <c r="BM758" s="59"/>
      <c r="BN758" s="59"/>
      <c r="BO758" s="59"/>
      <c r="BP758" s="59"/>
      <c r="BQ758" s="59"/>
      <c r="BR758" s="59"/>
      <c r="BS758" s="59"/>
      <c r="BT758" s="59"/>
      <c r="BU758" s="59"/>
      <c r="BV758" s="59"/>
      <c r="BW758" s="59"/>
      <c r="BX758" s="59"/>
      <c r="BY758" s="59"/>
      <c r="BZ758" s="59"/>
      <c r="CA758" s="59"/>
      <c r="CB758" s="59"/>
      <c r="CC758" s="59"/>
      <c r="CD758" s="59"/>
      <c r="CE758" s="59"/>
      <c r="CF758" s="59"/>
      <c r="CG758" s="59"/>
      <c r="CH758" s="59"/>
      <c r="CI758" s="59"/>
      <c r="CJ758" s="59"/>
      <c r="CK758" s="59"/>
      <c r="CL758" s="59"/>
      <c r="CM758" s="59"/>
      <c r="CN758" s="59"/>
      <c r="CO758" s="59"/>
      <c r="CP758" s="59"/>
      <c r="CQ758" s="59"/>
      <c r="CR758" s="59"/>
      <c r="CS758" s="59"/>
      <c r="CT758" s="59"/>
      <c r="CU758" s="59"/>
      <c r="CV758" s="59"/>
      <c r="CW758" s="59"/>
      <c r="CX758" s="59"/>
      <c r="CY758" s="59"/>
      <c r="CZ758" s="59"/>
      <c r="DA758" s="59"/>
      <c r="DB758" s="59"/>
      <c r="DC758" s="59"/>
      <c r="DD758" s="59"/>
      <c r="DE758" s="59"/>
      <c r="DF758" s="59"/>
      <c r="DG758" s="59"/>
      <c r="DH758" s="59"/>
      <c r="DI758" s="59"/>
      <c r="DJ758" s="59"/>
      <c r="DK758" s="59"/>
      <c r="DL758" s="59"/>
      <c r="DM758" s="59"/>
      <c r="DN758" s="59"/>
      <c r="DO758" s="59"/>
      <c r="DP758" s="59"/>
      <c r="DQ758" s="59"/>
      <c r="DR758" s="59"/>
      <c r="DS758" s="59"/>
      <c r="DT758" s="59"/>
      <c r="DU758" s="59"/>
      <c r="DV758" s="59"/>
      <c r="DW758" s="59"/>
      <c r="DX758" s="59"/>
      <c r="DY758" s="59"/>
      <c r="DZ758" s="59"/>
      <c r="EA758" s="59"/>
      <c r="EB758" s="59"/>
      <c r="EC758" s="59"/>
      <c r="ED758" s="59"/>
      <c r="EE758" s="59"/>
      <c r="EF758" s="59"/>
      <c r="EG758" s="59"/>
      <c r="EH758" s="59"/>
      <c r="EI758" s="59"/>
      <c r="EJ758" s="59"/>
      <c r="EK758" s="59"/>
      <c r="EL758" s="59"/>
      <c r="EM758" s="59"/>
      <c r="EN758" s="59"/>
      <c r="EO758" s="59"/>
      <c r="EP758" s="59"/>
      <c r="EQ758" s="59"/>
      <c r="ER758" s="59"/>
      <c r="ES758" s="59"/>
      <c r="ET758" s="59"/>
      <c r="EU758" s="59"/>
      <c r="EV758" s="59"/>
      <c r="EW758" s="59"/>
      <c r="EX758" s="59"/>
      <c r="EY758" s="59"/>
      <c r="EZ758" s="59"/>
      <c r="FA758" s="59"/>
      <c r="FB758" s="59"/>
      <c r="FC758" s="59"/>
      <c r="FD758" s="59"/>
      <c r="FE758" s="59"/>
      <c r="FF758" s="59"/>
      <c r="FG758" s="59"/>
      <c r="FH758" s="59"/>
      <c r="FI758" s="59"/>
      <c r="FJ758" s="59"/>
      <c r="FK758" s="59"/>
      <c r="FL758" s="59"/>
      <c r="FM758" s="59"/>
      <c r="FN758" s="59"/>
      <c r="FO758" s="59"/>
      <c r="FP758" s="59"/>
      <c r="FQ758" s="59"/>
      <c r="FR758" s="59"/>
      <c r="FS758" s="59"/>
      <c r="FT758" s="59"/>
      <c r="FU758" s="59"/>
      <c r="FV758" s="59"/>
      <c r="FW758" s="59"/>
      <c r="FX758" s="59"/>
      <c r="FY758" s="59"/>
      <c r="FZ758" s="59"/>
      <c r="GA758" s="59"/>
      <c r="GB758" s="59"/>
      <c r="GC758" s="59"/>
      <c r="GD758" s="59"/>
      <c r="GE758" s="59"/>
      <c r="GF758" s="59"/>
      <c r="GG758" s="59"/>
      <c r="GH758" s="59"/>
      <c r="GI758" s="59"/>
      <c r="GJ758" s="59"/>
      <c r="GK758" s="59"/>
      <c r="GL758" s="59"/>
      <c r="GM758" s="59"/>
      <c r="GN758" s="59"/>
      <c r="GO758" s="59"/>
      <c r="GP758" s="59"/>
      <c r="GQ758" s="59"/>
      <c r="GR758" s="59"/>
      <c r="GS758" s="59"/>
      <c r="GT758" s="59"/>
      <c r="GU758" s="59"/>
      <c r="GV758" s="59"/>
      <c r="GW758" s="59"/>
      <c r="GX758" s="59"/>
      <c r="GY758" s="59"/>
      <c r="GZ758" s="59"/>
      <c r="HA758" s="59"/>
      <c r="HB758" s="59"/>
      <c r="HC758" s="59"/>
      <c r="HD758" s="59"/>
      <c r="HE758" s="59"/>
      <c r="HF758" s="59"/>
      <c r="HG758" s="59"/>
      <c r="HH758" s="59"/>
      <c r="HI758" s="59"/>
      <c r="HJ758" s="59"/>
      <c r="HK758" s="59"/>
      <c r="HL758" s="59"/>
      <c r="HM758" s="59"/>
      <c r="HN758" s="59"/>
      <c r="HO758" s="59"/>
      <c r="HP758" s="59"/>
      <c r="HQ758" s="59"/>
      <c r="HR758" s="59"/>
      <c r="HS758" s="59"/>
      <c r="HT758" s="59"/>
      <c r="HU758" s="59"/>
      <c r="HV758" s="59"/>
      <c r="HW758" s="59"/>
      <c r="HX758" s="59"/>
      <c r="HY758" s="59"/>
      <c r="HZ758" s="59"/>
      <c r="IA758" s="59"/>
      <c r="IB758" s="59"/>
      <c r="IC758" s="59"/>
      <c r="ID758" s="59"/>
      <c r="IE758" s="59"/>
      <c r="IF758" s="59"/>
      <c r="IG758" s="59"/>
      <c r="IH758" s="59"/>
      <c r="II758" s="59"/>
      <c r="IJ758" s="59"/>
      <c r="IK758" s="59"/>
      <c r="IL758" s="59"/>
      <c r="IM758" s="59"/>
      <c r="IN758" s="59"/>
      <c r="IO758" s="59"/>
      <c r="IP758" s="59"/>
      <c r="IQ758" s="59"/>
      <c r="IR758" s="59"/>
      <c r="IS758" s="59"/>
      <c r="IT758" s="59"/>
      <c r="IU758" s="59"/>
      <c r="IV758" s="59"/>
    </row>
    <row r="759" spans="1:256" ht="14.25" hidden="1" customHeight="1">
      <c r="A759" s="1836" t="s">
        <v>220</v>
      </c>
      <c r="B759" s="1830"/>
      <c r="C759" s="1830"/>
      <c r="D759" s="1830"/>
      <c r="E759" s="1830"/>
      <c r="F759" s="1830"/>
      <c r="G759" s="1828"/>
      <c r="H759" s="59"/>
      <c r="I759" s="60"/>
      <c r="J759" s="60"/>
      <c r="K759" s="61"/>
      <c r="L759" s="59"/>
      <c r="M759" s="59"/>
      <c r="N759" s="59"/>
      <c r="O759" s="59"/>
      <c r="P759" s="59"/>
      <c r="Q759" s="59"/>
      <c r="R759" s="59"/>
      <c r="S759" s="59"/>
      <c r="T759" s="59"/>
      <c r="U759" s="59"/>
      <c r="V759" s="59"/>
      <c r="W759" s="59"/>
      <c r="X759" s="59"/>
      <c r="Y759" s="59"/>
      <c r="Z759" s="59"/>
      <c r="AA759" s="59"/>
      <c r="AB759" s="59"/>
      <c r="AC759" s="59"/>
      <c r="AD759" s="59"/>
      <c r="AE759" s="59"/>
      <c r="AF759" s="59"/>
      <c r="AG759" s="59"/>
      <c r="AH759" s="59"/>
      <c r="AI759" s="59"/>
      <c r="AJ759" s="59"/>
      <c r="AK759" s="59"/>
      <c r="AL759" s="59"/>
      <c r="AM759" s="59"/>
      <c r="AN759" s="59"/>
      <c r="AO759" s="59"/>
      <c r="AP759" s="59"/>
      <c r="AQ759" s="59"/>
      <c r="AR759" s="59"/>
      <c r="AS759" s="59"/>
      <c r="AT759" s="59"/>
      <c r="AU759" s="59"/>
      <c r="AV759" s="59"/>
      <c r="AW759" s="59"/>
      <c r="AX759" s="59"/>
      <c r="AY759" s="59"/>
      <c r="AZ759" s="59"/>
      <c r="BA759" s="59"/>
      <c r="BB759" s="59"/>
      <c r="BC759" s="59"/>
      <c r="BD759" s="59"/>
      <c r="BE759" s="59"/>
      <c r="BF759" s="59"/>
      <c r="BG759" s="59"/>
      <c r="BH759" s="59"/>
      <c r="BI759" s="59"/>
      <c r="BJ759" s="59"/>
      <c r="BK759" s="59"/>
      <c r="BL759" s="59"/>
      <c r="BM759" s="59"/>
      <c r="BN759" s="59"/>
      <c r="BO759" s="59"/>
      <c r="BP759" s="59"/>
      <c r="BQ759" s="59"/>
      <c r="BR759" s="59"/>
      <c r="BS759" s="59"/>
      <c r="BT759" s="59"/>
      <c r="BU759" s="59"/>
      <c r="BV759" s="59"/>
      <c r="BW759" s="59"/>
      <c r="BX759" s="59"/>
      <c r="BY759" s="59"/>
      <c r="BZ759" s="59"/>
      <c r="CA759" s="59"/>
      <c r="CB759" s="59"/>
      <c r="CC759" s="59"/>
      <c r="CD759" s="59"/>
      <c r="CE759" s="59"/>
      <c r="CF759" s="59"/>
      <c r="CG759" s="59"/>
      <c r="CH759" s="59"/>
      <c r="CI759" s="59"/>
      <c r="CJ759" s="59"/>
      <c r="CK759" s="59"/>
      <c r="CL759" s="59"/>
      <c r="CM759" s="59"/>
      <c r="CN759" s="59"/>
      <c r="CO759" s="59"/>
      <c r="CP759" s="59"/>
      <c r="CQ759" s="59"/>
      <c r="CR759" s="59"/>
      <c r="CS759" s="59"/>
      <c r="CT759" s="59"/>
      <c r="CU759" s="59"/>
      <c r="CV759" s="59"/>
      <c r="CW759" s="59"/>
      <c r="CX759" s="59"/>
      <c r="CY759" s="59"/>
      <c r="CZ759" s="59"/>
      <c r="DA759" s="59"/>
      <c r="DB759" s="59"/>
      <c r="DC759" s="59"/>
      <c r="DD759" s="59"/>
      <c r="DE759" s="59"/>
      <c r="DF759" s="59"/>
      <c r="DG759" s="59"/>
      <c r="DH759" s="59"/>
      <c r="DI759" s="59"/>
      <c r="DJ759" s="59"/>
      <c r="DK759" s="59"/>
      <c r="DL759" s="59"/>
      <c r="DM759" s="59"/>
      <c r="DN759" s="59"/>
      <c r="DO759" s="59"/>
      <c r="DP759" s="59"/>
      <c r="DQ759" s="59"/>
      <c r="DR759" s="59"/>
      <c r="DS759" s="59"/>
      <c r="DT759" s="59"/>
      <c r="DU759" s="59"/>
      <c r="DV759" s="59"/>
      <c r="DW759" s="59"/>
      <c r="DX759" s="59"/>
      <c r="DY759" s="59"/>
      <c r="DZ759" s="59"/>
      <c r="EA759" s="59"/>
      <c r="EB759" s="59"/>
      <c r="EC759" s="59"/>
      <c r="ED759" s="59"/>
      <c r="EE759" s="59"/>
      <c r="EF759" s="59"/>
      <c r="EG759" s="59"/>
      <c r="EH759" s="59"/>
      <c r="EI759" s="59"/>
      <c r="EJ759" s="59"/>
      <c r="EK759" s="59"/>
      <c r="EL759" s="59"/>
      <c r="EM759" s="59"/>
      <c r="EN759" s="59"/>
      <c r="EO759" s="59"/>
      <c r="EP759" s="59"/>
      <c r="EQ759" s="59"/>
      <c r="ER759" s="59"/>
      <c r="ES759" s="59"/>
      <c r="ET759" s="59"/>
      <c r="EU759" s="59"/>
      <c r="EV759" s="59"/>
      <c r="EW759" s="59"/>
      <c r="EX759" s="59"/>
      <c r="EY759" s="59"/>
      <c r="EZ759" s="59"/>
      <c r="FA759" s="59"/>
      <c r="FB759" s="59"/>
      <c r="FC759" s="59"/>
      <c r="FD759" s="59"/>
      <c r="FE759" s="59"/>
      <c r="FF759" s="59"/>
      <c r="FG759" s="59"/>
      <c r="FH759" s="59"/>
      <c r="FI759" s="59"/>
      <c r="FJ759" s="59"/>
      <c r="FK759" s="59"/>
      <c r="FL759" s="59"/>
      <c r="FM759" s="59"/>
      <c r="FN759" s="59"/>
      <c r="FO759" s="59"/>
      <c r="FP759" s="59"/>
      <c r="FQ759" s="59"/>
      <c r="FR759" s="59"/>
      <c r="FS759" s="59"/>
      <c r="FT759" s="59"/>
      <c r="FU759" s="59"/>
      <c r="FV759" s="59"/>
      <c r="FW759" s="59"/>
      <c r="FX759" s="59"/>
      <c r="FY759" s="59"/>
      <c r="FZ759" s="59"/>
      <c r="GA759" s="59"/>
      <c r="GB759" s="59"/>
      <c r="GC759" s="59"/>
      <c r="GD759" s="59"/>
      <c r="GE759" s="59"/>
      <c r="GF759" s="59"/>
      <c r="GG759" s="59"/>
      <c r="GH759" s="59"/>
      <c r="GI759" s="59"/>
      <c r="GJ759" s="59"/>
      <c r="GK759" s="59"/>
      <c r="GL759" s="59"/>
      <c r="GM759" s="59"/>
      <c r="GN759" s="59"/>
      <c r="GO759" s="59"/>
      <c r="GP759" s="59"/>
      <c r="GQ759" s="59"/>
      <c r="GR759" s="59"/>
      <c r="GS759" s="59"/>
      <c r="GT759" s="59"/>
      <c r="GU759" s="59"/>
      <c r="GV759" s="59"/>
      <c r="GW759" s="59"/>
      <c r="GX759" s="59"/>
      <c r="GY759" s="59"/>
      <c r="GZ759" s="59"/>
      <c r="HA759" s="59"/>
      <c r="HB759" s="59"/>
      <c r="HC759" s="59"/>
      <c r="HD759" s="59"/>
      <c r="HE759" s="59"/>
      <c r="HF759" s="59"/>
      <c r="HG759" s="59"/>
      <c r="HH759" s="59"/>
      <c r="HI759" s="59"/>
      <c r="HJ759" s="59"/>
      <c r="HK759" s="59"/>
      <c r="HL759" s="59"/>
      <c r="HM759" s="59"/>
      <c r="HN759" s="59"/>
      <c r="HO759" s="59"/>
      <c r="HP759" s="59"/>
      <c r="HQ759" s="59"/>
      <c r="HR759" s="59"/>
      <c r="HS759" s="59"/>
      <c r="HT759" s="59"/>
      <c r="HU759" s="59"/>
      <c r="HV759" s="59"/>
      <c r="HW759" s="59"/>
      <c r="HX759" s="59"/>
      <c r="HY759" s="59"/>
      <c r="HZ759" s="59"/>
      <c r="IA759" s="59"/>
      <c r="IB759" s="59"/>
      <c r="IC759" s="59"/>
      <c r="ID759" s="59"/>
      <c r="IE759" s="59"/>
      <c r="IF759" s="59"/>
      <c r="IG759" s="59"/>
      <c r="IH759" s="59"/>
      <c r="II759" s="59"/>
      <c r="IJ759" s="59"/>
      <c r="IK759" s="59"/>
      <c r="IL759" s="59"/>
      <c r="IM759" s="59"/>
      <c r="IN759" s="59"/>
      <c r="IO759" s="59"/>
      <c r="IP759" s="59"/>
      <c r="IQ759" s="59"/>
      <c r="IR759" s="59"/>
      <c r="IS759" s="59"/>
      <c r="IT759" s="59"/>
      <c r="IU759" s="59"/>
      <c r="IV759" s="59"/>
    </row>
    <row r="760" spans="1:256" ht="14.25" hidden="1" customHeight="1">
      <c r="A760" s="1829" t="s">
        <v>221</v>
      </c>
      <c r="B760" s="1828"/>
      <c r="C760" s="63" t="s">
        <v>222</v>
      </c>
      <c r="D760" s="63" t="s">
        <v>223</v>
      </c>
      <c r="E760" s="63" t="s">
        <v>224</v>
      </c>
      <c r="F760" s="63" t="s">
        <v>225</v>
      </c>
      <c r="G760" s="63" t="s">
        <v>226</v>
      </c>
      <c r="H760" s="59"/>
      <c r="I760" s="60"/>
      <c r="J760" s="60"/>
      <c r="K760" s="61"/>
      <c r="L760" s="59"/>
      <c r="M760" s="59"/>
      <c r="N760" s="59"/>
      <c r="O760" s="59"/>
      <c r="P760" s="59"/>
      <c r="Q760" s="59"/>
      <c r="R760" s="59"/>
      <c r="S760" s="59"/>
      <c r="T760" s="59"/>
      <c r="U760" s="59"/>
      <c r="V760" s="59"/>
      <c r="W760" s="59"/>
      <c r="X760" s="59"/>
      <c r="Y760" s="59"/>
      <c r="Z760" s="59"/>
      <c r="AA760" s="59"/>
      <c r="AB760" s="59"/>
      <c r="AC760" s="59"/>
      <c r="AD760" s="59"/>
      <c r="AE760" s="59"/>
      <c r="AF760" s="59"/>
      <c r="AG760" s="59"/>
      <c r="AH760" s="59"/>
      <c r="AI760" s="59"/>
      <c r="AJ760" s="59"/>
      <c r="AK760" s="59"/>
      <c r="AL760" s="59"/>
      <c r="AM760" s="59"/>
      <c r="AN760" s="59"/>
      <c r="AO760" s="59"/>
      <c r="AP760" s="59"/>
      <c r="AQ760" s="59"/>
      <c r="AR760" s="59"/>
      <c r="AS760" s="59"/>
      <c r="AT760" s="59"/>
      <c r="AU760" s="59"/>
      <c r="AV760" s="59"/>
      <c r="AW760" s="59"/>
      <c r="AX760" s="59"/>
      <c r="AY760" s="59"/>
      <c r="AZ760" s="59"/>
      <c r="BA760" s="59"/>
      <c r="BB760" s="59"/>
      <c r="BC760" s="59"/>
      <c r="BD760" s="59"/>
      <c r="BE760" s="59"/>
      <c r="BF760" s="59"/>
      <c r="BG760" s="59"/>
      <c r="BH760" s="59"/>
      <c r="BI760" s="59"/>
      <c r="BJ760" s="59"/>
      <c r="BK760" s="59"/>
      <c r="BL760" s="59"/>
      <c r="BM760" s="59"/>
      <c r="BN760" s="59"/>
      <c r="BO760" s="59"/>
      <c r="BP760" s="59"/>
      <c r="BQ760" s="59"/>
      <c r="BR760" s="59"/>
      <c r="BS760" s="59"/>
      <c r="BT760" s="59"/>
      <c r="BU760" s="59"/>
      <c r="BV760" s="59"/>
      <c r="BW760" s="59"/>
      <c r="BX760" s="59"/>
      <c r="BY760" s="59"/>
      <c r="BZ760" s="59"/>
      <c r="CA760" s="59"/>
      <c r="CB760" s="59"/>
      <c r="CC760" s="59"/>
      <c r="CD760" s="59"/>
      <c r="CE760" s="59"/>
      <c r="CF760" s="59"/>
      <c r="CG760" s="59"/>
      <c r="CH760" s="59"/>
      <c r="CI760" s="59"/>
      <c r="CJ760" s="59"/>
      <c r="CK760" s="59"/>
      <c r="CL760" s="59"/>
      <c r="CM760" s="59"/>
      <c r="CN760" s="59"/>
      <c r="CO760" s="59"/>
      <c r="CP760" s="59"/>
      <c r="CQ760" s="59"/>
      <c r="CR760" s="59"/>
      <c r="CS760" s="59"/>
      <c r="CT760" s="59"/>
      <c r="CU760" s="59"/>
      <c r="CV760" s="59"/>
      <c r="CW760" s="59"/>
      <c r="CX760" s="59"/>
      <c r="CY760" s="59"/>
      <c r="CZ760" s="59"/>
      <c r="DA760" s="59"/>
      <c r="DB760" s="59"/>
      <c r="DC760" s="59"/>
      <c r="DD760" s="59"/>
      <c r="DE760" s="59"/>
      <c r="DF760" s="59"/>
      <c r="DG760" s="59"/>
      <c r="DH760" s="59"/>
      <c r="DI760" s="59"/>
      <c r="DJ760" s="59"/>
      <c r="DK760" s="59"/>
      <c r="DL760" s="59"/>
      <c r="DM760" s="59"/>
      <c r="DN760" s="59"/>
      <c r="DO760" s="59"/>
      <c r="DP760" s="59"/>
      <c r="DQ760" s="59"/>
      <c r="DR760" s="59"/>
      <c r="DS760" s="59"/>
      <c r="DT760" s="59"/>
      <c r="DU760" s="59"/>
      <c r="DV760" s="59"/>
      <c r="DW760" s="59"/>
      <c r="DX760" s="59"/>
      <c r="DY760" s="59"/>
      <c r="DZ760" s="59"/>
      <c r="EA760" s="59"/>
      <c r="EB760" s="59"/>
      <c r="EC760" s="59"/>
      <c r="ED760" s="59"/>
      <c r="EE760" s="59"/>
      <c r="EF760" s="59"/>
      <c r="EG760" s="59"/>
      <c r="EH760" s="59"/>
      <c r="EI760" s="59"/>
      <c r="EJ760" s="59"/>
      <c r="EK760" s="59"/>
      <c r="EL760" s="59"/>
      <c r="EM760" s="59"/>
      <c r="EN760" s="59"/>
      <c r="EO760" s="59"/>
      <c r="EP760" s="59"/>
      <c r="EQ760" s="59"/>
      <c r="ER760" s="59"/>
      <c r="ES760" s="59"/>
      <c r="ET760" s="59"/>
      <c r="EU760" s="59"/>
      <c r="EV760" s="59"/>
      <c r="EW760" s="59"/>
      <c r="EX760" s="59"/>
      <c r="EY760" s="59"/>
      <c r="EZ760" s="59"/>
      <c r="FA760" s="59"/>
      <c r="FB760" s="59"/>
      <c r="FC760" s="59"/>
      <c r="FD760" s="59"/>
      <c r="FE760" s="59"/>
      <c r="FF760" s="59"/>
      <c r="FG760" s="59"/>
      <c r="FH760" s="59"/>
      <c r="FI760" s="59"/>
      <c r="FJ760" s="59"/>
      <c r="FK760" s="59"/>
      <c r="FL760" s="59"/>
      <c r="FM760" s="59"/>
      <c r="FN760" s="59"/>
      <c r="FO760" s="59"/>
      <c r="FP760" s="59"/>
      <c r="FQ760" s="59"/>
      <c r="FR760" s="59"/>
      <c r="FS760" s="59"/>
      <c r="FT760" s="59"/>
      <c r="FU760" s="59"/>
      <c r="FV760" s="59"/>
      <c r="FW760" s="59"/>
      <c r="FX760" s="59"/>
      <c r="FY760" s="59"/>
      <c r="FZ760" s="59"/>
      <c r="GA760" s="59"/>
      <c r="GB760" s="59"/>
      <c r="GC760" s="59"/>
      <c r="GD760" s="59"/>
      <c r="GE760" s="59"/>
      <c r="GF760" s="59"/>
      <c r="GG760" s="59"/>
      <c r="GH760" s="59"/>
      <c r="GI760" s="59"/>
      <c r="GJ760" s="59"/>
      <c r="GK760" s="59"/>
      <c r="GL760" s="59"/>
      <c r="GM760" s="59"/>
      <c r="GN760" s="59"/>
      <c r="GO760" s="59"/>
      <c r="GP760" s="59"/>
      <c r="GQ760" s="59"/>
      <c r="GR760" s="59"/>
      <c r="GS760" s="59"/>
      <c r="GT760" s="59"/>
      <c r="GU760" s="59"/>
      <c r="GV760" s="59"/>
      <c r="GW760" s="59"/>
      <c r="GX760" s="59"/>
      <c r="GY760" s="59"/>
      <c r="GZ760" s="59"/>
      <c r="HA760" s="59"/>
      <c r="HB760" s="59"/>
      <c r="HC760" s="59"/>
      <c r="HD760" s="59"/>
      <c r="HE760" s="59"/>
      <c r="HF760" s="59"/>
      <c r="HG760" s="59"/>
      <c r="HH760" s="59"/>
      <c r="HI760" s="59"/>
      <c r="HJ760" s="59"/>
      <c r="HK760" s="59"/>
      <c r="HL760" s="59"/>
      <c r="HM760" s="59"/>
      <c r="HN760" s="59"/>
      <c r="HO760" s="59"/>
      <c r="HP760" s="59"/>
      <c r="HQ760" s="59"/>
      <c r="HR760" s="59"/>
      <c r="HS760" s="59"/>
      <c r="HT760" s="59"/>
      <c r="HU760" s="59"/>
      <c r="HV760" s="59"/>
      <c r="HW760" s="59"/>
      <c r="HX760" s="59"/>
      <c r="HY760" s="59"/>
      <c r="HZ760" s="59"/>
      <c r="IA760" s="59"/>
      <c r="IB760" s="59"/>
      <c r="IC760" s="59"/>
      <c r="ID760" s="59"/>
      <c r="IE760" s="59"/>
      <c r="IF760" s="59"/>
      <c r="IG760" s="59"/>
      <c r="IH760" s="59"/>
      <c r="II760" s="59"/>
      <c r="IJ760" s="59"/>
      <c r="IK760" s="59"/>
      <c r="IL760" s="59"/>
      <c r="IM760" s="59"/>
      <c r="IN760" s="59"/>
      <c r="IO760" s="59"/>
      <c r="IP760" s="59"/>
      <c r="IQ760" s="59"/>
      <c r="IR760" s="59"/>
      <c r="IS760" s="59"/>
      <c r="IT760" s="59"/>
      <c r="IU760" s="59"/>
      <c r="IV760" s="59"/>
    </row>
    <row r="761" spans="1:256" ht="14.25" hidden="1" customHeight="1">
      <c r="A761" s="1827" t="s">
        <v>810</v>
      </c>
      <c r="B761" s="1828"/>
      <c r="C761" s="64">
        <f>+C643</f>
        <v>60.02</v>
      </c>
      <c r="D761" s="64">
        <v>1.98</v>
      </c>
      <c r="E761" s="64"/>
      <c r="F761" s="64"/>
      <c r="G761" s="64">
        <f>+D761*C761</f>
        <v>118.8396</v>
      </c>
      <c r="H761" s="59"/>
      <c r="I761" s="60"/>
      <c r="J761" s="60"/>
      <c r="K761" s="61"/>
      <c r="L761" s="59"/>
      <c r="M761" s="59"/>
      <c r="N761" s="59"/>
      <c r="O761" s="59"/>
      <c r="P761" s="59"/>
      <c r="Q761" s="59"/>
      <c r="R761" s="59"/>
      <c r="S761" s="59"/>
      <c r="T761" s="59"/>
      <c r="U761" s="59"/>
      <c r="V761" s="59"/>
      <c r="W761" s="59"/>
      <c r="X761" s="59"/>
      <c r="Y761" s="59"/>
      <c r="Z761" s="59"/>
      <c r="AA761" s="59"/>
      <c r="AB761" s="59"/>
      <c r="AC761" s="59"/>
      <c r="AD761" s="59"/>
      <c r="AE761" s="59"/>
      <c r="AF761" s="59"/>
      <c r="AG761" s="59"/>
      <c r="AH761" s="59"/>
      <c r="AI761" s="59"/>
      <c r="AJ761" s="59"/>
      <c r="AK761" s="59"/>
      <c r="AL761" s="59"/>
      <c r="AM761" s="59"/>
      <c r="AN761" s="59"/>
      <c r="AO761" s="59"/>
      <c r="AP761" s="59"/>
      <c r="AQ761" s="59"/>
      <c r="AR761" s="59"/>
      <c r="AS761" s="59"/>
      <c r="AT761" s="59"/>
      <c r="AU761" s="59"/>
      <c r="AV761" s="59"/>
      <c r="AW761" s="59"/>
      <c r="AX761" s="59"/>
      <c r="AY761" s="59"/>
      <c r="AZ761" s="59"/>
      <c r="BA761" s="59"/>
      <c r="BB761" s="59"/>
      <c r="BC761" s="59"/>
      <c r="BD761" s="59"/>
      <c r="BE761" s="59"/>
      <c r="BF761" s="59"/>
      <c r="BG761" s="59"/>
      <c r="BH761" s="59"/>
      <c r="BI761" s="59"/>
      <c r="BJ761" s="59"/>
      <c r="BK761" s="59"/>
      <c r="BL761" s="59"/>
      <c r="BM761" s="59"/>
      <c r="BN761" s="59"/>
      <c r="BO761" s="59"/>
      <c r="BP761" s="59"/>
      <c r="BQ761" s="59"/>
      <c r="BR761" s="59"/>
      <c r="BS761" s="59"/>
      <c r="BT761" s="59"/>
      <c r="BU761" s="59"/>
      <c r="BV761" s="59"/>
      <c r="BW761" s="59"/>
      <c r="BX761" s="59"/>
      <c r="BY761" s="59"/>
      <c r="BZ761" s="59"/>
      <c r="CA761" s="59"/>
      <c r="CB761" s="59"/>
      <c r="CC761" s="59"/>
      <c r="CD761" s="59"/>
      <c r="CE761" s="59"/>
      <c r="CF761" s="59"/>
      <c r="CG761" s="59"/>
      <c r="CH761" s="59"/>
      <c r="CI761" s="59"/>
      <c r="CJ761" s="59"/>
      <c r="CK761" s="59"/>
      <c r="CL761" s="59"/>
      <c r="CM761" s="59"/>
      <c r="CN761" s="59"/>
      <c r="CO761" s="59"/>
      <c r="CP761" s="59"/>
      <c r="CQ761" s="59"/>
      <c r="CR761" s="59"/>
      <c r="CS761" s="59"/>
      <c r="CT761" s="59"/>
      <c r="CU761" s="59"/>
      <c r="CV761" s="59"/>
      <c r="CW761" s="59"/>
      <c r="CX761" s="59"/>
      <c r="CY761" s="59"/>
      <c r="CZ761" s="59"/>
      <c r="DA761" s="59"/>
      <c r="DB761" s="59"/>
      <c r="DC761" s="59"/>
      <c r="DD761" s="59"/>
      <c r="DE761" s="59"/>
      <c r="DF761" s="59"/>
      <c r="DG761" s="59"/>
      <c r="DH761" s="59"/>
      <c r="DI761" s="59"/>
      <c r="DJ761" s="59"/>
      <c r="DK761" s="59"/>
      <c r="DL761" s="59"/>
      <c r="DM761" s="59"/>
      <c r="DN761" s="59"/>
      <c r="DO761" s="59"/>
      <c r="DP761" s="59"/>
      <c r="DQ761" s="59"/>
      <c r="DR761" s="59"/>
      <c r="DS761" s="59"/>
      <c r="DT761" s="59"/>
      <c r="DU761" s="59"/>
      <c r="DV761" s="59"/>
      <c r="DW761" s="59"/>
      <c r="DX761" s="59"/>
      <c r="DY761" s="59"/>
      <c r="DZ761" s="59"/>
      <c r="EA761" s="59"/>
      <c r="EB761" s="59"/>
      <c r="EC761" s="59"/>
      <c r="ED761" s="59"/>
      <c r="EE761" s="59"/>
      <c r="EF761" s="59"/>
      <c r="EG761" s="59"/>
      <c r="EH761" s="59"/>
      <c r="EI761" s="59"/>
      <c r="EJ761" s="59"/>
      <c r="EK761" s="59"/>
      <c r="EL761" s="59"/>
      <c r="EM761" s="59"/>
      <c r="EN761" s="59"/>
      <c r="EO761" s="59"/>
      <c r="EP761" s="59"/>
      <c r="EQ761" s="59"/>
      <c r="ER761" s="59"/>
      <c r="ES761" s="59"/>
      <c r="ET761" s="59"/>
      <c r="EU761" s="59"/>
      <c r="EV761" s="59"/>
      <c r="EW761" s="59"/>
      <c r="EX761" s="59"/>
      <c r="EY761" s="59"/>
      <c r="EZ761" s="59"/>
      <c r="FA761" s="59"/>
      <c r="FB761" s="59"/>
      <c r="FC761" s="59"/>
      <c r="FD761" s="59"/>
      <c r="FE761" s="59"/>
      <c r="FF761" s="59"/>
      <c r="FG761" s="59"/>
      <c r="FH761" s="59"/>
      <c r="FI761" s="59"/>
      <c r="FJ761" s="59"/>
      <c r="FK761" s="59"/>
      <c r="FL761" s="59"/>
      <c r="FM761" s="59"/>
      <c r="FN761" s="59"/>
      <c r="FO761" s="59"/>
      <c r="FP761" s="59"/>
      <c r="FQ761" s="59"/>
      <c r="FR761" s="59"/>
      <c r="FS761" s="59"/>
      <c r="FT761" s="59"/>
      <c r="FU761" s="59"/>
      <c r="FV761" s="59"/>
      <c r="FW761" s="59"/>
      <c r="FX761" s="59"/>
      <c r="FY761" s="59"/>
      <c r="FZ761" s="59"/>
      <c r="GA761" s="59"/>
      <c r="GB761" s="59"/>
      <c r="GC761" s="59"/>
      <c r="GD761" s="59"/>
      <c r="GE761" s="59"/>
      <c r="GF761" s="59"/>
      <c r="GG761" s="59"/>
      <c r="GH761" s="59"/>
      <c r="GI761" s="59"/>
      <c r="GJ761" s="59"/>
      <c r="GK761" s="59"/>
      <c r="GL761" s="59"/>
      <c r="GM761" s="59"/>
      <c r="GN761" s="59"/>
      <c r="GO761" s="59"/>
      <c r="GP761" s="59"/>
      <c r="GQ761" s="59"/>
      <c r="GR761" s="59"/>
      <c r="GS761" s="59"/>
      <c r="GT761" s="59"/>
      <c r="GU761" s="59"/>
      <c r="GV761" s="59"/>
      <c r="GW761" s="59"/>
      <c r="GX761" s="59"/>
      <c r="GY761" s="59"/>
      <c r="GZ761" s="59"/>
      <c r="HA761" s="59"/>
      <c r="HB761" s="59"/>
      <c r="HC761" s="59"/>
      <c r="HD761" s="59"/>
      <c r="HE761" s="59"/>
      <c r="HF761" s="59"/>
      <c r="HG761" s="59"/>
      <c r="HH761" s="59"/>
      <c r="HI761" s="59"/>
      <c r="HJ761" s="59"/>
      <c r="HK761" s="59"/>
      <c r="HL761" s="59"/>
      <c r="HM761" s="59"/>
      <c r="HN761" s="59"/>
      <c r="HO761" s="59"/>
      <c r="HP761" s="59"/>
      <c r="HQ761" s="59"/>
      <c r="HR761" s="59"/>
      <c r="HS761" s="59"/>
      <c r="HT761" s="59"/>
      <c r="HU761" s="59"/>
      <c r="HV761" s="59"/>
      <c r="HW761" s="59"/>
      <c r="HX761" s="59"/>
      <c r="HY761" s="59"/>
      <c r="HZ761" s="59"/>
      <c r="IA761" s="59"/>
      <c r="IB761" s="59"/>
      <c r="IC761" s="59"/>
      <c r="ID761" s="59"/>
      <c r="IE761" s="59"/>
      <c r="IF761" s="59"/>
      <c r="IG761" s="59"/>
      <c r="IH761" s="59"/>
      <c r="II761" s="59"/>
      <c r="IJ761" s="59"/>
      <c r="IK761" s="59"/>
      <c r="IL761" s="59"/>
      <c r="IM761" s="59"/>
      <c r="IN761" s="59"/>
      <c r="IO761" s="59"/>
      <c r="IP761" s="59"/>
      <c r="IQ761" s="59"/>
      <c r="IR761" s="59"/>
      <c r="IS761" s="59"/>
      <c r="IT761" s="59"/>
      <c r="IU761" s="59"/>
      <c r="IV761" s="59"/>
    </row>
    <row r="762" spans="1:256" ht="14.25" hidden="1" customHeight="1">
      <c r="A762" s="1827"/>
      <c r="B762" s="1828"/>
      <c r="C762" s="64"/>
      <c r="D762" s="64"/>
      <c r="E762" s="64"/>
      <c r="F762" s="64"/>
      <c r="G762" s="64"/>
      <c r="H762" s="59"/>
      <c r="I762" s="60"/>
      <c r="J762" s="60"/>
      <c r="K762" s="61"/>
      <c r="L762" s="59"/>
      <c r="M762" s="59"/>
      <c r="N762" s="59"/>
      <c r="O762" s="59"/>
      <c r="P762" s="59"/>
      <c r="Q762" s="59"/>
      <c r="R762" s="59"/>
      <c r="S762" s="59"/>
      <c r="T762" s="59"/>
      <c r="U762" s="59"/>
      <c r="V762" s="59"/>
      <c r="W762" s="59"/>
      <c r="X762" s="59"/>
      <c r="Y762" s="59"/>
      <c r="Z762" s="59"/>
      <c r="AA762" s="59"/>
      <c r="AB762" s="59"/>
      <c r="AC762" s="59"/>
      <c r="AD762" s="59"/>
      <c r="AE762" s="59"/>
      <c r="AF762" s="59"/>
      <c r="AG762" s="59"/>
      <c r="AH762" s="59"/>
      <c r="AI762" s="59"/>
      <c r="AJ762" s="59"/>
      <c r="AK762" s="59"/>
      <c r="AL762" s="59"/>
      <c r="AM762" s="59"/>
      <c r="AN762" s="59"/>
      <c r="AO762" s="59"/>
      <c r="AP762" s="59"/>
      <c r="AQ762" s="59"/>
      <c r="AR762" s="59"/>
      <c r="AS762" s="59"/>
      <c r="AT762" s="59"/>
      <c r="AU762" s="59"/>
      <c r="AV762" s="59"/>
      <c r="AW762" s="59"/>
      <c r="AX762" s="59"/>
      <c r="AY762" s="59"/>
      <c r="AZ762" s="59"/>
      <c r="BA762" s="59"/>
      <c r="BB762" s="59"/>
      <c r="BC762" s="59"/>
      <c r="BD762" s="59"/>
      <c r="BE762" s="59"/>
      <c r="BF762" s="59"/>
      <c r="BG762" s="59"/>
      <c r="BH762" s="59"/>
      <c r="BI762" s="59"/>
      <c r="BJ762" s="59"/>
      <c r="BK762" s="59"/>
      <c r="BL762" s="59"/>
      <c r="BM762" s="59"/>
      <c r="BN762" s="59"/>
      <c r="BO762" s="59"/>
      <c r="BP762" s="59"/>
      <c r="BQ762" s="59"/>
      <c r="BR762" s="59"/>
      <c r="BS762" s="59"/>
      <c r="BT762" s="59"/>
      <c r="BU762" s="59"/>
      <c r="BV762" s="59"/>
      <c r="BW762" s="59"/>
      <c r="BX762" s="59"/>
      <c r="BY762" s="59"/>
      <c r="BZ762" s="59"/>
      <c r="CA762" s="59"/>
      <c r="CB762" s="59"/>
      <c r="CC762" s="59"/>
      <c r="CD762" s="59"/>
      <c r="CE762" s="59"/>
      <c r="CF762" s="59"/>
      <c r="CG762" s="59"/>
      <c r="CH762" s="59"/>
      <c r="CI762" s="59"/>
      <c r="CJ762" s="59"/>
      <c r="CK762" s="59"/>
      <c r="CL762" s="59"/>
      <c r="CM762" s="59"/>
      <c r="CN762" s="59"/>
      <c r="CO762" s="59"/>
      <c r="CP762" s="59"/>
      <c r="CQ762" s="59"/>
      <c r="CR762" s="59"/>
      <c r="CS762" s="59"/>
      <c r="CT762" s="59"/>
      <c r="CU762" s="59"/>
      <c r="CV762" s="59"/>
      <c r="CW762" s="59"/>
      <c r="CX762" s="59"/>
      <c r="CY762" s="59"/>
      <c r="CZ762" s="59"/>
      <c r="DA762" s="59"/>
      <c r="DB762" s="59"/>
      <c r="DC762" s="59"/>
      <c r="DD762" s="59"/>
      <c r="DE762" s="59"/>
      <c r="DF762" s="59"/>
      <c r="DG762" s="59"/>
      <c r="DH762" s="59"/>
      <c r="DI762" s="59"/>
      <c r="DJ762" s="59"/>
      <c r="DK762" s="59"/>
      <c r="DL762" s="59"/>
      <c r="DM762" s="59"/>
      <c r="DN762" s="59"/>
      <c r="DO762" s="59"/>
      <c r="DP762" s="59"/>
      <c r="DQ762" s="59"/>
      <c r="DR762" s="59"/>
      <c r="DS762" s="59"/>
      <c r="DT762" s="59"/>
      <c r="DU762" s="59"/>
      <c r="DV762" s="59"/>
      <c r="DW762" s="59"/>
      <c r="DX762" s="59"/>
      <c r="DY762" s="59"/>
      <c r="DZ762" s="59"/>
      <c r="EA762" s="59"/>
      <c r="EB762" s="59"/>
      <c r="EC762" s="59"/>
      <c r="ED762" s="59"/>
      <c r="EE762" s="59"/>
      <c r="EF762" s="59"/>
      <c r="EG762" s="59"/>
      <c r="EH762" s="59"/>
      <c r="EI762" s="59"/>
      <c r="EJ762" s="59"/>
      <c r="EK762" s="59"/>
      <c r="EL762" s="59"/>
      <c r="EM762" s="59"/>
      <c r="EN762" s="59"/>
      <c r="EO762" s="59"/>
      <c r="EP762" s="59"/>
      <c r="EQ762" s="59"/>
      <c r="ER762" s="59"/>
      <c r="ES762" s="59"/>
      <c r="ET762" s="59"/>
      <c r="EU762" s="59"/>
      <c r="EV762" s="59"/>
      <c r="EW762" s="59"/>
      <c r="EX762" s="59"/>
      <c r="EY762" s="59"/>
      <c r="EZ762" s="59"/>
      <c r="FA762" s="59"/>
      <c r="FB762" s="59"/>
      <c r="FC762" s="59"/>
      <c r="FD762" s="59"/>
      <c r="FE762" s="59"/>
      <c r="FF762" s="59"/>
      <c r="FG762" s="59"/>
      <c r="FH762" s="59"/>
      <c r="FI762" s="59"/>
      <c r="FJ762" s="59"/>
      <c r="FK762" s="59"/>
      <c r="FL762" s="59"/>
      <c r="FM762" s="59"/>
      <c r="FN762" s="59"/>
      <c r="FO762" s="59"/>
      <c r="FP762" s="59"/>
      <c r="FQ762" s="59"/>
      <c r="FR762" s="59"/>
      <c r="FS762" s="59"/>
      <c r="FT762" s="59"/>
      <c r="FU762" s="59"/>
      <c r="FV762" s="59"/>
      <c r="FW762" s="59"/>
      <c r="FX762" s="59"/>
      <c r="FY762" s="59"/>
      <c r="FZ762" s="59"/>
      <c r="GA762" s="59"/>
      <c r="GB762" s="59"/>
      <c r="GC762" s="59"/>
      <c r="GD762" s="59"/>
      <c r="GE762" s="59"/>
      <c r="GF762" s="59"/>
      <c r="GG762" s="59"/>
      <c r="GH762" s="59"/>
      <c r="GI762" s="59"/>
      <c r="GJ762" s="59"/>
      <c r="GK762" s="59"/>
      <c r="GL762" s="59"/>
      <c r="GM762" s="59"/>
      <c r="GN762" s="59"/>
      <c r="GO762" s="59"/>
      <c r="GP762" s="59"/>
      <c r="GQ762" s="59"/>
      <c r="GR762" s="59"/>
      <c r="GS762" s="59"/>
      <c r="GT762" s="59"/>
      <c r="GU762" s="59"/>
      <c r="GV762" s="59"/>
      <c r="GW762" s="59"/>
      <c r="GX762" s="59"/>
      <c r="GY762" s="59"/>
      <c r="GZ762" s="59"/>
      <c r="HA762" s="59"/>
      <c r="HB762" s="59"/>
      <c r="HC762" s="59"/>
      <c r="HD762" s="59"/>
      <c r="HE762" s="59"/>
      <c r="HF762" s="59"/>
      <c r="HG762" s="59"/>
      <c r="HH762" s="59"/>
      <c r="HI762" s="59"/>
      <c r="HJ762" s="59"/>
      <c r="HK762" s="59"/>
      <c r="HL762" s="59"/>
      <c r="HM762" s="59"/>
      <c r="HN762" s="59"/>
      <c r="HO762" s="59"/>
      <c r="HP762" s="59"/>
      <c r="HQ762" s="59"/>
      <c r="HR762" s="59"/>
      <c r="HS762" s="59"/>
      <c r="HT762" s="59"/>
      <c r="HU762" s="59"/>
      <c r="HV762" s="59"/>
      <c r="HW762" s="59"/>
      <c r="HX762" s="59"/>
      <c r="HY762" s="59"/>
      <c r="HZ762" s="59"/>
      <c r="IA762" s="59"/>
      <c r="IB762" s="59"/>
      <c r="IC762" s="59"/>
      <c r="ID762" s="59"/>
      <c r="IE762" s="59"/>
      <c r="IF762" s="59"/>
      <c r="IG762" s="59"/>
      <c r="IH762" s="59"/>
      <c r="II762" s="59"/>
      <c r="IJ762" s="59"/>
      <c r="IK762" s="59"/>
      <c r="IL762" s="59"/>
      <c r="IM762" s="59"/>
      <c r="IN762" s="59"/>
      <c r="IO762" s="59"/>
      <c r="IP762" s="59"/>
      <c r="IQ762" s="59"/>
      <c r="IR762" s="59"/>
      <c r="IS762" s="59"/>
      <c r="IT762" s="59"/>
      <c r="IU762" s="59"/>
      <c r="IV762" s="59"/>
    </row>
    <row r="763" spans="1:256" ht="14.25" hidden="1" customHeight="1">
      <c r="A763" s="1829" t="s">
        <v>227</v>
      </c>
      <c r="B763" s="1830"/>
      <c r="C763" s="1830"/>
      <c r="D763" s="1830"/>
      <c r="E763" s="1830"/>
      <c r="F763" s="1828"/>
      <c r="G763" s="65">
        <f>SUM(G761:G762)</f>
        <v>118.8396</v>
      </c>
      <c r="H763" s="59"/>
      <c r="I763" s="60"/>
      <c r="J763" s="60"/>
      <c r="K763" s="61"/>
      <c r="L763" s="59"/>
      <c r="M763" s="59"/>
      <c r="N763" s="59"/>
      <c r="O763" s="59"/>
      <c r="P763" s="59"/>
      <c r="Q763" s="59"/>
      <c r="R763" s="59"/>
      <c r="S763" s="59"/>
      <c r="T763" s="59"/>
      <c r="U763" s="59"/>
      <c r="V763" s="59"/>
      <c r="W763" s="59"/>
      <c r="X763" s="59"/>
      <c r="Y763" s="59"/>
      <c r="Z763" s="59"/>
      <c r="AA763" s="59"/>
      <c r="AB763" s="59"/>
      <c r="AC763" s="59"/>
      <c r="AD763" s="59"/>
      <c r="AE763" s="59"/>
      <c r="AF763" s="59"/>
      <c r="AG763" s="59"/>
      <c r="AH763" s="59"/>
      <c r="AI763" s="59"/>
      <c r="AJ763" s="59"/>
      <c r="AK763" s="59"/>
      <c r="AL763" s="59"/>
      <c r="AM763" s="59"/>
      <c r="AN763" s="59"/>
      <c r="AO763" s="59"/>
      <c r="AP763" s="59"/>
      <c r="AQ763" s="59"/>
      <c r="AR763" s="59"/>
      <c r="AS763" s="59"/>
      <c r="AT763" s="59"/>
      <c r="AU763" s="59"/>
      <c r="AV763" s="59"/>
      <c r="AW763" s="59"/>
      <c r="AX763" s="59"/>
      <c r="AY763" s="59"/>
      <c r="AZ763" s="59"/>
      <c r="BA763" s="59"/>
      <c r="BB763" s="59"/>
      <c r="BC763" s="59"/>
      <c r="BD763" s="59"/>
      <c r="BE763" s="59"/>
      <c r="BF763" s="59"/>
      <c r="BG763" s="59"/>
      <c r="BH763" s="59"/>
      <c r="BI763" s="59"/>
      <c r="BJ763" s="59"/>
      <c r="BK763" s="59"/>
      <c r="BL763" s="59"/>
      <c r="BM763" s="59"/>
      <c r="BN763" s="59"/>
      <c r="BO763" s="59"/>
      <c r="BP763" s="59"/>
      <c r="BQ763" s="59"/>
      <c r="BR763" s="59"/>
      <c r="BS763" s="59"/>
      <c r="BT763" s="59"/>
      <c r="BU763" s="59"/>
      <c r="BV763" s="59"/>
      <c r="BW763" s="59"/>
      <c r="BX763" s="59"/>
      <c r="BY763" s="59"/>
      <c r="BZ763" s="59"/>
      <c r="CA763" s="59"/>
      <c r="CB763" s="59"/>
      <c r="CC763" s="59"/>
      <c r="CD763" s="59"/>
      <c r="CE763" s="59"/>
      <c r="CF763" s="59"/>
      <c r="CG763" s="59"/>
      <c r="CH763" s="59"/>
      <c r="CI763" s="59"/>
      <c r="CJ763" s="59"/>
      <c r="CK763" s="59"/>
      <c r="CL763" s="59"/>
      <c r="CM763" s="59"/>
      <c r="CN763" s="59"/>
      <c r="CO763" s="59"/>
      <c r="CP763" s="59"/>
      <c r="CQ763" s="59"/>
      <c r="CR763" s="59"/>
      <c r="CS763" s="59"/>
      <c r="CT763" s="59"/>
      <c r="CU763" s="59"/>
      <c r="CV763" s="59"/>
      <c r="CW763" s="59"/>
      <c r="CX763" s="59"/>
      <c r="CY763" s="59"/>
      <c r="CZ763" s="59"/>
      <c r="DA763" s="59"/>
      <c r="DB763" s="59"/>
      <c r="DC763" s="59"/>
      <c r="DD763" s="59"/>
      <c r="DE763" s="59"/>
      <c r="DF763" s="59"/>
      <c r="DG763" s="59"/>
      <c r="DH763" s="59"/>
      <c r="DI763" s="59"/>
      <c r="DJ763" s="59"/>
      <c r="DK763" s="59"/>
      <c r="DL763" s="59"/>
      <c r="DM763" s="59"/>
      <c r="DN763" s="59"/>
      <c r="DO763" s="59"/>
      <c r="DP763" s="59"/>
      <c r="DQ763" s="59"/>
      <c r="DR763" s="59"/>
      <c r="DS763" s="59"/>
      <c r="DT763" s="59"/>
      <c r="DU763" s="59"/>
      <c r="DV763" s="59"/>
      <c r="DW763" s="59"/>
      <c r="DX763" s="59"/>
      <c r="DY763" s="59"/>
      <c r="DZ763" s="59"/>
      <c r="EA763" s="59"/>
      <c r="EB763" s="59"/>
      <c r="EC763" s="59"/>
      <c r="ED763" s="59"/>
      <c r="EE763" s="59"/>
      <c r="EF763" s="59"/>
      <c r="EG763" s="59"/>
      <c r="EH763" s="59"/>
      <c r="EI763" s="59"/>
      <c r="EJ763" s="59"/>
      <c r="EK763" s="59"/>
      <c r="EL763" s="59"/>
      <c r="EM763" s="59"/>
      <c r="EN763" s="59"/>
      <c r="EO763" s="59"/>
      <c r="EP763" s="59"/>
      <c r="EQ763" s="59"/>
      <c r="ER763" s="59"/>
      <c r="ES763" s="59"/>
      <c r="ET763" s="59"/>
      <c r="EU763" s="59"/>
      <c r="EV763" s="59"/>
      <c r="EW763" s="59"/>
      <c r="EX763" s="59"/>
      <c r="EY763" s="59"/>
      <c r="EZ763" s="59"/>
      <c r="FA763" s="59"/>
      <c r="FB763" s="59"/>
      <c r="FC763" s="59"/>
      <c r="FD763" s="59"/>
      <c r="FE763" s="59"/>
      <c r="FF763" s="59"/>
      <c r="FG763" s="59"/>
      <c r="FH763" s="59"/>
      <c r="FI763" s="59"/>
      <c r="FJ763" s="59"/>
      <c r="FK763" s="59"/>
      <c r="FL763" s="59"/>
      <c r="FM763" s="59"/>
      <c r="FN763" s="59"/>
      <c r="FO763" s="59"/>
      <c r="FP763" s="59"/>
      <c r="FQ763" s="59"/>
      <c r="FR763" s="59"/>
      <c r="FS763" s="59"/>
      <c r="FT763" s="59"/>
      <c r="FU763" s="59"/>
      <c r="FV763" s="59"/>
      <c r="FW763" s="59"/>
      <c r="FX763" s="59"/>
      <c r="FY763" s="59"/>
      <c r="FZ763" s="59"/>
      <c r="GA763" s="59"/>
      <c r="GB763" s="59"/>
      <c r="GC763" s="59"/>
      <c r="GD763" s="59"/>
      <c r="GE763" s="59"/>
      <c r="GF763" s="59"/>
      <c r="GG763" s="59"/>
      <c r="GH763" s="59"/>
      <c r="GI763" s="59"/>
      <c r="GJ763" s="59"/>
      <c r="GK763" s="59"/>
      <c r="GL763" s="59"/>
      <c r="GM763" s="59"/>
      <c r="GN763" s="59"/>
      <c r="GO763" s="59"/>
      <c r="GP763" s="59"/>
      <c r="GQ763" s="59"/>
      <c r="GR763" s="59"/>
      <c r="GS763" s="59"/>
      <c r="GT763" s="59"/>
      <c r="GU763" s="59"/>
      <c r="GV763" s="59"/>
      <c r="GW763" s="59"/>
      <c r="GX763" s="59"/>
      <c r="GY763" s="59"/>
      <c r="GZ763" s="59"/>
      <c r="HA763" s="59"/>
      <c r="HB763" s="59"/>
      <c r="HC763" s="59"/>
      <c r="HD763" s="59"/>
      <c r="HE763" s="59"/>
      <c r="HF763" s="59"/>
      <c r="HG763" s="59"/>
      <c r="HH763" s="59"/>
      <c r="HI763" s="59"/>
      <c r="HJ763" s="59"/>
      <c r="HK763" s="59"/>
      <c r="HL763" s="59"/>
      <c r="HM763" s="59"/>
      <c r="HN763" s="59"/>
      <c r="HO763" s="59"/>
      <c r="HP763" s="59"/>
      <c r="HQ763" s="59"/>
      <c r="HR763" s="59"/>
      <c r="HS763" s="59"/>
      <c r="HT763" s="59"/>
      <c r="HU763" s="59"/>
      <c r="HV763" s="59"/>
      <c r="HW763" s="59"/>
      <c r="HX763" s="59"/>
      <c r="HY763" s="59"/>
      <c r="HZ763" s="59"/>
      <c r="IA763" s="59"/>
      <c r="IB763" s="59"/>
      <c r="IC763" s="59"/>
      <c r="ID763" s="59"/>
      <c r="IE763" s="59"/>
      <c r="IF763" s="59"/>
      <c r="IG763" s="59"/>
      <c r="IH763" s="59"/>
      <c r="II763" s="59"/>
      <c r="IJ763" s="59"/>
      <c r="IK763" s="59"/>
      <c r="IL763" s="59"/>
      <c r="IM763" s="59"/>
      <c r="IN763" s="59"/>
      <c r="IO763" s="59"/>
      <c r="IP763" s="59"/>
      <c r="IQ763" s="59"/>
      <c r="IR763" s="59"/>
      <c r="IS763" s="59"/>
      <c r="IT763" s="59"/>
      <c r="IU763" s="59"/>
      <c r="IV763" s="59"/>
    </row>
    <row r="764" spans="1:256" ht="14.25" hidden="1" customHeight="1">
      <c r="A764" s="1831"/>
      <c r="B764" s="1830"/>
      <c r="C764" s="1830"/>
      <c r="D764" s="1830"/>
      <c r="E764" s="1830"/>
      <c r="F764" s="1830"/>
      <c r="G764" s="1828"/>
      <c r="H764" s="59"/>
      <c r="I764" s="60"/>
      <c r="J764" s="60"/>
      <c r="K764" s="61"/>
      <c r="L764" s="59"/>
      <c r="M764" s="59"/>
      <c r="N764" s="59"/>
      <c r="O764" s="59"/>
      <c r="P764" s="59"/>
      <c r="Q764" s="59"/>
      <c r="R764" s="59"/>
      <c r="S764" s="59"/>
      <c r="T764" s="59"/>
      <c r="U764" s="59"/>
      <c r="V764" s="59"/>
      <c r="W764" s="59"/>
      <c r="X764" s="59"/>
      <c r="Y764" s="59"/>
      <c r="Z764" s="59"/>
      <c r="AA764" s="59"/>
      <c r="AB764" s="59"/>
      <c r="AC764" s="59"/>
      <c r="AD764" s="59"/>
      <c r="AE764" s="59"/>
      <c r="AF764" s="59"/>
      <c r="AG764" s="59"/>
      <c r="AH764" s="59"/>
      <c r="AI764" s="59"/>
      <c r="AJ764" s="59"/>
      <c r="AK764" s="59"/>
      <c r="AL764" s="59"/>
      <c r="AM764" s="59"/>
      <c r="AN764" s="59"/>
      <c r="AO764" s="59"/>
      <c r="AP764" s="59"/>
      <c r="AQ764" s="59"/>
      <c r="AR764" s="59"/>
      <c r="AS764" s="59"/>
      <c r="AT764" s="59"/>
      <c r="AU764" s="59"/>
      <c r="AV764" s="59"/>
      <c r="AW764" s="59"/>
      <c r="AX764" s="59"/>
      <c r="AY764" s="59"/>
      <c r="AZ764" s="59"/>
      <c r="BA764" s="59"/>
      <c r="BB764" s="59"/>
      <c r="BC764" s="59"/>
      <c r="BD764" s="59"/>
      <c r="BE764" s="59"/>
      <c r="BF764" s="59"/>
      <c r="BG764" s="59"/>
      <c r="BH764" s="59"/>
      <c r="BI764" s="59"/>
      <c r="BJ764" s="59"/>
      <c r="BK764" s="59"/>
      <c r="BL764" s="59"/>
      <c r="BM764" s="59"/>
      <c r="BN764" s="59"/>
      <c r="BO764" s="59"/>
      <c r="BP764" s="59"/>
      <c r="BQ764" s="59"/>
      <c r="BR764" s="59"/>
      <c r="BS764" s="59"/>
      <c r="BT764" s="59"/>
      <c r="BU764" s="59"/>
      <c r="BV764" s="59"/>
      <c r="BW764" s="59"/>
      <c r="BX764" s="59"/>
      <c r="BY764" s="59"/>
      <c r="BZ764" s="59"/>
      <c r="CA764" s="59"/>
      <c r="CB764" s="59"/>
      <c r="CC764" s="59"/>
      <c r="CD764" s="59"/>
      <c r="CE764" s="59"/>
      <c r="CF764" s="59"/>
      <c r="CG764" s="59"/>
      <c r="CH764" s="59"/>
      <c r="CI764" s="59"/>
      <c r="CJ764" s="59"/>
      <c r="CK764" s="59"/>
      <c r="CL764" s="59"/>
      <c r="CM764" s="59"/>
      <c r="CN764" s="59"/>
      <c r="CO764" s="59"/>
      <c r="CP764" s="59"/>
      <c r="CQ764" s="59"/>
      <c r="CR764" s="59"/>
      <c r="CS764" s="59"/>
      <c r="CT764" s="59"/>
      <c r="CU764" s="59"/>
      <c r="CV764" s="59"/>
      <c r="CW764" s="59"/>
      <c r="CX764" s="59"/>
      <c r="CY764" s="59"/>
      <c r="CZ764" s="59"/>
      <c r="DA764" s="59"/>
      <c r="DB764" s="59"/>
      <c r="DC764" s="59"/>
      <c r="DD764" s="59"/>
      <c r="DE764" s="59"/>
      <c r="DF764" s="59"/>
      <c r="DG764" s="59"/>
      <c r="DH764" s="59"/>
      <c r="DI764" s="59"/>
      <c r="DJ764" s="59"/>
      <c r="DK764" s="59"/>
      <c r="DL764" s="59"/>
      <c r="DM764" s="59"/>
      <c r="DN764" s="59"/>
      <c r="DO764" s="59"/>
      <c r="DP764" s="59"/>
      <c r="DQ764" s="59"/>
      <c r="DR764" s="59"/>
      <c r="DS764" s="59"/>
      <c r="DT764" s="59"/>
      <c r="DU764" s="59"/>
      <c r="DV764" s="59"/>
      <c r="DW764" s="59"/>
      <c r="DX764" s="59"/>
      <c r="DY764" s="59"/>
      <c r="DZ764" s="59"/>
      <c r="EA764" s="59"/>
      <c r="EB764" s="59"/>
      <c r="EC764" s="59"/>
      <c r="ED764" s="59"/>
      <c r="EE764" s="59"/>
      <c r="EF764" s="59"/>
      <c r="EG764" s="59"/>
      <c r="EH764" s="59"/>
      <c r="EI764" s="59"/>
      <c r="EJ764" s="59"/>
      <c r="EK764" s="59"/>
      <c r="EL764" s="59"/>
      <c r="EM764" s="59"/>
      <c r="EN764" s="59"/>
      <c r="EO764" s="59"/>
      <c r="EP764" s="59"/>
      <c r="EQ764" s="59"/>
      <c r="ER764" s="59"/>
      <c r="ES764" s="59"/>
      <c r="ET764" s="59"/>
      <c r="EU764" s="59"/>
      <c r="EV764" s="59"/>
      <c r="EW764" s="59"/>
      <c r="EX764" s="59"/>
      <c r="EY764" s="59"/>
      <c r="EZ764" s="59"/>
      <c r="FA764" s="59"/>
      <c r="FB764" s="59"/>
      <c r="FC764" s="59"/>
      <c r="FD764" s="59"/>
      <c r="FE764" s="59"/>
      <c r="FF764" s="59"/>
      <c r="FG764" s="59"/>
      <c r="FH764" s="59"/>
      <c r="FI764" s="59"/>
      <c r="FJ764" s="59"/>
      <c r="FK764" s="59"/>
      <c r="FL764" s="59"/>
      <c r="FM764" s="59"/>
      <c r="FN764" s="59"/>
      <c r="FO764" s="59"/>
      <c r="FP764" s="59"/>
      <c r="FQ764" s="59"/>
      <c r="FR764" s="59"/>
      <c r="FS764" s="59"/>
      <c r="FT764" s="59"/>
      <c r="FU764" s="59"/>
      <c r="FV764" s="59"/>
      <c r="FW764" s="59"/>
      <c r="FX764" s="59"/>
      <c r="FY764" s="59"/>
      <c r="FZ764" s="59"/>
      <c r="GA764" s="59"/>
      <c r="GB764" s="59"/>
      <c r="GC764" s="59"/>
      <c r="GD764" s="59"/>
      <c r="GE764" s="59"/>
      <c r="GF764" s="59"/>
      <c r="GG764" s="59"/>
      <c r="GH764" s="59"/>
      <c r="GI764" s="59"/>
      <c r="GJ764" s="59"/>
      <c r="GK764" s="59"/>
      <c r="GL764" s="59"/>
      <c r="GM764" s="59"/>
      <c r="GN764" s="59"/>
      <c r="GO764" s="59"/>
      <c r="GP764" s="59"/>
      <c r="GQ764" s="59"/>
      <c r="GR764" s="59"/>
      <c r="GS764" s="59"/>
      <c r="GT764" s="59"/>
      <c r="GU764" s="59"/>
      <c r="GV764" s="59"/>
      <c r="GW764" s="59"/>
      <c r="GX764" s="59"/>
      <c r="GY764" s="59"/>
      <c r="GZ764" s="59"/>
      <c r="HA764" s="59"/>
      <c r="HB764" s="59"/>
      <c r="HC764" s="59"/>
      <c r="HD764" s="59"/>
      <c r="HE764" s="59"/>
      <c r="HF764" s="59"/>
      <c r="HG764" s="59"/>
      <c r="HH764" s="59"/>
      <c r="HI764" s="59"/>
      <c r="HJ764" s="59"/>
      <c r="HK764" s="59"/>
      <c r="HL764" s="59"/>
      <c r="HM764" s="59"/>
      <c r="HN764" s="59"/>
      <c r="HO764" s="59"/>
      <c r="HP764" s="59"/>
      <c r="HQ764" s="59"/>
      <c r="HR764" s="59"/>
      <c r="HS764" s="59"/>
      <c r="HT764" s="59"/>
      <c r="HU764" s="59"/>
      <c r="HV764" s="59"/>
      <c r="HW764" s="59"/>
      <c r="HX764" s="59"/>
      <c r="HY764" s="59"/>
      <c r="HZ764" s="59"/>
      <c r="IA764" s="59"/>
      <c r="IB764" s="59"/>
      <c r="IC764" s="59"/>
      <c r="ID764" s="59"/>
      <c r="IE764" s="59"/>
      <c r="IF764" s="59"/>
      <c r="IG764" s="59"/>
      <c r="IH764" s="59"/>
      <c r="II764" s="59"/>
      <c r="IJ764" s="59"/>
      <c r="IK764" s="59"/>
      <c r="IL764" s="59"/>
      <c r="IM764" s="59"/>
      <c r="IN764" s="59"/>
      <c r="IO764" s="59"/>
      <c r="IP764" s="59"/>
      <c r="IQ764" s="59"/>
      <c r="IR764" s="59"/>
      <c r="IS764" s="59"/>
      <c r="IT764" s="59"/>
      <c r="IU764" s="59"/>
      <c r="IV764" s="59"/>
    </row>
    <row r="765" spans="1:256" ht="14.25" hidden="1" customHeight="1">
      <c r="A765" s="66" t="s">
        <v>268</v>
      </c>
      <c r="B765" s="1832" t="str">
        <f>+B757</f>
        <v>ACABADOS</v>
      </c>
      <c r="C765" s="1830"/>
      <c r="D765" s="1828"/>
      <c r="E765" s="1833" t="s">
        <v>218</v>
      </c>
      <c r="F765" s="1828"/>
      <c r="G765" s="62" t="s">
        <v>120</v>
      </c>
      <c r="H765" s="59"/>
      <c r="I765" s="60"/>
      <c r="J765" s="60"/>
      <c r="K765" s="61"/>
      <c r="L765" s="59"/>
      <c r="M765" s="59"/>
      <c r="N765" s="59"/>
      <c r="O765" s="59"/>
      <c r="P765" s="59"/>
      <c r="Q765" s="59"/>
      <c r="R765" s="59"/>
      <c r="S765" s="59"/>
      <c r="T765" s="59"/>
      <c r="U765" s="59"/>
      <c r="V765" s="59"/>
      <c r="W765" s="59"/>
      <c r="X765" s="59"/>
      <c r="Y765" s="59"/>
      <c r="Z765" s="59"/>
      <c r="AA765" s="59"/>
      <c r="AB765" s="59"/>
      <c r="AC765" s="59"/>
      <c r="AD765" s="59"/>
      <c r="AE765" s="59"/>
      <c r="AF765" s="59"/>
      <c r="AG765" s="59"/>
      <c r="AH765" s="59"/>
      <c r="AI765" s="59"/>
      <c r="AJ765" s="59"/>
      <c r="AK765" s="59"/>
      <c r="AL765" s="59"/>
      <c r="AM765" s="59"/>
      <c r="AN765" s="59"/>
      <c r="AO765" s="59"/>
      <c r="AP765" s="59"/>
      <c r="AQ765" s="59"/>
      <c r="AR765" s="59"/>
      <c r="AS765" s="59"/>
      <c r="AT765" s="59"/>
      <c r="AU765" s="59"/>
      <c r="AV765" s="59"/>
      <c r="AW765" s="59"/>
      <c r="AX765" s="59"/>
      <c r="AY765" s="59"/>
      <c r="AZ765" s="59"/>
      <c r="BA765" s="59"/>
      <c r="BB765" s="59"/>
      <c r="BC765" s="59"/>
      <c r="BD765" s="59"/>
      <c r="BE765" s="59"/>
      <c r="BF765" s="59"/>
      <c r="BG765" s="59"/>
      <c r="BH765" s="59"/>
      <c r="BI765" s="59"/>
      <c r="BJ765" s="59"/>
      <c r="BK765" s="59"/>
      <c r="BL765" s="59"/>
      <c r="BM765" s="59"/>
      <c r="BN765" s="59"/>
      <c r="BO765" s="59"/>
      <c r="BP765" s="59"/>
      <c r="BQ765" s="59"/>
      <c r="BR765" s="59"/>
      <c r="BS765" s="59"/>
      <c r="BT765" s="59"/>
      <c r="BU765" s="59"/>
      <c r="BV765" s="59"/>
      <c r="BW765" s="59"/>
      <c r="BX765" s="59"/>
      <c r="BY765" s="59"/>
      <c r="BZ765" s="59"/>
      <c r="CA765" s="59"/>
      <c r="CB765" s="59"/>
      <c r="CC765" s="59"/>
      <c r="CD765" s="59"/>
      <c r="CE765" s="59"/>
      <c r="CF765" s="59"/>
      <c r="CG765" s="59"/>
      <c r="CH765" s="59"/>
      <c r="CI765" s="59"/>
      <c r="CJ765" s="59"/>
      <c r="CK765" s="59"/>
      <c r="CL765" s="59"/>
      <c r="CM765" s="59"/>
      <c r="CN765" s="59"/>
      <c r="CO765" s="59"/>
      <c r="CP765" s="59"/>
      <c r="CQ765" s="59"/>
      <c r="CR765" s="59"/>
      <c r="CS765" s="59"/>
      <c r="CT765" s="59"/>
      <c r="CU765" s="59"/>
      <c r="CV765" s="59"/>
      <c r="CW765" s="59"/>
      <c r="CX765" s="59"/>
      <c r="CY765" s="59"/>
      <c r="CZ765" s="59"/>
      <c r="DA765" s="59"/>
      <c r="DB765" s="59"/>
      <c r="DC765" s="59"/>
      <c r="DD765" s="59"/>
      <c r="DE765" s="59"/>
      <c r="DF765" s="59"/>
      <c r="DG765" s="59"/>
      <c r="DH765" s="59"/>
      <c r="DI765" s="59"/>
      <c r="DJ765" s="59"/>
      <c r="DK765" s="59"/>
      <c r="DL765" s="59"/>
      <c r="DM765" s="59"/>
      <c r="DN765" s="59"/>
      <c r="DO765" s="59"/>
      <c r="DP765" s="59"/>
      <c r="DQ765" s="59"/>
      <c r="DR765" s="59"/>
      <c r="DS765" s="59"/>
      <c r="DT765" s="59"/>
      <c r="DU765" s="59"/>
      <c r="DV765" s="59"/>
      <c r="DW765" s="59"/>
      <c r="DX765" s="59"/>
      <c r="DY765" s="59"/>
      <c r="DZ765" s="59"/>
      <c r="EA765" s="59"/>
      <c r="EB765" s="59"/>
      <c r="EC765" s="59"/>
      <c r="ED765" s="59"/>
      <c r="EE765" s="59"/>
      <c r="EF765" s="59"/>
      <c r="EG765" s="59"/>
      <c r="EH765" s="59"/>
      <c r="EI765" s="59"/>
      <c r="EJ765" s="59"/>
      <c r="EK765" s="59"/>
      <c r="EL765" s="59"/>
      <c r="EM765" s="59"/>
      <c r="EN765" s="59"/>
      <c r="EO765" s="59"/>
      <c r="EP765" s="59"/>
      <c r="EQ765" s="59"/>
      <c r="ER765" s="59"/>
      <c r="ES765" s="59"/>
      <c r="ET765" s="59"/>
      <c r="EU765" s="59"/>
      <c r="EV765" s="59"/>
      <c r="EW765" s="59"/>
      <c r="EX765" s="59"/>
      <c r="EY765" s="59"/>
      <c r="EZ765" s="59"/>
      <c r="FA765" s="59"/>
      <c r="FB765" s="59"/>
      <c r="FC765" s="59"/>
      <c r="FD765" s="59"/>
      <c r="FE765" s="59"/>
      <c r="FF765" s="59"/>
      <c r="FG765" s="59"/>
      <c r="FH765" s="59"/>
      <c r="FI765" s="59"/>
      <c r="FJ765" s="59"/>
      <c r="FK765" s="59"/>
      <c r="FL765" s="59"/>
      <c r="FM765" s="59"/>
      <c r="FN765" s="59"/>
      <c r="FO765" s="59"/>
      <c r="FP765" s="59"/>
      <c r="FQ765" s="59"/>
      <c r="FR765" s="59"/>
      <c r="FS765" s="59"/>
      <c r="FT765" s="59"/>
      <c r="FU765" s="59"/>
      <c r="FV765" s="59"/>
      <c r="FW765" s="59"/>
      <c r="FX765" s="59"/>
      <c r="FY765" s="59"/>
      <c r="FZ765" s="59"/>
      <c r="GA765" s="59"/>
      <c r="GB765" s="59"/>
      <c r="GC765" s="59"/>
      <c r="GD765" s="59"/>
      <c r="GE765" s="59"/>
      <c r="GF765" s="59"/>
      <c r="GG765" s="59"/>
      <c r="GH765" s="59"/>
      <c r="GI765" s="59"/>
      <c r="GJ765" s="59"/>
      <c r="GK765" s="59"/>
      <c r="GL765" s="59"/>
      <c r="GM765" s="59"/>
      <c r="GN765" s="59"/>
      <c r="GO765" s="59"/>
      <c r="GP765" s="59"/>
      <c r="GQ765" s="59"/>
      <c r="GR765" s="59"/>
      <c r="GS765" s="59"/>
      <c r="GT765" s="59"/>
      <c r="GU765" s="59"/>
      <c r="GV765" s="59"/>
      <c r="GW765" s="59"/>
      <c r="GX765" s="59"/>
      <c r="GY765" s="59"/>
      <c r="GZ765" s="59"/>
      <c r="HA765" s="59"/>
      <c r="HB765" s="59"/>
      <c r="HC765" s="59"/>
      <c r="HD765" s="59"/>
      <c r="HE765" s="59"/>
      <c r="HF765" s="59"/>
      <c r="HG765" s="59"/>
      <c r="HH765" s="59"/>
      <c r="HI765" s="59"/>
      <c r="HJ765" s="59"/>
      <c r="HK765" s="59"/>
      <c r="HL765" s="59"/>
      <c r="HM765" s="59"/>
      <c r="HN765" s="59"/>
      <c r="HO765" s="59"/>
      <c r="HP765" s="59"/>
      <c r="HQ765" s="59"/>
      <c r="HR765" s="59"/>
      <c r="HS765" s="59"/>
      <c r="HT765" s="59"/>
      <c r="HU765" s="59"/>
      <c r="HV765" s="59"/>
      <c r="HW765" s="59"/>
      <c r="HX765" s="59"/>
      <c r="HY765" s="59"/>
      <c r="HZ765" s="59"/>
      <c r="IA765" s="59"/>
      <c r="IB765" s="59"/>
      <c r="IC765" s="59"/>
      <c r="ID765" s="59"/>
      <c r="IE765" s="59"/>
      <c r="IF765" s="59"/>
      <c r="IG765" s="59"/>
      <c r="IH765" s="59"/>
      <c r="II765" s="59"/>
      <c r="IJ765" s="59"/>
      <c r="IK765" s="59"/>
      <c r="IL765" s="59"/>
      <c r="IM765" s="59"/>
      <c r="IN765" s="59"/>
      <c r="IO765" s="59"/>
      <c r="IP765" s="59"/>
      <c r="IQ765" s="59"/>
      <c r="IR765" s="59"/>
      <c r="IS765" s="59"/>
      <c r="IT765" s="59"/>
      <c r="IU765" s="59"/>
      <c r="IV765" s="59"/>
    </row>
    <row r="766" spans="1:256" ht="33" hidden="1" customHeight="1">
      <c r="A766" s="66" t="s">
        <v>269</v>
      </c>
      <c r="B766" s="1840" t="s">
        <v>811</v>
      </c>
      <c r="C766" s="1830"/>
      <c r="D766" s="1830"/>
      <c r="E766" s="1830"/>
      <c r="F766" s="1830"/>
      <c r="G766" s="1828"/>
      <c r="H766" s="59"/>
      <c r="I766" s="60"/>
      <c r="J766" s="60"/>
      <c r="K766" s="61"/>
      <c r="L766" s="59"/>
      <c r="M766" s="59"/>
      <c r="N766" s="59"/>
      <c r="O766" s="59"/>
      <c r="P766" s="59"/>
      <c r="Q766" s="59"/>
      <c r="R766" s="59"/>
      <c r="S766" s="59"/>
      <c r="T766" s="59"/>
      <c r="U766" s="59"/>
      <c r="V766" s="59"/>
      <c r="W766" s="59"/>
      <c r="X766" s="59"/>
      <c r="Y766" s="59"/>
      <c r="Z766" s="59"/>
      <c r="AA766" s="59"/>
      <c r="AB766" s="59"/>
      <c r="AC766" s="59"/>
      <c r="AD766" s="59"/>
      <c r="AE766" s="59"/>
      <c r="AF766" s="59"/>
      <c r="AG766" s="59"/>
      <c r="AH766" s="59"/>
      <c r="AI766" s="59"/>
      <c r="AJ766" s="59"/>
      <c r="AK766" s="59"/>
      <c r="AL766" s="59"/>
      <c r="AM766" s="59"/>
      <c r="AN766" s="59"/>
      <c r="AO766" s="59"/>
      <c r="AP766" s="59"/>
      <c r="AQ766" s="59"/>
      <c r="AR766" s="59"/>
      <c r="AS766" s="59"/>
      <c r="AT766" s="59"/>
      <c r="AU766" s="59"/>
      <c r="AV766" s="59"/>
      <c r="AW766" s="59"/>
      <c r="AX766" s="59"/>
      <c r="AY766" s="59"/>
      <c r="AZ766" s="59"/>
      <c r="BA766" s="59"/>
      <c r="BB766" s="59"/>
      <c r="BC766" s="59"/>
      <c r="BD766" s="59"/>
      <c r="BE766" s="59"/>
      <c r="BF766" s="59"/>
      <c r="BG766" s="59"/>
      <c r="BH766" s="59"/>
      <c r="BI766" s="59"/>
      <c r="BJ766" s="59"/>
      <c r="BK766" s="59"/>
      <c r="BL766" s="59"/>
      <c r="BM766" s="59"/>
      <c r="BN766" s="59"/>
      <c r="BO766" s="59"/>
      <c r="BP766" s="59"/>
      <c r="BQ766" s="59"/>
      <c r="BR766" s="59"/>
      <c r="BS766" s="59"/>
      <c r="BT766" s="59"/>
      <c r="BU766" s="59"/>
      <c r="BV766" s="59"/>
      <c r="BW766" s="59"/>
      <c r="BX766" s="59"/>
      <c r="BY766" s="59"/>
      <c r="BZ766" s="59"/>
      <c r="CA766" s="59"/>
      <c r="CB766" s="59"/>
      <c r="CC766" s="59"/>
      <c r="CD766" s="59"/>
      <c r="CE766" s="59"/>
      <c r="CF766" s="59"/>
      <c r="CG766" s="59"/>
      <c r="CH766" s="59"/>
      <c r="CI766" s="59"/>
      <c r="CJ766" s="59"/>
      <c r="CK766" s="59"/>
      <c r="CL766" s="59"/>
      <c r="CM766" s="59"/>
      <c r="CN766" s="59"/>
      <c r="CO766" s="59"/>
      <c r="CP766" s="59"/>
      <c r="CQ766" s="59"/>
      <c r="CR766" s="59"/>
      <c r="CS766" s="59"/>
      <c r="CT766" s="59"/>
      <c r="CU766" s="59"/>
      <c r="CV766" s="59"/>
      <c r="CW766" s="59"/>
      <c r="CX766" s="59"/>
      <c r="CY766" s="59"/>
      <c r="CZ766" s="59"/>
      <c r="DA766" s="59"/>
      <c r="DB766" s="59"/>
      <c r="DC766" s="59"/>
      <c r="DD766" s="59"/>
      <c r="DE766" s="59"/>
      <c r="DF766" s="59"/>
      <c r="DG766" s="59"/>
      <c r="DH766" s="59"/>
      <c r="DI766" s="59"/>
      <c r="DJ766" s="59"/>
      <c r="DK766" s="59"/>
      <c r="DL766" s="59"/>
      <c r="DM766" s="59"/>
      <c r="DN766" s="59"/>
      <c r="DO766" s="59"/>
      <c r="DP766" s="59"/>
      <c r="DQ766" s="59"/>
      <c r="DR766" s="59"/>
      <c r="DS766" s="59"/>
      <c r="DT766" s="59"/>
      <c r="DU766" s="59"/>
      <c r="DV766" s="59"/>
      <c r="DW766" s="59"/>
      <c r="DX766" s="59"/>
      <c r="DY766" s="59"/>
      <c r="DZ766" s="59"/>
      <c r="EA766" s="59"/>
      <c r="EB766" s="59"/>
      <c r="EC766" s="59"/>
      <c r="ED766" s="59"/>
      <c r="EE766" s="59"/>
      <c r="EF766" s="59"/>
      <c r="EG766" s="59"/>
      <c r="EH766" s="59"/>
      <c r="EI766" s="59"/>
      <c r="EJ766" s="59"/>
      <c r="EK766" s="59"/>
      <c r="EL766" s="59"/>
      <c r="EM766" s="59"/>
      <c r="EN766" s="59"/>
      <c r="EO766" s="59"/>
      <c r="EP766" s="59"/>
      <c r="EQ766" s="59"/>
      <c r="ER766" s="59"/>
      <c r="ES766" s="59"/>
      <c r="ET766" s="59"/>
      <c r="EU766" s="59"/>
      <c r="EV766" s="59"/>
      <c r="EW766" s="59"/>
      <c r="EX766" s="59"/>
      <c r="EY766" s="59"/>
      <c r="EZ766" s="59"/>
      <c r="FA766" s="59"/>
      <c r="FB766" s="59"/>
      <c r="FC766" s="59"/>
      <c r="FD766" s="59"/>
      <c r="FE766" s="59"/>
      <c r="FF766" s="59"/>
      <c r="FG766" s="59"/>
      <c r="FH766" s="59"/>
      <c r="FI766" s="59"/>
      <c r="FJ766" s="59"/>
      <c r="FK766" s="59"/>
      <c r="FL766" s="59"/>
      <c r="FM766" s="59"/>
      <c r="FN766" s="59"/>
      <c r="FO766" s="59"/>
      <c r="FP766" s="59"/>
      <c r="FQ766" s="59"/>
      <c r="FR766" s="59"/>
      <c r="FS766" s="59"/>
      <c r="FT766" s="59"/>
      <c r="FU766" s="59"/>
      <c r="FV766" s="59"/>
      <c r="FW766" s="59"/>
      <c r="FX766" s="59"/>
      <c r="FY766" s="59"/>
      <c r="FZ766" s="59"/>
      <c r="GA766" s="59"/>
      <c r="GB766" s="59"/>
      <c r="GC766" s="59"/>
      <c r="GD766" s="59"/>
      <c r="GE766" s="59"/>
      <c r="GF766" s="59"/>
      <c r="GG766" s="59"/>
      <c r="GH766" s="59"/>
      <c r="GI766" s="59"/>
      <c r="GJ766" s="59"/>
      <c r="GK766" s="59"/>
      <c r="GL766" s="59"/>
      <c r="GM766" s="59"/>
      <c r="GN766" s="59"/>
      <c r="GO766" s="59"/>
      <c r="GP766" s="59"/>
      <c r="GQ766" s="59"/>
      <c r="GR766" s="59"/>
      <c r="GS766" s="59"/>
      <c r="GT766" s="59"/>
      <c r="GU766" s="59"/>
      <c r="GV766" s="59"/>
      <c r="GW766" s="59"/>
      <c r="GX766" s="59"/>
      <c r="GY766" s="59"/>
      <c r="GZ766" s="59"/>
      <c r="HA766" s="59"/>
      <c r="HB766" s="59"/>
      <c r="HC766" s="59"/>
      <c r="HD766" s="59"/>
      <c r="HE766" s="59"/>
      <c r="HF766" s="59"/>
      <c r="HG766" s="59"/>
      <c r="HH766" s="59"/>
      <c r="HI766" s="59"/>
      <c r="HJ766" s="59"/>
      <c r="HK766" s="59"/>
      <c r="HL766" s="59"/>
      <c r="HM766" s="59"/>
      <c r="HN766" s="59"/>
      <c r="HO766" s="59"/>
      <c r="HP766" s="59"/>
      <c r="HQ766" s="59"/>
      <c r="HR766" s="59"/>
      <c r="HS766" s="59"/>
      <c r="HT766" s="59"/>
      <c r="HU766" s="59"/>
      <c r="HV766" s="59"/>
      <c r="HW766" s="59"/>
      <c r="HX766" s="59"/>
      <c r="HY766" s="59"/>
      <c r="HZ766" s="59"/>
      <c r="IA766" s="59"/>
      <c r="IB766" s="59"/>
      <c r="IC766" s="59"/>
      <c r="ID766" s="59"/>
      <c r="IE766" s="59"/>
      <c r="IF766" s="59"/>
      <c r="IG766" s="59"/>
      <c r="IH766" s="59"/>
      <c r="II766" s="59"/>
      <c r="IJ766" s="59"/>
      <c r="IK766" s="59"/>
      <c r="IL766" s="59"/>
      <c r="IM766" s="59"/>
      <c r="IN766" s="59"/>
      <c r="IO766" s="59"/>
      <c r="IP766" s="59"/>
      <c r="IQ766" s="59"/>
      <c r="IR766" s="59"/>
      <c r="IS766" s="59"/>
      <c r="IT766" s="59"/>
      <c r="IU766" s="59"/>
      <c r="IV766" s="59"/>
    </row>
    <row r="767" spans="1:256" ht="14.25" hidden="1" customHeight="1">
      <c r="A767" s="1836" t="s">
        <v>220</v>
      </c>
      <c r="B767" s="1830"/>
      <c r="C767" s="1830"/>
      <c r="D767" s="1830"/>
      <c r="E767" s="1830"/>
      <c r="F767" s="1830"/>
      <c r="G767" s="1828"/>
      <c r="H767" s="59"/>
      <c r="I767" s="60"/>
      <c r="J767" s="60"/>
      <c r="K767" s="61"/>
      <c r="L767" s="59"/>
      <c r="M767" s="59"/>
      <c r="N767" s="59"/>
      <c r="O767" s="59"/>
      <c r="P767" s="59"/>
      <c r="Q767" s="59"/>
      <c r="R767" s="59"/>
      <c r="S767" s="59"/>
      <c r="T767" s="59"/>
      <c r="U767" s="59"/>
      <c r="V767" s="59"/>
      <c r="W767" s="59"/>
      <c r="X767" s="59"/>
      <c r="Y767" s="59"/>
      <c r="Z767" s="59"/>
      <c r="AA767" s="59"/>
      <c r="AB767" s="59"/>
      <c r="AC767" s="59"/>
      <c r="AD767" s="59"/>
      <c r="AE767" s="59"/>
      <c r="AF767" s="59"/>
      <c r="AG767" s="59"/>
      <c r="AH767" s="59"/>
      <c r="AI767" s="59"/>
      <c r="AJ767" s="59"/>
      <c r="AK767" s="59"/>
      <c r="AL767" s="59"/>
      <c r="AM767" s="59"/>
      <c r="AN767" s="59"/>
      <c r="AO767" s="59"/>
      <c r="AP767" s="59"/>
      <c r="AQ767" s="59"/>
      <c r="AR767" s="59"/>
      <c r="AS767" s="59"/>
      <c r="AT767" s="59"/>
      <c r="AU767" s="59"/>
      <c r="AV767" s="59"/>
      <c r="AW767" s="59"/>
      <c r="AX767" s="59"/>
      <c r="AY767" s="59"/>
      <c r="AZ767" s="59"/>
      <c r="BA767" s="59"/>
      <c r="BB767" s="59"/>
      <c r="BC767" s="59"/>
      <c r="BD767" s="59"/>
      <c r="BE767" s="59"/>
      <c r="BF767" s="59"/>
      <c r="BG767" s="59"/>
      <c r="BH767" s="59"/>
      <c r="BI767" s="59"/>
      <c r="BJ767" s="59"/>
      <c r="BK767" s="59"/>
      <c r="BL767" s="59"/>
      <c r="BM767" s="59"/>
      <c r="BN767" s="59"/>
      <c r="BO767" s="59"/>
      <c r="BP767" s="59"/>
      <c r="BQ767" s="59"/>
      <c r="BR767" s="59"/>
      <c r="BS767" s="59"/>
      <c r="BT767" s="59"/>
      <c r="BU767" s="59"/>
      <c r="BV767" s="59"/>
      <c r="BW767" s="59"/>
      <c r="BX767" s="59"/>
      <c r="BY767" s="59"/>
      <c r="BZ767" s="59"/>
      <c r="CA767" s="59"/>
      <c r="CB767" s="59"/>
      <c r="CC767" s="59"/>
      <c r="CD767" s="59"/>
      <c r="CE767" s="59"/>
      <c r="CF767" s="59"/>
      <c r="CG767" s="59"/>
      <c r="CH767" s="59"/>
      <c r="CI767" s="59"/>
      <c r="CJ767" s="59"/>
      <c r="CK767" s="59"/>
      <c r="CL767" s="59"/>
      <c r="CM767" s="59"/>
      <c r="CN767" s="59"/>
      <c r="CO767" s="59"/>
      <c r="CP767" s="59"/>
      <c r="CQ767" s="59"/>
      <c r="CR767" s="59"/>
      <c r="CS767" s="59"/>
      <c r="CT767" s="59"/>
      <c r="CU767" s="59"/>
      <c r="CV767" s="59"/>
      <c r="CW767" s="59"/>
      <c r="CX767" s="59"/>
      <c r="CY767" s="59"/>
      <c r="CZ767" s="59"/>
      <c r="DA767" s="59"/>
      <c r="DB767" s="59"/>
      <c r="DC767" s="59"/>
      <c r="DD767" s="59"/>
      <c r="DE767" s="59"/>
      <c r="DF767" s="59"/>
      <c r="DG767" s="59"/>
      <c r="DH767" s="59"/>
      <c r="DI767" s="59"/>
      <c r="DJ767" s="59"/>
      <c r="DK767" s="59"/>
      <c r="DL767" s="59"/>
      <c r="DM767" s="59"/>
      <c r="DN767" s="59"/>
      <c r="DO767" s="59"/>
      <c r="DP767" s="59"/>
      <c r="DQ767" s="59"/>
      <c r="DR767" s="59"/>
      <c r="DS767" s="59"/>
      <c r="DT767" s="59"/>
      <c r="DU767" s="59"/>
      <c r="DV767" s="59"/>
      <c r="DW767" s="59"/>
      <c r="DX767" s="59"/>
      <c r="DY767" s="59"/>
      <c r="DZ767" s="59"/>
      <c r="EA767" s="59"/>
      <c r="EB767" s="59"/>
      <c r="EC767" s="59"/>
      <c r="ED767" s="59"/>
      <c r="EE767" s="59"/>
      <c r="EF767" s="59"/>
      <c r="EG767" s="59"/>
      <c r="EH767" s="59"/>
      <c r="EI767" s="59"/>
      <c r="EJ767" s="59"/>
      <c r="EK767" s="59"/>
      <c r="EL767" s="59"/>
      <c r="EM767" s="59"/>
      <c r="EN767" s="59"/>
      <c r="EO767" s="59"/>
      <c r="EP767" s="59"/>
      <c r="EQ767" s="59"/>
      <c r="ER767" s="59"/>
      <c r="ES767" s="59"/>
      <c r="ET767" s="59"/>
      <c r="EU767" s="59"/>
      <c r="EV767" s="59"/>
      <c r="EW767" s="59"/>
      <c r="EX767" s="59"/>
      <c r="EY767" s="59"/>
      <c r="EZ767" s="59"/>
      <c r="FA767" s="59"/>
      <c r="FB767" s="59"/>
      <c r="FC767" s="59"/>
      <c r="FD767" s="59"/>
      <c r="FE767" s="59"/>
      <c r="FF767" s="59"/>
      <c r="FG767" s="59"/>
      <c r="FH767" s="59"/>
      <c r="FI767" s="59"/>
      <c r="FJ767" s="59"/>
      <c r="FK767" s="59"/>
      <c r="FL767" s="59"/>
      <c r="FM767" s="59"/>
      <c r="FN767" s="59"/>
      <c r="FO767" s="59"/>
      <c r="FP767" s="59"/>
      <c r="FQ767" s="59"/>
      <c r="FR767" s="59"/>
      <c r="FS767" s="59"/>
      <c r="FT767" s="59"/>
      <c r="FU767" s="59"/>
      <c r="FV767" s="59"/>
      <c r="FW767" s="59"/>
      <c r="FX767" s="59"/>
      <c r="FY767" s="59"/>
      <c r="FZ767" s="59"/>
      <c r="GA767" s="59"/>
      <c r="GB767" s="59"/>
      <c r="GC767" s="59"/>
      <c r="GD767" s="59"/>
      <c r="GE767" s="59"/>
      <c r="GF767" s="59"/>
      <c r="GG767" s="59"/>
      <c r="GH767" s="59"/>
      <c r="GI767" s="59"/>
      <c r="GJ767" s="59"/>
      <c r="GK767" s="59"/>
      <c r="GL767" s="59"/>
      <c r="GM767" s="59"/>
      <c r="GN767" s="59"/>
      <c r="GO767" s="59"/>
      <c r="GP767" s="59"/>
      <c r="GQ767" s="59"/>
      <c r="GR767" s="59"/>
      <c r="GS767" s="59"/>
      <c r="GT767" s="59"/>
      <c r="GU767" s="59"/>
      <c r="GV767" s="59"/>
      <c r="GW767" s="59"/>
      <c r="GX767" s="59"/>
      <c r="GY767" s="59"/>
      <c r="GZ767" s="59"/>
      <c r="HA767" s="59"/>
      <c r="HB767" s="59"/>
      <c r="HC767" s="59"/>
      <c r="HD767" s="59"/>
      <c r="HE767" s="59"/>
      <c r="HF767" s="59"/>
      <c r="HG767" s="59"/>
      <c r="HH767" s="59"/>
      <c r="HI767" s="59"/>
      <c r="HJ767" s="59"/>
      <c r="HK767" s="59"/>
      <c r="HL767" s="59"/>
      <c r="HM767" s="59"/>
      <c r="HN767" s="59"/>
      <c r="HO767" s="59"/>
      <c r="HP767" s="59"/>
      <c r="HQ767" s="59"/>
      <c r="HR767" s="59"/>
      <c r="HS767" s="59"/>
      <c r="HT767" s="59"/>
      <c r="HU767" s="59"/>
      <c r="HV767" s="59"/>
      <c r="HW767" s="59"/>
      <c r="HX767" s="59"/>
      <c r="HY767" s="59"/>
      <c r="HZ767" s="59"/>
      <c r="IA767" s="59"/>
      <c r="IB767" s="59"/>
      <c r="IC767" s="59"/>
      <c r="ID767" s="59"/>
      <c r="IE767" s="59"/>
      <c r="IF767" s="59"/>
      <c r="IG767" s="59"/>
      <c r="IH767" s="59"/>
      <c r="II767" s="59"/>
      <c r="IJ767" s="59"/>
      <c r="IK767" s="59"/>
      <c r="IL767" s="59"/>
      <c r="IM767" s="59"/>
      <c r="IN767" s="59"/>
      <c r="IO767" s="59"/>
      <c r="IP767" s="59"/>
      <c r="IQ767" s="59"/>
      <c r="IR767" s="59"/>
      <c r="IS767" s="59"/>
      <c r="IT767" s="59"/>
      <c r="IU767" s="59"/>
      <c r="IV767" s="59"/>
    </row>
    <row r="768" spans="1:256" ht="14.25" hidden="1" customHeight="1">
      <c r="A768" s="1829" t="s">
        <v>221</v>
      </c>
      <c r="B768" s="1828"/>
      <c r="C768" s="63" t="s">
        <v>222</v>
      </c>
      <c r="D768" s="63" t="s">
        <v>223</v>
      </c>
      <c r="E768" s="63" t="s">
        <v>224</v>
      </c>
      <c r="F768" s="63" t="s">
        <v>225</v>
      </c>
      <c r="G768" s="63" t="s">
        <v>226</v>
      </c>
      <c r="H768" s="59"/>
      <c r="I768" s="60"/>
      <c r="J768" s="60"/>
      <c r="K768" s="61"/>
      <c r="L768" s="59"/>
      <c r="M768" s="59"/>
      <c r="N768" s="59"/>
      <c r="O768" s="59"/>
      <c r="P768" s="59"/>
      <c r="Q768" s="59"/>
      <c r="R768" s="59"/>
      <c r="S768" s="59"/>
      <c r="T768" s="59"/>
      <c r="U768" s="59"/>
      <c r="V768" s="59"/>
      <c r="W768" s="59"/>
      <c r="X768" s="59"/>
      <c r="Y768" s="59"/>
      <c r="Z768" s="59"/>
      <c r="AA768" s="59"/>
      <c r="AB768" s="59"/>
      <c r="AC768" s="59"/>
      <c r="AD768" s="59"/>
      <c r="AE768" s="59"/>
      <c r="AF768" s="59"/>
      <c r="AG768" s="59"/>
      <c r="AH768" s="59"/>
      <c r="AI768" s="59"/>
      <c r="AJ768" s="59"/>
      <c r="AK768" s="59"/>
      <c r="AL768" s="59"/>
      <c r="AM768" s="59"/>
      <c r="AN768" s="59"/>
      <c r="AO768" s="59"/>
      <c r="AP768" s="59"/>
      <c r="AQ768" s="59"/>
      <c r="AR768" s="59"/>
      <c r="AS768" s="59"/>
      <c r="AT768" s="59"/>
      <c r="AU768" s="59"/>
      <c r="AV768" s="59"/>
      <c r="AW768" s="59"/>
      <c r="AX768" s="59"/>
      <c r="AY768" s="59"/>
      <c r="AZ768" s="59"/>
      <c r="BA768" s="59"/>
      <c r="BB768" s="59"/>
      <c r="BC768" s="59"/>
      <c r="BD768" s="59"/>
      <c r="BE768" s="59"/>
      <c r="BF768" s="59"/>
      <c r="BG768" s="59"/>
      <c r="BH768" s="59"/>
      <c r="BI768" s="59"/>
      <c r="BJ768" s="59"/>
      <c r="BK768" s="59"/>
      <c r="BL768" s="59"/>
      <c r="BM768" s="59"/>
      <c r="BN768" s="59"/>
      <c r="BO768" s="59"/>
      <c r="BP768" s="59"/>
      <c r="BQ768" s="59"/>
      <c r="BR768" s="59"/>
      <c r="BS768" s="59"/>
      <c r="BT768" s="59"/>
      <c r="BU768" s="59"/>
      <c r="BV768" s="59"/>
      <c r="BW768" s="59"/>
      <c r="BX768" s="59"/>
      <c r="BY768" s="59"/>
      <c r="BZ768" s="59"/>
      <c r="CA768" s="59"/>
      <c r="CB768" s="59"/>
      <c r="CC768" s="59"/>
      <c r="CD768" s="59"/>
      <c r="CE768" s="59"/>
      <c r="CF768" s="59"/>
      <c r="CG768" s="59"/>
      <c r="CH768" s="59"/>
      <c r="CI768" s="59"/>
      <c r="CJ768" s="59"/>
      <c r="CK768" s="59"/>
      <c r="CL768" s="59"/>
      <c r="CM768" s="59"/>
      <c r="CN768" s="59"/>
      <c r="CO768" s="59"/>
      <c r="CP768" s="59"/>
      <c r="CQ768" s="59"/>
      <c r="CR768" s="59"/>
      <c r="CS768" s="59"/>
      <c r="CT768" s="59"/>
      <c r="CU768" s="59"/>
      <c r="CV768" s="59"/>
      <c r="CW768" s="59"/>
      <c r="CX768" s="59"/>
      <c r="CY768" s="59"/>
      <c r="CZ768" s="59"/>
      <c r="DA768" s="59"/>
      <c r="DB768" s="59"/>
      <c r="DC768" s="59"/>
      <c r="DD768" s="59"/>
      <c r="DE768" s="59"/>
      <c r="DF768" s="59"/>
      <c r="DG768" s="59"/>
      <c r="DH768" s="59"/>
      <c r="DI768" s="59"/>
      <c r="DJ768" s="59"/>
      <c r="DK768" s="59"/>
      <c r="DL768" s="59"/>
      <c r="DM768" s="59"/>
      <c r="DN768" s="59"/>
      <c r="DO768" s="59"/>
      <c r="DP768" s="59"/>
      <c r="DQ768" s="59"/>
      <c r="DR768" s="59"/>
      <c r="DS768" s="59"/>
      <c r="DT768" s="59"/>
      <c r="DU768" s="59"/>
      <c r="DV768" s="59"/>
      <c r="DW768" s="59"/>
      <c r="DX768" s="59"/>
      <c r="DY768" s="59"/>
      <c r="DZ768" s="59"/>
      <c r="EA768" s="59"/>
      <c r="EB768" s="59"/>
      <c r="EC768" s="59"/>
      <c r="ED768" s="59"/>
      <c r="EE768" s="59"/>
      <c r="EF768" s="59"/>
      <c r="EG768" s="59"/>
      <c r="EH768" s="59"/>
      <c r="EI768" s="59"/>
      <c r="EJ768" s="59"/>
      <c r="EK768" s="59"/>
      <c r="EL768" s="59"/>
      <c r="EM768" s="59"/>
      <c r="EN768" s="59"/>
      <c r="EO768" s="59"/>
      <c r="EP768" s="59"/>
      <c r="EQ768" s="59"/>
      <c r="ER768" s="59"/>
      <c r="ES768" s="59"/>
      <c r="ET768" s="59"/>
      <c r="EU768" s="59"/>
      <c r="EV768" s="59"/>
      <c r="EW768" s="59"/>
      <c r="EX768" s="59"/>
      <c r="EY768" s="59"/>
      <c r="EZ768" s="59"/>
      <c r="FA768" s="59"/>
      <c r="FB768" s="59"/>
      <c r="FC768" s="59"/>
      <c r="FD768" s="59"/>
      <c r="FE768" s="59"/>
      <c r="FF768" s="59"/>
      <c r="FG768" s="59"/>
      <c r="FH768" s="59"/>
      <c r="FI768" s="59"/>
      <c r="FJ768" s="59"/>
      <c r="FK768" s="59"/>
      <c r="FL768" s="59"/>
      <c r="FM768" s="59"/>
      <c r="FN768" s="59"/>
      <c r="FO768" s="59"/>
      <c r="FP768" s="59"/>
      <c r="FQ768" s="59"/>
      <c r="FR768" s="59"/>
      <c r="FS768" s="59"/>
      <c r="FT768" s="59"/>
      <c r="FU768" s="59"/>
      <c r="FV768" s="59"/>
      <c r="FW768" s="59"/>
      <c r="FX768" s="59"/>
      <c r="FY768" s="59"/>
      <c r="FZ768" s="59"/>
      <c r="GA768" s="59"/>
      <c r="GB768" s="59"/>
      <c r="GC768" s="59"/>
      <c r="GD768" s="59"/>
      <c r="GE768" s="59"/>
      <c r="GF768" s="59"/>
      <c r="GG768" s="59"/>
      <c r="GH768" s="59"/>
      <c r="GI768" s="59"/>
      <c r="GJ768" s="59"/>
      <c r="GK768" s="59"/>
      <c r="GL768" s="59"/>
      <c r="GM768" s="59"/>
      <c r="GN768" s="59"/>
      <c r="GO768" s="59"/>
      <c r="GP768" s="59"/>
      <c r="GQ768" s="59"/>
      <c r="GR768" s="59"/>
      <c r="GS768" s="59"/>
      <c r="GT768" s="59"/>
      <c r="GU768" s="59"/>
      <c r="GV768" s="59"/>
      <c r="GW768" s="59"/>
      <c r="GX768" s="59"/>
      <c r="GY768" s="59"/>
      <c r="GZ768" s="59"/>
      <c r="HA768" s="59"/>
      <c r="HB768" s="59"/>
      <c r="HC768" s="59"/>
      <c r="HD768" s="59"/>
      <c r="HE768" s="59"/>
      <c r="HF768" s="59"/>
      <c r="HG768" s="59"/>
      <c r="HH768" s="59"/>
      <c r="HI768" s="59"/>
      <c r="HJ768" s="59"/>
      <c r="HK768" s="59"/>
      <c r="HL768" s="59"/>
      <c r="HM768" s="59"/>
      <c r="HN768" s="59"/>
      <c r="HO768" s="59"/>
      <c r="HP768" s="59"/>
      <c r="HQ768" s="59"/>
      <c r="HR768" s="59"/>
      <c r="HS768" s="59"/>
      <c r="HT768" s="59"/>
      <c r="HU768" s="59"/>
      <c r="HV768" s="59"/>
      <c r="HW768" s="59"/>
      <c r="HX768" s="59"/>
      <c r="HY768" s="59"/>
      <c r="HZ768" s="59"/>
      <c r="IA768" s="59"/>
      <c r="IB768" s="59"/>
      <c r="IC768" s="59"/>
      <c r="ID768" s="59"/>
      <c r="IE768" s="59"/>
      <c r="IF768" s="59"/>
      <c r="IG768" s="59"/>
      <c r="IH768" s="59"/>
      <c r="II768" s="59"/>
      <c r="IJ768" s="59"/>
      <c r="IK768" s="59"/>
      <c r="IL768" s="59"/>
      <c r="IM768" s="59"/>
      <c r="IN768" s="59"/>
      <c r="IO768" s="59"/>
      <c r="IP768" s="59"/>
      <c r="IQ768" s="59"/>
      <c r="IR768" s="59"/>
      <c r="IS768" s="59"/>
      <c r="IT768" s="59"/>
      <c r="IU768" s="59"/>
      <c r="IV768" s="59"/>
    </row>
    <row r="769" spans="1:11" ht="14.25" hidden="1" customHeight="1">
      <c r="A769" s="1845" t="s">
        <v>59</v>
      </c>
      <c r="B769" s="1828"/>
      <c r="C769" s="64">
        <v>6.75</v>
      </c>
      <c r="D769" s="64"/>
      <c r="E769" s="64"/>
      <c r="F769" s="64"/>
      <c r="G769" s="64">
        <f t="shared" ref="G769:G771" si="51">+C769</f>
        <v>6.75</v>
      </c>
      <c r="H769" s="59"/>
      <c r="I769" s="60"/>
      <c r="J769" s="60"/>
      <c r="K769" s="61">
        <f>5.12+23.5+4.4+20.34+5.12+4.5+2.88+2.9+7.7+1.44+1.55+(2.35-(0.9*2.2))+5.4+(5-(1.6*2.2))+7.9+1.55+1.45+(1.8-(0.7*2.2))+3.7+5.1+(1.25-(0.7*2.2))+1.7+(1.75-(0.9*2.2))+(3.95-(1.7*2.2))+3.95+3.8+4.5+2.9+(7.9-(1*2.2))+1.85+1.1+2+1.1+1.35+4.6</f>
        <v>140.89999999999998</v>
      </c>
    </row>
    <row r="770" spans="1:11" ht="15" hidden="1" customHeight="1">
      <c r="A770" s="1845" t="s">
        <v>61</v>
      </c>
      <c r="B770" s="1828"/>
      <c r="C770" s="64">
        <v>6.75</v>
      </c>
      <c r="D770" s="64"/>
      <c r="E770" s="64"/>
      <c r="F770" s="64"/>
      <c r="G770" s="64">
        <f t="shared" si="51"/>
        <v>6.75</v>
      </c>
      <c r="H770" s="59"/>
      <c r="I770" s="60"/>
      <c r="J770" s="60"/>
      <c r="K770" s="61" t="s">
        <v>61</v>
      </c>
    </row>
    <row r="771" spans="1:11" ht="15" hidden="1" customHeight="1">
      <c r="A771" s="1845" t="s">
        <v>812</v>
      </c>
      <c r="B771" s="1828"/>
      <c r="C771" s="64">
        <f>3.03+2.47</f>
        <v>5.5</v>
      </c>
      <c r="D771" s="64"/>
      <c r="E771" s="64"/>
      <c r="F771" s="64"/>
      <c r="G771" s="64">
        <f t="shared" si="51"/>
        <v>5.5</v>
      </c>
      <c r="H771" s="59"/>
      <c r="I771" s="60"/>
      <c r="J771" s="60"/>
      <c r="K771" s="61" t="s">
        <v>61</v>
      </c>
    </row>
    <row r="772" spans="1:11" ht="15" hidden="1" customHeight="1">
      <c r="A772" s="1845" t="s">
        <v>813</v>
      </c>
      <c r="B772" s="1828"/>
      <c r="C772" s="64">
        <f>1.75+1.92</f>
        <v>3.67</v>
      </c>
      <c r="D772" s="64"/>
      <c r="E772" s="64"/>
      <c r="F772" s="64">
        <v>2</v>
      </c>
      <c r="G772" s="64">
        <f>+F772*C772</f>
        <v>7.34</v>
      </c>
      <c r="H772" s="59"/>
      <c r="I772" s="60"/>
      <c r="J772" s="60"/>
      <c r="K772" s="61" t="s">
        <v>61</v>
      </c>
    </row>
    <row r="773" spans="1:11" ht="14.25" hidden="1" customHeight="1">
      <c r="A773" s="1846" t="s">
        <v>798</v>
      </c>
      <c r="B773" s="1843"/>
      <c r="C773" s="64">
        <v>2.4500000000000002</v>
      </c>
      <c r="D773" s="64"/>
      <c r="E773" s="64"/>
      <c r="F773" s="64"/>
      <c r="G773" s="64">
        <f>+C773</f>
        <v>2.4500000000000002</v>
      </c>
      <c r="H773" s="59"/>
      <c r="I773" s="60"/>
      <c r="J773" s="60"/>
      <c r="K773" s="61"/>
    </row>
    <row r="774" spans="1:11" ht="14.25" hidden="1" customHeight="1">
      <c r="A774" s="1846" t="s">
        <v>751</v>
      </c>
      <c r="B774" s="1843"/>
      <c r="C774" s="64">
        <v>2.4700000000000002</v>
      </c>
      <c r="D774" s="64"/>
      <c r="E774" s="64"/>
      <c r="F774" s="64">
        <v>2</v>
      </c>
      <c r="G774" s="64">
        <f t="shared" ref="G774:G776" si="52">+F774*C774</f>
        <v>4.9400000000000004</v>
      </c>
      <c r="H774" s="59"/>
      <c r="I774" s="60"/>
      <c r="J774" s="60"/>
      <c r="K774" s="61"/>
    </row>
    <row r="775" spans="1:11" ht="14.25" hidden="1" customHeight="1">
      <c r="A775" s="1844" t="s">
        <v>752</v>
      </c>
      <c r="B775" s="1828"/>
      <c r="C775" s="64">
        <f>4.9+2.5</f>
        <v>7.4</v>
      </c>
      <c r="D775" s="64"/>
      <c r="E775" s="64"/>
      <c r="F775" s="64">
        <v>4</v>
      </c>
      <c r="G775" s="64">
        <f t="shared" si="52"/>
        <v>29.6</v>
      </c>
      <c r="H775" s="59"/>
      <c r="I775" s="60"/>
      <c r="J775" s="60"/>
      <c r="K775" s="61"/>
    </row>
    <row r="776" spans="1:11" ht="15" hidden="1" customHeight="1">
      <c r="A776" s="1844" t="s">
        <v>769</v>
      </c>
      <c r="B776" s="1828"/>
      <c r="C776" s="64">
        <f>1.93+3.24</f>
        <v>5.17</v>
      </c>
      <c r="D776" s="64"/>
      <c r="E776" s="64"/>
      <c r="F776" s="64">
        <v>2</v>
      </c>
      <c r="G776" s="64">
        <f t="shared" si="52"/>
        <v>10.34</v>
      </c>
      <c r="H776" s="59"/>
      <c r="I776" s="195">
        <f>7.8/2</f>
        <v>3.9</v>
      </c>
      <c r="J776" s="60"/>
      <c r="K776" s="61" t="s">
        <v>61</v>
      </c>
    </row>
    <row r="777" spans="1:11" ht="14.25" hidden="1" customHeight="1">
      <c r="A777" s="1844" t="s">
        <v>770</v>
      </c>
      <c r="B777" s="1828"/>
      <c r="C777" s="64">
        <f>3.25+1.93</f>
        <v>5.18</v>
      </c>
      <c r="D777" s="64"/>
      <c r="E777" s="64"/>
      <c r="F777" s="64"/>
      <c r="G777" s="64">
        <f t="shared" ref="G777:G779" si="53">+C777</f>
        <v>5.18</v>
      </c>
      <c r="H777" s="59"/>
      <c r="I777" s="60"/>
      <c r="J777" s="60"/>
      <c r="K777" s="61">
        <f>5.27+16.85+1.3+0.8+3.62+(7.7-(1.6*2.2))+((3.48-(0.7*2.2))*2)+1.3+3.48+4.85+2.15+5.7+1.1+3.25+3.2+(1.3-(0.9*2.2))+1.35+2.9+1.1+1.5+(2.8-(0.7*2.2))+0.4+4.35+4.5+(3.5-(0.9*2.2))+7.7+7.9+2.9+7.05+1.8</f>
        <v>106.48000000000002</v>
      </c>
    </row>
    <row r="778" spans="1:11" ht="14.25" hidden="1" customHeight="1">
      <c r="A778" s="1845" t="s">
        <v>771</v>
      </c>
      <c r="B778" s="1828"/>
      <c r="C778" s="64">
        <f>2.6+5.58+6.55</f>
        <v>14.73</v>
      </c>
      <c r="D778" s="64"/>
      <c r="E778" s="64"/>
      <c r="F778" s="64"/>
      <c r="G778" s="64">
        <f t="shared" si="53"/>
        <v>14.73</v>
      </c>
      <c r="H778" s="59"/>
      <c r="I778" s="60"/>
      <c r="J778" s="60"/>
      <c r="K778" s="61">
        <f>0.9*2.2</f>
        <v>1.9800000000000002</v>
      </c>
    </row>
    <row r="779" spans="1:11" ht="14.25" hidden="1" customHeight="1">
      <c r="A779" s="67" t="s">
        <v>806</v>
      </c>
      <c r="B779" s="196"/>
      <c r="C779" s="64">
        <v>4.68</v>
      </c>
      <c r="D779" s="64"/>
      <c r="E779" s="64"/>
      <c r="F779" s="64"/>
      <c r="G779" s="64">
        <f t="shared" si="53"/>
        <v>4.68</v>
      </c>
      <c r="H779" s="59"/>
      <c r="I779" s="60"/>
      <c r="J779" s="60"/>
      <c r="K779" s="61"/>
    </row>
    <row r="780" spans="1:11" ht="14.25" hidden="1" customHeight="1">
      <c r="A780" s="1829" t="s">
        <v>227</v>
      </c>
      <c r="B780" s="1830"/>
      <c r="C780" s="1830"/>
      <c r="D780" s="1830"/>
      <c r="E780" s="1830"/>
      <c r="F780" s="1828"/>
      <c r="G780" s="65">
        <f>SUM(G769:G779)</f>
        <v>98.259999999999991</v>
      </c>
      <c r="H780" s="59"/>
      <c r="I780" s="60"/>
      <c r="J780" s="60"/>
      <c r="K780" s="61"/>
    </row>
    <row r="781" spans="1:11" ht="14.25" hidden="1" customHeight="1">
      <c r="A781" s="1831"/>
      <c r="B781" s="1830"/>
      <c r="C781" s="1830"/>
      <c r="D781" s="1830"/>
      <c r="E781" s="1830"/>
      <c r="F781" s="1830"/>
      <c r="G781" s="1828"/>
      <c r="H781" s="59"/>
      <c r="I781" s="60"/>
      <c r="J781" s="60"/>
      <c r="K781" s="61"/>
    </row>
    <row r="782" spans="1:11" ht="14.25" hidden="1" customHeight="1">
      <c r="A782" s="66" t="s">
        <v>268</v>
      </c>
      <c r="B782" s="1832" t="str">
        <f>+B757</f>
        <v>ACABADOS</v>
      </c>
      <c r="C782" s="1830"/>
      <c r="D782" s="1828"/>
      <c r="E782" s="1833" t="s">
        <v>218</v>
      </c>
      <c r="F782" s="1828"/>
      <c r="G782" s="62" t="s">
        <v>228</v>
      </c>
      <c r="H782" s="59"/>
      <c r="I782" s="60"/>
      <c r="J782" s="60"/>
      <c r="K782" s="61"/>
    </row>
    <row r="783" spans="1:11" ht="14.25" hidden="1" customHeight="1">
      <c r="A783" s="66" t="s">
        <v>270</v>
      </c>
      <c r="B783" s="1840" t="s">
        <v>814</v>
      </c>
      <c r="C783" s="1830"/>
      <c r="D783" s="1830"/>
      <c r="E783" s="1830"/>
      <c r="F783" s="1830"/>
      <c r="G783" s="1828"/>
      <c r="H783" s="59"/>
      <c r="I783" s="60"/>
      <c r="J783" s="60"/>
      <c r="K783" s="61"/>
    </row>
    <row r="784" spans="1:11" ht="14.25" hidden="1" customHeight="1">
      <c r="A784" s="1836" t="s">
        <v>220</v>
      </c>
      <c r="B784" s="1830"/>
      <c r="C784" s="1830"/>
      <c r="D784" s="1830"/>
      <c r="E784" s="1830"/>
      <c r="F784" s="1830"/>
      <c r="G784" s="1828"/>
      <c r="H784" s="59"/>
      <c r="I784" s="60"/>
      <c r="J784" s="60"/>
      <c r="K784" s="61"/>
    </row>
    <row r="785" spans="1:7" ht="14.25" hidden="1" customHeight="1">
      <c r="A785" s="1829" t="s">
        <v>221</v>
      </c>
      <c r="B785" s="1828"/>
      <c r="C785" s="63" t="s">
        <v>222</v>
      </c>
      <c r="D785" s="63" t="s">
        <v>223</v>
      </c>
      <c r="E785" s="63" t="s">
        <v>224</v>
      </c>
      <c r="F785" s="63" t="s">
        <v>225</v>
      </c>
      <c r="G785" s="63" t="s">
        <v>226</v>
      </c>
    </row>
    <row r="786" spans="1:7" ht="14.25" hidden="1" customHeight="1">
      <c r="A786" s="1827" t="s">
        <v>59</v>
      </c>
      <c r="B786" s="1828"/>
      <c r="C786" s="64">
        <v>49.56</v>
      </c>
      <c r="D786" s="64"/>
      <c r="E786" s="64"/>
      <c r="F786" s="64">
        <v>1</v>
      </c>
      <c r="G786" s="64">
        <f t="shared" ref="G786:G787" si="54">+C786*F786</f>
        <v>49.56</v>
      </c>
    </row>
    <row r="787" spans="1:7" ht="14.25" hidden="1" customHeight="1">
      <c r="A787" s="1827" t="s">
        <v>61</v>
      </c>
      <c r="B787" s="1828"/>
      <c r="C787" s="64">
        <v>57.63</v>
      </c>
      <c r="D787" s="64"/>
      <c r="E787" s="64"/>
      <c r="F787" s="64">
        <v>1</v>
      </c>
      <c r="G787" s="64">
        <f t="shared" si="54"/>
        <v>57.63</v>
      </c>
    </row>
    <row r="788" spans="1:7" ht="14.25" hidden="1" customHeight="1">
      <c r="A788" s="1827"/>
      <c r="B788" s="1828"/>
      <c r="C788" s="64"/>
      <c r="D788" s="64"/>
      <c r="E788" s="64"/>
      <c r="F788" s="64"/>
      <c r="G788" s="64"/>
    </row>
    <row r="789" spans="1:7" ht="14.25" hidden="1" customHeight="1">
      <c r="A789" s="1829" t="s">
        <v>227</v>
      </c>
      <c r="B789" s="1830"/>
      <c r="C789" s="1830"/>
      <c r="D789" s="1830"/>
      <c r="E789" s="1830"/>
      <c r="F789" s="1828"/>
      <c r="G789" s="65">
        <f>SUM(G786:G788)</f>
        <v>107.19</v>
      </c>
    </row>
    <row r="790" spans="1:7" ht="14.25" hidden="1" customHeight="1">
      <c r="A790" s="1831"/>
      <c r="B790" s="1830"/>
      <c r="C790" s="1830"/>
      <c r="D790" s="1830"/>
      <c r="E790" s="1830"/>
      <c r="F790" s="1830"/>
      <c r="G790" s="1828"/>
    </row>
    <row r="791" spans="1:7" ht="14.25" hidden="1" customHeight="1">
      <c r="A791" s="66" t="s">
        <v>268</v>
      </c>
      <c r="B791" s="1832" t="str">
        <f>+B782</f>
        <v>ACABADOS</v>
      </c>
      <c r="C791" s="1830"/>
      <c r="D791" s="1828"/>
      <c r="E791" s="1833" t="s">
        <v>218</v>
      </c>
      <c r="F791" s="1828"/>
      <c r="G791" s="62" t="s">
        <v>151</v>
      </c>
    </row>
    <row r="792" spans="1:7" ht="69.75" hidden="1" customHeight="1">
      <c r="A792" s="66" t="s">
        <v>815</v>
      </c>
      <c r="B792" s="1832" t="s">
        <v>442</v>
      </c>
      <c r="C792" s="1830"/>
      <c r="D792" s="1830"/>
      <c r="E792" s="1830"/>
      <c r="F792" s="1830"/>
      <c r="G792" s="1828"/>
    </row>
    <row r="793" spans="1:7" ht="14.25" hidden="1" customHeight="1">
      <c r="A793" s="1836" t="s">
        <v>220</v>
      </c>
      <c r="B793" s="1830"/>
      <c r="C793" s="1830"/>
      <c r="D793" s="1830"/>
      <c r="E793" s="1830"/>
      <c r="F793" s="1830"/>
      <c r="G793" s="1828"/>
    </row>
    <row r="794" spans="1:7" ht="14.25" hidden="1" customHeight="1">
      <c r="A794" s="1829" t="s">
        <v>221</v>
      </c>
      <c r="B794" s="1828"/>
      <c r="C794" s="63" t="s">
        <v>222</v>
      </c>
      <c r="D794" s="63" t="s">
        <v>223</v>
      </c>
      <c r="E794" s="63" t="s">
        <v>224</v>
      </c>
      <c r="F794" s="63" t="s">
        <v>225</v>
      </c>
      <c r="G794" s="63" t="s">
        <v>226</v>
      </c>
    </row>
    <row r="795" spans="1:7" ht="14.25" hidden="1" customHeight="1">
      <c r="A795" s="1842" t="s">
        <v>816</v>
      </c>
      <c r="B795" s="1843"/>
      <c r="C795" s="64"/>
      <c r="D795" s="64"/>
      <c r="E795" s="64"/>
      <c r="F795" s="64">
        <v>2</v>
      </c>
      <c r="G795" s="64"/>
    </row>
    <row r="796" spans="1:7" ht="14.25" hidden="1" customHeight="1">
      <c r="A796" s="1829" t="s">
        <v>227</v>
      </c>
      <c r="B796" s="1830"/>
      <c r="C796" s="1830"/>
      <c r="D796" s="1830"/>
      <c r="E796" s="1830"/>
      <c r="F796" s="1828"/>
      <c r="G796" s="191">
        <f>+G795</f>
        <v>0</v>
      </c>
    </row>
    <row r="797" spans="1:7" ht="14.25" hidden="1" customHeight="1">
      <c r="A797" s="1831"/>
      <c r="B797" s="1830"/>
      <c r="C797" s="1830"/>
      <c r="D797" s="1830"/>
      <c r="E797" s="1830"/>
      <c r="F797" s="1830"/>
      <c r="G797" s="1828"/>
    </row>
    <row r="798" spans="1:7" ht="14.25" hidden="1" customHeight="1">
      <c r="A798" s="66" t="s">
        <v>817</v>
      </c>
      <c r="B798" s="1832" t="s">
        <v>818</v>
      </c>
      <c r="C798" s="1830"/>
      <c r="D798" s="1828"/>
      <c r="E798" s="1833" t="s">
        <v>218</v>
      </c>
      <c r="F798" s="1828"/>
      <c r="G798" s="62" t="s">
        <v>151</v>
      </c>
    </row>
    <row r="799" spans="1:7" ht="14.25" hidden="1" customHeight="1">
      <c r="A799" s="66" t="s">
        <v>819</v>
      </c>
      <c r="B799" s="1840" t="s">
        <v>820</v>
      </c>
      <c r="C799" s="1830"/>
      <c r="D799" s="1830"/>
      <c r="E799" s="1830"/>
      <c r="F799" s="1830"/>
      <c r="G799" s="1828"/>
    </row>
    <row r="800" spans="1:7" ht="14.25" hidden="1" customHeight="1">
      <c r="A800" s="1836" t="s">
        <v>220</v>
      </c>
      <c r="B800" s="1830"/>
      <c r="C800" s="1830"/>
      <c r="D800" s="1830"/>
      <c r="E800" s="1830"/>
      <c r="F800" s="1830"/>
      <c r="G800" s="1828"/>
    </row>
    <row r="801" spans="1:7" ht="14.25" hidden="1" customHeight="1">
      <c r="A801" s="1829" t="s">
        <v>221</v>
      </c>
      <c r="B801" s="1828"/>
      <c r="C801" s="63" t="s">
        <v>222</v>
      </c>
      <c r="D801" s="63" t="s">
        <v>223</v>
      </c>
      <c r="E801" s="63" t="s">
        <v>224</v>
      </c>
      <c r="F801" s="63" t="s">
        <v>225</v>
      </c>
      <c r="G801" s="63" t="s">
        <v>226</v>
      </c>
    </row>
    <row r="802" spans="1:7" ht="14.25" hidden="1" customHeight="1">
      <c r="A802" s="1827" t="s">
        <v>821</v>
      </c>
      <c r="B802" s="1828"/>
      <c r="C802" s="64"/>
      <c r="D802" s="64"/>
      <c r="E802" s="64"/>
      <c r="F802" s="64">
        <v>16</v>
      </c>
      <c r="G802" s="64">
        <f>+F802</f>
        <v>16</v>
      </c>
    </row>
    <row r="803" spans="1:7" ht="14.25" hidden="1" customHeight="1">
      <c r="A803" s="1827"/>
      <c r="B803" s="1828"/>
      <c r="C803" s="64"/>
      <c r="D803" s="64"/>
      <c r="E803" s="64"/>
      <c r="F803" s="64"/>
      <c r="G803" s="64"/>
    </row>
    <row r="804" spans="1:7" ht="14.25" hidden="1" customHeight="1">
      <c r="A804" s="1829" t="s">
        <v>227</v>
      </c>
      <c r="B804" s="1830"/>
      <c r="C804" s="1830"/>
      <c r="D804" s="1830"/>
      <c r="E804" s="1830"/>
      <c r="F804" s="1828"/>
      <c r="G804" s="65">
        <f>ROUND(SUM(G802:G803),2)</f>
        <v>16</v>
      </c>
    </row>
    <row r="805" spans="1:7" ht="14.25" hidden="1" customHeight="1">
      <c r="A805" s="1831"/>
      <c r="B805" s="1830"/>
      <c r="C805" s="1830"/>
      <c r="D805" s="1830"/>
      <c r="E805" s="1830"/>
      <c r="F805" s="1830"/>
      <c r="G805" s="1828"/>
    </row>
    <row r="806" spans="1:7" ht="14.25" hidden="1" customHeight="1">
      <c r="A806" s="66" t="s">
        <v>817</v>
      </c>
      <c r="B806" s="1832" t="str">
        <f>+B798</f>
        <v xml:space="preserve">INSTALACIONES HIDROSANITARIAS                  </v>
      </c>
      <c r="C806" s="1830"/>
      <c r="D806" s="1828"/>
      <c r="E806" s="1833" t="s">
        <v>218</v>
      </c>
      <c r="F806" s="1828"/>
      <c r="G806" s="62" t="s">
        <v>151</v>
      </c>
    </row>
    <row r="807" spans="1:7" ht="14.25" hidden="1" customHeight="1">
      <c r="A807" s="66" t="s">
        <v>822</v>
      </c>
      <c r="B807" s="1840" t="s">
        <v>823</v>
      </c>
      <c r="C807" s="1830"/>
      <c r="D807" s="1830"/>
      <c r="E807" s="1830"/>
      <c r="F807" s="1830"/>
      <c r="G807" s="1828"/>
    </row>
    <row r="808" spans="1:7" ht="14.25" hidden="1" customHeight="1">
      <c r="A808" s="1836" t="s">
        <v>220</v>
      </c>
      <c r="B808" s="1830"/>
      <c r="C808" s="1830"/>
      <c r="D808" s="1830"/>
      <c r="E808" s="1830"/>
      <c r="F808" s="1830"/>
      <c r="G808" s="1828"/>
    </row>
    <row r="809" spans="1:7" ht="14.25" hidden="1" customHeight="1">
      <c r="A809" s="1829" t="s">
        <v>221</v>
      </c>
      <c r="B809" s="1828"/>
      <c r="C809" s="63" t="s">
        <v>222</v>
      </c>
      <c r="D809" s="63" t="s">
        <v>223</v>
      </c>
      <c r="E809" s="63" t="s">
        <v>224</v>
      </c>
      <c r="F809" s="63" t="s">
        <v>225</v>
      </c>
      <c r="G809" s="63" t="s">
        <v>226</v>
      </c>
    </row>
    <row r="810" spans="1:7" ht="14.25" hidden="1" customHeight="1">
      <c r="A810" s="1841" t="s">
        <v>824</v>
      </c>
      <c r="B810" s="1622"/>
      <c r="C810" s="64"/>
      <c r="D810" s="64"/>
      <c r="E810" s="64"/>
      <c r="F810" s="64">
        <v>4</v>
      </c>
      <c r="G810" s="64">
        <f>+F810</f>
        <v>4</v>
      </c>
    </row>
    <row r="811" spans="1:7" ht="14.25" hidden="1" customHeight="1">
      <c r="A811" s="1827"/>
      <c r="B811" s="1828"/>
      <c r="C811" s="64"/>
      <c r="D811" s="64"/>
      <c r="E811" s="64"/>
      <c r="F811" s="64"/>
      <c r="G811" s="64"/>
    </row>
    <row r="812" spans="1:7" ht="14.25" hidden="1" customHeight="1">
      <c r="A812" s="1829" t="s">
        <v>227</v>
      </c>
      <c r="B812" s="1830"/>
      <c r="C812" s="1830"/>
      <c r="D812" s="1830"/>
      <c r="E812" s="1830"/>
      <c r="F812" s="1828"/>
      <c r="G812" s="65">
        <f>SUM(G810)</f>
        <v>4</v>
      </c>
    </row>
    <row r="813" spans="1:7" ht="14.25" hidden="1" customHeight="1">
      <c r="A813" s="1831"/>
      <c r="B813" s="1830"/>
      <c r="C813" s="1830"/>
      <c r="D813" s="1830"/>
      <c r="E813" s="1830"/>
      <c r="F813" s="1830"/>
      <c r="G813" s="1828"/>
    </row>
    <row r="814" spans="1:7" ht="14.25" hidden="1" customHeight="1">
      <c r="A814" s="66" t="s">
        <v>817</v>
      </c>
      <c r="B814" s="1832" t="str">
        <f>+B806</f>
        <v xml:space="preserve">INSTALACIONES HIDROSANITARIAS                  </v>
      </c>
      <c r="C814" s="1830"/>
      <c r="D814" s="1828"/>
      <c r="E814" s="1833" t="s">
        <v>218</v>
      </c>
      <c r="F814" s="1828"/>
      <c r="G814" s="62" t="s">
        <v>151</v>
      </c>
    </row>
    <row r="815" spans="1:7" ht="14.25" hidden="1" customHeight="1">
      <c r="A815" s="66" t="s">
        <v>825</v>
      </c>
      <c r="B815" s="1840" t="s">
        <v>826</v>
      </c>
      <c r="C815" s="1830"/>
      <c r="D815" s="1830"/>
      <c r="E815" s="1830"/>
      <c r="F815" s="1830"/>
      <c r="G815" s="1828"/>
    </row>
    <row r="816" spans="1:7" ht="14.25" hidden="1" customHeight="1">
      <c r="A816" s="1836" t="s">
        <v>220</v>
      </c>
      <c r="B816" s="1830"/>
      <c r="C816" s="1830"/>
      <c r="D816" s="1830"/>
      <c r="E816" s="1830"/>
      <c r="F816" s="1830"/>
      <c r="G816" s="1828"/>
    </row>
    <row r="817" spans="1:7" ht="14.25" hidden="1" customHeight="1">
      <c r="A817" s="1829" t="s">
        <v>221</v>
      </c>
      <c r="B817" s="1828"/>
      <c r="C817" s="63" t="s">
        <v>222</v>
      </c>
      <c r="D817" s="63" t="s">
        <v>223</v>
      </c>
      <c r="E817" s="63" t="s">
        <v>224</v>
      </c>
      <c r="F817" s="63" t="s">
        <v>225</v>
      </c>
      <c r="G817" s="63" t="s">
        <v>226</v>
      </c>
    </row>
    <row r="818" spans="1:7" ht="14.25" hidden="1" customHeight="1">
      <c r="A818" s="1827" t="s">
        <v>827</v>
      </c>
      <c r="B818" s="1828"/>
      <c r="C818" s="64"/>
      <c r="D818" s="64"/>
      <c r="E818" s="64"/>
      <c r="F818" s="64">
        <v>56</v>
      </c>
      <c r="G818" s="64">
        <f>+F818</f>
        <v>56</v>
      </c>
    </row>
    <row r="819" spans="1:7" ht="14.25" hidden="1" customHeight="1">
      <c r="A819" s="1829" t="s">
        <v>227</v>
      </c>
      <c r="B819" s="1830"/>
      <c r="C819" s="1830"/>
      <c r="D819" s="1830"/>
      <c r="E819" s="1830"/>
      <c r="F819" s="1828"/>
      <c r="G819" s="65">
        <f>SUM(G818)</f>
        <v>56</v>
      </c>
    </row>
    <row r="820" spans="1:7" ht="14.25" hidden="1" customHeight="1">
      <c r="A820" s="1831"/>
      <c r="B820" s="1830"/>
      <c r="C820" s="1830"/>
      <c r="D820" s="1830"/>
      <c r="E820" s="1830"/>
      <c r="F820" s="1830"/>
      <c r="G820" s="1828"/>
    </row>
    <row r="821" spans="1:7" ht="14.25" hidden="1" customHeight="1">
      <c r="A821" s="66" t="s">
        <v>817</v>
      </c>
      <c r="B821" s="1832" t="str">
        <f>+B814</f>
        <v xml:space="preserve">INSTALACIONES HIDROSANITARIAS                  </v>
      </c>
      <c r="C821" s="1830"/>
      <c r="D821" s="1828"/>
      <c r="E821" s="1833" t="s">
        <v>218</v>
      </c>
      <c r="F821" s="1828"/>
      <c r="G821" s="62" t="s">
        <v>151</v>
      </c>
    </row>
    <row r="822" spans="1:7" ht="14.25" hidden="1" customHeight="1">
      <c r="A822" s="66" t="s">
        <v>828</v>
      </c>
      <c r="B822" s="1840" t="s">
        <v>829</v>
      </c>
      <c r="C822" s="1830"/>
      <c r="D822" s="1830"/>
      <c r="E822" s="1830"/>
      <c r="F822" s="1830"/>
      <c r="G822" s="1828"/>
    </row>
    <row r="823" spans="1:7" ht="14.25" hidden="1" customHeight="1">
      <c r="A823" s="1836" t="s">
        <v>220</v>
      </c>
      <c r="B823" s="1830"/>
      <c r="C823" s="1830"/>
      <c r="D823" s="1830"/>
      <c r="E823" s="1830"/>
      <c r="F823" s="1830"/>
      <c r="G823" s="1828"/>
    </row>
    <row r="824" spans="1:7" ht="14.25" hidden="1" customHeight="1">
      <c r="A824" s="1829" t="s">
        <v>221</v>
      </c>
      <c r="B824" s="1828"/>
      <c r="C824" s="63" t="s">
        <v>222</v>
      </c>
      <c r="D824" s="63" t="s">
        <v>223</v>
      </c>
      <c r="E824" s="63" t="s">
        <v>224</v>
      </c>
      <c r="F824" s="63" t="s">
        <v>225</v>
      </c>
      <c r="G824" s="63" t="s">
        <v>226</v>
      </c>
    </row>
    <row r="825" spans="1:7" ht="14.25" hidden="1" customHeight="1">
      <c r="A825" s="1827" t="s">
        <v>827</v>
      </c>
      <c r="B825" s="1828"/>
      <c r="C825" s="64"/>
      <c r="D825" s="64"/>
      <c r="E825" s="64"/>
      <c r="F825" s="64">
        <v>105</v>
      </c>
      <c r="G825" s="64">
        <f>+F825</f>
        <v>105</v>
      </c>
    </row>
    <row r="826" spans="1:7" ht="14.25" hidden="1" customHeight="1">
      <c r="A826" s="1829" t="s">
        <v>227</v>
      </c>
      <c r="B826" s="1830"/>
      <c r="C826" s="1830"/>
      <c r="D826" s="1830"/>
      <c r="E826" s="1830"/>
      <c r="F826" s="1828"/>
      <c r="G826" s="65">
        <f>SUM(G825)</f>
        <v>105</v>
      </c>
    </row>
    <row r="827" spans="1:7" ht="14.25" hidden="1" customHeight="1">
      <c r="A827" s="1831"/>
      <c r="B827" s="1830"/>
      <c r="C827" s="1830"/>
      <c r="D827" s="1830"/>
      <c r="E827" s="1830"/>
      <c r="F827" s="1830"/>
      <c r="G827" s="1828"/>
    </row>
    <row r="828" spans="1:7" ht="14.25" hidden="1" customHeight="1">
      <c r="A828" s="66" t="s">
        <v>817</v>
      </c>
      <c r="B828" s="1832" t="str">
        <f>+B821</f>
        <v xml:space="preserve">INSTALACIONES HIDROSANITARIAS                  </v>
      </c>
      <c r="C828" s="1830"/>
      <c r="D828" s="1828"/>
      <c r="E828" s="1833" t="s">
        <v>218</v>
      </c>
      <c r="F828" s="1828"/>
      <c r="G828" s="62" t="s">
        <v>151</v>
      </c>
    </row>
    <row r="829" spans="1:7" ht="14.25" hidden="1" customHeight="1">
      <c r="A829" s="66" t="s">
        <v>830</v>
      </c>
      <c r="B829" s="1840" t="s">
        <v>831</v>
      </c>
      <c r="C829" s="1830"/>
      <c r="D829" s="1830"/>
      <c r="E829" s="1830"/>
      <c r="F829" s="1830"/>
      <c r="G829" s="1828"/>
    </row>
    <row r="830" spans="1:7" ht="14.25" hidden="1" customHeight="1">
      <c r="A830" s="1836" t="s">
        <v>220</v>
      </c>
      <c r="B830" s="1830"/>
      <c r="C830" s="1830"/>
      <c r="D830" s="1830"/>
      <c r="E830" s="1830"/>
      <c r="F830" s="1830"/>
      <c r="G830" s="1828"/>
    </row>
    <row r="831" spans="1:7" ht="14.25" hidden="1" customHeight="1">
      <c r="A831" s="1829" t="s">
        <v>221</v>
      </c>
      <c r="B831" s="1828"/>
      <c r="C831" s="63" t="s">
        <v>222</v>
      </c>
      <c r="D831" s="63" t="s">
        <v>223</v>
      </c>
      <c r="E831" s="63" t="s">
        <v>224</v>
      </c>
      <c r="F831" s="63" t="s">
        <v>225</v>
      </c>
      <c r="G831" s="63" t="s">
        <v>226</v>
      </c>
    </row>
    <row r="832" spans="1:7" ht="14.25" hidden="1" customHeight="1">
      <c r="A832" s="1827" t="s">
        <v>827</v>
      </c>
      <c r="B832" s="1828"/>
      <c r="C832" s="64"/>
      <c r="D832" s="64"/>
      <c r="E832" s="64"/>
      <c r="F832" s="64">
        <v>24</v>
      </c>
      <c r="G832" s="64">
        <f>+F832</f>
        <v>24</v>
      </c>
    </row>
    <row r="833" spans="1:7" ht="14.25" hidden="1" customHeight="1">
      <c r="A833" s="1829" t="s">
        <v>227</v>
      </c>
      <c r="B833" s="1830"/>
      <c r="C833" s="1830"/>
      <c r="D833" s="1830"/>
      <c r="E833" s="1830"/>
      <c r="F833" s="1828"/>
      <c r="G833" s="65">
        <f>SUM(G832)</f>
        <v>24</v>
      </c>
    </row>
    <row r="834" spans="1:7" ht="14.25" hidden="1" customHeight="1">
      <c r="A834" s="1831"/>
      <c r="B834" s="1830"/>
      <c r="C834" s="1830"/>
      <c r="D834" s="1830"/>
      <c r="E834" s="1830"/>
      <c r="F834" s="1830"/>
      <c r="G834" s="1828"/>
    </row>
    <row r="835" spans="1:7" ht="14.25" hidden="1" customHeight="1">
      <c r="A835" s="66" t="s">
        <v>817</v>
      </c>
      <c r="B835" s="1832" t="str">
        <f>+B828</f>
        <v xml:space="preserve">INSTALACIONES HIDROSANITARIAS                  </v>
      </c>
      <c r="C835" s="1830"/>
      <c r="D835" s="1828"/>
      <c r="E835" s="1833" t="s">
        <v>218</v>
      </c>
      <c r="F835" s="1828"/>
      <c r="G835" s="62" t="s">
        <v>151</v>
      </c>
    </row>
    <row r="836" spans="1:7" ht="14.25" hidden="1" customHeight="1">
      <c r="A836" s="66" t="s">
        <v>832</v>
      </c>
      <c r="B836" s="1840" t="s">
        <v>833</v>
      </c>
      <c r="C836" s="1830"/>
      <c r="D836" s="1830"/>
      <c r="E836" s="1830"/>
      <c r="F836" s="1830"/>
      <c r="G836" s="1828"/>
    </row>
    <row r="837" spans="1:7" ht="14.25" hidden="1" customHeight="1">
      <c r="A837" s="1836" t="s">
        <v>220</v>
      </c>
      <c r="B837" s="1830"/>
      <c r="C837" s="1830"/>
      <c r="D837" s="1830"/>
      <c r="E837" s="1830"/>
      <c r="F837" s="1830"/>
      <c r="G837" s="1828"/>
    </row>
    <row r="838" spans="1:7" ht="14.25" hidden="1" customHeight="1">
      <c r="A838" s="1829" t="s">
        <v>221</v>
      </c>
      <c r="B838" s="1828"/>
      <c r="C838" s="63" t="s">
        <v>222</v>
      </c>
      <c r="D838" s="63" t="s">
        <v>223</v>
      </c>
      <c r="E838" s="63" t="s">
        <v>224</v>
      </c>
      <c r="F838" s="63" t="s">
        <v>225</v>
      </c>
      <c r="G838" s="63" t="s">
        <v>226</v>
      </c>
    </row>
    <row r="839" spans="1:7" ht="14.25" hidden="1" customHeight="1">
      <c r="A839" s="1827" t="s">
        <v>827</v>
      </c>
      <c r="B839" s="1828"/>
      <c r="C839" s="64"/>
      <c r="D839" s="64"/>
      <c r="E839" s="64"/>
      <c r="F839" s="64">
        <v>105</v>
      </c>
      <c r="G839" s="64">
        <f>+F839</f>
        <v>105</v>
      </c>
    </row>
    <row r="840" spans="1:7" ht="14.25" hidden="1" customHeight="1">
      <c r="A840" s="1829" t="s">
        <v>227</v>
      </c>
      <c r="B840" s="1830"/>
      <c r="C840" s="1830"/>
      <c r="D840" s="1830"/>
      <c r="E840" s="1830"/>
      <c r="F840" s="1828"/>
      <c r="G840" s="65">
        <f>SUM(G839)</f>
        <v>105</v>
      </c>
    </row>
    <row r="841" spans="1:7" ht="14.25" hidden="1" customHeight="1">
      <c r="A841" s="1831"/>
      <c r="B841" s="1830"/>
      <c r="C841" s="1830"/>
      <c r="D841" s="1830"/>
      <c r="E841" s="1830"/>
      <c r="F841" s="1830"/>
      <c r="G841" s="1828"/>
    </row>
    <row r="842" spans="1:7" ht="14.25" hidden="1" customHeight="1">
      <c r="A842" s="66" t="s">
        <v>817</v>
      </c>
      <c r="B842" s="1832" t="str">
        <f>+B835</f>
        <v xml:space="preserve">INSTALACIONES HIDROSANITARIAS                  </v>
      </c>
      <c r="C842" s="1830"/>
      <c r="D842" s="1828"/>
      <c r="E842" s="1833" t="s">
        <v>218</v>
      </c>
      <c r="F842" s="1828"/>
      <c r="G842" s="62" t="str">
        <f>+G835</f>
        <v>Und</v>
      </c>
    </row>
    <row r="843" spans="1:7" ht="14.25" hidden="1" customHeight="1">
      <c r="A843" s="66" t="s">
        <v>834</v>
      </c>
      <c r="B843" s="1840" t="s">
        <v>835</v>
      </c>
      <c r="C843" s="1830"/>
      <c r="D843" s="1830"/>
      <c r="E843" s="1830"/>
      <c r="F843" s="1830"/>
      <c r="G843" s="1828"/>
    </row>
    <row r="844" spans="1:7" ht="14.25" hidden="1" customHeight="1">
      <c r="A844" s="1836" t="s">
        <v>220</v>
      </c>
      <c r="B844" s="1830"/>
      <c r="C844" s="1830"/>
      <c r="D844" s="1830"/>
      <c r="E844" s="1830"/>
      <c r="F844" s="1830"/>
      <c r="G844" s="1828"/>
    </row>
    <row r="845" spans="1:7" ht="14.25" hidden="1" customHeight="1">
      <c r="A845" s="1829" t="s">
        <v>221</v>
      </c>
      <c r="B845" s="1828"/>
      <c r="C845" s="63" t="s">
        <v>222</v>
      </c>
      <c r="D845" s="63" t="s">
        <v>223</v>
      </c>
      <c r="E845" s="63" t="s">
        <v>224</v>
      </c>
      <c r="F845" s="63" t="s">
        <v>225</v>
      </c>
      <c r="G845" s="63" t="s">
        <v>226</v>
      </c>
    </row>
    <row r="846" spans="1:7" ht="14.25" hidden="1" customHeight="1">
      <c r="A846" s="1827" t="s">
        <v>827</v>
      </c>
      <c r="B846" s="1828"/>
      <c r="C846" s="64"/>
      <c r="D846" s="64"/>
      <c r="E846" s="64"/>
      <c r="F846" s="64">
        <v>56</v>
      </c>
      <c r="G846" s="64">
        <f>+F846</f>
        <v>56</v>
      </c>
    </row>
    <row r="847" spans="1:7" ht="14.25" hidden="1" customHeight="1">
      <c r="A847" s="1829" t="s">
        <v>227</v>
      </c>
      <c r="B847" s="1830"/>
      <c r="C847" s="1830"/>
      <c r="D847" s="1830"/>
      <c r="E847" s="1830"/>
      <c r="F847" s="1828"/>
      <c r="G847" s="65">
        <f>SUM(G846)</f>
        <v>56</v>
      </c>
    </row>
    <row r="848" spans="1:7" ht="14.25" hidden="1" customHeight="1">
      <c r="A848" s="1831"/>
      <c r="B848" s="1830"/>
      <c r="C848" s="1830"/>
      <c r="D848" s="1830"/>
      <c r="E848" s="1830"/>
      <c r="F848" s="1830"/>
      <c r="G848" s="1828"/>
    </row>
    <row r="849" spans="1:7" ht="14.25" hidden="1" customHeight="1">
      <c r="A849" s="66" t="str">
        <f t="shared" ref="A849:B849" si="55">+A842</f>
        <v>CAPITULO 7:</v>
      </c>
      <c r="B849" s="1832" t="str">
        <f t="shared" si="55"/>
        <v xml:space="preserve">INSTALACIONES HIDROSANITARIAS                  </v>
      </c>
      <c r="C849" s="1830"/>
      <c r="D849" s="1828"/>
      <c r="E849" s="1833" t="s">
        <v>218</v>
      </c>
      <c r="F849" s="1828"/>
      <c r="G849" s="62" t="str">
        <f>+G842</f>
        <v>Und</v>
      </c>
    </row>
    <row r="850" spans="1:7" ht="14.25" hidden="1" customHeight="1">
      <c r="A850" s="66" t="s">
        <v>836</v>
      </c>
      <c r="B850" s="1840" t="s">
        <v>837</v>
      </c>
      <c r="C850" s="1830"/>
      <c r="D850" s="1830"/>
      <c r="E850" s="1830"/>
      <c r="F850" s="1830"/>
      <c r="G850" s="1828"/>
    </row>
    <row r="851" spans="1:7" ht="14.25" hidden="1" customHeight="1">
      <c r="A851" s="1836" t="s">
        <v>220</v>
      </c>
      <c r="B851" s="1830"/>
      <c r="C851" s="1830"/>
      <c r="D851" s="1830"/>
      <c r="E851" s="1830"/>
      <c r="F851" s="1830"/>
      <c r="G851" s="1828"/>
    </row>
    <row r="852" spans="1:7" ht="14.25" hidden="1" customHeight="1">
      <c r="A852" s="1829" t="s">
        <v>221</v>
      </c>
      <c r="B852" s="1828"/>
      <c r="C852" s="63" t="s">
        <v>222</v>
      </c>
      <c r="D852" s="63" t="s">
        <v>223</v>
      </c>
      <c r="E852" s="63" t="s">
        <v>224</v>
      </c>
      <c r="F852" s="63" t="s">
        <v>225</v>
      </c>
      <c r="G852" s="63" t="s">
        <v>226</v>
      </c>
    </row>
    <row r="853" spans="1:7" ht="14.25" hidden="1" customHeight="1">
      <c r="A853" s="1827" t="s">
        <v>827</v>
      </c>
      <c r="B853" s="1828"/>
      <c r="C853" s="64"/>
      <c r="D853" s="64"/>
      <c r="E853" s="64"/>
      <c r="F853" s="64">
        <v>45</v>
      </c>
      <c r="G853" s="64">
        <f>+F853</f>
        <v>45</v>
      </c>
    </row>
    <row r="854" spans="1:7" ht="14.25" hidden="1" customHeight="1">
      <c r="A854" s="1829" t="s">
        <v>227</v>
      </c>
      <c r="B854" s="1830"/>
      <c r="C854" s="1830"/>
      <c r="D854" s="1830"/>
      <c r="E854" s="1830"/>
      <c r="F854" s="1828"/>
      <c r="G854" s="191">
        <f>SUM(G853)</f>
        <v>45</v>
      </c>
    </row>
    <row r="855" spans="1:7" ht="14.25" hidden="1" customHeight="1">
      <c r="A855" s="1831"/>
      <c r="B855" s="1830"/>
      <c r="C855" s="1830"/>
      <c r="D855" s="1830"/>
      <c r="E855" s="1830"/>
      <c r="F855" s="1830"/>
      <c r="G855" s="1828"/>
    </row>
    <row r="856" spans="1:7" ht="14.25" hidden="1" customHeight="1">
      <c r="A856" s="66" t="str">
        <f t="shared" ref="A856:B856" si="56">+A849</f>
        <v>CAPITULO 7:</v>
      </c>
      <c r="B856" s="1832" t="str">
        <f t="shared" si="56"/>
        <v xml:space="preserve">INSTALACIONES HIDROSANITARIAS                  </v>
      </c>
      <c r="C856" s="1830"/>
      <c r="D856" s="1828"/>
      <c r="E856" s="1833" t="s">
        <v>218</v>
      </c>
      <c r="F856" s="1828"/>
      <c r="G856" s="197" t="s">
        <v>127</v>
      </c>
    </row>
    <row r="857" spans="1:7" ht="14.25" hidden="1" customHeight="1">
      <c r="A857" s="66" t="s">
        <v>838</v>
      </c>
      <c r="B857" s="1840" t="s">
        <v>839</v>
      </c>
      <c r="C857" s="1830"/>
      <c r="D857" s="1830"/>
      <c r="E857" s="1830"/>
      <c r="F857" s="1830"/>
      <c r="G857" s="1828"/>
    </row>
    <row r="858" spans="1:7" ht="14.25" hidden="1" customHeight="1">
      <c r="A858" s="1836" t="s">
        <v>220</v>
      </c>
      <c r="B858" s="1830"/>
      <c r="C858" s="1830"/>
      <c r="D858" s="1830"/>
      <c r="E858" s="1830"/>
      <c r="F858" s="1830"/>
      <c r="G858" s="1828"/>
    </row>
    <row r="859" spans="1:7" ht="14.25" hidden="1" customHeight="1">
      <c r="A859" s="1829" t="s">
        <v>221</v>
      </c>
      <c r="B859" s="1828"/>
      <c r="C859" s="63" t="s">
        <v>222</v>
      </c>
      <c r="D859" s="63" t="s">
        <v>223</v>
      </c>
      <c r="E859" s="63" t="s">
        <v>224</v>
      </c>
      <c r="F859" s="63" t="s">
        <v>225</v>
      </c>
      <c r="G859" s="63" t="s">
        <v>226</v>
      </c>
    </row>
    <row r="860" spans="1:7" ht="14.25" hidden="1" customHeight="1">
      <c r="A860" s="1827" t="s">
        <v>827</v>
      </c>
      <c r="B860" s="1828"/>
      <c r="C860" s="64"/>
      <c r="D860" s="64"/>
      <c r="E860" s="64"/>
      <c r="F860" s="64">
        <v>38</v>
      </c>
      <c r="G860" s="64">
        <f>+F860</f>
        <v>38</v>
      </c>
    </row>
    <row r="861" spans="1:7" ht="14.25" hidden="1" customHeight="1">
      <c r="A861" s="1829" t="s">
        <v>227</v>
      </c>
      <c r="B861" s="1830"/>
      <c r="C861" s="1830"/>
      <c r="D861" s="1830"/>
      <c r="E861" s="1830"/>
      <c r="F861" s="1828"/>
      <c r="G861" s="191">
        <f>SUM(G860)</f>
        <v>38</v>
      </c>
    </row>
    <row r="862" spans="1:7" ht="14.25" hidden="1" customHeight="1">
      <c r="A862" s="1831"/>
      <c r="B862" s="1830"/>
      <c r="C862" s="1830"/>
      <c r="D862" s="1830"/>
      <c r="E862" s="1830"/>
      <c r="F862" s="1830"/>
      <c r="G862" s="1828"/>
    </row>
    <row r="863" spans="1:7" ht="14.25" hidden="1" customHeight="1">
      <c r="A863" s="66" t="str">
        <f t="shared" ref="A863:B863" si="57">+A856</f>
        <v>CAPITULO 7:</v>
      </c>
      <c r="B863" s="1832" t="str">
        <f t="shared" si="57"/>
        <v xml:space="preserve">INSTALACIONES HIDROSANITARIAS                  </v>
      </c>
      <c r="C863" s="1830"/>
      <c r="D863" s="1828"/>
      <c r="E863" s="1833" t="s">
        <v>218</v>
      </c>
      <c r="F863" s="1828"/>
      <c r="G863" s="197" t="s">
        <v>127</v>
      </c>
    </row>
    <row r="864" spans="1:7" ht="14.25" hidden="1" customHeight="1">
      <c r="A864" s="66" t="s">
        <v>840</v>
      </c>
      <c r="B864" s="1840" t="s">
        <v>841</v>
      </c>
      <c r="C864" s="1830"/>
      <c r="D864" s="1830"/>
      <c r="E864" s="1830"/>
      <c r="F864" s="1830"/>
      <c r="G864" s="1828"/>
    </row>
    <row r="865" spans="1:7" ht="14.25" hidden="1" customHeight="1">
      <c r="A865" s="1836" t="s">
        <v>220</v>
      </c>
      <c r="B865" s="1830"/>
      <c r="C865" s="1830"/>
      <c r="D865" s="1830"/>
      <c r="E865" s="1830"/>
      <c r="F865" s="1830"/>
      <c r="G865" s="1828"/>
    </row>
    <row r="866" spans="1:7" ht="14.25" hidden="1" customHeight="1">
      <c r="A866" s="1829" t="s">
        <v>221</v>
      </c>
      <c r="B866" s="1828"/>
      <c r="C866" s="63" t="s">
        <v>222</v>
      </c>
      <c r="D866" s="63" t="s">
        <v>223</v>
      </c>
      <c r="E866" s="63" t="s">
        <v>224</v>
      </c>
      <c r="F866" s="63" t="s">
        <v>225</v>
      </c>
      <c r="G866" s="63" t="s">
        <v>226</v>
      </c>
    </row>
    <row r="867" spans="1:7" ht="14.25" hidden="1" customHeight="1">
      <c r="A867" s="1827" t="s">
        <v>827</v>
      </c>
      <c r="B867" s="1828"/>
      <c r="C867" s="64"/>
      <c r="D867" s="64"/>
      <c r="E867" s="64"/>
      <c r="F867" s="64">
        <f>12+37+27</f>
        <v>76</v>
      </c>
      <c r="G867" s="64">
        <f>+F867</f>
        <v>76</v>
      </c>
    </row>
    <row r="868" spans="1:7" ht="14.25" hidden="1" customHeight="1">
      <c r="A868" s="1829" t="s">
        <v>227</v>
      </c>
      <c r="B868" s="1830"/>
      <c r="C868" s="1830"/>
      <c r="D868" s="1830"/>
      <c r="E868" s="1830"/>
      <c r="F868" s="1828"/>
      <c r="G868" s="191">
        <f>SUM(G867)</f>
        <v>76</v>
      </c>
    </row>
    <row r="869" spans="1:7" ht="14.25" hidden="1" customHeight="1">
      <c r="A869" s="1831"/>
      <c r="B869" s="1830"/>
      <c r="C869" s="1830"/>
      <c r="D869" s="1830"/>
      <c r="E869" s="1830"/>
      <c r="F869" s="1830"/>
      <c r="G869" s="1828"/>
    </row>
    <row r="870" spans="1:7" ht="14.25" hidden="1" customHeight="1">
      <c r="A870" s="66" t="str">
        <f t="shared" ref="A870:B870" si="58">+A863</f>
        <v>CAPITULO 7:</v>
      </c>
      <c r="B870" s="1832" t="str">
        <f t="shared" si="58"/>
        <v xml:space="preserve">INSTALACIONES HIDROSANITARIAS                  </v>
      </c>
      <c r="C870" s="1830"/>
      <c r="D870" s="1828"/>
      <c r="E870" s="1833" t="s">
        <v>218</v>
      </c>
      <c r="F870" s="1828"/>
      <c r="G870" s="197" t="s">
        <v>120</v>
      </c>
    </row>
    <row r="871" spans="1:7" ht="14.25" hidden="1" customHeight="1">
      <c r="A871" s="66" t="s">
        <v>842</v>
      </c>
      <c r="B871" s="1840" t="s">
        <v>843</v>
      </c>
      <c r="C871" s="1830"/>
      <c r="D871" s="1830"/>
      <c r="E871" s="1830"/>
      <c r="F871" s="1830"/>
      <c r="G871" s="1828"/>
    </row>
    <row r="872" spans="1:7" ht="14.25" hidden="1" customHeight="1">
      <c r="A872" s="1836" t="s">
        <v>220</v>
      </c>
      <c r="B872" s="1830"/>
      <c r="C872" s="1830"/>
      <c r="D872" s="1830"/>
      <c r="E872" s="1830"/>
      <c r="F872" s="1830"/>
      <c r="G872" s="1828"/>
    </row>
    <row r="873" spans="1:7" ht="14.25" hidden="1" customHeight="1">
      <c r="A873" s="1829" t="s">
        <v>221</v>
      </c>
      <c r="B873" s="1828"/>
      <c r="C873" s="63" t="s">
        <v>222</v>
      </c>
      <c r="D873" s="63" t="s">
        <v>223</v>
      </c>
      <c r="E873" s="63" t="s">
        <v>224</v>
      </c>
      <c r="F873" s="63" t="s">
        <v>225</v>
      </c>
      <c r="G873" s="63" t="s">
        <v>226</v>
      </c>
    </row>
    <row r="874" spans="1:7" ht="14.25" hidden="1" customHeight="1">
      <c r="A874" s="1827" t="s">
        <v>827</v>
      </c>
      <c r="B874" s="1828"/>
      <c r="C874" s="64">
        <v>445.6</v>
      </c>
      <c r="D874" s="64"/>
      <c r="E874" s="64"/>
      <c r="F874" s="64"/>
      <c r="G874" s="64">
        <f>+C874</f>
        <v>445.6</v>
      </c>
    </row>
    <row r="875" spans="1:7" ht="14.25" hidden="1" customHeight="1">
      <c r="A875" s="1829" t="s">
        <v>227</v>
      </c>
      <c r="B875" s="1830"/>
      <c r="C875" s="1830"/>
      <c r="D875" s="1830"/>
      <c r="E875" s="1830"/>
      <c r="F875" s="1828"/>
      <c r="G875" s="191">
        <f>SUM(G874)</f>
        <v>445.6</v>
      </c>
    </row>
    <row r="876" spans="1:7" ht="14.25" hidden="1" customHeight="1">
      <c r="A876" s="1831"/>
      <c r="B876" s="1830"/>
      <c r="C876" s="1830"/>
      <c r="D876" s="1830"/>
      <c r="E876" s="1830"/>
      <c r="F876" s="1830"/>
      <c r="G876" s="1828"/>
    </row>
    <row r="877" spans="1:7" ht="14.25" hidden="1" customHeight="1">
      <c r="A877" s="66" t="str">
        <f t="shared" ref="A877:B877" si="59">+A870</f>
        <v>CAPITULO 7:</v>
      </c>
      <c r="B877" s="1832" t="str">
        <f t="shared" si="59"/>
        <v xml:space="preserve">INSTALACIONES HIDROSANITARIAS                  </v>
      </c>
      <c r="C877" s="1830"/>
      <c r="D877" s="1828"/>
      <c r="E877" s="1833" t="s">
        <v>218</v>
      </c>
      <c r="F877" s="1828"/>
      <c r="G877" s="197" t="str">
        <f>+G870</f>
        <v>ML</v>
      </c>
    </row>
    <row r="878" spans="1:7" ht="14.25" hidden="1" customHeight="1">
      <c r="A878" s="66" t="s">
        <v>844</v>
      </c>
      <c r="B878" s="1840" t="s">
        <v>845</v>
      </c>
      <c r="C878" s="1830"/>
      <c r="D878" s="1830"/>
      <c r="E878" s="1830"/>
      <c r="F878" s="1830"/>
      <c r="G878" s="1828"/>
    </row>
    <row r="879" spans="1:7" ht="14.25" hidden="1" customHeight="1">
      <c r="A879" s="1836" t="s">
        <v>220</v>
      </c>
      <c r="B879" s="1830"/>
      <c r="C879" s="1830"/>
      <c r="D879" s="1830"/>
      <c r="E879" s="1830"/>
      <c r="F879" s="1830"/>
      <c r="G879" s="1828"/>
    </row>
    <row r="880" spans="1:7" ht="14.25" hidden="1" customHeight="1">
      <c r="A880" s="1829" t="s">
        <v>221</v>
      </c>
      <c r="B880" s="1828"/>
      <c r="C880" s="63" t="s">
        <v>222</v>
      </c>
      <c r="D880" s="63" t="s">
        <v>223</v>
      </c>
      <c r="E880" s="63" t="s">
        <v>224</v>
      </c>
      <c r="F880" s="63" t="s">
        <v>225</v>
      </c>
      <c r="G880" s="63" t="s">
        <v>226</v>
      </c>
    </row>
    <row r="881" spans="1:7" ht="14.25" hidden="1" customHeight="1">
      <c r="A881" s="1827" t="s">
        <v>827</v>
      </c>
      <c r="B881" s="1828"/>
      <c r="C881" s="64">
        <f>103*4.5</f>
        <v>463.5</v>
      </c>
      <c r="D881" s="64"/>
      <c r="E881" s="64"/>
      <c r="F881" s="64"/>
      <c r="G881" s="64">
        <f>+C881</f>
        <v>463.5</v>
      </c>
    </row>
    <row r="882" spans="1:7" ht="14.25" hidden="1" customHeight="1">
      <c r="A882" s="1829" t="s">
        <v>227</v>
      </c>
      <c r="B882" s="1830"/>
      <c r="C882" s="1830"/>
      <c r="D882" s="1830"/>
      <c r="E882" s="1830"/>
      <c r="F882" s="1828"/>
      <c r="G882" s="191">
        <f>SUM(G881)</f>
        <v>463.5</v>
      </c>
    </row>
    <row r="883" spans="1:7" ht="14.25" hidden="1" customHeight="1">
      <c r="A883" s="1831"/>
      <c r="B883" s="1830"/>
      <c r="C883" s="1830"/>
      <c r="D883" s="1830"/>
      <c r="E883" s="1830"/>
      <c r="F883" s="1830"/>
      <c r="G883" s="1828"/>
    </row>
    <row r="884" spans="1:7" ht="14.25" hidden="1" customHeight="1">
      <c r="A884" s="66" t="str">
        <f t="shared" ref="A884:B884" si="60">+A877</f>
        <v>CAPITULO 7:</v>
      </c>
      <c r="B884" s="1832" t="str">
        <f t="shared" si="60"/>
        <v xml:space="preserve">INSTALACIONES HIDROSANITARIAS                  </v>
      </c>
      <c r="C884" s="1830"/>
      <c r="D884" s="1828"/>
      <c r="E884" s="1833" t="s">
        <v>218</v>
      </c>
      <c r="F884" s="1828"/>
      <c r="G884" s="197" t="s">
        <v>120</v>
      </c>
    </row>
    <row r="885" spans="1:7" ht="14.25" hidden="1" customHeight="1">
      <c r="A885" s="66" t="s">
        <v>846</v>
      </c>
      <c r="B885" s="1840" t="s">
        <v>847</v>
      </c>
      <c r="C885" s="1830"/>
      <c r="D885" s="1830"/>
      <c r="E885" s="1830"/>
      <c r="F885" s="1830"/>
      <c r="G885" s="1828"/>
    </row>
    <row r="886" spans="1:7" ht="14.25" hidden="1" customHeight="1">
      <c r="A886" s="1836" t="s">
        <v>220</v>
      </c>
      <c r="B886" s="1830"/>
      <c r="C886" s="1830"/>
      <c r="D886" s="1830"/>
      <c r="E886" s="1830"/>
      <c r="F886" s="1830"/>
      <c r="G886" s="1828"/>
    </row>
    <row r="887" spans="1:7" ht="14.25" hidden="1" customHeight="1">
      <c r="A887" s="1829" t="s">
        <v>221</v>
      </c>
      <c r="B887" s="1828"/>
      <c r="C887" s="63" t="s">
        <v>222</v>
      </c>
      <c r="D887" s="63" t="s">
        <v>252</v>
      </c>
      <c r="E887" s="63" t="s">
        <v>224</v>
      </c>
      <c r="F887" s="63" t="s">
        <v>225</v>
      </c>
      <c r="G887" s="63" t="s">
        <v>226</v>
      </c>
    </row>
    <row r="888" spans="1:7" ht="14.25" hidden="1" customHeight="1">
      <c r="A888" s="1827" t="s">
        <v>827</v>
      </c>
      <c r="B888" s="1828"/>
      <c r="C888" s="64">
        <f>52*6</f>
        <v>312</v>
      </c>
      <c r="D888" s="64"/>
      <c r="E888" s="64"/>
      <c r="F888" s="64"/>
      <c r="G888" s="64">
        <f>+C888</f>
        <v>312</v>
      </c>
    </row>
    <row r="889" spans="1:7" ht="14.25" hidden="1" customHeight="1">
      <c r="A889" s="1829" t="s">
        <v>227</v>
      </c>
      <c r="B889" s="1830"/>
      <c r="C889" s="1830"/>
      <c r="D889" s="1830"/>
      <c r="E889" s="1830"/>
      <c r="F889" s="1828"/>
      <c r="G889" s="191">
        <f>SUM(G888)</f>
        <v>312</v>
      </c>
    </row>
    <row r="890" spans="1:7" ht="14.25" hidden="1" customHeight="1">
      <c r="A890" s="1831"/>
      <c r="B890" s="1830"/>
      <c r="C890" s="1830"/>
      <c r="D890" s="1830"/>
      <c r="E890" s="1830"/>
      <c r="F890" s="1830"/>
      <c r="G890" s="1828"/>
    </row>
    <row r="891" spans="1:7" ht="14.25" hidden="1" customHeight="1">
      <c r="A891" s="66" t="str">
        <f t="shared" ref="A891:B891" si="61">+A884</f>
        <v>CAPITULO 7:</v>
      </c>
      <c r="B891" s="1832" t="str">
        <f t="shared" si="61"/>
        <v xml:space="preserve">INSTALACIONES HIDROSANITARIAS                  </v>
      </c>
      <c r="C891" s="1830"/>
      <c r="D891" s="1828"/>
      <c r="E891" s="1833" t="s">
        <v>218</v>
      </c>
      <c r="F891" s="1828"/>
      <c r="G891" s="197" t="s">
        <v>127</v>
      </c>
    </row>
    <row r="892" spans="1:7" ht="14.25" hidden="1" customHeight="1">
      <c r="A892" s="66" t="s">
        <v>848</v>
      </c>
      <c r="B892" s="1840" t="s">
        <v>849</v>
      </c>
      <c r="C892" s="1830"/>
      <c r="D892" s="1830"/>
      <c r="E892" s="1830"/>
      <c r="F892" s="1830"/>
      <c r="G892" s="1828"/>
    </row>
    <row r="893" spans="1:7" ht="14.25" hidden="1" customHeight="1">
      <c r="A893" s="1836" t="s">
        <v>220</v>
      </c>
      <c r="B893" s="1830"/>
      <c r="C893" s="1830"/>
      <c r="D893" s="1830"/>
      <c r="E893" s="1830"/>
      <c r="F893" s="1830"/>
      <c r="G893" s="1828"/>
    </row>
    <row r="894" spans="1:7" ht="14.25" hidden="1" customHeight="1">
      <c r="A894" s="1829" t="s">
        <v>221</v>
      </c>
      <c r="B894" s="1828"/>
      <c r="C894" s="63" t="s">
        <v>222</v>
      </c>
      <c r="D894" s="63" t="s">
        <v>252</v>
      </c>
      <c r="E894" s="63" t="s">
        <v>224</v>
      </c>
      <c r="F894" s="63" t="s">
        <v>225</v>
      </c>
      <c r="G894" s="63" t="s">
        <v>226</v>
      </c>
    </row>
    <row r="895" spans="1:7" ht="14.25" hidden="1" customHeight="1">
      <c r="A895" s="1827" t="s">
        <v>827</v>
      </c>
      <c r="B895" s="1828"/>
      <c r="C895" s="64"/>
      <c r="D895" s="64"/>
      <c r="E895" s="64"/>
      <c r="F895" s="64">
        <v>14</v>
      </c>
      <c r="G895" s="64">
        <f>+F895</f>
        <v>14</v>
      </c>
    </row>
    <row r="896" spans="1:7" ht="14.25" hidden="1" customHeight="1">
      <c r="A896" s="1829" t="s">
        <v>227</v>
      </c>
      <c r="B896" s="1830"/>
      <c r="C896" s="1830"/>
      <c r="D896" s="1830"/>
      <c r="E896" s="1830"/>
      <c r="F896" s="1828"/>
      <c r="G896" s="191">
        <f>SUM(G895)</f>
        <v>14</v>
      </c>
    </row>
    <row r="897" spans="1:7" ht="14.25" hidden="1" customHeight="1">
      <c r="A897" s="1837"/>
      <c r="B897" s="1838"/>
      <c r="C897" s="1838"/>
      <c r="D897" s="1838"/>
      <c r="E897" s="1838"/>
      <c r="F897" s="1838"/>
      <c r="G897" s="1839"/>
    </row>
    <row r="898" spans="1:7" ht="14.25" hidden="1" customHeight="1">
      <c r="A898" s="66" t="str">
        <f t="shared" ref="A898:B898" si="62">+A891</f>
        <v>CAPITULO 7:</v>
      </c>
      <c r="B898" s="1832" t="str">
        <f t="shared" si="62"/>
        <v xml:space="preserve">INSTALACIONES HIDROSANITARIAS                  </v>
      </c>
      <c r="C898" s="1830"/>
      <c r="D898" s="1828"/>
      <c r="E898" s="1833" t="s">
        <v>218</v>
      </c>
      <c r="F898" s="1828"/>
      <c r="G898" s="197" t="s">
        <v>127</v>
      </c>
    </row>
    <row r="899" spans="1:7" ht="14.25" hidden="1" customHeight="1">
      <c r="A899" s="66" t="s">
        <v>850</v>
      </c>
      <c r="B899" s="1840" t="s">
        <v>851</v>
      </c>
      <c r="C899" s="1830"/>
      <c r="D899" s="1830"/>
      <c r="E899" s="1830"/>
      <c r="F899" s="1830"/>
      <c r="G899" s="1828"/>
    </row>
    <row r="900" spans="1:7" ht="14.25" hidden="1" customHeight="1">
      <c r="A900" s="1836" t="s">
        <v>220</v>
      </c>
      <c r="B900" s="1830"/>
      <c r="C900" s="1830"/>
      <c r="D900" s="1830"/>
      <c r="E900" s="1830"/>
      <c r="F900" s="1830"/>
      <c r="G900" s="1828"/>
    </row>
    <row r="901" spans="1:7" ht="14.25" hidden="1" customHeight="1">
      <c r="A901" s="1829" t="s">
        <v>221</v>
      </c>
      <c r="B901" s="1828"/>
      <c r="C901" s="63" t="s">
        <v>222</v>
      </c>
      <c r="D901" s="63" t="s">
        <v>252</v>
      </c>
      <c r="E901" s="63" t="s">
        <v>224</v>
      </c>
      <c r="F901" s="63" t="s">
        <v>225</v>
      </c>
      <c r="G901" s="63" t="s">
        <v>226</v>
      </c>
    </row>
    <row r="902" spans="1:7" ht="14.25" hidden="1" customHeight="1">
      <c r="A902" s="1827" t="s">
        <v>827</v>
      </c>
      <c r="B902" s="1828"/>
      <c r="C902" s="64"/>
      <c r="D902" s="64"/>
      <c r="E902" s="64"/>
      <c r="F902" s="64">
        <v>32</v>
      </c>
      <c r="G902" s="64">
        <f>+F902</f>
        <v>32</v>
      </c>
    </row>
    <row r="903" spans="1:7" ht="14.25" hidden="1" customHeight="1">
      <c r="A903" s="1829" t="s">
        <v>227</v>
      </c>
      <c r="B903" s="1830"/>
      <c r="C903" s="1830"/>
      <c r="D903" s="1830"/>
      <c r="E903" s="1830"/>
      <c r="F903" s="1828"/>
      <c r="G903" s="191">
        <f>SUM(G902)</f>
        <v>32</v>
      </c>
    </row>
    <row r="904" spans="1:7" ht="14.25" hidden="1" customHeight="1">
      <c r="A904" s="1837"/>
      <c r="B904" s="1838"/>
      <c r="C904" s="1838"/>
      <c r="D904" s="1838"/>
      <c r="E904" s="1838"/>
      <c r="F904" s="1838"/>
      <c r="G904" s="1839"/>
    </row>
    <row r="905" spans="1:7" ht="14.25" hidden="1" customHeight="1">
      <c r="A905" s="66" t="str">
        <f t="shared" ref="A905:B905" si="63">+A891</f>
        <v>CAPITULO 7:</v>
      </c>
      <c r="B905" s="1832" t="str">
        <f t="shared" si="63"/>
        <v xml:space="preserve">INSTALACIONES HIDROSANITARIAS                  </v>
      </c>
      <c r="C905" s="1830"/>
      <c r="D905" s="1828"/>
      <c r="E905" s="1833" t="s">
        <v>218</v>
      </c>
      <c r="F905" s="1834"/>
      <c r="G905" s="197" t="s">
        <v>127</v>
      </c>
    </row>
    <row r="906" spans="1:7" ht="14.25" hidden="1" customHeight="1">
      <c r="A906" s="66" t="s">
        <v>852</v>
      </c>
      <c r="B906" s="1835" t="s">
        <v>853</v>
      </c>
      <c r="C906" s="1621"/>
      <c r="D906" s="1621"/>
      <c r="E906" s="1621"/>
      <c r="F906" s="1621"/>
      <c r="G906" s="1622"/>
    </row>
    <row r="907" spans="1:7" ht="14.25" hidden="1" customHeight="1">
      <c r="A907" s="1836" t="s">
        <v>220</v>
      </c>
      <c r="B907" s="1830"/>
      <c r="C907" s="1830"/>
      <c r="D907" s="1830"/>
      <c r="E907" s="1830"/>
      <c r="F907" s="1830"/>
      <c r="G907" s="1828"/>
    </row>
    <row r="908" spans="1:7" ht="14.25" hidden="1" customHeight="1">
      <c r="A908" s="1829" t="s">
        <v>221</v>
      </c>
      <c r="B908" s="1828"/>
      <c r="C908" s="63" t="s">
        <v>222</v>
      </c>
      <c r="D908" s="63" t="s">
        <v>252</v>
      </c>
      <c r="E908" s="63" t="s">
        <v>224</v>
      </c>
      <c r="F908" s="63" t="s">
        <v>225</v>
      </c>
      <c r="G908" s="63" t="s">
        <v>226</v>
      </c>
    </row>
    <row r="909" spans="1:7" ht="14.25" hidden="1" customHeight="1">
      <c r="A909" s="1827" t="s">
        <v>827</v>
      </c>
      <c r="B909" s="1828"/>
      <c r="C909" s="64"/>
      <c r="D909" s="64"/>
      <c r="E909" s="64"/>
      <c r="F909" s="64">
        <v>27</v>
      </c>
      <c r="G909" s="64">
        <f>+F909</f>
        <v>27</v>
      </c>
    </row>
    <row r="910" spans="1:7" ht="14.25" hidden="1" customHeight="1">
      <c r="A910" s="1850"/>
      <c r="B910" s="1828"/>
      <c r="C910" s="64"/>
      <c r="D910" s="64"/>
      <c r="E910" s="64"/>
      <c r="F910" s="64"/>
      <c r="G910" s="64"/>
    </row>
    <row r="911" spans="1:7" ht="14.25" hidden="1" customHeight="1">
      <c r="A911" s="1829" t="s">
        <v>227</v>
      </c>
      <c r="B911" s="1830"/>
      <c r="C911" s="1830"/>
      <c r="D911" s="1830"/>
      <c r="E911" s="1830"/>
      <c r="F911" s="1828"/>
      <c r="G911" s="191">
        <f>SUM(G909:G910)</f>
        <v>27</v>
      </c>
    </row>
    <row r="912" spans="1:7" ht="14.25" hidden="1" customHeight="1">
      <c r="A912" s="1837"/>
      <c r="B912" s="1838"/>
      <c r="C912" s="1838"/>
      <c r="D912" s="1838"/>
      <c r="E912" s="1838"/>
      <c r="F912" s="1838"/>
      <c r="G912" s="1839"/>
    </row>
    <row r="913" spans="1:7" ht="14.25" hidden="1" customHeight="1">
      <c r="A913" s="66" t="str">
        <f t="shared" ref="A913:B913" si="64">+A905</f>
        <v>CAPITULO 7:</v>
      </c>
      <c r="B913" s="1832" t="str">
        <f t="shared" si="64"/>
        <v xml:space="preserve">INSTALACIONES HIDROSANITARIAS                  </v>
      </c>
      <c r="C913" s="1830"/>
      <c r="D913" s="1828"/>
      <c r="E913" s="1833" t="s">
        <v>218</v>
      </c>
      <c r="F913" s="1834"/>
      <c r="G913" s="197" t="s">
        <v>120</v>
      </c>
    </row>
    <row r="914" spans="1:7" ht="32.25" hidden="1" customHeight="1">
      <c r="A914" s="66" t="s">
        <v>854</v>
      </c>
      <c r="B914" s="1835" t="s">
        <v>855</v>
      </c>
      <c r="C914" s="1621"/>
      <c r="D914" s="1621"/>
      <c r="E914" s="1621"/>
      <c r="F914" s="1621"/>
      <c r="G914" s="1622"/>
    </row>
    <row r="915" spans="1:7" ht="14.25" hidden="1" customHeight="1">
      <c r="A915" s="1836" t="s">
        <v>220</v>
      </c>
      <c r="B915" s="1830"/>
      <c r="C915" s="1830"/>
      <c r="D915" s="1830"/>
      <c r="E915" s="1830"/>
      <c r="F915" s="1830"/>
      <c r="G915" s="1828"/>
    </row>
    <row r="916" spans="1:7" ht="14.25" hidden="1" customHeight="1">
      <c r="A916" s="1829" t="s">
        <v>221</v>
      </c>
      <c r="B916" s="1828"/>
      <c r="C916" s="63" t="s">
        <v>222</v>
      </c>
      <c r="D916" s="63" t="s">
        <v>252</v>
      </c>
      <c r="E916" s="63" t="s">
        <v>224</v>
      </c>
      <c r="F916" s="63" t="s">
        <v>225</v>
      </c>
      <c r="G916" s="63" t="s">
        <v>226</v>
      </c>
    </row>
    <row r="917" spans="1:7" ht="14.25" hidden="1" customHeight="1">
      <c r="A917" s="1827" t="s">
        <v>856</v>
      </c>
      <c r="B917" s="1828"/>
      <c r="C917" s="64">
        <v>12.45</v>
      </c>
      <c r="D917" s="64"/>
      <c r="E917" s="64"/>
      <c r="F917" s="64"/>
      <c r="G917" s="64">
        <f>+C917</f>
        <v>12.45</v>
      </c>
    </row>
    <row r="918" spans="1:7" ht="14.25" hidden="1" customHeight="1">
      <c r="A918" s="1827"/>
      <c r="B918" s="1828"/>
      <c r="C918" s="64"/>
      <c r="D918" s="64"/>
      <c r="E918" s="64"/>
      <c r="F918" s="64"/>
      <c r="G918" s="64"/>
    </row>
    <row r="919" spans="1:7" ht="14.25" hidden="1" customHeight="1">
      <c r="A919" s="1829" t="s">
        <v>227</v>
      </c>
      <c r="B919" s="1830"/>
      <c r="C919" s="1830"/>
      <c r="D919" s="1830"/>
      <c r="E919" s="1830"/>
      <c r="F919" s="1828"/>
      <c r="G919" s="191">
        <f>SUM(G917:G918)</f>
        <v>12.45</v>
      </c>
    </row>
    <row r="920" spans="1:7" ht="14.25" hidden="1" customHeight="1">
      <c r="A920" s="1837"/>
      <c r="B920" s="1838"/>
      <c r="C920" s="1838"/>
      <c r="D920" s="1838"/>
      <c r="E920" s="1838"/>
      <c r="F920" s="1838"/>
      <c r="G920" s="1839"/>
    </row>
    <row r="921" spans="1:7" ht="14.25" hidden="1" customHeight="1">
      <c r="A921" s="66" t="str">
        <f>+A913</f>
        <v>CAPITULO 7:</v>
      </c>
      <c r="B921" s="1832" t="s">
        <v>255</v>
      </c>
      <c r="C921" s="1830"/>
      <c r="D921" s="1828"/>
      <c r="E921" s="1833" t="s">
        <v>218</v>
      </c>
      <c r="F921" s="1834"/>
      <c r="G921" s="70" t="s">
        <v>127</v>
      </c>
    </row>
    <row r="922" spans="1:7" ht="29.25" hidden="1" customHeight="1">
      <c r="A922" s="66" t="s">
        <v>857</v>
      </c>
      <c r="B922" s="1835" t="s">
        <v>858</v>
      </c>
      <c r="C922" s="1621"/>
      <c r="D922" s="1621"/>
      <c r="E922" s="1621"/>
      <c r="F922" s="1621"/>
      <c r="G922" s="1622"/>
    </row>
    <row r="923" spans="1:7" ht="14.25" hidden="1" customHeight="1">
      <c r="A923" s="1836" t="s">
        <v>220</v>
      </c>
      <c r="B923" s="1830"/>
      <c r="C923" s="1830"/>
      <c r="D923" s="1830"/>
      <c r="E923" s="1830"/>
      <c r="F923" s="1830"/>
      <c r="G923" s="1828"/>
    </row>
    <row r="924" spans="1:7" ht="14.25" hidden="1" customHeight="1">
      <c r="A924" s="1829" t="s">
        <v>221</v>
      </c>
      <c r="B924" s="1828"/>
      <c r="C924" s="63" t="s">
        <v>222</v>
      </c>
      <c r="D924" s="63" t="s">
        <v>252</v>
      </c>
      <c r="E924" s="63" t="s">
        <v>224</v>
      </c>
      <c r="F924" s="63" t="s">
        <v>225</v>
      </c>
      <c r="G924" s="63" t="s">
        <v>226</v>
      </c>
    </row>
    <row r="925" spans="1:7" ht="14.25" hidden="1" customHeight="1">
      <c r="A925" s="1827" t="s">
        <v>827</v>
      </c>
      <c r="B925" s="1828"/>
      <c r="C925" s="64"/>
      <c r="D925" s="64"/>
      <c r="E925" s="64"/>
      <c r="F925" s="64">
        <v>163</v>
      </c>
      <c r="G925" s="64">
        <f>+F925</f>
        <v>163</v>
      </c>
    </row>
    <row r="926" spans="1:7" ht="14.25" hidden="1" customHeight="1">
      <c r="A926" s="1829" t="s">
        <v>227</v>
      </c>
      <c r="B926" s="1830"/>
      <c r="C926" s="1830"/>
      <c r="D926" s="1830"/>
      <c r="E926" s="1830"/>
      <c r="F926" s="1828"/>
      <c r="G926" s="191">
        <f>SUM(G925)</f>
        <v>163</v>
      </c>
    </row>
    <row r="927" spans="1:7" ht="14.25" hidden="1" customHeight="1">
      <c r="A927" s="1837"/>
      <c r="B927" s="1838"/>
      <c r="C927" s="1838"/>
      <c r="D927" s="1838"/>
      <c r="E927" s="1838"/>
      <c r="F927" s="1838"/>
      <c r="G927" s="1839"/>
    </row>
    <row r="928" spans="1:7" ht="14.25" hidden="1" customHeight="1">
      <c r="A928" s="66" t="str">
        <f t="shared" ref="A928:B928" si="65">+A921</f>
        <v>CAPITULO 7:</v>
      </c>
      <c r="B928" s="1832" t="str">
        <f t="shared" si="65"/>
        <v xml:space="preserve">INSTALACIONES HIDROSANITARIAS           </v>
      </c>
      <c r="C928" s="1830"/>
      <c r="D928" s="1828"/>
      <c r="E928" s="1833" t="s">
        <v>218</v>
      </c>
      <c r="F928" s="1834"/>
      <c r="G928" s="70" t="s">
        <v>120</v>
      </c>
    </row>
    <row r="929" spans="1:7" ht="14.25" hidden="1" customHeight="1">
      <c r="A929" s="66" t="s">
        <v>859</v>
      </c>
      <c r="B929" s="1835" t="s">
        <v>860</v>
      </c>
      <c r="C929" s="1621"/>
      <c r="D929" s="1621"/>
      <c r="E929" s="1621"/>
      <c r="F929" s="1621"/>
      <c r="G929" s="1622"/>
    </row>
    <row r="930" spans="1:7" ht="14.25" hidden="1" customHeight="1">
      <c r="A930" s="1836" t="s">
        <v>220</v>
      </c>
      <c r="B930" s="1830"/>
      <c r="C930" s="1830"/>
      <c r="D930" s="1830"/>
      <c r="E930" s="1830"/>
      <c r="F930" s="1830"/>
      <c r="G930" s="1828"/>
    </row>
    <row r="931" spans="1:7" ht="14.25" hidden="1" customHeight="1">
      <c r="A931" s="1829" t="s">
        <v>221</v>
      </c>
      <c r="B931" s="1828"/>
      <c r="C931" s="63" t="s">
        <v>222</v>
      </c>
      <c r="D931" s="63" t="s">
        <v>252</v>
      </c>
      <c r="E931" s="63" t="s">
        <v>224</v>
      </c>
      <c r="F931" s="63" t="s">
        <v>225</v>
      </c>
      <c r="G931" s="63" t="s">
        <v>226</v>
      </c>
    </row>
    <row r="932" spans="1:7" ht="14.25" hidden="1" customHeight="1">
      <c r="A932" s="1827" t="s">
        <v>827</v>
      </c>
      <c r="B932" s="1828"/>
      <c r="C932" s="64">
        <f>+F925*1.5</f>
        <v>244.5</v>
      </c>
      <c r="D932" s="64"/>
      <c r="E932" s="64"/>
      <c r="F932" s="64"/>
      <c r="G932" s="64">
        <f>+C932</f>
        <v>244.5</v>
      </c>
    </row>
    <row r="933" spans="1:7" ht="14.25" hidden="1" customHeight="1">
      <c r="A933" s="1829" t="s">
        <v>227</v>
      </c>
      <c r="B933" s="1830"/>
      <c r="C933" s="1830"/>
      <c r="D933" s="1830"/>
      <c r="E933" s="1830"/>
      <c r="F933" s="1828"/>
      <c r="G933" s="191">
        <f>SUM(G932)</f>
        <v>244.5</v>
      </c>
    </row>
    <row r="934" spans="1:7" ht="14.25" hidden="1" customHeight="1">
      <c r="A934" s="1837"/>
      <c r="B934" s="1838"/>
      <c r="C934" s="1838"/>
      <c r="D934" s="1838"/>
      <c r="E934" s="1838"/>
      <c r="F934" s="1838"/>
      <c r="G934" s="1839"/>
    </row>
    <row r="935" spans="1:7" ht="14.25" hidden="1" customHeight="1">
      <c r="A935" s="66" t="str">
        <f t="shared" ref="A935:B935" si="66">+A928</f>
        <v>CAPITULO 7:</v>
      </c>
      <c r="B935" s="1832" t="str">
        <f t="shared" si="66"/>
        <v xml:space="preserve">INSTALACIONES HIDROSANITARIAS           </v>
      </c>
      <c r="C935" s="1830"/>
      <c r="D935" s="1828"/>
      <c r="E935" s="1833" t="s">
        <v>218</v>
      </c>
      <c r="F935" s="1834"/>
      <c r="G935" s="70" t="s">
        <v>120</v>
      </c>
    </row>
    <row r="936" spans="1:7" ht="14.25" hidden="1" customHeight="1">
      <c r="A936" s="66" t="s">
        <v>861</v>
      </c>
      <c r="B936" s="1835" t="s">
        <v>862</v>
      </c>
      <c r="C936" s="1621"/>
      <c r="D936" s="1621"/>
      <c r="E936" s="1621"/>
      <c r="F936" s="1621"/>
      <c r="G936" s="1622"/>
    </row>
    <row r="937" spans="1:7" ht="14.25" hidden="1" customHeight="1">
      <c r="A937" s="1836" t="s">
        <v>220</v>
      </c>
      <c r="B937" s="1830"/>
      <c r="C937" s="1830"/>
      <c r="D937" s="1830"/>
      <c r="E937" s="1830"/>
      <c r="F937" s="1830"/>
      <c r="G937" s="1828"/>
    </row>
    <row r="938" spans="1:7" ht="14.25" hidden="1" customHeight="1">
      <c r="A938" s="1829" t="s">
        <v>221</v>
      </c>
      <c r="B938" s="1828"/>
      <c r="C938" s="63" t="s">
        <v>222</v>
      </c>
      <c r="D938" s="63" t="s">
        <v>252</v>
      </c>
      <c r="E938" s="63" t="s">
        <v>224</v>
      </c>
      <c r="F938" s="63" t="s">
        <v>225</v>
      </c>
      <c r="G938" s="63" t="s">
        <v>226</v>
      </c>
    </row>
    <row r="939" spans="1:7" ht="14.25" hidden="1" customHeight="1">
      <c r="A939" s="1827" t="s">
        <v>827</v>
      </c>
      <c r="B939" s="1828"/>
      <c r="C939" s="64">
        <f>+G925*0.75</f>
        <v>122.25</v>
      </c>
      <c r="D939" s="64"/>
      <c r="E939" s="64"/>
      <c r="F939" s="64"/>
      <c r="G939" s="64">
        <f>+C939</f>
        <v>122.25</v>
      </c>
    </row>
    <row r="940" spans="1:7" ht="14.25" hidden="1" customHeight="1">
      <c r="A940" s="1829" t="s">
        <v>227</v>
      </c>
      <c r="B940" s="1830"/>
      <c r="C940" s="1830"/>
      <c r="D940" s="1830"/>
      <c r="E940" s="1830"/>
      <c r="F940" s="1828"/>
      <c r="G940" s="191">
        <f>SUM(G939)</f>
        <v>122.25</v>
      </c>
    </row>
    <row r="941" spans="1:7" ht="14.25" hidden="1" customHeight="1">
      <c r="A941" s="1837"/>
      <c r="B941" s="1838"/>
      <c r="C941" s="1838"/>
      <c r="D941" s="1838"/>
      <c r="E941" s="1838"/>
      <c r="F941" s="1838"/>
      <c r="G941" s="1839"/>
    </row>
    <row r="942" spans="1:7" ht="14.25" hidden="1" customHeight="1">
      <c r="A942" s="66" t="str">
        <f t="shared" ref="A942:B942" si="67">+A935</f>
        <v>CAPITULO 7:</v>
      </c>
      <c r="B942" s="1832" t="str">
        <f t="shared" si="67"/>
        <v xml:space="preserve">INSTALACIONES HIDROSANITARIAS           </v>
      </c>
      <c r="C942" s="1830"/>
      <c r="D942" s="1828"/>
      <c r="E942" s="1833" t="s">
        <v>218</v>
      </c>
      <c r="F942" s="1834"/>
      <c r="G942" s="70" t="s">
        <v>120</v>
      </c>
    </row>
    <row r="943" spans="1:7" ht="14.25" hidden="1" customHeight="1">
      <c r="A943" s="66" t="s">
        <v>863</v>
      </c>
      <c r="B943" s="1835" t="s">
        <v>864</v>
      </c>
      <c r="C943" s="1621"/>
      <c r="D943" s="1621"/>
      <c r="E943" s="1621"/>
      <c r="F943" s="1621"/>
      <c r="G943" s="1622"/>
    </row>
    <row r="944" spans="1:7" ht="14.25" hidden="1" customHeight="1">
      <c r="A944" s="1836" t="s">
        <v>220</v>
      </c>
      <c r="B944" s="1830"/>
      <c r="C944" s="1830"/>
      <c r="D944" s="1830"/>
      <c r="E944" s="1830"/>
      <c r="F944" s="1830"/>
      <c r="G944" s="1828"/>
    </row>
    <row r="945" spans="1:7" ht="14.25" hidden="1" customHeight="1">
      <c r="A945" s="1829" t="s">
        <v>221</v>
      </c>
      <c r="B945" s="1828"/>
      <c r="C945" s="63" t="s">
        <v>222</v>
      </c>
      <c r="D945" s="63" t="s">
        <v>252</v>
      </c>
      <c r="E945" s="63" t="s">
        <v>224</v>
      </c>
      <c r="F945" s="63" t="s">
        <v>225</v>
      </c>
      <c r="G945" s="63" t="s">
        <v>226</v>
      </c>
    </row>
    <row r="946" spans="1:7" ht="14.25" hidden="1" customHeight="1">
      <c r="A946" s="1827" t="s">
        <v>827</v>
      </c>
      <c r="B946" s="1828"/>
      <c r="C946" s="64">
        <f>+F925*4.5</f>
        <v>733.5</v>
      </c>
      <c r="D946" s="64"/>
      <c r="E946" s="64"/>
      <c r="F946" s="64"/>
      <c r="G946" s="64">
        <f>+C946</f>
        <v>733.5</v>
      </c>
    </row>
    <row r="947" spans="1:7" ht="14.25" hidden="1" customHeight="1">
      <c r="A947" s="1827"/>
      <c r="B947" s="1828"/>
      <c r="C947" s="64"/>
      <c r="D947" s="64"/>
      <c r="E947" s="64"/>
      <c r="F947" s="64"/>
      <c r="G947" s="64"/>
    </row>
    <row r="948" spans="1:7" ht="14.25" hidden="1" customHeight="1">
      <c r="A948" s="1829" t="s">
        <v>227</v>
      </c>
      <c r="B948" s="1830"/>
      <c r="C948" s="1830"/>
      <c r="D948" s="1830"/>
      <c r="E948" s="1830"/>
      <c r="F948" s="1828"/>
      <c r="G948" s="191">
        <f>SUM(G946:G947)</f>
        <v>733.5</v>
      </c>
    </row>
    <row r="949" spans="1:7" ht="14.25" hidden="1" customHeight="1">
      <c r="A949" s="1837"/>
      <c r="B949" s="1838"/>
      <c r="C949" s="1838"/>
      <c r="D949" s="1838"/>
      <c r="E949" s="1838"/>
      <c r="F949" s="1838"/>
      <c r="G949" s="1839"/>
    </row>
    <row r="950" spans="1:7" ht="14.25" hidden="1" customHeight="1">
      <c r="A950" s="66" t="str">
        <f t="shared" ref="A950:B950" si="68">+A942</f>
        <v>CAPITULO 7:</v>
      </c>
      <c r="B950" s="1832" t="str">
        <f t="shared" si="68"/>
        <v xml:space="preserve">INSTALACIONES HIDROSANITARIAS           </v>
      </c>
      <c r="C950" s="1830"/>
      <c r="D950" s="1828"/>
      <c r="E950" s="1833" t="s">
        <v>218</v>
      </c>
      <c r="F950" s="1834"/>
      <c r="G950" s="70" t="s">
        <v>127</v>
      </c>
    </row>
    <row r="951" spans="1:7" ht="14.25" hidden="1" customHeight="1">
      <c r="A951" s="66" t="s">
        <v>865</v>
      </c>
      <c r="B951" s="1835" t="s">
        <v>866</v>
      </c>
      <c r="C951" s="1621"/>
      <c r="D951" s="1621"/>
      <c r="E951" s="1621"/>
      <c r="F951" s="1621"/>
      <c r="G951" s="1622"/>
    </row>
    <row r="952" spans="1:7" ht="14.25" hidden="1" customHeight="1">
      <c r="A952" s="1836" t="s">
        <v>220</v>
      </c>
      <c r="B952" s="1830"/>
      <c r="C952" s="1830"/>
      <c r="D952" s="1830"/>
      <c r="E952" s="1830"/>
      <c r="F952" s="1830"/>
      <c r="G952" s="1828"/>
    </row>
    <row r="953" spans="1:7" ht="14.25" hidden="1" customHeight="1">
      <c r="A953" s="1829" t="s">
        <v>221</v>
      </c>
      <c r="B953" s="1828"/>
      <c r="C953" s="63" t="s">
        <v>222</v>
      </c>
      <c r="D953" s="63" t="s">
        <v>252</v>
      </c>
      <c r="E953" s="63" t="s">
        <v>224</v>
      </c>
      <c r="F953" s="63" t="s">
        <v>225</v>
      </c>
      <c r="G953" s="63" t="s">
        <v>226</v>
      </c>
    </row>
    <row r="954" spans="1:7" ht="14.25" hidden="1" customHeight="1">
      <c r="A954" s="1827" t="s">
        <v>827</v>
      </c>
      <c r="B954" s="1828"/>
      <c r="C954" s="64"/>
      <c r="D954" s="64"/>
      <c r="E954" s="64"/>
      <c r="F954" s="64">
        <v>22</v>
      </c>
      <c r="G954" s="64">
        <f>+F954</f>
        <v>22</v>
      </c>
    </row>
    <row r="955" spans="1:7" ht="14.25" hidden="1" customHeight="1">
      <c r="A955" s="1829" t="s">
        <v>227</v>
      </c>
      <c r="B955" s="1830"/>
      <c r="C955" s="1830"/>
      <c r="D955" s="1830"/>
      <c r="E955" s="1830"/>
      <c r="F955" s="1828"/>
      <c r="G955" s="191">
        <f>SUM(G954)</f>
        <v>22</v>
      </c>
    </row>
    <row r="956" spans="1:7" ht="14.25" hidden="1" customHeight="1">
      <c r="A956" s="1837"/>
      <c r="B956" s="1838"/>
      <c r="C956" s="1838"/>
      <c r="D956" s="1838"/>
      <c r="E956" s="1838"/>
      <c r="F956" s="1838"/>
      <c r="G956" s="1839"/>
    </row>
    <row r="957" spans="1:7" ht="14.25" hidden="1" customHeight="1">
      <c r="A957" s="66" t="str">
        <f t="shared" ref="A957:B957" si="69">+A950</f>
        <v>CAPITULO 7:</v>
      </c>
      <c r="B957" s="1832" t="str">
        <f t="shared" si="69"/>
        <v xml:space="preserve">INSTALACIONES HIDROSANITARIAS           </v>
      </c>
      <c r="C957" s="1830"/>
      <c r="D957" s="1828"/>
      <c r="E957" s="1833" t="s">
        <v>218</v>
      </c>
      <c r="F957" s="1834"/>
      <c r="G957" s="70" t="s">
        <v>127</v>
      </c>
    </row>
    <row r="958" spans="1:7" ht="14.25" hidden="1" customHeight="1">
      <c r="A958" s="66" t="s">
        <v>867</v>
      </c>
      <c r="B958" s="1835" t="s">
        <v>868</v>
      </c>
      <c r="C958" s="1621"/>
      <c r="D958" s="1621"/>
      <c r="E958" s="1621"/>
      <c r="F958" s="1621"/>
      <c r="G958" s="1622"/>
    </row>
    <row r="959" spans="1:7" ht="14.25" hidden="1" customHeight="1">
      <c r="A959" s="1836" t="s">
        <v>220</v>
      </c>
      <c r="B959" s="1830"/>
      <c r="C959" s="1830"/>
      <c r="D959" s="1830"/>
      <c r="E959" s="1830"/>
      <c r="F959" s="1830"/>
      <c r="G959" s="1828"/>
    </row>
    <row r="960" spans="1:7" ht="14.25" hidden="1" customHeight="1">
      <c r="A960" s="1829" t="s">
        <v>221</v>
      </c>
      <c r="B960" s="1828"/>
      <c r="C960" s="63" t="s">
        <v>222</v>
      </c>
      <c r="D960" s="63" t="s">
        <v>252</v>
      </c>
      <c r="E960" s="63" t="s">
        <v>224</v>
      </c>
      <c r="F960" s="63" t="s">
        <v>225</v>
      </c>
      <c r="G960" s="63" t="s">
        <v>226</v>
      </c>
    </row>
    <row r="961" spans="1:7" ht="14.25" hidden="1" customHeight="1">
      <c r="A961" s="1827" t="s">
        <v>827</v>
      </c>
      <c r="B961" s="1828"/>
      <c r="C961" s="64"/>
      <c r="D961" s="64"/>
      <c r="E961" s="64"/>
      <c r="F961" s="64">
        <v>14</v>
      </c>
      <c r="G961" s="64">
        <f>+F961</f>
        <v>14</v>
      </c>
    </row>
    <row r="962" spans="1:7" ht="14.25" hidden="1" customHeight="1">
      <c r="A962" s="1827"/>
      <c r="B962" s="1828"/>
      <c r="C962" s="64"/>
      <c r="D962" s="64"/>
      <c r="E962" s="64"/>
      <c r="F962" s="64"/>
      <c r="G962" s="64"/>
    </row>
    <row r="963" spans="1:7" ht="14.25" hidden="1" customHeight="1">
      <c r="A963" s="1829" t="s">
        <v>227</v>
      </c>
      <c r="B963" s="1830"/>
      <c r="C963" s="1830"/>
      <c r="D963" s="1830"/>
      <c r="E963" s="1830"/>
      <c r="F963" s="1828"/>
      <c r="G963" s="191">
        <f>SUM(G961:G962)</f>
        <v>14</v>
      </c>
    </row>
    <row r="964" spans="1:7" ht="14.25" hidden="1" customHeight="1">
      <c r="A964" s="1837"/>
      <c r="B964" s="1838"/>
      <c r="C964" s="1838"/>
      <c r="D964" s="1838"/>
      <c r="E964" s="1838"/>
      <c r="F964" s="1838"/>
      <c r="G964" s="1839"/>
    </row>
    <row r="965" spans="1:7" ht="14.25" hidden="1" customHeight="1">
      <c r="A965" s="66" t="str">
        <f t="shared" ref="A965:B965" si="70">+A957</f>
        <v>CAPITULO 7:</v>
      </c>
      <c r="B965" s="1832" t="str">
        <f t="shared" si="70"/>
        <v xml:space="preserve">INSTALACIONES HIDROSANITARIAS           </v>
      </c>
      <c r="C965" s="1830"/>
      <c r="D965" s="1828"/>
      <c r="E965" s="1833" t="s">
        <v>218</v>
      </c>
      <c r="F965" s="1834"/>
      <c r="G965" s="70" t="s">
        <v>127</v>
      </c>
    </row>
    <row r="966" spans="1:7" ht="14.25" hidden="1" customHeight="1">
      <c r="A966" s="66" t="s">
        <v>869</v>
      </c>
      <c r="B966" s="1835" t="s">
        <v>870</v>
      </c>
      <c r="C966" s="1621"/>
      <c r="D966" s="1621"/>
      <c r="E966" s="1621"/>
      <c r="F966" s="1621"/>
      <c r="G966" s="1622"/>
    </row>
    <row r="967" spans="1:7" ht="14.25" hidden="1" customHeight="1">
      <c r="A967" s="1836" t="s">
        <v>220</v>
      </c>
      <c r="B967" s="1830"/>
      <c r="C967" s="1830"/>
      <c r="D967" s="1830"/>
      <c r="E967" s="1830"/>
      <c r="F967" s="1830"/>
      <c r="G967" s="1828"/>
    </row>
    <row r="968" spans="1:7" ht="14.25" hidden="1" customHeight="1">
      <c r="A968" s="1829" t="s">
        <v>221</v>
      </c>
      <c r="B968" s="1828"/>
      <c r="C968" s="63" t="s">
        <v>222</v>
      </c>
      <c r="D968" s="63" t="s">
        <v>252</v>
      </c>
      <c r="E968" s="63" t="s">
        <v>224</v>
      </c>
      <c r="F968" s="63" t="s">
        <v>225</v>
      </c>
      <c r="G968" s="63" t="s">
        <v>226</v>
      </c>
    </row>
    <row r="969" spans="1:7" ht="14.25" hidden="1" customHeight="1">
      <c r="A969" s="1827" t="s">
        <v>827</v>
      </c>
      <c r="B969" s="1828"/>
      <c r="C969" s="64"/>
      <c r="D969" s="64"/>
      <c r="E969" s="64"/>
      <c r="F969" s="64">
        <v>37</v>
      </c>
      <c r="G969" s="64">
        <f>+F969</f>
        <v>37</v>
      </c>
    </row>
    <row r="970" spans="1:7" ht="14.25" hidden="1" customHeight="1">
      <c r="A970" s="1827"/>
      <c r="B970" s="1828"/>
      <c r="C970" s="64"/>
      <c r="D970" s="64"/>
      <c r="E970" s="64"/>
      <c r="F970" s="64"/>
      <c r="G970" s="64"/>
    </row>
    <row r="971" spans="1:7" ht="14.25" hidden="1" customHeight="1">
      <c r="A971" s="1829" t="s">
        <v>227</v>
      </c>
      <c r="B971" s="1830"/>
      <c r="C971" s="1830"/>
      <c r="D971" s="1830"/>
      <c r="E971" s="1830"/>
      <c r="F971" s="1828"/>
      <c r="G971" s="191">
        <f>SUM(G969:G970)</f>
        <v>37</v>
      </c>
    </row>
    <row r="972" spans="1:7" ht="14.25" hidden="1" customHeight="1">
      <c r="A972" s="1837"/>
      <c r="B972" s="1838"/>
      <c r="C972" s="1838"/>
      <c r="D972" s="1838"/>
      <c r="E972" s="1838"/>
      <c r="F972" s="1838"/>
      <c r="G972" s="1839"/>
    </row>
    <row r="973" spans="1:7" ht="14.25" hidden="1" customHeight="1">
      <c r="A973" s="66" t="str">
        <f t="shared" ref="A973:B973" si="71">+A957</f>
        <v>CAPITULO 7:</v>
      </c>
      <c r="B973" s="1832" t="str">
        <f t="shared" si="71"/>
        <v xml:space="preserve">INSTALACIONES HIDROSANITARIAS           </v>
      </c>
      <c r="C973" s="1830"/>
      <c r="D973" s="1828"/>
      <c r="E973" s="1833" t="s">
        <v>218</v>
      </c>
      <c r="F973" s="1834"/>
      <c r="G973" s="70" t="s">
        <v>127</v>
      </c>
    </row>
    <row r="974" spans="1:7" ht="14.25" hidden="1" customHeight="1">
      <c r="A974" s="66" t="s">
        <v>871</v>
      </c>
      <c r="B974" s="1835" t="s">
        <v>872</v>
      </c>
      <c r="C974" s="1621"/>
      <c r="D974" s="1621"/>
      <c r="E974" s="1621"/>
      <c r="F974" s="1621"/>
      <c r="G974" s="1622"/>
    </row>
    <row r="975" spans="1:7" ht="14.25" hidden="1" customHeight="1">
      <c r="A975" s="1836" t="s">
        <v>220</v>
      </c>
      <c r="B975" s="1830"/>
      <c r="C975" s="1830"/>
      <c r="D975" s="1830"/>
      <c r="E975" s="1830"/>
      <c r="F975" s="1830"/>
      <c r="G975" s="1828"/>
    </row>
    <row r="976" spans="1:7" ht="14.25" hidden="1" customHeight="1">
      <c r="A976" s="1829" t="s">
        <v>221</v>
      </c>
      <c r="B976" s="1828"/>
      <c r="C976" s="63" t="s">
        <v>222</v>
      </c>
      <c r="D976" s="63" t="s">
        <v>252</v>
      </c>
      <c r="E976" s="63" t="s">
        <v>224</v>
      </c>
      <c r="F976" s="63" t="s">
        <v>225</v>
      </c>
      <c r="G976" s="63" t="s">
        <v>226</v>
      </c>
    </row>
    <row r="977" spans="1:7" ht="14.25" hidden="1" customHeight="1">
      <c r="A977" s="1827" t="s">
        <v>827</v>
      </c>
      <c r="B977" s="1828"/>
      <c r="C977" s="64"/>
      <c r="D977" s="64"/>
      <c r="E977" s="64"/>
      <c r="F977" s="64">
        <v>1</v>
      </c>
      <c r="G977" s="64">
        <f>+F977</f>
        <v>1</v>
      </c>
    </row>
    <row r="978" spans="1:7" ht="14.25" hidden="1" customHeight="1">
      <c r="A978" s="1829" t="s">
        <v>227</v>
      </c>
      <c r="B978" s="1830"/>
      <c r="C978" s="1830"/>
      <c r="D978" s="1830"/>
      <c r="E978" s="1830"/>
      <c r="F978" s="1828"/>
      <c r="G978" s="191">
        <f>SUM(G977)</f>
        <v>1</v>
      </c>
    </row>
    <row r="979" spans="1:7" ht="14.25" hidden="1" customHeight="1">
      <c r="A979" s="1837"/>
      <c r="B979" s="1838"/>
      <c r="C979" s="1838"/>
      <c r="D979" s="1838"/>
      <c r="E979" s="1838"/>
      <c r="F979" s="1838"/>
      <c r="G979" s="1839"/>
    </row>
    <row r="980" spans="1:7" ht="14.25" hidden="1" customHeight="1">
      <c r="A980" s="66" t="str">
        <f t="shared" ref="A980:B980" si="72">+A973</f>
        <v>CAPITULO 7:</v>
      </c>
      <c r="B980" s="1832" t="str">
        <f t="shared" si="72"/>
        <v xml:space="preserve">INSTALACIONES HIDROSANITARIAS           </v>
      </c>
      <c r="C980" s="1830"/>
      <c r="D980" s="1828"/>
      <c r="E980" s="1833" t="s">
        <v>218</v>
      </c>
      <c r="F980" s="1834"/>
      <c r="G980" s="70" t="s">
        <v>127</v>
      </c>
    </row>
    <row r="981" spans="1:7" ht="32.25" hidden="1" customHeight="1">
      <c r="A981" s="66" t="s">
        <v>873</v>
      </c>
      <c r="B981" s="1835" t="s">
        <v>874</v>
      </c>
      <c r="C981" s="1621"/>
      <c r="D981" s="1621"/>
      <c r="E981" s="1621"/>
      <c r="F981" s="1621"/>
      <c r="G981" s="1622"/>
    </row>
    <row r="982" spans="1:7" ht="14.25" hidden="1" customHeight="1">
      <c r="A982" s="1836" t="s">
        <v>220</v>
      </c>
      <c r="B982" s="1830"/>
      <c r="C982" s="1830"/>
      <c r="D982" s="1830"/>
      <c r="E982" s="1830"/>
      <c r="F982" s="1830"/>
      <c r="G982" s="1828"/>
    </row>
    <row r="983" spans="1:7" ht="14.25" hidden="1" customHeight="1">
      <c r="A983" s="1829" t="s">
        <v>221</v>
      </c>
      <c r="B983" s="1828"/>
      <c r="C983" s="63" t="s">
        <v>222</v>
      </c>
      <c r="D983" s="63" t="s">
        <v>252</v>
      </c>
      <c r="E983" s="63" t="s">
        <v>224</v>
      </c>
      <c r="F983" s="63" t="s">
        <v>225</v>
      </c>
      <c r="G983" s="63" t="s">
        <v>226</v>
      </c>
    </row>
    <row r="984" spans="1:7" ht="14.25" hidden="1" customHeight="1">
      <c r="A984" s="1827" t="s">
        <v>827</v>
      </c>
      <c r="B984" s="1828"/>
      <c r="C984" s="64"/>
      <c r="D984" s="64"/>
      <c r="E984" s="64"/>
      <c r="F984" s="64">
        <v>1</v>
      </c>
      <c r="G984" s="64">
        <f>+F984</f>
        <v>1</v>
      </c>
    </row>
    <row r="985" spans="1:7" ht="14.25" hidden="1" customHeight="1">
      <c r="A985" s="1829" t="s">
        <v>227</v>
      </c>
      <c r="B985" s="1830"/>
      <c r="C985" s="1830"/>
      <c r="D985" s="1830"/>
      <c r="E985" s="1830"/>
      <c r="F985" s="1828"/>
      <c r="G985" s="191">
        <f>SUM(G984)</f>
        <v>1</v>
      </c>
    </row>
    <row r="986" spans="1:7" ht="14.25" hidden="1" customHeight="1">
      <c r="A986" s="63"/>
      <c r="B986" s="180"/>
      <c r="C986" s="180"/>
      <c r="D986" s="180"/>
      <c r="E986" s="180"/>
      <c r="F986" s="180"/>
      <c r="G986" s="180"/>
    </row>
    <row r="987" spans="1:7" ht="14.25" hidden="1" customHeight="1">
      <c r="A987" s="1837"/>
      <c r="B987" s="1838"/>
      <c r="C987" s="1838"/>
      <c r="D987" s="1838"/>
      <c r="E987" s="1838"/>
      <c r="F987" s="1838"/>
      <c r="G987" s="1839"/>
    </row>
    <row r="988" spans="1:7" ht="14.25" hidden="1" customHeight="1">
      <c r="A988" s="66" t="str">
        <f t="shared" ref="A988:B988" si="73">+A980</f>
        <v>CAPITULO 7:</v>
      </c>
      <c r="B988" s="1832" t="str">
        <f t="shared" si="73"/>
        <v xml:space="preserve">INSTALACIONES HIDROSANITARIAS           </v>
      </c>
      <c r="C988" s="1830"/>
      <c r="D988" s="1828"/>
      <c r="E988" s="1833" t="s">
        <v>218</v>
      </c>
      <c r="F988" s="1834"/>
      <c r="G988" s="70" t="s">
        <v>127</v>
      </c>
    </row>
    <row r="989" spans="1:7" ht="14.25" hidden="1" customHeight="1">
      <c r="A989" s="66" t="s">
        <v>875</v>
      </c>
      <c r="B989" s="1835" t="s">
        <v>876</v>
      </c>
      <c r="C989" s="1621"/>
      <c r="D989" s="1621"/>
      <c r="E989" s="1621"/>
      <c r="F989" s="1621"/>
      <c r="G989" s="1622"/>
    </row>
    <row r="990" spans="1:7" ht="14.25" hidden="1" customHeight="1">
      <c r="A990" s="1836" t="s">
        <v>220</v>
      </c>
      <c r="B990" s="1830"/>
      <c r="C990" s="1830"/>
      <c r="D990" s="1830"/>
      <c r="E990" s="1830"/>
      <c r="F990" s="1830"/>
      <c r="G990" s="1828"/>
    </row>
    <row r="991" spans="1:7" ht="14.25" hidden="1" customHeight="1">
      <c r="A991" s="1829" t="s">
        <v>221</v>
      </c>
      <c r="B991" s="1828"/>
      <c r="C991" s="63" t="s">
        <v>222</v>
      </c>
      <c r="D991" s="63" t="s">
        <v>252</v>
      </c>
      <c r="E991" s="63" t="s">
        <v>224</v>
      </c>
      <c r="F991" s="63" t="s">
        <v>225</v>
      </c>
      <c r="G991" s="63" t="s">
        <v>226</v>
      </c>
    </row>
    <row r="992" spans="1:7" ht="14.25" hidden="1" customHeight="1">
      <c r="A992" s="1827" t="s">
        <v>827</v>
      </c>
      <c r="B992" s="1828"/>
      <c r="C992" s="64"/>
      <c r="D992" s="64"/>
      <c r="E992" s="64"/>
      <c r="F992" s="64">
        <v>10</v>
      </c>
      <c r="G992" s="64">
        <f>+F992</f>
        <v>10</v>
      </c>
    </row>
    <row r="993" spans="1:7" ht="14.25" hidden="1" customHeight="1">
      <c r="A993" s="1829" t="s">
        <v>227</v>
      </c>
      <c r="B993" s="1830"/>
      <c r="C993" s="1830"/>
      <c r="D993" s="1830"/>
      <c r="E993" s="1830"/>
      <c r="F993" s="1828"/>
      <c r="G993" s="191">
        <f>SUM(G992)</f>
        <v>10</v>
      </c>
    </row>
    <row r="994" spans="1:7" ht="14.25" hidden="1" customHeight="1">
      <c r="A994" s="1837"/>
      <c r="B994" s="1838"/>
      <c r="C994" s="1838"/>
      <c r="D994" s="1838"/>
      <c r="E994" s="1838"/>
      <c r="F994" s="1838"/>
      <c r="G994" s="1839"/>
    </row>
    <row r="995" spans="1:7" ht="14.25" hidden="1" customHeight="1">
      <c r="A995" s="66" t="str">
        <f t="shared" ref="A995:B995" si="74">+A988</f>
        <v>CAPITULO 7:</v>
      </c>
      <c r="B995" s="1832" t="str">
        <f t="shared" si="74"/>
        <v xml:space="preserve">INSTALACIONES HIDROSANITARIAS           </v>
      </c>
      <c r="C995" s="1830"/>
      <c r="D995" s="1828"/>
      <c r="E995" s="1833" t="s">
        <v>218</v>
      </c>
      <c r="F995" s="1834"/>
      <c r="G995" s="70" t="s">
        <v>228</v>
      </c>
    </row>
    <row r="996" spans="1:7" ht="14.25" hidden="1" customHeight="1">
      <c r="A996" s="66" t="s">
        <v>873</v>
      </c>
      <c r="B996" s="1835" t="e">
        <f>+#REF!</f>
        <v>#REF!</v>
      </c>
      <c r="C996" s="1621"/>
      <c r="D996" s="1621"/>
      <c r="E996" s="1621"/>
      <c r="F996" s="1621"/>
      <c r="G996" s="1622"/>
    </row>
    <row r="997" spans="1:7" ht="14.25" hidden="1" customHeight="1">
      <c r="A997" s="1836" t="s">
        <v>220</v>
      </c>
      <c r="B997" s="1830"/>
      <c r="C997" s="1830"/>
      <c r="D997" s="1830"/>
      <c r="E997" s="1830"/>
      <c r="F997" s="1830"/>
      <c r="G997" s="1828"/>
    </row>
    <row r="998" spans="1:7" ht="14.25" hidden="1" customHeight="1">
      <c r="A998" s="1829" t="s">
        <v>221</v>
      </c>
      <c r="B998" s="1828"/>
      <c r="C998" s="63" t="s">
        <v>222</v>
      </c>
      <c r="D998" s="63" t="s">
        <v>252</v>
      </c>
      <c r="E998" s="63" t="s">
        <v>224</v>
      </c>
      <c r="F998" s="63" t="s">
        <v>225</v>
      </c>
      <c r="G998" s="63" t="s">
        <v>226</v>
      </c>
    </row>
    <row r="999" spans="1:7" ht="14.25" hidden="1" customHeight="1">
      <c r="A999" s="1827" t="s">
        <v>827</v>
      </c>
      <c r="B999" s="1828"/>
      <c r="C999" s="64"/>
      <c r="D999" s="64"/>
      <c r="E999" s="64"/>
      <c r="F999" s="64">
        <v>1</v>
      </c>
      <c r="G999" s="64">
        <f>+F999</f>
        <v>1</v>
      </c>
    </row>
    <row r="1000" spans="1:7" ht="14.25" hidden="1" customHeight="1">
      <c r="A1000" s="1829" t="s">
        <v>227</v>
      </c>
      <c r="B1000" s="1830"/>
      <c r="C1000" s="1830"/>
      <c r="D1000" s="1830"/>
      <c r="E1000" s="1830"/>
      <c r="F1000" s="1828"/>
      <c r="G1000" s="191">
        <f>SUM(G999)</f>
        <v>1</v>
      </c>
    </row>
    <row r="1001" spans="1:7" ht="14.25" hidden="1" customHeight="1">
      <c r="A1001" s="1837"/>
      <c r="B1001" s="1838"/>
      <c r="C1001" s="1838"/>
      <c r="D1001" s="1838"/>
      <c r="E1001" s="1838"/>
      <c r="F1001" s="1838"/>
      <c r="G1001" s="1839"/>
    </row>
    <row r="1002" spans="1:7" ht="32.25" hidden="1" customHeight="1">
      <c r="A1002" s="66" t="s">
        <v>877</v>
      </c>
      <c r="B1002" s="1832" t="e">
        <f>+#REF!</f>
        <v>#REF!</v>
      </c>
      <c r="C1002" s="1830"/>
      <c r="D1002" s="1828"/>
      <c r="E1002" s="1833" t="s">
        <v>218</v>
      </c>
      <c r="F1002" s="1834"/>
      <c r="G1002" s="70" t="e">
        <f>+#REF!</f>
        <v>#REF!</v>
      </c>
    </row>
    <row r="1003" spans="1:7" ht="14.25" hidden="1" customHeight="1">
      <c r="A1003" s="66" t="s">
        <v>878</v>
      </c>
      <c r="B1003" s="1835" t="e">
        <f>+#REF!</f>
        <v>#REF!</v>
      </c>
      <c r="C1003" s="1621"/>
      <c r="D1003" s="1621"/>
      <c r="E1003" s="1621"/>
      <c r="F1003" s="1621"/>
      <c r="G1003" s="1622"/>
    </row>
    <row r="1004" spans="1:7" ht="14.25" hidden="1" customHeight="1">
      <c r="A1004" s="1836" t="s">
        <v>220</v>
      </c>
      <c r="B1004" s="1830"/>
      <c r="C1004" s="1830"/>
      <c r="D1004" s="1830"/>
      <c r="E1004" s="1830"/>
      <c r="F1004" s="1830"/>
      <c r="G1004" s="1828"/>
    </row>
    <row r="1005" spans="1:7" ht="14.25" hidden="1" customHeight="1">
      <c r="A1005" s="1829" t="s">
        <v>221</v>
      </c>
      <c r="B1005" s="1828"/>
      <c r="C1005" s="63" t="s">
        <v>222</v>
      </c>
      <c r="D1005" s="63" t="s">
        <v>252</v>
      </c>
      <c r="E1005" s="63" t="s">
        <v>224</v>
      </c>
      <c r="F1005" s="63" t="s">
        <v>225</v>
      </c>
      <c r="G1005" s="63" t="s">
        <v>226</v>
      </c>
    </row>
    <row r="1006" spans="1:7" ht="14.25" hidden="1" customHeight="1">
      <c r="A1006" s="1827" t="e">
        <f>+#REF!</f>
        <v>#REF!</v>
      </c>
      <c r="B1006" s="1828"/>
      <c r="C1006" s="64"/>
      <c r="D1006" s="64"/>
      <c r="E1006" s="64"/>
      <c r="F1006" s="64">
        <v>1</v>
      </c>
      <c r="G1006" s="64">
        <f>+F1006</f>
        <v>1</v>
      </c>
    </row>
    <row r="1007" spans="1:7" ht="14.25" hidden="1" customHeight="1">
      <c r="A1007" s="1829" t="s">
        <v>227</v>
      </c>
      <c r="B1007" s="1830"/>
      <c r="C1007" s="1830"/>
      <c r="D1007" s="1830"/>
      <c r="E1007" s="1830"/>
      <c r="F1007" s="1828"/>
      <c r="G1007" s="191">
        <f>SUM(G1006)</f>
        <v>1</v>
      </c>
    </row>
    <row r="1008" spans="1:7" ht="14.25" hidden="1" customHeight="1">
      <c r="A1008" s="1837"/>
      <c r="B1008" s="1838"/>
      <c r="C1008" s="1838"/>
      <c r="D1008" s="1838"/>
      <c r="E1008" s="1838"/>
      <c r="F1008" s="1838"/>
      <c r="G1008" s="1839"/>
    </row>
    <row r="1009" spans="1:7" ht="21" hidden="1" customHeight="1">
      <c r="A1009" s="66" t="str">
        <f>+A1002</f>
        <v>CAPITULO 8:</v>
      </c>
      <c r="B1009" s="1832" t="e">
        <f>+$B$1002</f>
        <v>#REF!</v>
      </c>
      <c r="C1009" s="1830"/>
      <c r="D1009" s="1828"/>
      <c r="E1009" s="1833" t="s">
        <v>218</v>
      </c>
      <c r="F1009" s="1834"/>
      <c r="G1009" s="70" t="e">
        <f>+#REF!</f>
        <v>#REF!</v>
      </c>
    </row>
    <row r="1010" spans="1:7" ht="36.75" hidden="1" customHeight="1">
      <c r="A1010" s="66" t="s">
        <v>879</v>
      </c>
      <c r="B1010" s="1835" t="e">
        <f>+#REF!</f>
        <v>#REF!</v>
      </c>
      <c r="C1010" s="1621"/>
      <c r="D1010" s="1621"/>
      <c r="E1010" s="1621"/>
      <c r="F1010" s="1621"/>
      <c r="G1010" s="1622"/>
    </row>
    <row r="1011" spans="1:7" ht="14.25" hidden="1" customHeight="1">
      <c r="A1011" s="1836" t="s">
        <v>220</v>
      </c>
      <c r="B1011" s="1830"/>
      <c r="C1011" s="1830"/>
      <c r="D1011" s="1830"/>
      <c r="E1011" s="1830"/>
      <c r="F1011" s="1830"/>
      <c r="G1011" s="1828"/>
    </row>
    <row r="1012" spans="1:7" ht="14.25" hidden="1" customHeight="1">
      <c r="A1012" s="1829" t="s">
        <v>221</v>
      </c>
      <c r="B1012" s="1828"/>
      <c r="C1012" s="63" t="s">
        <v>222</v>
      </c>
      <c r="D1012" s="63" t="s">
        <v>252</v>
      </c>
      <c r="E1012" s="63" t="s">
        <v>224</v>
      </c>
      <c r="F1012" s="63" t="s">
        <v>225</v>
      </c>
      <c r="G1012" s="63" t="s">
        <v>226</v>
      </c>
    </row>
    <row r="1013" spans="1:7" ht="14.25" hidden="1" customHeight="1">
      <c r="A1013" s="1827" t="e">
        <f>+A1006</f>
        <v>#REF!</v>
      </c>
      <c r="B1013" s="1828"/>
      <c r="C1013" s="64"/>
      <c r="D1013" s="64"/>
      <c r="E1013" s="64"/>
      <c r="F1013" s="64">
        <v>1</v>
      </c>
      <c r="G1013" s="64">
        <f>+F1013</f>
        <v>1</v>
      </c>
    </row>
    <row r="1014" spans="1:7" ht="14.25" hidden="1" customHeight="1">
      <c r="A1014" s="1829" t="s">
        <v>227</v>
      </c>
      <c r="B1014" s="1830"/>
      <c r="C1014" s="1830"/>
      <c r="D1014" s="1830"/>
      <c r="E1014" s="1830"/>
      <c r="F1014" s="1828"/>
      <c r="G1014" s="191">
        <f>SUM(G1013)</f>
        <v>1</v>
      </c>
    </row>
    <row r="1015" spans="1:7" ht="14.25" hidden="1" customHeight="1">
      <c r="A1015" s="1837"/>
      <c r="B1015" s="1838"/>
      <c r="C1015" s="1838"/>
      <c r="D1015" s="1838"/>
      <c r="E1015" s="1838"/>
      <c r="F1015" s="1838"/>
      <c r="G1015" s="1839"/>
    </row>
    <row r="1016" spans="1:7" ht="14.25" hidden="1" customHeight="1">
      <c r="A1016" s="66" t="str">
        <f>+A1009</f>
        <v>CAPITULO 8:</v>
      </c>
      <c r="B1016" s="1832" t="e">
        <f>+$B$1002</f>
        <v>#REF!</v>
      </c>
      <c r="C1016" s="1830"/>
      <c r="D1016" s="1828"/>
      <c r="E1016" s="1833" t="s">
        <v>218</v>
      </c>
      <c r="F1016" s="1834"/>
      <c r="G1016" s="70" t="e">
        <f>+#REF!</f>
        <v>#REF!</v>
      </c>
    </row>
    <row r="1017" spans="1:7" ht="24.75" hidden="1" customHeight="1">
      <c r="A1017" s="66" t="s">
        <v>880</v>
      </c>
      <c r="B1017" s="1835" t="e">
        <f>+#REF!</f>
        <v>#REF!</v>
      </c>
      <c r="C1017" s="1621"/>
      <c r="D1017" s="1621"/>
      <c r="E1017" s="1621"/>
      <c r="F1017" s="1621"/>
      <c r="G1017" s="1622"/>
    </row>
    <row r="1018" spans="1:7" ht="14.25" hidden="1" customHeight="1">
      <c r="A1018" s="1836" t="s">
        <v>220</v>
      </c>
      <c r="B1018" s="1830"/>
      <c r="C1018" s="1830"/>
      <c r="D1018" s="1830"/>
      <c r="E1018" s="1830"/>
      <c r="F1018" s="1830"/>
      <c r="G1018" s="1828"/>
    </row>
    <row r="1019" spans="1:7" ht="14.25" hidden="1" customHeight="1">
      <c r="A1019" s="1829" t="s">
        <v>221</v>
      </c>
      <c r="B1019" s="1828"/>
      <c r="C1019" s="63" t="s">
        <v>222</v>
      </c>
      <c r="D1019" s="63" t="s">
        <v>252</v>
      </c>
      <c r="E1019" s="63" t="s">
        <v>224</v>
      </c>
      <c r="F1019" s="63" t="s">
        <v>225</v>
      </c>
      <c r="G1019" s="63" t="s">
        <v>226</v>
      </c>
    </row>
    <row r="1020" spans="1:7" ht="14.25" hidden="1" customHeight="1">
      <c r="A1020" s="1827" t="e">
        <f>+#REF!</f>
        <v>#REF!</v>
      </c>
      <c r="B1020" s="1828"/>
      <c r="C1020" s="64"/>
      <c r="D1020" s="64"/>
      <c r="E1020" s="64"/>
      <c r="F1020" s="64">
        <v>15.04975313748978</v>
      </c>
      <c r="G1020" s="64">
        <f>+F1020</f>
        <v>15.04975313748978</v>
      </c>
    </row>
    <row r="1021" spans="1:7" ht="14.25" hidden="1" customHeight="1">
      <c r="A1021" s="1829" t="s">
        <v>227</v>
      </c>
      <c r="B1021" s="1830"/>
      <c r="C1021" s="1830"/>
      <c r="D1021" s="1830"/>
      <c r="E1021" s="1830"/>
      <c r="F1021" s="1828"/>
      <c r="G1021" s="191">
        <f>SUM(G1020)</f>
        <v>15.04975313748978</v>
      </c>
    </row>
    <row r="1022" spans="1:7" ht="14.25" hidden="1" customHeight="1">
      <c r="A1022" s="1837"/>
      <c r="B1022" s="1838"/>
      <c r="C1022" s="1838"/>
      <c r="D1022" s="1838"/>
      <c r="E1022" s="1838"/>
      <c r="F1022" s="1838"/>
      <c r="G1022" s="1839"/>
    </row>
    <row r="1023" spans="1:7" ht="14.25" hidden="1" customHeight="1">
      <c r="A1023" s="66" t="s">
        <v>877</v>
      </c>
      <c r="B1023" s="1832" t="e">
        <f>+$B$1002</f>
        <v>#REF!</v>
      </c>
      <c r="C1023" s="1830"/>
      <c r="D1023" s="1828"/>
      <c r="E1023" s="1833" t="s">
        <v>218</v>
      </c>
      <c r="F1023" s="1862"/>
      <c r="G1023" s="70" t="e">
        <f>+#REF!</f>
        <v>#REF!</v>
      </c>
    </row>
    <row r="1024" spans="1:7" ht="36.75" hidden="1" customHeight="1">
      <c r="A1024" s="66" t="s">
        <v>881</v>
      </c>
      <c r="B1024" s="1835" t="e">
        <f>+#REF!</f>
        <v>#REF!</v>
      </c>
      <c r="C1024" s="1621"/>
      <c r="D1024" s="1621"/>
      <c r="E1024" s="1621"/>
      <c r="F1024" s="1621"/>
      <c r="G1024" s="1622"/>
    </row>
    <row r="1025" spans="1:7" ht="14.25" hidden="1" customHeight="1">
      <c r="A1025" s="1836" t="s">
        <v>220</v>
      </c>
      <c r="B1025" s="1830"/>
      <c r="C1025" s="1830"/>
      <c r="D1025" s="1830"/>
      <c r="E1025" s="1830"/>
      <c r="F1025" s="1830"/>
      <c r="G1025" s="1828"/>
    </row>
    <row r="1026" spans="1:7" ht="14.25" hidden="1" customHeight="1">
      <c r="A1026" s="1829" t="s">
        <v>221</v>
      </c>
      <c r="B1026" s="1828"/>
      <c r="C1026" s="63" t="s">
        <v>222</v>
      </c>
      <c r="D1026" s="63" t="s">
        <v>252</v>
      </c>
      <c r="E1026" s="63" t="s">
        <v>224</v>
      </c>
      <c r="F1026" s="63" t="s">
        <v>225</v>
      </c>
      <c r="G1026" s="63" t="s">
        <v>226</v>
      </c>
    </row>
    <row r="1027" spans="1:7" ht="14.25" hidden="1" customHeight="1">
      <c r="A1027" s="1827" t="e">
        <f>+$A$1020</f>
        <v>#REF!</v>
      </c>
      <c r="B1027" s="1828"/>
      <c r="C1027" s="64"/>
      <c r="D1027" s="64"/>
      <c r="E1027" s="64"/>
      <c r="F1027" s="64">
        <v>45</v>
      </c>
      <c r="G1027" s="64">
        <f>+F1027</f>
        <v>45</v>
      </c>
    </row>
    <row r="1028" spans="1:7" ht="14.25" hidden="1" customHeight="1">
      <c r="A1028" s="1829" t="s">
        <v>227</v>
      </c>
      <c r="B1028" s="1830"/>
      <c r="C1028" s="1830"/>
      <c r="D1028" s="1830"/>
      <c r="E1028" s="1830"/>
      <c r="F1028" s="1828"/>
      <c r="G1028" s="191">
        <f>ROUND(SUM(G1027),2)</f>
        <v>45</v>
      </c>
    </row>
    <row r="1029" spans="1:7" ht="14.25" hidden="1" customHeight="1">
      <c r="A1029" s="1837"/>
      <c r="B1029" s="1838"/>
      <c r="C1029" s="1838"/>
      <c r="D1029" s="1838"/>
      <c r="E1029" s="1838"/>
      <c r="F1029" s="1838"/>
      <c r="G1029" s="1839"/>
    </row>
    <row r="1030" spans="1:7" ht="14.25" hidden="1" customHeight="1">
      <c r="A1030" s="66" t="s">
        <v>877</v>
      </c>
      <c r="B1030" s="1832" t="s">
        <v>498</v>
      </c>
      <c r="C1030" s="1830"/>
      <c r="D1030" s="1828"/>
      <c r="E1030" s="1833" t="s">
        <v>218</v>
      </c>
      <c r="F1030" s="1862"/>
      <c r="G1030" s="70" t="s">
        <v>127</v>
      </c>
    </row>
    <row r="1031" spans="1:7" ht="14.25" hidden="1" customHeight="1">
      <c r="A1031" s="66" t="s">
        <v>882</v>
      </c>
      <c r="B1031" s="1835" t="e">
        <f>+#REF!</f>
        <v>#REF!</v>
      </c>
      <c r="C1031" s="1621"/>
      <c r="D1031" s="1621"/>
      <c r="E1031" s="1621"/>
      <c r="F1031" s="1621"/>
      <c r="G1031" s="1622"/>
    </row>
    <row r="1032" spans="1:7" ht="14.25" hidden="1" customHeight="1">
      <c r="A1032" s="1836" t="s">
        <v>220</v>
      </c>
      <c r="B1032" s="1830"/>
      <c r="C1032" s="1830"/>
      <c r="D1032" s="1830"/>
      <c r="E1032" s="1830"/>
      <c r="F1032" s="1830"/>
      <c r="G1032" s="1828"/>
    </row>
    <row r="1033" spans="1:7" ht="14.25" hidden="1" customHeight="1">
      <c r="A1033" s="1829" t="s">
        <v>221</v>
      </c>
      <c r="B1033" s="1828"/>
      <c r="C1033" s="63" t="s">
        <v>222</v>
      </c>
      <c r="D1033" s="63" t="s">
        <v>252</v>
      </c>
      <c r="E1033" s="63" t="s">
        <v>224</v>
      </c>
      <c r="F1033" s="63" t="s">
        <v>225</v>
      </c>
      <c r="G1033" s="63" t="s">
        <v>226</v>
      </c>
    </row>
    <row r="1034" spans="1:7" ht="15" hidden="1" customHeight="1">
      <c r="A1034" s="1827" t="e">
        <f>+$A$1020</f>
        <v>#REF!</v>
      </c>
      <c r="B1034" s="1828"/>
      <c r="C1034" s="64"/>
      <c r="D1034" s="64"/>
      <c r="E1034" s="64"/>
      <c r="F1034" s="64">
        <v>2</v>
      </c>
      <c r="G1034" s="64">
        <f>+F1034</f>
        <v>2</v>
      </c>
    </row>
    <row r="1035" spans="1:7" ht="14.25" hidden="1" customHeight="1">
      <c r="A1035" s="1829" t="s">
        <v>227</v>
      </c>
      <c r="B1035" s="1830"/>
      <c r="C1035" s="1830"/>
      <c r="D1035" s="1830"/>
      <c r="E1035" s="1830"/>
      <c r="F1035" s="1828"/>
      <c r="G1035" s="191">
        <f>ROUND(SUM(G1034),2)</f>
        <v>2</v>
      </c>
    </row>
    <row r="1036" spans="1:7" ht="14.25" hidden="1" customHeight="1">
      <c r="A1036" s="1837"/>
      <c r="B1036" s="1838"/>
      <c r="C1036" s="1838"/>
      <c r="D1036" s="1838"/>
      <c r="E1036" s="1838"/>
      <c r="F1036" s="1838"/>
      <c r="G1036" s="1839"/>
    </row>
    <row r="1037" spans="1:7" ht="19.5" hidden="1" customHeight="1">
      <c r="A1037" s="66" t="str">
        <f>+A1016</f>
        <v>CAPITULO 8:</v>
      </c>
      <c r="B1037" s="1832" t="e">
        <f>+$B$1002</f>
        <v>#REF!</v>
      </c>
      <c r="C1037" s="1830"/>
      <c r="D1037" s="1828"/>
      <c r="E1037" s="1833" t="s">
        <v>218</v>
      </c>
      <c r="F1037" s="1834"/>
      <c r="G1037" s="70" t="e">
        <f>+#REF!</f>
        <v>#REF!</v>
      </c>
    </row>
    <row r="1038" spans="1:7" ht="23.25" hidden="1" customHeight="1">
      <c r="A1038" s="66" t="s">
        <v>883</v>
      </c>
      <c r="B1038" s="1835" t="e">
        <f>+#REF!</f>
        <v>#REF!</v>
      </c>
      <c r="C1038" s="1621"/>
      <c r="D1038" s="1621"/>
      <c r="E1038" s="1621"/>
      <c r="F1038" s="1621"/>
      <c r="G1038" s="1622"/>
    </row>
    <row r="1039" spans="1:7" ht="14.25" hidden="1" customHeight="1">
      <c r="A1039" s="1836" t="s">
        <v>220</v>
      </c>
      <c r="B1039" s="1830"/>
      <c r="C1039" s="1830"/>
      <c r="D1039" s="1830"/>
      <c r="E1039" s="1830"/>
      <c r="F1039" s="1830"/>
      <c r="G1039" s="1828"/>
    </row>
    <row r="1040" spans="1:7" ht="14.25" hidden="1" customHeight="1">
      <c r="A1040" s="1829" t="s">
        <v>221</v>
      </c>
      <c r="B1040" s="1828"/>
      <c r="C1040" s="63" t="s">
        <v>222</v>
      </c>
      <c r="D1040" s="63" t="s">
        <v>252</v>
      </c>
      <c r="E1040" s="63" t="s">
        <v>224</v>
      </c>
      <c r="F1040" s="63" t="s">
        <v>225</v>
      </c>
      <c r="G1040" s="63" t="s">
        <v>226</v>
      </c>
    </row>
    <row r="1041" spans="1:7" ht="14.25" hidden="1" customHeight="1">
      <c r="A1041" s="1827" t="e">
        <f>+$A$1020</f>
        <v>#REF!</v>
      </c>
      <c r="B1041" s="1828"/>
      <c r="C1041" s="64"/>
      <c r="D1041" s="64"/>
      <c r="E1041" s="64"/>
      <c r="F1041" s="64">
        <v>440</v>
      </c>
      <c r="G1041" s="64">
        <f>+F1041</f>
        <v>440</v>
      </c>
    </row>
    <row r="1042" spans="1:7" ht="14.25" hidden="1" customHeight="1">
      <c r="A1042" s="1829" t="s">
        <v>227</v>
      </c>
      <c r="B1042" s="1830"/>
      <c r="C1042" s="1830"/>
      <c r="D1042" s="1830"/>
      <c r="E1042" s="1830"/>
      <c r="F1042" s="1828"/>
      <c r="G1042" s="191">
        <f>SUM(G1041)</f>
        <v>440</v>
      </c>
    </row>
    <row r="1043" spans="1:7" ht="14.25" hidden="1" customHeight="1">
      <c r="A1043" s="1837"/>
      <c r="B1043" s="1838"/>
      <c r="C1043" s="1838"/>
      <c r="D1043" s="1838"/>
      <c r="E1043" s="1838"/>
      <c r="F1043" s="1838"/>
      <c r="G1043" s="1839"/>
    </row>
    <row r="1044" spans="1:7" ht="18.75" hidden="1" customHeight="1">
      <c r="A1044" s="66" t="str">
        <f>+A1037</f>
        <v>CAPITULO 8:</v>
      </c>
      <c r="B1044" s="1832" t="e">
        <f>+$B$1002</f>
        <v>#REF!</v>
      </c>
      <c r="C1044" s="1830"/>
      <c r="D1044" s="1828"/>
      <c r="E1044" s="1833" t="s">
        <v>218</v>
      </c>
      <c r="F1044" s="1834"/>
      <c r="G1044" s="70" t="e">
        <f>+#REF!</f>
        <v>#REF!</v>
      </c>
    </row>
    <row r="1045" spans="1:7" ht="25.5" hidden="1" customHeight="1">
      <c r="A1045" s="66" t="s">
        <v>884</v>
      </c>
      <c r="B1045" s="1835" t="e">
        <f>+#REF!</f>
        <v>#REF!</v>
      </c>
      <c r="C1045" s="1621"/>
      <c r="D1045" s="1621"/>
      <c r="E1045" s="1621"/>
      <c r="F1045" s="1621"/>
      <c r="G1045" s="1622"/>
    </row>
    <row r="1046" spans="1:7" ht="14.25" hidden="1" customHeight="1">
      <c r="A1046" s="1836" t="s">
        <v>220</v>
      </c>
      <c r="B1046" s="1830"/>
      <c r="C1046" s="1830"/>
      <c r="D1046" s="1830"/>
      <c r="E1046" s="1830"/>
      <c r="F1046" s="1830"/>
      <c r="G1046" s="1828"/>
    </row>
    <row r="1047" spans="1:7" ht="14.25" hidden="1" customHeight="1">
      <c r="A1047" s="1829" t="s">
        <v>221</v>
      </c>
      <c r="B1047" s="1828"/>
      <c r="C1047" s="63" t="s">
        <v>222</v>
      </c>
      <c r="D1047" s="63" t="s">
        <v>252</v>
      </c>
      <c r="E1047" s="63" t="s">
        <v>224</v>
      </c>
      <c r="F1047" s="63" t="s">
        <v>225</v>
      </c>
      <c r="G1047" s="63" t="s">
        <v>226</v>
      </c>
    </row>
    <row r="1048" spans="1:7" ht="27.75" hidden="1" customHeight="1">
      <c r="A1048" s="1827" t="s">
        <v>885</v>
      </c>
      <c r="B1048" s="1828"/>
      <c r="C1048" s="64"/>
      <c r="D1048" s="64"/>
      <c r="E1048" s="64"/>
      <c r="F1048" s="64">
        <v>440</v>
      </c>
      <c r="G1048" s="64">
        <f>+F1048</f>
        <v>440</v>
      </c>
    </row>
    <row r="1049" spans="1:7" ht="14.25" hidden="1" customHeight="1">
      <c r="A1049" s="1829" t="s">
        <v>227</v>
      </c>
      <c r="B1049" s="1830"/>
      <c r="C1049" s="1830"/>
      <c r="D1049" s="1830"/>
      <c r="E1049" s="1830"/>
      <c r="F1049" s="1828"/>
      <c r="G1049" s="191">
        <f>SUM(G1048)</f>
        <v>440</v>
      </c>
    </row>
    <row r="1050" spans="1:7" ht="14.25" hidden="1" customHeight="1">
      <c r="A1050" s="198"/>
      <c r="B1050" s="198"/>
      <c r="C1050" s="198"/>
      <c r="D1050" s="198"/>
      <c r="E1050" s="198"/>
      <c r="F1050" s="198"/>
      <c r="G1050" s="198"/>
    </row>
    <row r="1051" spans="1:7" ht="14.25" hidden="1" customHeight="1">
      <c r="A1051" s="1837"/>
      <c r="B1051" s="1838"/>
      <c r="C1051" s="1838"/>
      <c r="D1051" s="1838"/>
      <c r="E1051" s="1838"/>
      <c r="F1051" s="1838"/>
      <c r="G1051" s="1839"/>
    </row>
    <row r="1052" spans="1:7" ht="20.25" hidden="1" customHeight="1">
      <c r="A1052" s="66" t="str">
        <f>+A1044</f>
        <v>CAPITULO 8:</v>
      </c>
      <c r="B1052" s="1832" t="e">
        <f>+$B$1002</f>
        <v>#REF!</v>
      </c>
      <c r="C1052" s="1830"/>
      <c r="D1052" s="1828"/>
      <c r="E1052" s="1833" t="s">
        <v>218</v>
      </c>
      <c r="F1052" s="1834"/>
      <c r="G1052" s="70" t="e">
        <f>+#REF!</f>
        <v>#REF!</v>
      </c>
    </row>
    <row r="1053" spans="1:7" ht="14.25" hidden="1" customHeight="1">
      <c r="A1053" s="66" t="s">
        <v>886</v>
      </c>
      <c r="B1053" s="1835" t="e">
        <f>+#REF!</f>
        <v>#REF!</v>
      </c>
      <c r="C1053" s="1621"/>
      <c r="D1053" s="1621"/>
      <c r="E1053" s="1621"/>
      <c r="F1053" s="1621"/>
      <c r="G1053" s="1622"/>
    </row>
    <row r="1054" spans="1:7" ht="14.25" hidden="1" customHeight="1">
      <c r="A1054" s="1836" t="s">
        <v>220</v>
      </c>
      <c r="B1054" s="1830"/>
      <c r="C1054" s="1830"/>
      <c r="D1054" s="1830"/>
      <c r="E1054" s="1830"/>
      <c r="F1054" s="1830"/>
      <c r="G1054" s="1828"/>
    </row>
    <row r="1055" spans="1:7" ht="14.25" hidden="1" customHeight="1">
      <c r="A1055" s="1829" t="s">
        <v>221</v>
      </c>
      <c r="B1055" s="1828"/>
      <c r="C1055" s="63" t="s">
        <v>222</v>
      </c>
      <c r="D1055" s="63" t="s">
        <v>252</v>
      </c>
      <c r="E1055" s="63" t="s">
        <v>224</v>
      </c>
      <c r="F1055" s="63" t="s">
        <v>225</v>
      </c>
      <c r="G1055" s="63" t="s">
        <v>226</v>
      </c>
    </row>
    <row r="1056" spans="1:7" ht="33" hidden="1" customHeight="1">
      <c r="A1056" s="1827" t="str">
        <f>+A1048</f>
        <v xml:space="preserve">ACOMETIDAS DESDE  TABLERO DISTRIBUCION  T.D.  </v>
      </c>
      <c r="B1056" s="1828"/>
      <c r="C1056" s="64"/>
      <c r="D1056" s="64"/>
      <c r="E1056" s="64"/>
      <c r="F1056" s="64">
        <v>20</v>
      </c>
      <c r="G1056" s="64">
        <f t="shared" ref="G1056:G1057" si="75">+F1056</f>
        <v>20</v>
      </c>
    </row>
    <row r="1057" spans="1:7" ht="14.25" hidden="1" customHeight="1">
      <c r="A1057" s="1827"/>
      <c r="B1057" s="1828"/>
      <c r="C1057" s="64"/>
      <c r="D1057" s="64"/>
      <c r="E1057" s="64"/>
      <c r="F1057" s="64"/>
      <c r="G1057" s="64">
        <f t="shared" si="75"/>
        <v>0</v>
      </c>
    </row>
    <row r="1058" spans="1:7" ht="14.25" hidden="1" customHeight="1">
      <c r="A1058" s="1829" t="s">
        <v>227</v>
      </c>
      <c r="B1058" s="1830"/>
      <c r="C1058" s="1830"/>
      <c r="D1058" s="1830"/>
      <c r="E1058" s="1830"/>
      <c r="F1058" s="1828"/>
      <c r="G1058" s="191">
        <f>SUM(G1056:G1057)</f>
        <v>20</v>
      </c>
    </row>
    <row r="1059" spans="1:7" ht="29.25" hidden="1" customHeight="1">
      <c r="A1059" s="66" t="str">
        <f t="shared" ref="A1059:B1059" si="76">+A1052</f>
        <v>CAPITULO 8:</v>
      </c>
      <c r="B1059" s="1832" t="e">
        <f t="shared" si="76"/>
        <v>#REF!</v>
      </c>
      <c r="C1059" s="1830"/>
      <c r="D1059" s="1828"/>
      <c r="E1059" s="1833" t="s">
        <v>218</v>
      </c>
      <c r="F1059" s="1834"/>
      <c r="G1059" s="70" t="s">
        <v>127</v>
      </c>
    </row>
    <row r="1060" spans="1:7" ht="14.25" hidden="1" customHeight="1">
      <c r="A1060" s="66" t="s">
        <v>887</v>
      </c>
      <c r="B1060" s="1835" t="e">
        <f>+#REF!</f>
        <v>#REF!</v>
      </c>
      <c r="C1060" s="1621"/>
      <c r="D1060" s="1621"/>
      <c r="E1060" s="1621"/>
      <c r="F1060" s="1621"/>
      <c r="G1060" s="1622"/>
    </row>
    <row r="1061" spans="1:7" ht="14.25" hidden="1" customHeight="1">
      <c r="A1061" s="1836" t="s">
        <v>220</v>
      </c>
      <c r="B1061" s="1830"/>
      <c r="C1061" s="1830"/>
      <c r="D1061" s="1830"/>
      <c r="E1061" s="1830"/>
      <c r="F1061" s="1830"/>
      <c r="G1061" s="1828"/>
    </row>
    <row r="1062" spans="1:7" ht="14.25" hidden="1" customHeight="1">
      <c r="A1062" s="1829" t="s">
        <v>221</v>
      </c>
      <c r="B1062" s="1828"/>
      <c r="C1062" s="63" t="s">
        <v>222</v>
      </c>
      <c r="D1062" s="63" t="s">
        <v>252</v>
      </c>
      <c r="E1062" s="63" t="s">
        <v>224</v>
      </c>
      <c r="F1062" s="63" t="s">
        <v>225</v>
      </c>
      <c r="G1062" s="63" t="s">
        <v>226</v>
      </c>
    </row>
    <row r="1063" spans="1:7" ht="14.25" hidden="1" customHeight="1">
      <c r="A1063" s="1827" t="e">
        <f>+#REF!</f>
        <v>#REF!</v>
      </c>
      <c r="B1063" s="1828"/>
      <c r="C1063" s="64"/>
      <c r="D1063" s="64"/>
      <c r="E1063" s="64"/>
      <c r="F1063" s="64">
        <v>260</v>
      </c>
      <c r="G1063" s="64">
        <f t="shared" ref="G1063:G1064" si="77">+F1063</f>
        <v>260</v>
      </c>
    </row>
    <row r="1064" spans="1:7" ht="14.25" hidden="1" customHeight="1">
      <c r="A1064" s="1827"/>
      <c r="B1064" s="1828"/>
      <c r="C1064" s="64"/>
      <c r="D1064" s="64"/>
      <c r="E1064" s="64"/>
      <c r="F1064" s="64"/>
      <c r="G1064" s="64">
        <f t="shared" si="77"/>
        <v>0</v>
      </c>
    </row>
    <row r="1065" spans="1:7" ht="14.25" hidden="1" customHeight="1">
      <c r="A1065" s="1829" t="s">
        <v>227</v>
      </c>
      <c r="B1065" s="1830"/>
      <c r="C1065" s="1830"/>
      <c r="D1065" s="1830"/>
      <c r="E1065" s="1830"/>
      <c r="F1065" s="1828"/>
      <c r="G1065" s="191">
        <f>SUM(G1063:G1064)</f>
        <v>260</v>
      </c>
    </row>
    <row r="1066" spans="1:7" ht="14.25" hidden="1" customHeight="1">
      <c r="A1066" s="1837"/>
      <c r="B1066" s="1838"/>
      <c r="C1066" s="1838"/>
      <c r="D1066" s="1838"/>
      <c r="E1066" s="1838"/>
      <c r="F1066" s="1838"/>
      <c r="G1066" s="1839"/>
    </row>
    <row r="1067" spans="1:7" ht="22.5" hidden="1" customHeight="1">
      <c r="A1067" s="66" t="str">
        <f>+A1059</f>
        <v>CAPITULO 8:</v>
      </c>
      <c r="B1067" s="1832" t="e">
        <f>+$B$1002</f>
        <v>#REF!</v>
      </c>
      <c r="C1067" s="1830"/>
      <c r="D1067" s="1828"/>
      <c r="E1067" s="1833" t="s">
        <v>218</v>
      </c>
      <c r="F1067" s="1834"/>
      <c r="G1067" s="70" t="s">
        <v>127</v>
      </c>
    </row>
    <row r="1068" spans="1:7" ht="14.25" hidden="1" customHeight="1">
      <c r="A1068" s="66" t="s">
        <v>888</v>
      </c>
      <c r="B1068" s="1835" t="e">
        <f>+#REF!</f>
        <v>#REF!</v>
      </c>
      <c r="C1068" s="1621"/>
      <c r="D1068" s="1621"/>
      <c r="E1068" s="1621"/>
      <c r="F1068" s="1621"/>
      <c r="G1068" s="1622"/>
    </row>
    <row r="1069" spans="1:7" ht="14.25" hidden="1" customHeight="1">
      <c r="A1069" s="1836" t="s">
        <v>220</v>
      </c>
      <c r="B1069" s="1830"/>
      <c r="C1069" s="1830"/>
      <c r="D1069" s="1830"/>
      <c r="E1069" s="1830"/>
      <c r="F1069" s="1830"/>
      <c r="G1069" s="1828"/>
    </row>
    <row r="1070" spans="1:7" ht="14.25" hidden="1" customHeight="1">
      <c r="A1070" s="1829" t="s">
        <v>221</v>
      </c>
      <c r="B1070" s="1828"/>
      <c r="C1070" s="63" t="s">
        <v>222</v>
      </c>
      <c r="D1070" s="63" t="s">
        <v>252</v>
      </c>
      <c r="E1070" s="63" t="s">
        <v>224</v>
      </c>
      <c r="F1070" s="63" t="s">
        <v>225</v>
      </c>
      <c r="G1070" s="63" t="s">
        <v>226</v>
      </c>
    </row>
    <row r="1071" spans="1:7" ht="14.25" hidden="1" customHeight="1">
      <c r="A1071" s="1827" t="e">
        <f>+#REF!</f>
        <v>#REF!</v>
      </c>
      <c r="B1071" s="1828"/>
      <c r="C1071" s="64"/>
      <c r="D1071" s="64"/>
      <c r="E1071" s="64"/>
      <c r="F1071" s="64">
        <v>90</v>
      </c>
      <c r="G1071" s="64">
        <f t="shared" ref="G1071:G1072" si="78">+F1071</f>
        <v>90</v>
      </c>
    </row>
    <row r="1072" spans="1:7" ht="14.25" hidden="1" customHeight="1">
      <c r="A1072" s="1827"/>
      <c r="B1072" s="1828"/>
      <c r="C1072" s="64"/>
      <c r="D1072" s="64"/>
      <c r="E1072" s="64"/>
      <c r="F1072" s="64"/>
      <c r="G1072" s="64">
        <f t="shared" si="78"/>
        <v>0</v>
      </c>
    </row>
    <row r="1073" spans="1:7" ht="14.25" hidden="1" customHeight="1">
      <c r="A1073" s="1829" t="s">
        <v>227</v>
      </c>
      <c r="B1073" s="1830"/>
      <c r="C1073" s="1830"/>
      <c r="D1073" s="1830"/>
      <c r="E1073" s="1830"/>
      <c r="F1073" s="1828"/>
      <c r="G1073" s="191">
        <f>SUM(G1071:G1072)</f>
        <v>90</v>
      </c>
    </row>
    <row r="1074" spans="1:7" ht="14.25" hidden="1" customHeight="1">
      <c r="A1074" s="1837"/>
      <c r="B1074" s="1838"/>
      <c r="C1074" s="1838"/>
      <c r="D1074" s="1838"/>
      <c r="E1074" s="1838"/>
      <c r="F1074" s="1838"/>
      <c r="G1074" s="1839"/>
    </row>
    <row r="1075" spans="1:7" ht="27" hidden="1" customHeight="1">
      <c r="A1075" s="66" t="str">
        <f>+A1067</f>
        <v>CAPITULO 8:</v>
      </c>
      <c r="B1075" s="1832" t="s">
        <v>889</v>
      </c>
      <c r="C1075" s="1830"/>
      <c r="D1075" s="1828"/>
      <c r="E1075" s="1833" t="s">
        <v>218</v>
      </c>
      <c r="F1075" s="1834"/>
      <c r="G1075" s="70" t="s">
        <v>127</v>
      </c>
    </row>
    <row r="1076" spans="1:7" ht="14.25" hidden="1" customHeight="1">
      <c r="A1076" s="66" t="s">
        <v>890</v>
      </c>
      <c r="B1076" s="1835" t="e">
        <f>+#REF!</f>
        <v>#REF!</v>
      </c>
      <c r="C1076" s="1621"/>
      <c r="D1076" s="1621"/>
      <c r="E1076" s="1621"/>
      <c r="F1076" s="1621"/>
      <c r="G1076" s="1622"/>
    </row>
    <row r="1077" spans="1:7" ht="14.25" hidden="1" customHeight="1">
      <c r="A1077" s="1836" t="s">
        <v>220</v>
      </c>
      <c r="B1077" s="1830"/>
      <c r="C1077" s="1830"/>
      <c r="D1077" s="1830"/>
      <c r="E1077" s="1830"/>
      <c r="F1077" s="1830"/>
      <c r="G1077" s="1828"/>
    </row>
    <row r="1078" spans="1:7" ht="14.25" hidden="1" customHeight="1">
      <c r="A1078" s="1829" t="s">
        <v>221</v>
      </c>
      <c r="B1078" s="1828"/>
      <c r="C1078" s="63" t="s">
        <v>222</v>
      </c>
      <c r="D1078" s="63" t="s">
        <v>252</v>
      </c>
      <c r="E1078" s="63" t="s">
        <v>224</v>
      </c>
      <c r="F1078" s="63" t="s">
        <v>225</v>
      </c>
      <c r="G1078" s="63" t="s">
        <v>226</v>
      </c>
    </row>
    <row r="1079" spans="1:7" ht="14.25" hidden="1" customHeight="1">
      <c r="A1079" s="1827" t="e">
        <f>+#REF!</f>
        <v>#REF!</v>
      </c>
      <c r="B1079" s="1828"/>
      <c r="C1079" s="64"/>
      <c r="D1079" s="64"/>
      <c r="E1079" s="64"/>
      <c r="F1079" s="64">
        <v>412</v>
      </c>
      <c r="G1079" s="64">
        <f t="shared" ref="G1079:G1080" si="79">+F1079</f>
        <v>412</v>
      </c>
    </row>
    <row r="1080" spans="1:7" ht="14.25" hidden="1" customHeight="1">
      <c r="A1080" s="1827"/>
      <c r="B1080" s="1828"/>
      <c r="C1080" s="64"/>
      <c r="D1080" s="64"/>
      <c r="E1080" s="64"/>
      <c r="F1080" s="64"/>
      <c r="G1080" s="64">
        <f t="shared" si="79"/>
        <v>0</v>
      </c>
    </row>
    <row r="1081" spans="1:7" ht="14.25" hidden="1" customHeight="1">
      <c r="A1081" s="1829" t="s">
        <v>227</v>
      </c>
      <c r="B1081" s="1830"/>
      <c r="C1081" s="1830"/>
      <c r="D1081" s="1830"/>
      <c r="E1081" s="1830"/>
      <c r="F1081" s="1828"/>
      <c r="G1081" s="191">
        <f>SUM(G1079:G1080)</f>
        <v>412</v>
      </c>
    </row>
    <row r="1082" spans="1:7" ht="14.25" hidden="1" customHeight="1">
      <c r="A1082" s="1837"/>
      <c r="B1082" s="1838"/>
      <c r="C1082" s="1838"/>
      <c r="D1082" s="1838"/>
      <c r="E1082" s="1838"/>
      <c r="F1082" s="1838"/>
      <c r="G1082" s="1839"/>
    </row>
    <row r="1083" spans="1:7" ht="14.25" hidden="1" customHeight="1">
      <c r="A1083" s="66" t="str">
        <f>+A1075</f>
        <v>CAPITULO 8:</v>
      </c>
      <c r="B1083" s="1832" t="s">
        <v>498</v>
      </c>
      <c r="C1083" s="1830"/>
      <c r="D1083" s="1828"/>
      <c r="E1083" s="1833" t="s">
        <v>218</v>
      </c>
      <c r="F1083" s="1834"/>
      <c r="G1083" s="70" t="s">
        <v>127</v>
      </c>
    </row>
    <row r="1084" spans="1:7" ht="14.25" hidden="1" customHeight="1">
      <c r="A1084" s="66" t="s">
        <v>891</v>
      </c>
      <c r="B1084" s="1835" t="e">
        <f>+#REF!</f>
        <v>#REF!</v>
      </c>
      <c r="C1084" s="1621"/>
      <c r="D1084" s="1621"/>
      <c r="E1084" s="1621"/>
      <c r="F1084" s="1621"/>
      <c r="G1084" s="1622"/>
    </row>
    <row r="1085" spans="1:7" ht="14.25" hidden="1" customHeight="1">
      <c r="A1085" s="1836" t="s">
        <v>220</v>
      </c>
      <c r="B1085" s="1830"/>
      <c r="C1085" s="1830"/>
      <c r="D1085" s="1830"/>
      <c r="E1085" s="1830"/>
      <c r="F1085" s="1830"/>
      <c r="G1085" s="1828"/>
    </row>
    <row r="1086" spans="1:7" ht="14.25" hidden="1" customHeight="1">
      <c r="A1086" s="1829" t="s">
        <v>221</v>
      </c>
      <c r="B1086" s="1828"/>
      <c r="C1086" s="63" t="s">
        <v>222</v>
      </c>
      <c r="D1086" s="63" t="s">
        <v>252</v>
      </c>
      <c r="E1086" s="63" t="s">
        <v>224</v>
      </c>
      <c r="F1086" s="63" t="s">
        <v>225</v>
      </c>
      <c r="G1086" s="63" t="s">
        <v>226</v>
      </c>
    </row>
    <row r="1087" spans="1:7" ht="14.25" hidden="1" customHeight="1">
      <c r="A1087" s="1827" t="e">
        <f>+#REF!</f>
        <v>#REF!</v>
      </c>
      <c r="B1087" s="1828"/>
      <c r="C1087" s="64"/>
      <c r="D1087" s="64"/>
      <c r="E1087" s="64"/>
      <c r="F1087" s="64">
        <v>149</v>
      </c>
      <c r="G1087" s="64">
        <f t="shared" ref="G1087:G1088" si="80">+F1087</f>
        <v>149</v>
      </c>
    </row>
    <row r="1088" spans="1:7" ht="14.25" hidden="1" customHeight="1">
      <c r="A1088" s="1827"/>
      <c r="B1088" s="1828"/>
      <c r="C1088" s="64"/>
      <c r="D1088" s="64"/>
      <c r="E1088" s="64"/>
      <c r="F1088" s="64"/>
      <c r="G1088" s="64">
        <f t="shared" si="80"/>
        <v>0</v>
      </c>
    </row>
    <row r="1089" spans="1:7" ht="14.25" hidden="1" customHeight="1">
      <c r="A1089" s="1829" t="s">
        <v>227</v>
      </c>
      <c r="B1089" s="1830"/>
      <c r="C1089" s="1830"/>
      <c r="D1089" s="1830"/>
      <c r="E1089" s="1830"/>
      <c r="F1089" s="1828"/>
      <c r="G1089" s="191">
        <f>SUM(G1087:G1088)</f>
        <v>149</v>
      </c>
    </row>
    <row r="1090" spans="1:7" ht="14.25" hidden="1" customHeight="1">
      <c r="A1090" s="1837"/>
      <c r="B1090" s="1838"/>
      <c r="C1090" s="1838"/>
      <c r="D1090" s="1838"/>
      <c r="E1090" s="1838"/>
      <c r="F1090" s="1838"/>
      <c r="G1090" s="1839"/>
    </row>
    <row r="1091" spans="1:7" ht="14.25" hidden="1" customHeight="1">
      <c r="A1091" s="66" t="str">
        <f t="shared" ref="A1091:B1091" si="81">+A1083</f>
        <v>CAPITULO 8:</v>
      </c>
      <c r="B1091" s="1832" t="str">
        <f t="shared" si="81"/>
        <v>INSTALACIONES ELECTRICAS</v>
      </c>
      <c r="C1091" s="1830"/>
      <c r="D1091" s="1828"/>
      <c r="E1091" s="1833" t="s">
        <v>218</v>
      </c>
      <c r="F1091" s="1834"/>
      <c r="G1091" s="70" t="e">
        <f>+#REF!</f>
        <v>#REF!</v>
      </c>
    </row>
    <row r="1092" spans="1:7" ht="14.25" hidden="1" customHeight="1">
      <c r="A1092" s="66" t="s">
        <v>892</v>
      </c>
      <c r="B1092" s="1835" t="e">
        <f>+#REF!</f>
        <v>#REF!</v>
      </c>
      <c r="C1092" s="1621"/>
      <c r="D1092" s="1621"/>
      <c r="E1092" s="1621"/>
      <c r="F1092" s="1621"/>
      <c r="G1092" s="1622"/>
    </row>
    <row r="1093" spans="1:7" ht="14.25" hidden="1" customHeight="1">
      <c r="A1093" s="1836" t="s">
        <v>220</v>
      </c>
      <c r="B1093" s="1830"/>
      <c r="C1093" s="1830"/>
      <c r="D1093" s="1830"/>
      <c r="E1093" s="1830"/>
      <c r="F1093" s="1830"/>
      <c r="G1093" s="1828"/>
    </row>
    <row r="1094" spans="1:7" ht="14.25" hidden="1" customHeight="1">
      <c r="A1094" s="1829" t="s">
        <v>221</v>
      </c>
      <c r="B1094" s="1828"/>
      <c r="C1094" s="63" t="s">
        <v>222</v>
      </c>
      <c r="D1094" s="63" t="s">
        <v>252</v>
      </c>
      <c r="E1094" s="63" t="s">
        <v>224</v>
      </c>
      <c r="F1094" s="63" t="s">
        <v>225</v>
      </c>
      <c r="G1094" s="63" t="s">
        <v>226</v>
      </c>
    </row>
    <row r="1095" spans="1:7" ht="14.25" hidden="1" customHeight="1">
      <c r="A1095" s="1827" t="e">
        <f>+#REF!</f>
        <v>#REF!</v>
      </c>
      <c r="B1095" s="1828"/>
      <c r="C1095" s="64"/>
      <c r="D1095" s="64"/>
      <c r="E1095" s="64"/>
      <c r="F1095" s="64">
        <v>60</v>
      </c>
      <c r="G1095" s="64">
        <f t="shared" ref="G1095:G1096" si="82">+F1095</f>
        <v>60</v>
      </c>
    </row>
    <row r="1096" spans="1:7" ht="14.25" hidden="1" customHeight="1">
      <c r="A1096" s="1827"/>
      <c r="B1096" s="1828"/>
      <c r="C1096" s="64"/>
      <c r="D1096" s="64"/>
      <c r="E1096" s="64"/>
      <c r="F1096" s="64"/>
      <c r="G1096" s="64">
        <f t="shared" si="82"/>
        <v>0</v>
      </c>
    </row>
    <row r="1097" spans="1:7" ht="14.25" hidden="1" customHeight="1">
      <c r="A1097" s="1829" t="s">
        <v>227</v>
      </c>
      <c r="B1097" s="1830"/>
      <c r="C1097" s="1830"/>
      <c r="D1097" s="1830"/>
      <c r="E1097" s="1830"/>
      <c r="F1097" s="1828"/>
      <c r="G1097" s="191">
        <f>SUM(G1095:G1096)</f>
        <v>60</v>
      </c>
    </row>
    <row r="1098" spans="1:7" ht="14.25" hidden="1" customHeight="1">
      <c r="A1098" s="1837"/>
      <c r="B1098" s="1838"/>
      <c r="C1098" s="1838"/>
      <c r="D1098" s="1838"/>
      <c r="E1098" s="1838"/>
      <c r="F1098" s="1838"/>
      <c r="G1098" s="1839"/>
    </row>
    <row r="1099" spans="1:7" ht="14.25" hidden="1" customHeight="1">
      <c r="A1099" s="66" t="str">
        <f>+A1091</f>
        <v>CAPITULO 8:</v>
      </c>
      <c r="B1099" s="1832" t="s">
        <v>260</v>
      </c>
      <c r="C1099" s="1830"/>
      <c r="D1099" s="1828"/>
      <c r="E1099" s="1833" t="s">
        <v>218</v>
      </c>
      <c r="F1099" s="1834"/>
      <c r="G1099" s="70" t="e">
        <f>+#REF!</f>
        <v>#REF!</v>
      </c>
    </row>
    <row r="1100" spans="1:7" ht="14.25" hidden="1" customHeight="1">
      <c r="A1100" s="66" t="s">
        <v>893</v>
      </c>
      <c r="B1100" s="1835" t="e">
        <f>+#REF!</f>
        <v>#REF!</v>
      </c>
      <c r="C1100" s="1621"/>
      <c r="D1100" s="1621"/>
      <c r="E1100" s="1621"/>
      <c r="F1100" s="1621"/>
      <c r="G1100" s="1622"/>
    </row>
    <row r="1101" spans="1:7" ht="14.25" hidden="1" customHeight="1">
      <c r="A1101" s="1836" t="s">
        <v>220</v>
      </c>
      <c r="B1101" s="1830"/>
      <c r="C1101" s="1830"/>
      <c r="D1101" s="1830"/>
      <c r="E1101" s="1830"/>
      <c r="F1101" s="1830"/>
      <c r="G1101" s="1828"/>
    </row>
    <row r="1102" spans="1:7" ht="14.25" hidden="1" customHeight="1">
      <c r="A1102" s="1829" t="s">
        <v>221</v>
      </c>
      <c r="B1102" s="1828"/>
      <c r="C1102" s="63" t="s">
        <v>222</v>
      </c>
      <c r="D1102" s="63" t="s">
        <v>252</v>
      </c>
      <c r="E1102" s="63" t="s">
        <v>224</v>
      </c>
      <c r="F1102" s="63" t="s">
        <v>225</v>
      </c>
      <c r="G1102" s="63" t="s">
        <v>226</v>
      </c>
    </row>
    <row r="1103" spans="1:7" ht="14.25" hidden="1" customHeight="1">
      <c r="A1103" s="1827" t="e">
        <f>+#REF!</f>
        <v>#REF!</v>
      </c>
      <c r="B1103" s="1828"/>
      <c r="C1103" s="64"/>
      <c r="D1103" s="64"/>
      <c r="E1103" s="64"/>
      <c r="F1103" s="64">
        <v>415</v>
      </c>
      <c r="G1103" s="64">
        <f t="shared" ref="G1103:G1104" si="83">+F1103</f>
        <v>415</v>
      </c>
    </row>
    <row r="1104" spans="1:7" ht="14.25" hidden="1" customHeight="1">
      <c r="A1104" s="1827"/>
      <c r="B1104" s="1828"/>
      <c r="C1104" s="64"/>
      <c r="D1104" s="64"/>
      <c r="E1104" s="64"/>
      <c r="F1104" s="64"/>
      <c r="G1104" s="64">
        <f t="shared" si="83"/>
        <v>0</v>
      </c>
    </row>
    <row r="1105" spans="1:7" ht="14.25" hidden="1" customHeight="1">
      <c r="A1105" s="1829" t="s">
        <v>227</v>
      </c>
      <c r="B1105" s="1830"/>
      <c r="C1105" s="1830"/>
      <c r="D1105" s="1830"/>
      <c r="E1105" s="1830"/>
      <c r="F1105" s="1828"/>
      <c r="G1105" s="191">
        <f>SUM(G1103:G1104)</f>
        <v>415</v>
      </c>
    </row>
    <row r="1106" spans="1:7" ht="14.25" hidden="1" customHeight="1">
      <c r="A1106" s="1837"/>
      <c r="B1106" s="1838"/>
      <c r="C1106" s="1838"/>
      <c r="D1106" s="1838"/>
      <c r="E1106" s="1838"/>
      <c r="F1106" s="1838"/>
      <c r="G1106" s="1839"/>
    </row>
    <row r="1107" spans="1:7" ht="14.25" hidden="1" customHeight="1">
      <c r="A1107" s="66" t="str">
        <f>+A1099</f>
        <v>CAPITULO 8:</v>
      </c>
      <c r="B1107" s="1832" t="s">
        <v>260</v>
      </c>
      <c r="C1107" s="1830"/>
      <c r="D1107" s="1828"/>
      <c r="E1107" s="1833" t="s">
        <v>218</v>
      </c>
      <c r="F1107" s="1834"/>
      <c r="G1107" s="70" t="e">
        <f>+#REF!</f>
        <v>#REF!</v>
      </c>
    </row>
    <row r="1108" spans="1:7" ht="14.25" hidden="1" customHeight="1">
      <c r="A1108" s="66" t="s">
        <v>894</v>
      </c>
      <c r="B1108" s="1835" t="e">
        <f>+#REF!</f>
        <v>#REF!</v>
      </c>
      <c r="C1108" s="1621"/>
      <c r="D1108" s="1621"/>
      <c r="E1108" s="1621"/>
      <c r="F1108" s="1621"/>
      <c r="G1108" s="1622"/>
    </row>
    <row r="1109" spans="1:7" ht="14.25" hidden="1" customHeight="1">
      <c r="A1109" s="1836" t="s">
        <v>220</v>
      </c>
      <c r="B1109" s="1830"/>
      <c r="C1109" s="1830"/>
      <c r="D1109" s="1830"/>
      <c r="E1109" s="1830"/>
      <c r="F1109" s="1830"/>
      <c r="G1109" s="1828"/>
    </row>
    <row r="1110" spans="1:7" ht="14.25" hidden="1" customHeight="1">
      <c r="A1110" s="1829" t="s">
        <v>221</v>
      </c>
      <c r="B1110" s="1828"/>
      <c r="C1110" s="63" t="s">
        <v>222</v>
      </c>
      <c r="D1110" s="63" t="s">
        <v>252</v>
      </c>
      <c r="E1110" s="63" t="s">
        <v>224</v>
      </c>
      <c r="F1110" s="63" t="s">
        <v>225</v>
      </c>
      <c r="G1110" s="63" t="s">
        <v>226</v>
      </c>
    </row>
    <row r="1111" spans="1:7" ht="14.25" hidden="1" customHeight="1">
      <c r="A1111" s="1827" t="e">
        <f>+#REF!</f>
        <v>#REF!</v>
      </c>
      <c r="B1111" s="1828"/>
      <c r="C1111" s="64"/>
      <c r="D1111" s="64"/>
      <c r="E1111" s="64"/>
      <c r="F1111" s="64">
        <v>50</v>
      </c>
      <c r="G1111" s="64">
        <f t="shared" ref="G1111:G1112" si="84">+F1111</f>
        <v>50</v>
      </c>
    </row>
    <row r="1112" spans="1:7" ht="14.25" hidden="1" customHeight="1">
      <c r="A1112" s="1827"/>
      <c r="B1112" s="1828"/>
      <c r="C1112" s="64"/>
      <c r="D1112" s="64"/>
      <c r="E1112" s="64"/>
      <c r="F1112" s="64"/>
      <c r="G1112" s="64">
        <f t="shared" si="84"/>
        <v>0</v>
      </c>
    </row>
    <row r="1113" spans="1:7" ht="14.25" hidden="1" customHeight="1">
      <c r="A1113" s="1829" t="s">
        <v>227</v>
      </c>
      <c r="B1113" s="1830"/>
      <c r="C1113" s="1830"/>
      <c r="D1113" s="1830"/>
      <c r="E1113" s="1830"/>
      <c r="F1113" s="1828"/>
      <c r="G1113" s="191">
        <f>SUM(G1111:G1112)</f>
        <v>50</v>
      </c>
    </row>
    <row r="1114" spans="1:7" ht="14.25" hidden="1" customHeight="1">
      <c r="A1114" s="1831"/>
      <c r="B1114" s="1830"/>
      <c r="C1114" s="1830"/>
      <c r="D1114" s="1830"/>
      <c r="E1114" s="1830"/>
      <c r="F1114" s="1830"/>
      <c r="G1114" s="1828"/>
    </row>
    <row r="1115" spans="1:7" ht="14.25" hidden="1" customHeight="1">
      <c r="A1115" s="66" t="str">
        <f>+A1107</f>
        <v>CAPITULO 8:</v>
      </c>
      <c r="B1115" s="1832" t="s">
        <v>260</v>
      </c>
      <c r="C1115" s="1830"/>
      <c r="D1115" s="1828"/>
      <c r="E1115" s="1833" t="s">
        <v>218</v>
      </c>
      <c r="F1115" s="1834"/>
      <c r="G1115" s="70" t="e">
        <f>+#REF!</f>
        <v>#REF!</v>
      </c>
    </row>
    <row r="1116" spans="1:7" ht="14.25" hidden="1" customHeight="1">
      <c r="A1116" s="66" t="s">
        <v>895</v>
      </c>
      <c r="B1116" s="1835" t="e">
        <f>+#REF!</f>
        <v>#REF!</v>
      </c>
      <c r="C1116" s="1621"/>
      <c r="D1116" s="1621"/>
      <c r="E1116" s="1621"/>
      <c r="F1116" s="1621"/>
      <c r="G1116" s="1622"/>
    </row>
    <row r="1117" spans="1:7" ht="14.25" hidden="1" customHeight="1">
      <c r="A1117" s="1836" t="s">
        <v>220</v>
      </c>
      <c r="B1117" s="1830"/>
      <c r="C1117" s="1830"/>
      <c r="D1117" s="1830"/>
      <c r="E1117" s="1830"/>
      <c r="F1117" s="1830"/>
      <c r="G1117" s="1828"/>
    </row>
    <row r="1118" spans="1:7" ht="14.25" hidden="1" customHeight="1">
      <c r="A1118" s="1829" t="s">
        <v>221</v>
      </c>
      <c r="B1118" s="1828"/>
      <c r="C1118" s="63" t="s">
        <v>222</v>
      </c>
      <c r="D1118" s="63" t="s">
        <v>252</v>
      </c>
      <c r="E1118" s="63" t="s">
        <v>224</v>
      </c>
      <c r="F1118" s="63" t="s">
        <v>225</v>
      </c>
      <c r="G1118" s="63" t="s">
        <v>226</v>
      </c>
    </row>
    <row r="1119" spans="1:7" ht="14.25" hidden="1" customHeight="1">
      <c r="A1119" s="1827" t="e">
        <f>+#REF!</f>
        <v>#REF!</v>
      </c>
      <c r="B1119" s="1828"/>
      <c r="C1119" s="64"/>
      <c r="D1119" s="64"/>
      <c r="E1119" s="64"/>
      <c r="F1119" s="64">
        <v>87</v>
      </c>
      <c r="G1119" s="64">
        <f t="shared" ref="G1119:G1120" si="85">+F1119</f>
        <v>87</v>
      </c>
    </row>
    <row r="1120" spans="1:7" ht="14.25" hidden="1" customHeight="1">
      <c r="A1120" s="1827"/>
      <c r="B1120" s="1828"/>
      <c r="C1120" s="64"/>
      <c r="D1120" s="64"/>
      <c r="E1120" s="64"/>
      <c r="F1120" s="64"/>
      <c r="G1120" s="64">
        <f t="shared" si="85"/>
        <v>0</v>
      </c>
    </row>
    <row r="1121" spans="1:7" ht="14.25" hidden="1" customHeight="1">
      <c r="A1121" s="1829" t="s">
        <v>227</v>
      </c>
      <c r="B1121" s="1830"/>
      <c r="C1121" s="1830"/>
      <c r="D1121" s="1830"/>
      <c r="E1121" s="1830"/>
      <c r="F1121" s="1828"/>
      <c r="G1121" s="191">
        <f>SUM(G1119:G1120)</f>
        <v>87</v>
      </c>
    </row>
    <row r="1122" spans="1:7" ht="14.25" hidden="1" customHeight="1">
      <c r="A1122" s="1831"/>
      <c r="B1122" s="1830"/>
      <c r="C1122" s="1830"/>
      <c r="D1122" s="1830"/>
      <c r="E1122" s="1830"/>
      <c r="F1122" s="1830"/>
      <c r="G1122" s="1828"/>
    </row>
    <row r="1123" spans="1:7" ht="14.25" hidden="1" customHeight="1">
      <c r="A1123" s="66" t="str">
        <f>+A1115</f>
        <v>CAPITULO 8:</v>
      </c>
      <c r="B1123" s="1832" t="s">
        <v>260</v>
      </c>
      <c r="C1123" s="1830"/>
      <c r="D1123" s="1828"/>
      <c r="E1123" s="1833" t="s">
        <v>218</v>
      </c>
      <c r="F1123" s="1834"/>
      <c r="G1123" s="70" t="e">
        <f>+#REF!</f>
        <v>#REF!</v>
      </c>
    </row>
    <row r="1124" spans="1:7" ht="14.25" hidden="1" customHeight="1">
      <c r="A1124" s="66" t="s">
        <v>896</v>
      </c>
      <c r="B1124" s="1835" t="e">
        <f>+#REF!</f>
        <v>#REF!</v>
      </c>
      <c r="C1124" s="1621"/>
      <c r="D1124" s="1621"/>
      <c r="E1124" s="1621"/>
      <c r="F1124" s="1621"/>
      <c r="G1124" s="1622"/>
    </row>
    <row r="1125" spans="1:7" ht="14.25" hidden="1" customHeight="1">
      <c r="A1125" s="1836" t="s">
        <v>220</v>
      </c>
      <c r="B1125" s="1830"/>
      <c r="C1125" s="1830"/>
      <c r="D1125" s="1830"/>
      <c r="E1125" s="1830"/>
      <c r="F1125" s="1830"/>
      <c r="G1125" s="1828"/>
    </row>
    <row r="1126" spans="1:7" ht="14.25" hidden="1" customHeight="1">
      <c r="A1126" s="1829" t="s">
        <v>221</v>
      </c>
      <c r="B1126" s="1828"/>
      <c r="C1126" s="63" t="s">
        <v>222</v>
      </c>
      <c r="D1126" s="63" t="s">
        <v>252</v>
      </c>
      <c r="E1126" s="63" t="s">
        <v>224</v>
      </c>
      <c r="F1126" s="63" t="s">
        <v>225</v>
      </c>
      <c r="G1126" s="63" t="s">
        <v>226</v>
      </c>
    </row>
    <row r="1127" spans="1:7" ht="14.25" hidden="1" customHeight="1">
      <c r="A1127" s="1827" t="e">
        <f>+#REF!</f>
        <v>#REF!</v>
      </c>
      <c r="B1127" s="1828"/>
      <c r="C1127" s="64"/>
      <c r="D1127" s="64"/>
      <c r="E1127" s="64"/>
      <c r="F1127" s="64">
        <v>64</v>
      </c>
      <c r="G1127" s="64">
        <f t="shared" ref="G1127:G1128" si="86">+F1127</f>
        <v>64</v>
      </c>
    </row>
    <row r="1128" spans="1:7" ht="14.25" hidden="1" customHeight="1">
      <c r="A1128" s="1827"/>
      <c r="B1128" s="1828"/>
      <c r="C1128" s="64"/>
      <c r="D1128" s="64"/>
      <c r="E1128" s="64"/>
      <c r="F1128" s="64"/>
      <c r="G1128" s="64">
        <f t="shared" si="86"/>
        <v>0</v>
      </c>
    </row>
    <row r="1129" spans="1:7" ht="14.25" hidden="1" customHeight="1">
      <c r="A1129" s="1829" t="s">
        <v>227</v>
      </c>
      <c r="B1129" s="1830"/>
      <c r="C1129" s="1830"/>
      <c r="D1129" s="1830"/>
      <c r="E1129" s="1830"/>
      <c r="F1129" s="1828"/>
      <c r="G1129" s="191">
        <f>SUM(G1127:G1128)</f>
        <v>64</v>
      </c>
    </row>
    <row r="1130" spans="1:7" ht="14.25" hidden="1" customHeight="1">
      <c r="A1130" s="1831"/>
      <c r="B1130" s="1830"/>
      <c r="C1130" s="1830"/>
      <c r="D1130" s="1830"/>
      <c r="E1130" s="1830"/>
      <c r="F1130" s="1830"/>
      <c r="G1130" s="1828"/>
    </row>
    <row r="1131" spans="1:7" ht="14.25" hidden="1" customHeight="1">
      <c r="A1131" s="66" t="str">
        <f>+A1123</f>
        <v>CAPITULO 8:</v>
      </c>
      <c r="B1131" s="1832" t="s">
        <v>260</v>
      </c>
      <c r="C1131" s="1830"/>
      <c r="D1131" s="1828"/>
      <c r="E1131" s="1833" t="s">
        <v>218</v>
      </c>
      <c r="F1131" s="1834"/>
      <c r="G1131" s="70" t="e">
        <f>+#REF!</f>
        <v>#REF!</v>
      </c>
    </row>
    <row r="1132" spans="1:7" ht="14.25" hidden="1" customHeight="1">
      <c r="A1132" s="66" t="s">
        <v>897</v>
      </c>
      <c r="B1132" s="1835" t="e">
        <f>+#REF!</f>
        <v>#REF!</v>
      </c>
      <c r="C1132" s="1621"/>
      <c r="D1132" s="1621"/>
      <c r="E1132" s="1621"/>
      <c r="F1132" s="1621"/>
      <c r="G1132" s="1622"/>
    </row>
    <row r="1133" spans="1:7" ht="14.25" hidden="1" customHeight="1">
      <c r="A1133" s="1836" t="s">
        <v>220</v>
      </c>
      <c r="B1133" s="1830"/>
      <c r="C1133" s="1830"/>
      <c r="D1133" s="1830"/>
      <c r="E1133" s="1830"/>
      <c r="F1133" s="1830"/>
      <c r="G1133" s="1828"/>
    </row>
    <row r="1134" spans="1:7" ht="14.25" hidden="1" customHeight="1">
      <c r="A1134" s="1829" t="s">
        <v>221</v>
      </c>
      <c r="B1134" s="1828"/>
      <c r="C1134" s="63" t="s">
        <v>222</v>
      </c>
      <c r="D1134" s="63" t="s">
        <v>252</v>
      </c>
      <c r="E1134" s="63" t="s">
        <v>224</v>
      </c>
      <c r="F1134" s="63" t="s">
        <v>225</v>
      </c>
      <c r="G1134" s="63" t="s">
        <v>226</v>
      </c>
    </row>
    <row r="1135" spans="1:7" ht="14.25" hidden="1" customHeight="1">
      <c r="A1135" s="1827" t="e">
        <f>+#REF!</f>
        <v>#REF!</v>
      </c>
      <c r="B1135" s="1828"/>
      <c r="C1135" s="64"/>
      <c r="D1135" s="64"/>
      <c r="E1135" s="64"/>
      <c r="F1135" s="64">
        <v>47</v>
      </c>
      <c r="G1135" s="64">
        <f t="shared" ref="G1135:G1136" si="87">+F1135</f>
        <v>47</v>
      </c>
    </row>
    <row r="1136" spans="1:7" ht="14.25" hidden="1" customHeight="1">
      <c r="A1136" s="1827"/>
      <c r="B1136" s="1828"/>
      <c r="C1136" s="64"/>
      <c r="D1136" s="64"/>
      <c r="E1136" s="64"/>
      <c r="F1136" s="64"/>
      <c r="G1136" s="64">
        <f t="shared" si="87"/>
        <v>0</v>
      </c>
    </row>
    <row r="1137" spans="1:7" ht="14.25" hidden="1" customHeight="1">
      <c r="A1137" s="1829" t="s">
        <v>227</v>
      </c>
      <c r="B1137" s="1830"/>
      <c r="C1137" s="1830"/>
      <c r="D1137" s="1830"/>
      <c r="E1137" s="1830"/>
      <c r="F1137" s="1828"/>
      <c r="G1137" s="191">
        <f>SUM(G1135:G1136)</f>
        <v>47</v>
      </c>
    </row>
    <row r="1138" spans="1:7" ht="14.25" hidden="1" customHeight="1">
      <c r="A1138" s="1831"/>
      <c r="B1138" s="1830"/>
      <c r="C1138" s="1830"/>
      <c r="D1138" s="1830"/>
      <c r="E1138" s="1830"/>
      <c r="F1138" s="1830"/>
      <c r="G1138" s="1828"/>
    </row>
    <row r="1139" spans="1:7" ht="17.25" hidden="1" customHeight="1">
      <c r="A1139" s="66" t="str">
        <f>+A1131</f>
        <v>CAPITULO 8:</v>
      </c>
      <c r="B1139" s="1832" t="s">
        <v>260</v>
      </c>
      <c r="C1139" s="1830"/>
      <c r="D1139" s="1828"/>
      <c r="E1139" s="1833" t="s">
        <v>218</v>
      </c>
      <c r="F1139" s="1834"/>
      <c r="G1139" s="70" t="e">
        <f>+#REF!</f>
        <v>#REF!</v>
      </c>
    </row>
    <row r="1140" spans="1:7" ht="14.25" hidden="1" customHeight="1">
      <c r="A1140" s="66" t="s">
        <v>898</v>
      </c>
      <c r="B1140" s="1835" t="e">
        <f>+#REF!</f>
        <v>#REF!</v>
      </c>
      <c r="C1140" s="1621"/>
      <c r="D1140" s="1621"/>
      <c r="E1140" s="1621"/>
      <c r="F1140" s="1621"/>
      <c r="G1140" s="1622"/>
    </row>
    <row r="1141" spans="1:7" ht="14.25" hidden="1" customHeight="1">
      <c r="A1141" s="1836" t="s">
        <v>220</v>
      </c>
      <c r="B1141" s="1830"/>
      <c r="C1141" s="1830"/>
      <c r="D1141" s="1830"/>
      <c r="E1141" s="1830"/>
      <c r="F1141" s="1830"/>
      <c r="G1141" s="1828"/>
    </row>
    <row r="1142" spans="1:7" ht="14.25" hidden="1" customHeight="1">
      <c r="A1142" s="1829" t="s">
        <v>221</v>
      </c>
      <c r="B1142" s="1828"/>
      <c r="C1142" s="63" t="s">
        <v>222</v>
      </c>
      <c r="D1142" s="63" t="s">
        <v>252</v>
      </c>
      <c r="E1142" s="63" t="s">
        <v>224</v>
      </c>
      <c r="F1142" s="63" t="s">
        <v>225</v>
      </c>
      <c r="G1142" s="63" t="s">
        <v>226</v>
      </c>
    </row>
    <row r="1143" spans="1:7" ht="14.25" hidden="1" customHeight="1">
      <c r="A1143" s="1827" t="e">
        <f>+#REF!</f>
        <v>#REF!</v>
      </c>
      <c r="B1143" s="1828"/>
      <c r="C1143" s="64"/>
      <c r="D1143" s="64"/>
      <c r="E1143" s="64"/>
      <c r="F1143" s="64">
        <v>42.000000071427294</v>
      </c>
      <c r="G1143" s="64">
        <f t="shared" ref="G1143:G1144" si="88">+F1143</f>
        <v>42.000000071427294</v>
      </c>
    </row>
    <row r="1144" spans="1:7" ht="14.25" hidden="1" customHeight="1">
      <c r="A1144" s="1827"/>
      <c r="B1144" s="1828"/>
      <c r="C1144" s="64"/>
      <c r="D1144" s="64"/>
      <c r="E1144" s="64"/>
      <c r="F1144" s="64"/>
      <c r="G1144" s="64">
        <f t="shared" si="88"/>
        <v>0</v>
      </c>
    </row>
    <row r="1145" spans="1:7" ht="14.25" hidden="1" customHeight="1">
      <c r="A1145" s="1829" t="s">
        <v>227</v>
      </c>
      <c r="B1145" s="1830"/>
      <c r="C1145" s="1830"/>
      <c r="D1145" s="1830"/>
      <c r="E1145" s="1830"/>
      <c r="F1145" s="1828"/>
      <c r="G1145" s="191">
        <f>SUM(G1143:G1144)</f>
        <v>42.000000071427294</v>
      </c>
    </row>
    <row r="1146" spans="1:7" ht="14.25" hidden="1" customHeight="1">
      <c r="A1146" s="1831"/>
      <c r="B1146" s="1830"/>
      <c r="C1146" s="1830"/>
      <c r="D1146" s="1830"/>
      <c r="E1146" s="1830"/>
      <c r="F1146" s="1830"/>
      <c r="G1146" s="1828"/>
    </row>
    <row r="1147" spans="1:7" ht="14.25" hidden="1" customHeight="1">
      <c r="A1147" s="66" t="str">
        <f>+A1139</f>
        <v>CAPITULO 8:</v>
      </c>
      <c r="B1147" s="1832" t="s">
        <v>260</v>
      </c>
      <c r="C1147" s="1830"/>
      <c r="D1147" s="1828"/>
      <c r="E1147" s="1833" t="s">
        <v>218</v>
      </c>
      <c r="F1147" s="1834"/>
      <c r="G1147" s="70" t="s">
        <v>899</v>
      </c>
    </row>
    <row r="1148" spans="1:7" ht="14.25" hidden="1" customHeight="1">
      <c r="A1148" s="66" t="s">
        <v>900</v>
      </c>
      <c r="B1148" s="1835" t="e">
        <f>+#REF!</f>
        <v>#REF!</v>
      </c>
      <c r="C1148" s="1621"/>
      <c r="D1148" s="1621"/>
      <c r="E1148" s="1621"/>
      <c r="F1148" s="1621"/>
      <c r="G1148" s="1622"/>
    </row>
    <row r="1149" spans="1:7" ht="14.25" hidden="1" customHeight="1">
      <c r="A1149" s="1836" t="s">
        <v>220</v>
      </c>
      <c r="B1149" s="1830"/>
      <c r="C1149" s="1830"/>
      <c r="D1149" s="1830"/>
      <c r="E1149" s="1830"/>
      <c r="F1149" s="1830"/>
      <c r="G1149" s="1828"/>
    </row>
    <row r="1150" spans="1:7" ht="14.25" hidden="1" customHeight="1">
      <c r="A1150" s="1829" t="s">
        <v>221</v>
      </c>
      <c r="B1150" s="1828"/>
      <c r="C1150" s="63" t="s">
        <v>222</v>
      </c>
      <c r="D1150" s="63" t="s">
        <v>252</v>
      </c>
      <c r="E1150" s="63" t="s">
        <v>224</v>
      </c>
      <c r="F1150" s="63" t="s">
        <v>225</v>
      </c>
      <c r="G1150" s="63" t="s">
        <v>226</v>
      </c>
    </row>
    <row r="1151" spans="1:7" ht="14.25" hidden="1" customHeight="1">
      <c r="A1151" s="1827" t="e">
        <f>+#REF!</f>
        <v>#REF!</v>
      </c>
      <c r="B1151" s="1828"/>
      <c r="C1151" s="64"/>
      <c r="D1151" s="64"/>
      <c r="E1151" s="64"/>
      <c r="F1151" s="64">
        <v>4</v>
      </c>
      <c r="G1151" s="64">
        <f t="shared" ref="G1151:G1152" si="89">+F1151</f>
        <v>4</v>
      </c>
    </row>
    <row r="1152" spans="1:7" ht="14.25" hidden="1" customHeight="1">
      <c r="A1152" s="1827"/>
      <c r="B1152" s="1828"/>
      <c r="C1152" s="64"/>
      <c r="D1152" s="64"/>
      <c r="E1152" s="64"/>
      <c r="F1152" s="64"/>
      <c r="G1152" s="64">
        <f t="shared" si="89"/>
        <v>0</v>
      </c>
    </row>
    <row r="1153" spans="1:7" ht="14.25" hidden="1" customHeight="1">
      <c r="A1153" s="1829" t="s">
        <v>227</v>
      </c>
      <c r="B1153" s="1830"/>
      <c r="C1153" s="1830"/>
      <c r="D1153" s="1830"/>
      <c r="E1153" s="1830"/>
      <c r="F1153" s="1828"/>
      <c r="G1153" s="191">
        <f>SUM(G1151:G1152)</f>
        <v>4</v>
      </c>
    </row>
    <row r="1154" spans="1:7" ht="14.25" hidden="1" customHeight="1">
      <c r="A1154" s="1831"/>
      <c r="B1154" s="1830"/>
      <c r="C1154" s="1830"/>
      <c r="D1154" s="1830"/>
      <c r="E1154" s="1830"/>
      <c r="F1154" s="1830"/>
      <c r="G1154" s="1828"/>
    </row>
    <row r="1155" spans="1:7" ht="14.25" hidden="1" customHeight="1">
      <c r="A1155" s="66" t="str">
        <f>+A1147</f>
        <v>CAPITULO 8:</v>
      </c>
      <c r="B1155" s="1832" t="s">
        <v>260</v>
      </c>
      <c r="C1155" s="1830"/>
      <c r="D1155" s="1828"/>
      <c r="E1155" s="1833" t="s">
        <v>218</v>
      </c>
      <c r="F1155" s="1834"/>
      <c r="G1155" s="70" t="e">
        <f>+#REF!</f>
        <v>#REF!</v>
      </c>
    </row>
    <row r="1156" spans="1:7" ht="14.25" hidden="1" customHeight="1">
      <c r="A1156" s="66" t="s">
        <v>901</v>
      </c>
      <c r="B1156" s="1835" t="e">
        <f>+#REF!</f>
        <v>#REF!</v>
      </c>
      <c r="C1156" s="1621"/>
      <c r="D1156" s="1621"/>
      <c r="E1156" s="1621"/>
      <c r="F1156" s="1621"/>
      <c r="G1156" s="1622"/>
    </row>
    <row r="1157" spans="1:7" ht="14.25" hidden="1" customHeight="1">
      <c r="A1157" s="1836" t="s">
        <v>220</v>
      </c>
      <c r="B1157" s="1830"/>
      <c r="C1157" s="1830"/>
      <c r="D1157" s="1830"/>
      <c r="E1157" s="1830"/>
      <c r="F1157" s="1830"/>
      <c r="G1157" s="1828"/>
    </row>
    <row r="1158" spans="1:7" ht="14.25" hidden="1" customHeight="1">
      <c r="A1158" s="1829" t="s">
        <v>221</v>
      </c>
      <c r="B1158" s="1828"/>
      <c r="C1158" s="63" t="s">
        <v>222</v>
      </c>
      <c r="D1158" s="63" t="s">
        <v>252</v>
      </c>
      <c r="E1158" s="63" t="s">
        <v>224</v>
      </c>
      <c r="F1158" s="63" t="s">
        <v>225</v>
      </c>
      <c r="G1158" s="63" t="s">
        <v>226</v>
      </c>
    </row>
    <row r="1159" spans="1:7" ht="14.25" hidden="1" customHeight="1">
      <c r="A1159" s="1827" t="e">
        <f>+#REF!</f>
        <v>#REF!</v>
      </c>
      <c r="B1159" s="1828"/>
      <c r="C1159" s="64"/>
      <c r="D1159" s="64"/>
      <c r="E1159" s="64"/>
      <c r="F1159" s="64">
        <v>4</v>
      </c>
      <c r="G1159" s="64">
        <f t="shared" ref="G1159:G1160" si="90">+F1159</f>
        <v>4</v>
      </c>
    </row>
    <row r="1160" spans="1:7" ht="14.25" hidden="1" customHeight="1">
      <c r="A1160" s="1827"/>
      <c r="B1160" s="1828"/>
      <c r="C1160" s="64"/>
      <c r="D1160" s="64"/>
      <c r="E1160" s="64"/>
      <c r="F1160" s="64"/>
      <c r="G1160" s="64">
        <f t="shared" si="90"/>
        <v>0</v>
      </c>
    </row>
    <row r="1161" spans="1:7" ht="14.25" hidden="1" customHeight="1">
      <c r="A1161" s="1829" t="s">
        <v>227</v>
      </c>
      <c r="B1161" s="1830"/>
      <c r="C1161" s="1830"/>
      <c r="D1161" s="1830"/>
      <c r="E1161" s="1830"/>
      <c r="F1161" s="1828"/>
      <c r="G1161" s="191">
        <f>SUM(G1159:G1160)</f>
        <v>4</v>
      </c>
    </row>
    <row r="1162" spans="1:7" ht="14.25" hidden="1" customHeight="1">
      <c r="A1162" s="1831"/>
      <c r="B1162" s="1830"/>
      <c r="C1162" s="1830"/>
      <c r="D1162" s="1830"/>
      <c r="E1162" s="1830"/>
      <c r="F1162" s="1830"/>
      <c r="G1162" s="1828"/>
    </row>
    <row r="1163" spans="1:7" ht="14.25" hidden="1" customHeight="1">
      <c r="A1163" s="66" t="str">
        <f>+A1155</f>
        <v>CAPITULO 8:</v>
      </c>
      <c r="B1163" s="1832" t="s">
        <v>260</v>
      </c>
      <c r="C1163" s="1830"/>
      <c r="D1163" s="1828"/>
      <c r="E1163" s="1833" t="s">
        <v>218</v>
      </c>
      <c r="F1163" s="1834"/>
      <c r="G1163" s="70" t="e">
        <f>+#REF!</f>
        <v>#REF!</v>
      </c>
    </row>
    <row r="1164" spans="1:7" ht="14.25" hidden="1" customHeight="1">
      <c r="A1164" s="66" t="s">
        <v>902</v>
      </c>
      <c r="B1164" s="1835" t="e">
        <f>+#REF!</f>
        <v>#REF!</v>
      </c>
      <c r="C1164" s="1621"/>
      <c r="D1164" s="1621"/>
      <c r="E1164" s="1621"/>
      <c r="F1164" s="1621"/>
      <c r="G1164" s="1622"/>
    </row>
    <row r="1165" spans="1:7" ht="14.25" hidden="1" customHeight="1">
      <c r="A1165" s="1836" t="s">
        <v>220</v>
      </c>
      <c r="B1165" s="1830"/>
      <c r="C1165" s="1830"/>
      <c r="D1165" s="1830"/>
      <c r="E1165" s="1830"/>
      <c r="F1165" s="1830"/>
      <c r="G1165" s="1828"/>
    </row>
    <row r="1166" spans="1:7" ht="14.25" hidden="1" customHeight="1">
      <c r="A1166" s="1829" t="s">
        <v>221</v>
      </c>
      <c r="B1166" s="1828"/>
      <c r="C1166" s="63" t="s">
        <v>222</v>
      </c>
      <c r="D1166" s="63" t="s">
        <v>252</v>
      </c>
      <c r="E1166" s="63" t="s">
        <v>224</v>
      </c>
      <c r="F1166" s="63" t="s">
        <v>225</v>
      </c>
      <c r="G1166" s="63" t="s">
        <v>226</v>
      </c>
    </row>
    <row r="1167" spans="1:7" ht="14.25" hidden="1" customHeight="1">
      <c r="A1167" s="1827" t="s">
        <v>903</v>
      </c>
      <c r="B1167" s="1828"/>
      <c r="C1167" s="64"/>
      <c r="D1167" s="64"/>
      <c r="E1167" s="64"/>
      <c r="F1167" s="64">
        <v>6</v>
      </c>
      <c r="G1167" s="64">
        <f t="shared" ref="G1167:G1168" si="91">+F1167</f>
        <v>6</v>
      </c>
    </row>
    <row r="1168" spans="1:7" ht="14.25" hidden="1" customHeight="1">
      <c r="A1168" s="1827"/>
      <c r="B1168" s="1828"/>
      <c r="C1168" s="64"/>
      <c r="D1168" s="64"/>
      <c r="E1168" s="64"/>
      <c r="F1168" s="64"/>
      <c r="G1168" s="64">
        <f t="shared" si="91"/>
        <v>0</v>
      </c>
    </row>
    <row r="1169" spans="1:7" ht="14.25" hidden="1" customHeight="1">
      <c r="A1169" s="1829" t="s">
        <v>227</v>
      </c>
      <c r="B1169" s="1830"/>
      <c r="C1169" s="1830"/>
      <c r="D1169" s="1830"/>
      <c r="E1169" s="1830"/>
      <c r="F1169" s="1828"/>
      <c r="G1169" s="191">
        <f>SUM(G1167:G1168)</f>
        <v>6</v>
      </c>
    </row>
    <row r="1170" spans="1:7" ht="14.25" hidden="1" customHeight="1">
      <c r="A1170" s="1831"/>
      <c r="B1170" s="1830"/>
      <c r="C1170" s="1830"/>
      <c r="D1170" s="1830"/>
      <c r="E1170" s="1830"/>
      <c r="F1170" s="1830"/>
      <c r="G1170" s="1828"/>
    </row>
    <row r="1171" spans="1:7" ht="14.25" hidden="1" customHeight="1">
      <c r="A1171" s="66" t="str">
        <f>+A1163</f>
        <v>CAPITULO 8:</v>
      </c>
      <c r="B1171" s="1832" t="s">
        <v>260</v>
      </c>
      <c r="C1171" s="1830"/>
      <c r="D1171" s="1828"/>
      <c r="E1171" s="1833" t="s">
        <v>218</v>
      </c>
      <c r="F1171" s="1834"/>
      <c r="G1171" s="70" t="e">
        <f>+#REF!</f>
        <v>#REF!</v>
      </c>
    </row>
    <row r="1172" spans="1:7" ht="14.25" hidden="1" customHeight="1">
      <c r="A1172" s="66" t="s">
        <v>904</v>
      </c>
      <c r="B1172" s="1835" t="e">
        <f>+#REF!</f>
        <v>#REF!</v>
      </c>
      <c r="C1172" s="1621"/>
      <c r="D1172" s="1621"/>
      <c r="E1172" s="1621"/>
      <c r="F1172" s="1621"/>
      <c r="G1172" s="1622"/>
    </row>
    <row r="1173" spans="1:7" ht="14.25" hidden="1" customHeight="1">
      <c r="A1173" s="1836" t="s">
        <v>220</v>
      </c>
      <c r="B1173" s="1830"/>
      <c r="C1173" s="1830"/>
      <c r="D1173" s="1830"/>
      <c r="E1173" s="1830"/>
      <c r="F1173" s="1830"/>
      <c r="G1173" s="1828"/>
    </row>
    <row r="1174" spans="1:7" ht="14.25" hidden="1" customHeight="1">
      <c r="A1174" s="1829" t="s">
        <v>221</v>
      </c>
      <c r="B1174" s="1828"/>
      <c r="C1174" s="63" t="s">
        <v>222</v>
      </c>
      <c r="D1174" s="63" t="s">
        <v>252</v>
      </c>
      <c r="E1174" s="63" t="s">
        <v>224</v>
      </c>
      <c r="F1174" s="63" t="s">
        <v>225</v>
      </c>
      <c r="G1174" s="63" t="s">
        <v>226</v>
      </c>
    </row>
    <row r="1175" spans="1:7" ht="14.25" hidden="1" customHeight="1">
      <c r="A1175" s="1827" t="s">
        <v>903</v>
      </c>
      <c r="B1175" s="1828"/>
      <c r="C1175" s="64"/>
      <c r="D1175" s="64"/>
      <c r="E1175" s="64"/>
      <c r="F1175" s="64">
        <v>2</v>
      </c>
      <c r="G1175" s="64">
        <f t="shared" ref="G1175:G1176" si="92">+F1175</f>
        <v>2</v>
      </c>
    </row>
    <row r="1176" spans="1:7" ht="14.25" hidden="1" customHeight="1">
      <c r="A1176" s="1827"/>
      <c r="B1176" s="1828"/>
      <c r="C1176" s="64"/>
      <c r="D1176" s="64"/>
      <c r="E1176" s="64"/>
      <c r="F1176" s="64"/>
      <c r="G1176" s="64">
        <f t="shared" si="92"/>
        <v>0</v>
      </c>
    </row>
    <row r="1177" spans="1:7" ht="14.25" hidden="1" customHeight="1">
      <c r="A1177" s="1829" t="s">
        <v>227</v>
      </c>
      <c r="B1177" s="1830"/>
      <c r="C1177" s="1830"/>
      <c r="D1177" s="1830"/>
      <c r="E1177" s="1830"/>
      <c r="F1177" s="1828"/>
      <c r="G1177" s="191">
        <f>SUM(G1175:G1176)</f>
        <v>2</v>
      </c>
    </row>
    <row r="1178" spans="1:7" ht="14.25" hidden="1" customHeight="1">
      <c r="A1178" s="1831"/>
      <c r="B1178" s="1830"/>
      <c r="C1178" s="1830"/>
      <c r="D1178" s="1830"/>
      <c r="E1178" s="1830"/>
      <c r="F1178" s="1830"/>
      <c r="G1178" s="1828"/>
    </row>
    <row r="1179" spans="1:7" ht="14.25" hidden="1" customHeight="1">
      <c r="A1179" s="66" t="str">
        <f>+A1171</f>
        <v>CAPITULO 8:</v>
      </c>
      <c r="B1179" s="1832" t="s">
        <v>260</v>
      </c>
      <c r="C1179" s="1830"/>
      <c r="D1179" s="1828"/>
      <c r="E1179" s="1833" t="s">
        <v>218</v>
      </c>
      <c r="F1179" s="1834"/>
      <c r="G1179" s="70" t="e">
        <f>+#REF!</f>
        <v>#REF!</v>
      </c>
    </row>
    <row r="1180" spans="1:7" ht="14.25" hidden="1" customHeight="1">
      <c r="A1180" s="66" t="s">
        <v>905</v>
      </c>
      <c r="B1180" s="1835" t="e">
        <f>+#REF!</f>
        <v>#REF!</v>
      </c>
      <c r="C1180" s="1621"/>
      <c r="D1180" s="1621"/>
      <c r="E1180" s="1621"/>
      <c r="F1180" s="1621"/>
      <c r="G1180" s="1622"/>
    </row>
    <row r="1181" spans="1:7" ht="14.25" hidden="1" customHeight="1">
      <c r="A1181" s="1836" t="s">
        <v>220</v>
      </c>
      <c r="B1181" s="1830"/>
      <c r="C1181" s="1830"/>
      <c r="D1181" s="1830"/>
      <c r="E1181" s="1830"/>
      <c r="F1181" s="1830"/>
      <c r="G1181" s="1828"/>
    </row>
    <row r="1182" spans="1:7" ht="14.25" hidden="1" customHeight="1">
      <c r="A1182" s="1829" t="s">
        <v>221</v>
      </c>
      <c r="B1182" s="1828"/>
      <c r="C1182" s="63" t="s">
        <v>222</v>
      </c>
      <c r="D1182" s="63" t="s">
        <v>252</v>
      </c>
      <c r="E1182" s="63" t="s">
        <v>224</v>
      </c>
      <c r="F1182" s="63" t="s">
        <v>225</v>
      </c>
      <c r="G1182" s="63" t="s">
        <v>226</v>
      </c>
    </row>
    <row r="1183" spans="1:7" ht="14.25" hidden="1" customHeight="1">
      <c r="A1183" s="1827" t="s">
        <v>906</v>
      </c>
      <c r="B1183" s="1828"/>
      <c r="C1183" s="64"/>
      <c r="D1183" s="64"/>
      <c r="E1183" s="64"/>
      <c r="F1183" s="64">
        <v>1</v>
      </c>
      <c r="G1183" s="64">
        <f t="shared" ref="G1183:G1184" si="93">+F1183</f>
        <v>1</v>
      </c>
    </row>
    <row r="1184" spans="1:7" ht="14.25" hidden="1" customHeight="1">
      <c r="A1184" s="1827"/>
      <c r="B1184" s="1828"/>
      <c r="C1184" s="64"/>
      <c r="D1184" s="64"/>
      <c r="E1184" s="64"/>
      <c r="F1184" s="64"/>
      <c r="G1184" s="64">
        <f t="shared" si="93"/>
        <v>0</v>
      </c>
    </row>
    <row r="1185" spans="1:7" ht="14.25" hidden="1" customHeight="1">
      <c r="A1185" s="1829" t="s">
        <v>227</v>
      </c>
      <c r="B1185" s="1830"/>
      <c r="C1185" s="1830"/>
      <c r="D1185" s="1830"/>
      <c r="E1185" s="1830"/>
      <c r="F1185" s="1828"/>
      <c r="G1185" s="191">
        <f>SUM(G1183:G1184)</f>
        <v>1</v>
      </c>
    </row>
    <row r="1186" spans="1:7" ht="14.25" hidden="1" customHeight="1">
      <c r="A1186" s="1831"/>
      <c r="B1186" s="1830"/>
      <c r="C1186" s="1830"/>
      <c r="D1186" s="1830"/>
      <c r="E1186" s="1830"/>
      <c r="F1186" s="1830"/>
      <c r="G1186" s="1828"/>
    </row>
    <row r="1187" spans="1:7" ht="14.25" hidden="1" customHeight="1">
      <c r="A1187" s="66" t="str">
        <f>+A1179</f>
        <v>CAPITULO 8:</v>
      </c>
      <c r="B1187" s="1832" t="s">
        <v>260</v>
      </c>
      <c r="C1187" s="1830"/>
      <c r="D1187" s="1828"/>
      <c r="E1187" s="1833" t="s">
        <v>218</v>
      </c>
      <c r="F1187" s="1834"/>
      <c r="G1187" s="70" t="e">
        <f>+#REF!</f>
        <v>#REF!</v>
      </c>
    </row>
    <row r="1188" spans="1:7" ht="14.25" hidden="1" customHeight="1">
      <c r="A1188" s="66" t="s">
        <v>907</v>
      </c>
      <c r="B1188" s="1835" t="e">
        <f>+#REF!</f>
        <v>#REF!</v>
      </c>
      <c r="C1188" s="1621"/>
      <c r="D1188" s="1621"/>
      <c r="E1188" s="1621"/>
      <c r="F1188" s="1621"/>
      <c r="G1188" s="1622"/>
    </row>
    <row r="1189" spans="1:7" ht="14.25" hidden="1" customHeight="1">
      <c r="A1189" s="1836" t="s">
        <v>220</v>
      </c>
      <c r="B1189" s="1830"/>
      <c r="C1189" s="1830"/>
      <c r="D1189" s="1830"/>
      <c r="E1189" s="1830"/>
      <c r="F1189" s="1830"/>
      <c r="G1189" s="1828"/>
    </row>
    <row r="1190" spans="1:7" ht="14.25" hidden="1" customHeight="1">
      <c r="A1190" s="1829" t="s">
        <v>221</v>
      </c>
      <c r="B1190" s="1828"/>
      <c r="C1190" s="63" t="s">
        <v>222</v>
      </c>
      <c r="D1190" s="63" t="s">
        <v>252</v>
      </c>
      <c r="E1190" s="63" t="s">
        <v>224</v>
      </c>
      <c r="F1190" s="63" t="s">
        <v>225</v>
      </c>
      <c r="G1190" s="63" t="s">
        <v>226</v>
      </c>
    </row>
    <row r="1191" spans="1:7" ht="14.25" hidden="1" customHeight="1">
      <c r="A1191" s="1827" t="s">
        <v>906</v>
      </c>
      <c r="B1191" s="1828"/>
      <c r="C1191" s="64"/>
      <c r="D1191" s="64"/>
      <c r="E1191" s="64"/>
      <c r="F1191" s="64">
        <v>1</v>
      </c>
      <c r="G1191" s="64">
        <f t="shared" ref="G1191:G1192" si="94">+F1191</f>
        <v>1</v>
      </c>
    </row>
    <row r="1192" spans="1:7" ht="14.25" hidden="1" customHeight="1">
      <c r="A1192" s="1827"/>
      <c r="B1192" s="1828"/>
      <c r="C1192" s="64"/>
      <c r="D1192" s="64"/>
      <c r="E1192" s="64"/>
      <c r="F1192" s="64"/>
      <c r="G1192" s="64">
        <f t="shared" si="94"/>
        <v>0</v>
      </c>
    </row>
    <row r="1193" spans="1:7" ht="14.25" hidden="1" customHeight="1">
      <c r="A1193" s="1829" t="s">
        <v>227</v>
      </c>
      <c r="B1193" s="1830"/>
      <c r="C1193" s="1830"/>
      <c r="D1193" s="1830"/>
      <c r="E1193" s="1830"/>
      <c r="F1193" s="1828"/>
      <c r="G1193" s="191">
        <f>SUM(G1191:G1192)</f>
        <v>1</v>
      </c>
    </row>
    <row r="1194" spans="1:7" ht="14.25" hidden="1" customHeight="1">
      <c r="A1194" s="1831"/>
      <c r="B1194" s="1830"/>
      <c r="C1194" s="1830"/>
      <c r="D1194" s="1830"/>
      <c r="E1194" s="1830"/>
      <c r="F1194" s="1830"/>
      <c r="G1194" s="1828"/>
    </row>
    <row r="1195" spans="1:7" ht="14.25" hidden="1" customHeight="1">
      <c r="A1195" s="66" t="str">
        <f>+A1187</f>
        <v>CAPITULO 8:</v>
      </c>
      <c r="B1195" s="1832" t="s">
        <v>260</v>
      </c>
      <c r="C1195" s="1830"/>
      <c r="D1195" s="1828"/>
      <c r="E1195" s="1833" t="s">
        <v>218</v>
      </c>
      <c r="F1195" s="1834"/>
      <c r="G1195" s="70" t="e">
        <f>+#REF!</f>
        <v>#REF!</v>
      </c>
    </row>
    <row r="1196" spans="1:7" ht="14.25" hidden="1" customHeight="1">
      <c r="A1196" s="66" t="s">
        <v>908</v>
      </c>
      <c r="B1196" s="1835" t="e">
        <f>+#REF!</f>
        <v>#REF!</v>
      </c>
      <c r="C1196" s="1621"/>
      <c r="D1196" s="1621"/>
      <c r="E1196" s="1621"/>
      <c r="F1196" s="1621"/>
      <c r="G1196" s="1622"/>
    </row>
    <row r="1197" spans="1:7" ht="14.25" hidden="1" customHeight="1">
      <c r="A1197" s="1836" t="s">
        <v>220</v>
      </c>
      <c r="B1197" s="1830"/>
      <c r="C1197" s="1830"/>
      <c r="D1197" s="1830"/>
      <c r="E1197" s="1830"/>
      <c r="F1197" s="1830"/>
      <c r="G1197" s="1828"/>
    </row>
    <row r="1198" spans="1:7" ht="14.25" hidden="1" customHeight="1">
      <c r="A1198" s="1829" t="s">
        <v>221</v>
      </c>
      <c r="B1198" s="1828"/>
      <c r="C1198" s="63" t="s">
        <v>222</v>
      </c>
      <c r="D1198" s="63" t="s">
        <v>252</v>
      </c>
      <c r="E1198" s="63" t="s">
        <v>224</v>
      </c>
      <c r="F1198" s="63" t="s">
        <v>225</v>
      </c>
      <c r="G1198" s="63" t="s">
        <v>226</v>
      </c>
    </row>
    <row r="1199" spans="1:7" ht="14.25" hidden="1" customHeight="1">
      <c r="A1199" s="1827" t="s">
        <v>906</v>
      </c>
      <c r="B1199" s="1828"/>
      <c r="C1199" s="64"/>
      <c r="D1199" s="64"/>
      <c r="E1199" s="64"/>
      <c r="F1199" s="64">
        <v>1</v>
      </c>
      <c r="G1199" s="64">
        <f t="shared" ref="G1199:G1200" si="95">+F1199</f>
        <v>1</v>
      </c>
    </row>
    <row r="1200" spans="1:7" ht="14.25" hidden="1" customHeight="1">
      <c r="A1200" s="1827"/>
      <c r="B1200" s="1828"/>
      <c r="C1200" s="64"/>
      <c r="D1200" s="64"/>
      <c r="E1200" s="64"/>
      <c r="F1200" s="64"/>
      <c r="G1200" s="64">
        <f t="shared" si="95"/>
        <v>0</v>
      </c>
    </row>
    <row r="1201" spans="1:7" ht="14.25" hidden="1" customHeight="1">
      <c r="A1201" s="1829" t="s">
        <v>227</v>
      </c>
      <c r="B1201" s="1830"/>
      <c r="C1201" s="1830"/>
      <c r="D1201" s="1830"/>
      <c r="E1201" s="1830"/>
      <c r="F1201" s="1828"/>
      <c r="G1201" s="191">
        <f>SUM(G1199:G1200)</f>
        <v>1</v>
      </c>
    </row>
    <row r="1202" spans="1:7" ht="14.25" hidden="1" customHeight="1">
      <c r="A1202" s="1831"/>
      <c r="B1202" s="1830"/>
      <c r="C1202" s="1830"/>
      <c r="D1202" s="1830"/>
      <c r="E1202" s="1830"/>
      <c r="F1202" s="1830"/>
      <c r="G1202" s="1828"/>
    </row>
    <row r="1203" spans="1:7" ht="14.25" hidden="1" customHeight="1">
      <c r="A1203" s="66" t="str">
        <f>+A1195</f>
        <v>CAPITULO 8:</v>
      </c>
      <c r="B1203" s="1832" t="s">
        <v>260</v>
      </c>
      <c r="C1203" s="1830"/>
      <c r="D1203" s="1828"/>
      <c r="E1203" s="1833" t="s">
        <v>218</v>
      </c>
      <c r="F1203" s="1834"/>
      <c r="G1203" s="70" t="s">
        <v>899</v>
      </c>
    </row>
    <row r="1204" spans="1:7" ht="14.25" hidden="1" customHeight="1">
      <c r="A1204" s="66" t="s">
        <v>909</v>
      </c>
      <c r="B1204" s="1835" t="e">
        <f>+#REF!</f>
        <v>#REF!</v>
      </c>
      <c r="C1204" s="1621"/>
      <c r="D1204" s="1621"/>
      <c r="E1204" s="1621"/>
      <c r="F1204" s="1621"/>
      <c r="G1204" s="1622"/>
    </row>
    <row r="1205" spans="1:7" ht="14.25" hidden="1" customHeight="1">
      <c r="A1205" s="1836" t="s">
        <v>220</v>
      </c>
      <c r="B1205" s="1830"/>
      <c r="C1205" s="1830"/>
      <c r="D1205" s="1830"/>
      <c r="E1205" s="1830"/>
      <c r="F1205" s="1830"/>
      <c r="G1205" s="1828"/>
    </row>
    <row r="1206" spans="1:7" ht="14.25" hidden="1" customHeight="1">
      <c r="A1206" s="1829" t="s">
        <v>221</v>
      </c>
      <c r="B1206" s="1828"/>
      <c r="C1206" s="63" t="s">
        <v>222</v>
      </c>
      <c r="D1206" s="63" t="s">
        <v>252</v>
      </c>
      <c r="E1206" s="63" t="s">
        <v>224</v>
      </c>
      <c r="F1206" s="63" t="s">
        <v>225</v>
      </c>
      <c r="G1206" s="63" t="s">
        <v>226</v>
      </c>
    </row>
    <row r="1207" spans="1:7" ht="14.25" hidden="1" customHeight="1">
      <c r="A1207" s="1827" t="s">
        <v>906</v>
      </c>
      <c r="B1207" s="1828"/>
      <c r="C1207" s="64"/>
      <c r="D1207" s="64"/>
      <c r="E1207" s="64"/>
      <c r="F1207" s="64">
        <v>45</v>
      </c>
      <c r="G1207" s="64">
        <f t="shared" ref="G1207:G1208" si="96">+F1207</f>
        <v>45</v>
      </c>
    </row>
    <row r="1208" spans="1:7" ht="14.25" hidden="1" customHeight="1">
      <c r="A1208" s="1827"/>
      <c r="B1208" s="1828"/>
      <c r="C1208" s="64"/>
      <c r="D1208" s="64"/>
      <c r="E1208" s="64"/>
      <c r="F1208" s="64"/>
      <c r="G1208" s="64">
        <f t="shared" si="96"/>
        <v>0</v>
      </c>
    </row>
    <row r="1209" spans="1:7" ht="14.25" hidden="1" customHeight="1">
      <c r="A1209" s="1829" t="s">
        <v>227</v>
      </c>
      <c r="B1209" s="1830"/>
      <c r="C1209" s="1830"/>
      <c r="D1209" s="1830"/>
      <c r="E1209" s="1830"/>
      <c r="F1209" s="1828"/>
      <c r="G1209" s="191">
        <f>SUM(G1207:G1208)</f>
        <v>45</v>
      </c>
    </row>
    <row r="1210" spans="1:7" ht="14.25" hidden="1" customHeight="1">
      <c r="A1210" s="1831"/>
      <c r="B1210" s="1830"/>
      <c r="C1210" s="1830"/>
      <c r="D1210" s="1830"/>
      <c r="E1210" s="1830"/>
      <c r="F1210" s="1830"/>
      <c r="G1210" s="1828"/>
    </row>
    <row r="1211" spans="1:7" ht="14.25" hidden="1" customHeight="1">
      <c r="A1211" s="66" t="str">
        <f>+A1203</f>
        <v>CAPITULO 8:</v>
      </c>
      <c r="B1211" s="1832" t="s">
        <v>260</v>
      </c>
      <c r="C1211" s="1830"/>
      <c r="D1211" s="1828"/>
      <c r="E1211" s="1833" t="s">
        <v>218</v>
      </c>
      <c r="F1211" s="1834"/>
      <c r="G1211" s="70" t="s">
        <v>910</v>
      </c>
    </row>
    <row r="1212" spans="1:7" ht="14.25" hidden="1" customHeight="1">
      <c r="A1212" s="66" t="s">
        <v>911</v>
      </c>
      <c r="B1212" s="1835" t="e">
        <f>+#REF!</f>
        <v>#REF!</v>
      </c>
      <c r="C1212" s="1621"/>
      <c r="D1212" s="1621"/>
      <c r="E1212" s="1621"/>
      <c r="F1212" s="1621"/>
      <c r="G1212" s="1622"/>
    </row>
    <row r="1213" spans="1:7" ht="14.25" hidden="1" customHeight="1">
      <c r="A1213" s="1836" t="s">
        <v>220</v>
      </c>
      <c r="B1213" s="1830"/>
      <c r="C1213" s="1830"/>
      <c r="D1213" s="1830"/>
      <c r="E1213" s="1830"/>
      <c r="F1213" s="1830"/>
      <c r="G1213" s="1828"/>
    </row>
    <row r="1214" spans="1:7" ht="14.25" hidden="1" customHeight="1">
      <c r="A1214" s="1829" t="s">
        <v>221</v>
      </c>
      <c r="B1214" s="1828"/>
      <c r="C1214" s="63" t="s">
        <v>222</v>
      </c>
      <c r="D1214" s="63" t="s">
        <v>252</v>
      </c>
      <c r="E1214" s="63" t="s">
        <v>224</v>
      </c>
      <c r="F1214" s="63" t="s">
        <v>225</v>
      </c>
      <c r="G1214" s="63" t="s">
        <v>226</v>
      </c>
    </row>
    <row r="1215" spans="1:7" ht="14.25" hidden="1" customHeight="1">
      <c r="A1215" s="1827" t="s">
        <v>906</v>
      </c>
      <c r="B1215" s="1828"/>
      <c r="C1215" s="64"/>
      <c r="D1215" s="64"/>
      <c r="E1215" s="64"/>
      <c r="F1215" s="64">
        <v>1</v>
      </c>
      <c r="G1215" s="64">
        <f t="shared" ref="G1215:G1216" si="97">+F1215</f>
        <v>1</v>
      </c>
    </row>
    <row r="1216" spans="1:7" ht="14.25" hidden="1" customHeight="1">
      <c r="A1216" s="1827"/>
      <c r="B1216" s="1828"/>
      <c r="C1216" s="64"/>
      <c r="D1216" s="64"/>
      <c r="E1216" s="64"/>
      <c r="F1216" s="64"/>
      <c r="G1216" s="64">
        <f t="shared" si="97"/>
        <v>0</v>
      </c>
    </row>
    <row r="1217" spans="1:7" ht="14.25" hidden="1" customHeight="1">
      <c r="A1217" s="1829" t="s">
        <v>227</v>
      </c>
      <c r="B1217" s="1830"/>
      <c r="C1217" s="1830"/>
      <c r="D1217" s="1830"/>
      <c r="E1217" s="1830"/>
      <c r="F1217" s="1828"/>
      <c r="G1217" s="191">
        <f>SUM(G1215:G1216)</f>
        <v>1</v>
      </c>
    </row>
    <row r="1218" spans="1:7" ht="14.25" hidden="1" customHeight="1">
      <c r="A1218" s="1831"/>
      <c r="B1218" s="1830"/>
      <c r="C1218" s="1830"/>
      <c r="D1218" s="1830"/>
      <c r="E1218" s="1830"/>
      <c r="F1218" s="1830"/>
      <c r="G1218" s="1828"/>
    </row>
    <row r="1219" spans="1:7" ht="14.25" hidden="1" customHeight="1">
      <c r="A1219" s="66" t="str">
        <f>+A1211</f>
        <v>CAPITULO 8:</v>
      </c>
      <c r="B1219" s="1832" t="s">
        <v>260</v>
      </c>
      <c r="C1219" s="1830"/>
      <c r="D1219" s="1828"/>
      <c r="E1219" s="1833" t="s">
        <v>218</v>
      </c>
      <c r="F1219" s="1834"/>
      <c r="G1219" s="70" t="e">
        <f>+#REF!</f>
        <v>#REF!</v>
      </c>
    </row>
    <row r="1220" spans="1:7" ht="14.25" hidden="1" customHeight="1">
      <c r="A1220" s="66" t="s">
        <v>912</v>
      </c>
      <c r="B1220" s="1835" t="e">
        <f>+#REF!</f>
        <v>#REF!</v>
      </c>
      <c r="C1220" s="1621"/>
      <c r="D1220" s="1621"/>
      <c r="E1220" s="1621"/>
      <c r="F1220" s="1621"/>
      <c r="G1220" s="1622"/>
    </row>
    <row r="1221" spans="1:7" ht="14.25" hidden="1" customHeight="1">
      <c r="A1221" s="1836" t="s">
        <v>220</v>
      </c>
      <c r="B1221" s="1830"/>
      <c r="C1221" s="1830"/>
      <c r="D1221" s="1830"/>
      <c r="E1221" s="1830"/>
      <c r="F1221" s="1830"/>
      <c r="G1221" s="1828"/>
    </row>
    <row r="1222" spans="1:7" ht="14.25" hidden="1" customHeight="1">
      <c r="A1222" s="1829" t="s">
        <v>221</v>
      </c>
      <c r="B1222" s="1828"/>
      <c r="C1222" s="63" t="s">
        <v>222</v>
      </c>
      <c r="D1222" s="63" t="s">
        <v>252</v>
      </c>
      <c r="E1222" s="63" t="s">
        <v>224</v>
      </c>
      <c r="F1222" s="63" t="s">
        <v>225</v>
      </c>
      <c r="G1222" s="63" t="s">
        <v>226</v>
      </c>
    </row>
    <row r="1223" spans="1:7" ht="14.25" hidden="1" customHeight="1">
      <c r="A1223" s="1827" t="s">
        <v>906</v>
      </c>
      <c r="B1223" s="1828"/>
      <c r="C1223" s="64"/>
      <c r="D1223" s="64"/>
      <c r="E1223" s="64"/>
      <c r="F1223" s="64">
        <v>1</v>
      </c>
      <c r="G1223" s="64">
        <f t="shared" ref="G1223:G1224" si="98">+F1223</f>
        <v>1</v>
      </c>
    </row>
    <row r="1224" spans="1:7" ht="14.25" hidden="1" customHeight="1">
      <c r="A1224" s="1827"/>
      <c r="B1224" s="1828"/>
      <c r="C1224" s="64"/>
      <c r="D1224" s="64"/>
      <c r="E1224" s="64"/>
      <c r="F1224" s="64"/>
      <c r="G1224" s="64">
        <f t="shared" si="98"/>
        <v>0</v>
      </c>
    </row>
    <row r="1225" spans="1:7" ht="14.25" hidden="1" customHeight="1">
      <c r="A1225" s="1829" t="s">
        <v>227</v>
      </c>
      <c r="B1225" s="1830"/>
      <c r="C1225" s="1830"/>
      <c r="D1225" s="1830"/>
      <c r="E1225" s="1830"/>
      <c r="F1225" s="1828"/>
      <c r="G1225" s="191">
        <f>SUM(G1223:G1224)</f>
        <v>1</v>
      </c>
    </row>
    <row r="1226" spans="1:7" ht="14.25" hidden="1" customHeight="1">
      <c r="A1226" s="1831"/>
      <c r="B1226" s="1830"/>
      <c r="C1226" s="1830"/>
      <c r="D1226" s="1830"/>
      <c r="E1226" s="1830"/>
      <c r="F1226" s="1830"/>
      <c r="G1226" s="1828"/>
    </row>
    <row r="1227" spans="1:7" ht="14.25" hidden="1" customHeight="1">
      <c r="A1227" s="66" t="str">
        <f>+A1219</f>
        <v>CAPITULO 8:</v>
      </c>
      <c r="B1227" s="1832" t="s">
        <v>260</v>
      </c>
      <c r="C1227" s="1830"/>
      <c r="D1227" s="1828"/>
      <c r="E1227" s="1833" t="s">
        <v>218</v>
      </c>
      <c r="F1227" s="1834"/>
      <c r="G1227" s="70" t="e">
        <f>+#REF!</f>
        <v>#REF!</v>
      </c>
    </row>
    <row r="1228" spans="1:7" ht="14.25" hidden="1" customHeight="1">
      <c r="A1228" s="66" t="s">
        <v>913</v>
      </c>
      <c r="B1228" s="1835" t="e">
        <f>+#REF!</f>
        <v>#REF!</v>
      </c>
      <c r="C1228" s="1621"/>
      <c r="D1228" s="1621"/>
      <c r="E1228" s="1621"/>
      <c r="F1228" s="1621"/>
      <c r="G1228" s="1622"/>
    </row>
    <row r="1229" spans="1:7" ht="14.25" hidden="1" customHeight="1">
      <c r="A1229" s="1836" t="s">
        <v>220</v>
      </c>
      <c r="B1229" s="1830"/>
      <c r="C1229" s="1830"/>
      <c r="D1229" s="1830"/>
      <c r="E1229" s="1830"/>
      <c r="F1229" s="1830"/>
      <c r="G1229" s="1828"/>
    </row>
    <row r="1230" spans="1:7" ht="14.25" hidden="1" customHeight="1">
      <c r="A1230" s="1829" t="s">
        <v>221</v>
      </c>
      <c r="B1230" s="1828"/>
      <c r="C1230" s="63" t="s">
        <v>222</v>
      </c>
      <c r="D1230" s="63" t="s">
        <v>252</v>
      </c>
      <c r="E1230" s="63" t="s">
        <v>224</v>
      </c>
      <c r="F1230" s="63" t="s">
        <v>225</v>
      </c>
      <c r="G1230" s="63" t="s">
        <v>226</v>
      </c>
    </row>
    <row r="1231" spans="1:7" ht="14.25" hidden="1" customHeight="1">
      <c r="A1231" s="1827" t="s">
        <v>906</v>
      </c>
      <c r="B1231" s="1828"/>
      <c r="C1231" s="64"/>
      <c r="D1231" s="64"/>
      <c r="E1231" s="64"/>
      <c r="F1231" s="64">
        <v>12</v>
      </c>
      <c r="G1231" s="64">
        <f t="shared" ref="G1231:G1232" si="99">+F1231</f>
        <v>12</v>
      </c>
    </row>
    <row r="1232" spans="1:7" ht="14.25" hidden="1" customHeight="1">
      <c r="A1232" s="1827"/>
      <c r="B1232" s="1828"/>
      <c r="C1232" s="64"/>
      <c r="D1232" s="64"/>
      <c r="E1232" s="64"/>
      <c r="F1232" s="64"/>
      <c r="G1232" s="64">
        <f t="shared" si="99"/>
        <v>0</v>
      </c>
    </row>
    <row r="1233" spans="1:7" ht="14.25" hidden="1" customHeight="1">
      <c r="A1233" s="1829" t="s">
        <v>227</v>
      </c>
      <c r="B1233" s="1830"/>
      <c r="C1233" s="1830"/>
      <c r="D1233" s="1830"/>
      <c r="E1233" s="1830"/>
      <c r="F1233" s="1828"/>
      <c r="G1233" s="191">
        <f>SUM(G1231:G1232)</f>
        <v>12</v>
      </c>
    </row>
    <row r="1234" spans="1:7" ht="14.25" hidden="1" customHeight="1">
      <c r="A1234" s="1831"/>
      <c r="B1234" s="1830"/>
      <c r="C1234" s="1830"/>
      <c r="D1234" s="1830"/>
      <c r="E1234" s="1830"/>
      <c r="F1234" s="1830"/>
      <c r="G1234" s="1828"/>
    </row>
    <row r="1235" spans="1:7" ht="14.25" hidden="1" customHeight="1">
      <c r="A1235" s="66" t="s">
        <v>914</v>
      </c>
      <c r="B1235" s="1832" t="e">
        <f>+#REF!</f>
        <v>#REF!</v>
      </c>
      <c r="C1235" s="1830"/>
      <c r="D1235" s="1828"/>
      <c r="E1235" s="1833" t="s">
        <v>218</v>
      </c>
      <c r="F1235" s="1834"/>
      <c r="G1235" s="70" t="e">
        <f>+#REF!</f>
        <v>#REF!</v>
      </c>
    </row>
    <row r="1236" spans="1:7" ht="27" hidden="1" customHeight="1">
      <c r="A1236" s="66" t="s">
        <v>915</v>
      </c>
      <c r="B1236" s="1863" t="e">
        <f>+#REF!</f>
        <v>#REF!</v>
      </c>
      <c r="C1236" s="1621"/>
      <c r="D1236" s="1621"/>
      <c r="E1236" s="1621"/>
      <c r="F1236" s="1621"/>
      <c r="G1236" s="1622"/>
    </row>
    <row r="1237" spans="1:7" ht="14.25" hidden="1" customHeight="1">
      <c r="A1237" s="1836" t="s">
        <v>220</v>
      </c>
      <c r="B1237" s="1830"/>
      <c r="C1237" s="1830"/>
      <c r="D1237" s="1830"/>
      <c r="E1237" s="1830"/>
      <c r="F1237" s="1830"/>
      <c r="G1237" s="1828"/>
    </row>
    <row r="1238" spans="1:7" ht="14.25" hidden="1" customHeight="1">
      <c r="A1238" s="1829" t="s">
        <v>221</v>
      </c>
      <c r="B1238" s="1828"/>
      <c r="C1238" s="63" t="s">
        <v>222</v>
      </c>
      <c r="D1238" s="63" t="s">
        <v>252</v>
      </c>
      <c r="E1238" s="63" t="s">
        <v>224</v>
      </c>
      <c r="F1238" s="63" t="s">
        <v>225</v>
      </c>
      <c r="G1238" s="63" t="s">
        <v>226</v>
      </c>
    </row>
    <row r="1239" spans="1:7" ht="14.25" hidden="1" customHeight="1">
      <c r="A1239" s="1827" t="s">
        <v>916</v>
      </c>
      <c r="B1239" s="1828"/>
      <c r="C1239" s="64">
        <v>1</v>
      </c>
      <c r="D1239" s="64">
        <v>1</v>
      </c>
      <c r="E1239" s="64"/>
      <c r="F1239" s="64"/>
      <c r="G1239" s="64">
        <f>++ROUND(D1239*C1239,2)</f>
        <v>1</v>
      </c>
    </row>
    <row r="1240" spans="1:7" ht="14.25" hidden="1" customHeight="1">
      <c r="A1240" s="1827"/>
      <c r="B1240" s="1828"/>
      <c r="C1240" s="64"/>
      <c r="D1240" s="64"/>
      <c r="E1240" s="64"/>
      <c r="F1240" s="64"/>
      <c r="G1240" s="64">
        <f>+F1240</f>
        <v>0</v>
      </c>
    </row>
    <row r="1241" spans="1:7" ht="14.25" hidden="1" customHeight="1">
      <c r="A1241" s="1829" t="s">
        <v>227</v>
      </c>
      <c r="B1241" s="1830"/>
      <c r="C1241" s="1830"/>
      <c r="D1241" s="1830"/>
      <c r="E1241" s="1830"/>
      <c r="F1241" s="1828"/>
      <c r="G1241" s="65">
        <f>SUM(G1239:G1240)</f>
        <v>1</v>
      </c>
    </row>
    <row r="1242" spans="1:7" ht="14.25" hidden="1" customHeight="1">
      <c r="A1242" s="1831"/>
      <c r="B1242" s="1830"/>
      <c r="C1242" s="1830"/>
      <c r="D1242" s="1830"/>
      <c r="E1242" s="1830"/>
      <c r="F1242" s="1830"/>
      <c r="G1242" s="1828"/>
    </row>
    <row r="1243" spans="1:7" ht="25.5" hidden="1" customHeight="1">
      <c r="A1243" s="66" t="s">
        <v>914</v>
      </c>
      <c r="B1243" s="1832" t="e">
        <f>+B1235</f>
        <v>#REF!</v>
      </c>
      <c r="C1243" s="1830"/>
      <c r="D1243" s="1828"/>
      <c r="E1243" s="1833" t="s">
        <v>218</v>
      </c>
      <c r="F1243" s="1834"/>
      <c r="G1243" s="70" t="e">
        <f>+#REF!</f>
        <v>#REF!</v>
      </c>
    </row>
    <row r="1244" spans="1:7" ht="27" hidden="1" customHeight="1">
      <c r="A1244" s="66" t="s">
        <v>917</v>
      </c>
      <c r="B1244" s="1863" t="e">
        <f>+#REF!</f>
        <v>#REF!</v>
      </c>
      <c r="C1244" s="1621"/>
      <c r="D1244" s="1621"/>
      <c r="E1244" s="1621"/>
      <c r="F1244" s="1621"/>
      <c r="G1244" s="1622"/>
    </row>
    <row r="1245" spans="1:7" ht="14.25" hidden="1" customHeight="1">
      <c r="A1245" s="1836" t="s">
        <v>220</v>
      </c>
      <c r="B1245" s="1830"/>
      <c r="C1245" s="1830"/>
      <c r="D1245" s="1830"/>
      <c r="E1245" s="1830"/>
      <c r="F1245" s="1830"/>
      <c r="G1245" s="1828"/>
    </row>
    <row r="1246" spans="1:7" ht="14.25" hidden="1" customHeight="1">
      <c r="A1246" s="1829" t="s">
        <v>221</v>
      </c>
      <c r="B1246" s="1828"/>
      <c r="C1246" s="63" t="s">
        <v>222</v>
      </c>
      <c r="D1246" s="63" t="s">
        <v>252</v>
      </c>
      <c r="E1246" s="63" t="s">
        <v>224</v>
      </c>
      <c r="F1246" s="63" t="s">
        <v>225</v>
      </c>
      <c r="G1246" s="63" t="s">
        <v>226</v>
      </c>
    </row>
    <row r="1247" spans="1:7" ht="14.25" hidden="1" customHeight="1">
      <c r="A1247" s="1827" t="s">
        <v>916</v>
      </c>
      <c r="B1247" s="1828"/>
      <c r="C1247" s="64">
        <f t="shared" ref="C1247:D1247" si="100">+C1239</f>
        <v>1</v>
      </c>
      <c r="D1247" s="64">
        <f t="shared" si="100"/>
        <v>1</v>
      </c>
      <c r="E1247" s="64">
        <v>1</v>
      </c>
      <c r="F1247" s="64"/>
      <c r="G1247" s="64">
        <f>+E1247*D1247*C1247</f>
        <v>1</v>
      </c>
    </row>
    <row r="1248" spans="1:7" ht="14.25" hidden="1" customHeight="1">
      <c r="A1248" s="1827"/>
      <c r="B1248" s="1828"/>
      <c r="C1248" s="64"/>
      <c r="D1248" s="64"/>
      <c r="E1248" s="64"/>
      <c r="F1248" s="64"/>
      <c r="G1248" s="64">
        <f>+F1248</f>
        <v>0</v>
      </c>
    </row>
    <row r="1249" spans="1:7" ht="14.25" hidden="1" customHeight="1">
      <c r="A1249" s="1829" t="s">
        <v>227</v>
      </c>
      <c r="B1249" s="1830"/>
      <c r="C1249" s="1830"/>
      <c r="D1249" s="1830"/>
      <c r="E1249" s="1830"/>
      <c r="F1249" s="1828"/>
      <c r="G1249" s="65">
        <f>SUM(G1247:G1248)</f>
        <v>1</v>
      </c>
    </row>
    <row r="1250" spans="1:7" ht="14.25" hidden="1" customHeight="1">
      <c r="A1250" s="1831"/>
      <c r="B1250" s="1830"/>
      <c r="C1250" s="1830"/>
      <c r="D1250" s="1830"/>
      <c r="E1250" s="1830"/>
      <c r="F1250" s="1830"/>
      <c r="G1250" s="1828"/>
    </row>
    <row r="1251" spans="1:7" ht="14.25" hidden="1" customHeight="1">
      <c r="A1251" s="66" t="s">
        <v>918</v>
      </c>
      <c r="B1251" s="1832" t="e">
        <f>+B1235</f>
        <v>#REF!</v>
      </c>
      <c r="C1251" s="1830"/>
      <c r="D1251" s="1828"/>
      <c r="E1251" s="1833" t="s">
        <v>218</v>
      </c>
      <c r="F1251" s="1834"/>
      <c r="G1251" s="70" t="s">
        <v>228</v>
      </c>
    </row>
    <row r="1252" spans="1:7" ht="61.5" hidden="1" customHeight="1">
      <c r="A1252" s="66" t="s">
        <v>919</v>
      </c>
      <c r="B1252" s="1863" t="e">
        <f>+#REF!</f>
        <v>#REF!</v>
      </c>
      <c r="C1252" s="1621"/>
      <c r="D1252" s="1621"/>
      <c r="E1252" s="1621"/>
      <c r="F1252" s="1621"/>
      <c r="G1252" s="1622"/>
    </row>
    <row r="1253" spans="1:7" ht="14.25" hidden="1" customHeight="1">
      <c r="A1253" s="1836" t="s">
        <v>220</v>
      </c>
      <c r="B1253" s="1830"/>
      <c r="C1253" s="1830"/>
      <c r="D1253" s="1830"/>
      <c r="E1253" s="1830"/>
      <c r="F1253" s="1830"/>
      <c r="G1253" s="1828"/>
    </row>
    <row r="1254" spans="1:7" ht="14.25" hidden="1" customHeight="1">
      <c r="A1254" s="1829" t="s">
        <v>221</v>
      </c>
      <c r="B1254" s="1828"/>
      <c r="C1254" s="63" t="s">
        <v>222</v>
      </c>
      <c r="D1254" s="63" t="s">
        <v>252</v>
      </c>
      <c r="E1254" s="63" t="s">
        <v>224</v>
      </c>
      <c r="F1254" s="63" t="s">
        <v>225</v>
      </c>
      <c r="G1254" s="63" t="s">
        <v>226</v>
      </c>
    </row>
    <row r="1255" spans="1:7" ht="14.25" hidden="1" customHeight="1">
      <c r="A1255" s="1827" t="s">
        <v>920</v>
      </c>
      <c r="B1255" s="1828"/>
      <c r="C1255" s="64">
        <f>+C1239</f>
        <v>1</v>
      </c>
      <c r="D1255" s="64">
        <v>88.19</v>
      </c>
      <c r="E1255" s="64"/>
      <c r="F1255" s="64"/>
      <c r="G1255" s="64">
        <f>+C1255*D1255</f>
        <v>88.19</v>
      </c>
    </row>
    <row r="1256" spans="1:7" ht="14.25" hidden="1" customHeight="1">
      <c r="A1256" s="1827"/>
      <c r="B1256" s="1828"/>
      <c r="C1256" s="64"/>
      <c r="D1256" s="64"/>
      <c r="E1256" s="64"/>
      <c r="F1256" s="64"/>
      <c r="G1256" s="64">
        <f>+F1256</f>
        <v>0</v>
      </c>
    </row>
    <row r="1257" spans="1:7" ht="14.25" hidden="1" customHeight="1">
      <c r="A1257" s="1829" t="s">
        <v>227</v>
      </c>
      <c r="B1257" s="1830"/>
      <c r="C1257" s="1830"/>
      <c r="D1257" s="1830"/>
      <c r="E1257" s="1830"/>
      <c r="F1257" s="1828"/>
      <c r="G1257" s="65">
        <f>SUM(G1255:G1256)</f>
        <v>88.19</v>
      </c>
    </row>
    <row r="1258" spans="1:7" ht="14.25" hidden="1" customHeight="1">
      <c r="A1258" s="1831"/>
      <c r="B1258" s="1830"/>
      <c r="C1258" s="1830"/>
      <c r="D1258" s="1830"/>
      <c r="E1258" s="1830"/>
      <c r="F1258" s="1830"/>
      <c r="G1258" s="1828"/>
    </row>
    <row r="1259" spans="1:7" ht="14.25" hidden="1" customHeight="1">
      <c r="A1259" s="66" t="s">
        <v>918</v>
      </c>
      <c r="B1259" s="1832" t="e">
        <f>+B1243</f>
        <v>#REF!</v>
      </c>
      <c r="C1259" s="1830"/>
      <c r="D1259" s="1828"/>
      <c r="E1259" s="1833" t="s">
        <v>218</v>
      </c>
      <c r="F1259" s="1834"/>
      <c r="G1259" s="70" t="s">
        <v>910</v>
      </c>
    </row>
    <row r="1260" spans="1:7" ht="78" hidden="1" customHeight="1">
      <c r="A1260" s="66" t="s">
        <v>921</v>
      </c>
      <c r="B1260" s="1863" t="e">
        <f>+#REF!</f>
        <v>#REF!</v>
      </c>
      <c r="C1260" s="1621"/>
      <c r="D1260" s="1621"/>
      <c r="E1260" s="1621"/>
      <c r="F1260" s="1621"/>
      <c r="G1260" s="1622"/>
    </row>
    <row r="1261" spans="1:7" ht="14.25" hidden="1" customHeight="1">
      <c r="A1261" s="1836" t="s">
        <v>220</v>
      </c>
      <c r="B1261" s="1830"/>
      <c r="C1261" s="1830"/>
      <c r="D1261" s="1830"/>
      <c r="E1261" s="1830"/>
      <c r="F1261" s="1830"/>
      <c r="G1261" s="1828"/>
    </row>
    <row r="1262" spans="1:7" ht="14.25" hidden="1" customHeight="1">
      <c r="A1262" s="1829" t="s">
        <v>221</v>
      </c>
      <c r="B1262" s="1828"/>
      <c r="C1262" s="63" t="s">
        <v>222</v>
      </c>
      <c r="D1262" s="63" t="s">
        <v>252</v>
      </c>
      <c r="E1262" s="63" t="s">
        <v>224</v>
      </c>
      <c r="F1262" s="63" t="s">
        <v>225</v>
      </c>
      <c r="G1262" s="63" t="s">
        <v>226</v>
      </c>
    </row>
    <row r="1263" spans="1:7" ht="14.25" hidden="1" customHeight="1">
      <c r="A1263" s="1827" t="s">
        <v>920</v>
      </c>
      <c r="B1263" s="1828"/>
      <c r="C1263" s="64"/>
      <c r="D1263" s="64"/>
      <c r="E1263" s="64"/>
      <c r="F1263" s="64">
        <v>6</v>
      </c>
      <c r="G1263" s="64">
        <f t="shared" ref="G1263:G1264" si="101">+F1263</f>
        <v>6</v>
      </c>
    </row>
    <row r="1264" spans="1:7" ht="14.25" hidden="1" customHeight="1">
      <c r="A1264" s="1827"/>
      <c r="B1264" s="1828"/>
      <c r="C1264" s="64"/>
      <c r="D1264" s="64"/>
      <c r="E1264" s="64"/>
      <c r="F1264" s="64"/>
      <c r="G1264" s="64">
        <f t="shared" si="101"/>
        <v>0</v>
      </c>
    </row>
    <row r="1265" spans="1:7" ht="14.25" hidden="1" customHeight="1">
      <c r="A1265" s="1829" t="s">
        <v>227</v>
      </c>
      <c r="B1265" s="1830"/>
      <c r="C1265" s="1830"/>
      <c r="D1265" s="1830"/>
      <c r="E1265" s="1830"/>
      <c r="F1265" s="1828"/>
      <c r="G1265" s="191">
        <f>SUM(G1263:G1264)</f>
        <v>6</v>
      </c>
    </row>
    <row r="1266" spans="1:7" ht="14.25" hidden="1" customHeight="1">
      <c r="A1266" s="1831"/>
      <c r="B1266" s="1830"/>
      <c r="C1266" s="1830"/>
      <c r="D1266" s="1830"/>
      <c r="E1266" s="1830"/>
      <c r="F1266" s="1830"/>
      <c r="G1266" s="1828"/>
    </row>
    <row r="1267" spans="1:7" ht="14.25" hidden="1" customHeight="1">
      <c r="A1267" s="66" t="s">
        <v>918</v>
      </c>
      <c r="B1267" s="1832" t="e">
        <f>+B1251</f>
        <v>#REF!</v>
      </c>
      <c r="C1267" s="1830"/>
      <c r="D1267" s="1828"/>
      <c r="E1267" s="1833" t="s">
        <v>218</v>
      </c>
      <c r="F1267" s="1834"/>
      <c r="G1267" s="70" t="e">
        <f>+#REF!</f>
        <v>#REF!</v>
      </c>
    </row>
    <row r="1268" spans="1:7" ht="92.25" hidden="1" customHeight="1">
      <c r="A1268" s="66" t="s">
        <v>922</v>
      </c>
      <c r="B1268" s="1863" t="e">
        <f>+#REF!</f>
        <v>#REF!</v>
      </c>
      <c r="C1268" s="1621"/>
      <c r="D1268" s="1621"/>
      <c r="E1268" s="1621"/>
      <c r="F1268" s="1621"/>
      <c r="G1268" s="1622"/>
    </row>
    <row r="1269" spans="1:7" ht="14.25" hidden="1" customHeight="1">
      <c r="A1269" s="1836" t="s">
        <v>220</v>
      </c>
      <c r="B1269" s="1830"/>
      <c r="C1269" s="1830"/>
      <c r="D1269" s="1830"/>
      <c r="E1269" s="1830"/>
      <c r="F1269" s="1830"/>
      <c r="G1269" s="1828"/>
    </row>
    <row r="1270" spans="1:7" ht="14.25" hidden="1" customHeight="1">
      <c r="A1270" s="1829" t="s">
        <v>221</v>
      </c>
      <c r="B1270" s="1828"/>
      <c r="C1270" s="63" t="s">
        <v>222</v>
      </c>
      <c r="D1270" s="63" t="s">
        <v>252</v>
      </c>
      <c r="E1270" s="63" t="s">
        <v>224</v>
      </c>
      <c r="F1270" s="63" t="s">
        <v>225</v>
      </c>
      <c r="G1270" s="63" t="s">
        <v>226</v>
      </c>
    </row>
    <row r="1271" spans="1:7" ht="14.25" hidden="1" customHeight="1">
      <c r="A1271" s="1827" t="s">
        <v>923</v>
      </c>
      <c r="B1271" s="1828"/>
      <c r="C1271" s="64">
        <v>112</v>
      </c>
      <c r="D1271" s="64">
        <v>74.22</v>
      </c>
      <c r="E1271" s="64">
        <v>0.1</v>
      </c>
      <c r="F1271" s="64"/>
      <c r="G1271" s="64">
        <f>+ROUND(E1271*D1271*C1271,2)</f>
        <v>831.26</v>
      </c>
    </row>
    <row r="1272" spans="1:7" ht="14.25" hidden="1" customHeight="1">
      <c r="A1272" s="1827"/>
      <c r="B1272" s="1828"/>
      <c r="C1272" s="64"/>
      <c r="D1272" s="64"/>
      <c r="E1272" s="64"/>
      <c r="F1272" s="64"/>
      <c r="G1272" s="64">
        <f>+F1272</f>
        <v>0</v>
      </c>
    </row>
    <row r="1273" spans="1:7" ht="14.25" hidden="1" customHeight="1">
      <c r="A1273" s="1829" t="s">
        <v>227</v>
      </c>
      <c r="B1273" s="1830"/>
      <c r="C1273" s="1830"/>
      <c r="D1273" s="1830"/>
      <c r="E1273" s="1830"/>
      <c r="F1273" s="1828"/>
      <c r="G1273" s="191">
        <f>SUM(G1271:G1272)</f>
        <v>831.26</v>
      </c>
    </row>
    <row r="1274" spans="1:7" ht="14.25" hidden="1" customHeight="1">
      <c r="A1274" s="1831"/>
      <c r="B1274" s="1830"/>
      <c r="C1274" s="1830"/>
      <c r="D1274" s="1830"/>
      <c r="E1274" s="1830"/>
      <c r="F1274" s="1830"/>
      <c r="G1274" s="1828"/>
    </row>
    <row r="1275" spans="1:7" ht="14.25" hidden="1" customHeight="1">
      <c r="A1275" s="66" t="s">
        <v>918</v>
      </c>
      <c r="B1275" s="1832" t="e">
        <f>+B1259</f>
        <v>#REF!</v>
      </c>
      <c r="C1275" s="1830"/>
      <c r="D1275" s="1828"/>
      <c r="E1275" s="1833" t="s">
        <v>218</v>
      </c>
      <c r="F1275" s="1834"/>
      <c r="G1275" s="70" t="s">
        <v>228</v>
      </c>
    </row>
    <row r="1276" spans="1:7" ht="57.75" hidden="1" customHeight="1">
      <c r="A1276" s="66" t="s">
        <v>924</v>
      </c>
      <c r="B1276" s="1864" t="e">
        <f>+#REF!</f>
        <v>#REF!</v>
      </c>
      <c r="C1276" s="1621"/>
      <c r="D1276" s="1621"/>
      <c r="E1276" s="1621"/>
      <c r="F1276" s="1621"/>
      <c r="G1276" s="1622"/>
    </row>
    <row r="1277" spans="1:7" ht="14.25" hidden="1" customHeight="1">
      <c r="A1277" s="1836" t="s">
        <v>220</v>
      </c>
      <c r="B1277" s="1830"/>
      <c r="C1277" s="1830"/>
      <c r="D1277" s="1830"/>
      <c r="E1277" s="1830"/>
      <c r="F1277" s="1830"/>
      <c r="G1277" s="1828"/>
    </row>
    <row r="1278" spans="1:7" ht="14.25" hidden="1" customHeight="1">
      <c r="A1278" s="1829" t="s">
        <v>221</v>
      </c>
      <c r="B1278" s="1828"/>
      <c r="C1278" s="63" t="s">
        <v>222</v>
      </c>
      <c r="D1278" s="63" t="s">
        <v>252</v>
      </c>
      <c r="E1278" s="63" t="s">
        <v>224</v>
      </c>
      <c r="F1278" s="63" t="s">
        <v>225</v>
      </c>
      <c r="G1278" s="63" t="s">
        <v>226</v>
      </c>
    </row>
    <row r="1279" spans="1:7" ht="14.25" hidden="1" customHeight="1">
      <c r="A1279" s="1827" t="s">
        <v>923</v>
      </c>
      <c r="B1279" s="1828"/>
      <c r="C1279" s="64">
        <v>112</v>
      </c>
      <c r="D1279" s="64">
        <v>74.22</v>
      </c>
      <c r="E1279" s="64"/>
      <c r="F1279" s="64"/>
      <c r="G1279" s="64">
        <f>+ROUND(D1279*C1279,2)</f>
        <v>8312.64</v>
      </c>
    </row>
    <row r="1280" spans="1:7" ht="14.25" hidden="1" customHeight="1">
      <c r="A1280" s="1827"/>
      <c r="B1280" s="1828"/>
      <c r="C1280" s="64"/>
      <c r="D1280" s="64"/>
      <c r="E1280" s="64"/>
      <c r="F1280" s="64"/>
      <c r="G1280" s="64">
        <f>+F1280</f>
        <v>0</v>
      </c>
    </row>
    <row r="1281" spans="1:7" ht="14.25" hidden="1" customHeight="1">
      <c r="A1281" s="1829" t="s">
        <v>227</v>
      </c>
      <c r="B1281" s="1830"/>
      <c r="C1281" s="1830"/>
      <c r="D1281" s="1830"/>
      <c r="E1281" s="1830"/>
      <c r="F1281" s="1828"/>
      <c r="G1281" s="65">
        <f>SUM(G1279:G1280)</f>
        <v>8312.64</v>
      </c>
    </row>
    <row r="1282" spans="1:7" ht="14.25" hidden="1" customHeight="1">
      <c r="A1282" s="1829"/>
      <c r="B1282" s="1830"/>
      <c r="C1282" s="1830"/>
      <c r="D1282" s="1830"/>
      <c r="E1282" s="1830"/>
      <c r="F1282" s="1830"/>
      <c r="G1282" s="1828"/>
    </row>
    <row r="1283" spans="1:7" ht="14.25" hidden="1" customHeight="1">
      <c r="A1283" s="66" t="s">
        <v>918</v>
      </c>
      <c r="B1283" s="1832" t="e">
        <f>+B1267</f>
        <v>#REF!</v>
      </c>
      <c r="C1283" s="1830"/>
      <c r="D1283" s="1828"/>
      <c r="E1283" s="1833" t="s">
        <v>218</v>
      </c>
      <c r="F1283" s="1834"/>
      <c r="G1283" s="70" t="e">
        <f>+#REF!</f>
        <v>#REF!</v>
      </c>
    </row>
    <row r="1284" spans="1:7" ht="103.5" hidden="1" customHeight="1">
      <c r="A1284" s="66" t="s">
        <v>925</v>
      </c>
      <c r="B1284" s="1863" t="e">
        <f>+#REF!</f>
        <v>#REF!</v>
      </c>
      <c r="C1284" s="1621"/>
      <c r="D1284" s="1621"/>
      <c r="E1284" s="1621"/>
      <c r="F1284" s="1621"/>
      <c r="G1284" s="1622"/>
    </row>
    <row r="1285" spans="1:7" ht="14.25" hidden="1" customHeight="1">
      <c r="A1285" s="1836" t="s">
        <v>220</v>
      </c>
      <c r="B1285" s="1830"/>
      <c r="C1285" s="1830"/>
      <c r="D1285" s="1830"/>
      <c r="E1285" s="1830"/>
      <c r="F1285" s="1830"/>
      <c r="G1285" s="1828"/>
    </row>
    <row r="1286" spans="1:7" ht="14.25" hidden="1" customHeight="1">
      <c r="A1286" s="1829" t="s">
        <v>221</v>
      </c>
      <c r="B1286" s="1828"/>
      <c r="C1286" s="63" t="s">
        <v>222</v>
      </c>
      <c r="D1286" s="63" t="s">
        <v>252</v>
      </c>
      <c r="E1286" s="63" t="s">
        <v>224</v>
      </c>
      <c r="F1286" s="63" t="s">
        <v>225</v>
      </c>
      <c r="G1286" s="63" t="s">
        <v>226</v>
      </c>
    </row>
    <row r="1287" spans="1:7" ht="14.25" hidden="1" customHeight="1">
      <c r="A1287" s="1827" t="s">
        <v>923</v>
      </c>
      <c r="B1287" s="1828"/>
      <c r="C1287" s="64">
        <v>112</v>
      </c>
      <c r="D1287" s="64">
        <v>74.22</v>
      </c>
      <c r="E1287" s="64"/>
      <c r="F1287" s="64"/>
      <c r="G1287" s="64">
        <f>+ROUND(D1287*C1287,2)</f>
        <v>8312.64</v>
      </c>
    </row>
    <row r="1288" spans="1:7" ht="14.25" hidden="1" customHeight="1">
      <c r="A1288" s="1827"/>
      <c r="B1288" s="1828"/>
      <c r="C1288" s="64"/>
      <c r="D1288" s="64"/>
      <c r="E1288" s="64"/>
      <c r="F1288" s="64"/>
      <c r="G1288" s="64">
        <f>+F1288</f>
        <v>0</v>
      </c>
    </row>
    <row r="1289" spans="1:7" ht="14.25" hidden="1" customHeight="1">
      <c r="A1289" s="1829" t="s">
        <v>227</v>
      </c>
      <c r="B1289" s="1830"/>
      <c r="C1289" s="1830"/>
      <c r="D1289" s="1830"/>
      <c r="E1289" s="1830"/>
      <c r="F1289" s="1828"/>
      <c r="G1289" s="65">
        <f>SUM(G1287:G1288)</f>
        <v>8312.64</v>
      </c>
    </row>
    <row r="1290" spans="1:7" ht="14.25" hidden="1" customHeight="1">
      <c r="A1290" s="1831"/>
      <c r="B1290" s="1830"/>
      <c r="C1290" s="1830"/>
      <c r="D1290" s="1830"/>
      <c r="E1290" s="1830"/>
      <c r="F1290" s="1830"/>
      <c r="G1290" s="1828"/>
    </row>
    <row r="1291" spans="1:7" ht="28.5" hidden="1" customHeight="1">
      <c r="A1291" s="66" t="s">
        <v>918</v>
      </c>
      <c r="B1291" s="1832" t="e">
        <f>+B1283</f>
        <v>#REF!</v>
      </c>
      <c r="C1291" s="1830"/>
      <c r="D1291" s="1828"/>
      <c r="E1291" s="1833" t="s">
        <v>218</v>
      </c>
      <c r="F1291" s="1834"/>
      <c r="G1291" s="70" t="e">
        <f>+#REF!</f>
        <v>#REF!</v>
      </c>
    </row>
    <row r="1292" spans="1:7" ht="14.25" hidden="1" customHeight="1">
      <c r="A1292" s="66" t="s">
        <v>926</v>
      </c>
      <c r="B1292" s="1835" t="e">
        <f>+#REF!</f>
        <v>#REF!</v>
      </c>
      <c r="C1292" s="1621"/>
      <c r="D1292" s="1621"/>
      <c r="E1292" s="1621"/>
      <c r="F1292" s="1621"/>
      <c r="G1292" s="1622"/>
    </row>
    <row r="1293" spans="1:7" ht="14.25" hidden="1" customHeight="1">
      <c r="A1293" s="1836" t="s">
        <v>220</v>
      </c>
      <c r="B1293" s="1830"/>
      <c r="C1293" s="1830"/>
      <c r="D1293" s="1830"/>
      <c r="E1293" s="1830"/>
      <c r="F1293" s="1830"/>
      <c r="G1293" s="1828"/>
    </row>
    <row r="1294" spans="1:7" ht="14.25" hidden="1" customHeight="1">
      <c r="A1294" s="1829" t="s">
        <v>221</v>
      </c>
      <c r="B1294" s="1828"/>
      <c r="C1294" s="63" t="s">
        <v>222</v>
      </c>
      <c r="D1294" s="63" t="s">
        <v>252</v>
      </c>
      <c r="E1294" s="63" t="s">
        <v>224</v>
      </c>
      <c r="F1294" s="63" t="s">
        <v>225</v>
      </c>
      <c r="G1294" s="63" t="s">
        <v>226</v>
      </c>
    </row>
    <row r="1295" spans="1:7" ht="14.25" hidden="1" customHeight="1">
      <c r="A1295" s="1827" t="s">
        <v>923</v>
      </c>
      <c r="B1295" s="1828"/>
      <c r="C1295" s="64"/>
      <c r="D1295" s="64"/>
      <c r="E1295" s="64"/>
      <c r="F1295" s="64">
        <v>24</v>
      </c>
      <c r="G1295" s="64">
        <f t="shared" ref="G1295:G1296" si="102">+F1295</f>
        <v>24</v>
      </c>
    </row>
    <row r="1296" spans="1:7" ht="14.25" hidden="1" customHeight="1">
      <c r="A1296" s="1827"/>
      <c r="B1296" s="1828"/>
      <c r="C1296" s="64"/>
      <c r="D1296" s="64"/>
      <c r="E1296" s="64"/>
      <c r="F1296" s="64"/>
      <c r="G1296" s="64">
        <f t="shared" si="102"/>
        <v>0</v>
      </c>
    </row>
    <row r="1297" spans="1:7" ht="14.25" hidden="1" customHeight="1">
      <c r="A1297" s="1829" t="s">
        <v>227</v>
      </c>
      <c r="B1297" s="1830"/>
      <c r="C1297" s="1830"/>
      <c r="D1297" s="1830"/>
      <c r="E1297" s="1830"/>
      <c r="F1297" s="1828"/>
      <c r="G1297" s="191">
        <f>SUM(G1295:G1296)</f>
        <v>24</v>
      </c>
    </row>
    <row r="1298" spans="1:7" ht="14.25" hidden="1" customHeight="1">
      <c r="A1298" s="1831"/>
      <c r="B1298" s="1830"/>
      <c r="C1298" s="1830"/>
      <c r="D1298" s="1830"/>
      <c r="E1298" s="1830"/>
      <c r="F1298" s="1830"/>
      <c r="G1298" s="1828"/>
    </row>
    <row r="1299" spans="1:7" ht="28.5" hidden="1" customHeight="1">
      <c r="A1299" s="66" t="s">
        <v>918</v>
      </c>
      <c r="B1299" s="1832" t="e">
        <f>+B1291</f>
        <v>#REF!</v>
      </c>
      <c r="C1299" s="1830"/>
      <c r="D1299" s="1828"/>
      <c r="E1299" s="1833" t="s">
        <v>218</v>
      </c>
      <c r="F1299" s="1834"/>
      <c r="G1299" s="70" t="e">
        <f>+#REF!</f>
        <v>#REF!</v>
      </c>
    </row>
    <row r="1300" spans="1:7" ht="27" hidden="1" customHeight="1">
      <c r="A1300" s="66" t="s">
        <v>927</v>
      </c>
      <c r="B1300" s="1835" t="e">
        <f>+#REF!</f>
        <v>#REF!</v>
      </c>
      <c r="C1300" s="1621"/>
      <c r="D1300" s="1621"/>
      <c r="E1300" s="1621"/>
      <c r="F1300" s="1621"/>
      <c r="G1300" s="1622"/>
    </row>
    <row r="1301" spans="1:7" ht="14.25" hidden="1" customHeight="1">
      <c r="A1301" s="1836" t="s">
        <v>220</v>
      </c>
      <c r="B1301" s="1830"/>
      <c r="C1301" s="1830"/>
      <c r="D1301" s="1830"/>
      <c r="E1301" s="1830"/>
      <c r="F1301" s="1830"/>
      <c r="G1301" s="1828"/>
    </row>
    <row r="1302" spans="1:7" ht="14.25" hidden="1" customHeight="1">
      <c r="A1302" s="1829" t="s">
        <v>221</v>
      </c>
      <c r="B1302" s="1828"/>
      <c r="C1302" s="63" t="s">
        <v>222</v>
      </c>
      <c r="D1302" s="63" t="s">
        <v>252</v>
      </c>
      <c r="E1302" s="63" t="s">
        <v>224</v>
      </c>
      <c r="F1302" s="63" t="s">
        <v>225</v>
      </c>
      <c r="G1302" s="63" t="s">
        <v>226</v>
      </c>
    </row>
    <row r="1303" spans="1:7" ht="14.25" hidden="1" customHeight="1">
      <c r="A1303" s="1827" t="s">
        <v>923</v>
      </c>
      <c r="B1303" s="1828"/>
      <c r="C1303" s="64"/>
      <c r="D1303" s="64"/>
      <c r="E1303" s="64"/>
      <c r="F1303" s="64">
        <v>7</v>
      </c>
      <c r="G1303" s="64">
        <f t="shared" ref="G1303:G1304" si="103">+F1303</f>
        <v>7</v>
      </c>
    </row>
    <row r="1304" spans="1:7" ht="14.25" hidden="1" customHeight="1">
      <c r="A1304" s="1827"/>
      <c r="B1304" s="1828"/>
      <c r="C1304" s="64"/>
      <c r="D1304" s="64"/>
      <c r="E1304" s="64"/>
      <c r="F1304" s="64"/>
      <c r="G1304" s="64">
        <f t="shared" si="103"/>
        <v>0</v>
      </c>
    </row>
    <row r="1305" spans="1:7" ht="14.25" hidden="1" customHeight="1">
      <c r="A1305" s="1829" t="s">
        <v>227</v>
      </c>
      <c r="B1305" s="1830"/>
      <c r="C1305" s="1830"/>
      <c r="D1305" s="1830"/>
      <c r="E1305" s="1830"/>
      <c r="F1305" s="1828"/>
      <c r="G1305" s="191">
        <f>SUM(G1303:G1304)</f>
        <v>7</v>
      </c>
    </row>
    <row r="1306" spans="1:7" ht="14.25" hidden="1" customHeight="1">
      <c r="A1306" s="1831"/>
      <c r="B1306" s="1830"/>
      <c r="C1306" s="1830"/>
      <c r="D1306" s="1830"/>
      <c r="E1306" s="1830"/>
      <c r="F1306" s="1830"/>
      <c r="G1306" s="1828"/>
    </row>
    <row r="1307" spans="1:7" ht="14.25" hidden="1" customHeight="1">
      <c r="A1307" s="66" t="s">
        <v>918</v>
      </c>
      <c r="B1307" s="1832" t="e">
        <f>+B1291</f>
        <v>#REF!</v>
      </c>
      <c r="C1307" s="1830"/>
      <c r="D1307" s="1828"/>
      <c r="E1307" s="1833" t="s">
        <v>218</v>
      </c>
      <c r="F1307" s="1834"/>
      <c r="G1307" s="70" t="e">
        <f>+#REF!</f>
        <v>#REF!</v>
      </c>
    </row>
    <row r="1308" spans="1:7" ht="14.25" hidden="1" customHeight="1">
      <c r="A1308" s="66" t="s">
        <v>928</v>
      </c>
      <c r="B1308" s="1835" t="e">
        <f>+#REF!</f>
        <v>#REF!</v>
      </c>
      <c r="C1308" s="1621"/>
      <c r="D1308" s="1621"/>
      <c r="E1308" s="1621"/>
      <c r="F1308" s="1621"/>
      <c r="G1308" s="1622"/>
    </row>
    <row r="1309" spans="1:7" ht="14.25" hidden="1" customHeight="1">
      <c r="A1309" s="1836" t="s">
        <v>220</v>
      </c>
      <c r="B1309" s="1830"/>
      <c r="C1309" s="1830"/>
      <c r="D1309" s="1830"/>
      <c r="E1309" s="1830"/>
      <c r="F1309" s="1830"/>
      <c r="G1309" s="1828"/>
    </row>
    <row r="1310" spans="1:7" ht="14.25" hidden="1" customHeight="1">
      <c r="A1310" s="1829" t="s">
        <v>221</v>
      </c>
      <c r="B1310" s="1828"/>
      <c r="C1310" s="63" t="s">
        <v>222</v>
      </c>
      <c r="D1310" s="63" t="s">
        <v>252</v>
      </c>
      <c r="E1310" s="63" t="s">
        <v>224</v>
      </c>
      <c r="F1310" s="63" t="s">
        <v>225</v>
      </c>
      <c r="G1310" s="63" t="s">
        <v>226</v>
      </c>
    </row>
    <row r="1311" spans="1:7" ht="14.25" hidden="1" customHeight="1">
      <c r="A1311" s="1827" t="s">
        <v>923</v>
      </c>
      <c r="B1311" s="1828"/>
      <c r="C1311" s="64"/>
      <c r="D1311" s="64"/>
      <c r="E1311" s="64"/>
      <c r="F1311" s="64">
        <v>483.16</v>
      </c>
      <c r="G1311" s="64">
        <f t="shared" ref="G1311:G1312" si="104">+F1311</f>
        <v>483.16</v>
      </c>
    </row>
    <row r="1312" spans="1:7" ht="14.25" hidden="1" customHeight="1">
      <c r="A1312" s="1827"/>
      <c r="B1312" s="1828"/>
      <c r="C1312" s="64"/>
      <c r="D1312" s="64"/>
      <c r="E1312" s="64"/>
      <c r="F1312" s="64"/>
      <c r="G1312" s="64">
        <f t="shared" si="104"/>
        <v>0</v>
      </c>
    </row>
    <row r="1313" spans="1:7" ht="14.25" hidden="1" customHeight="1">
      <c r="A1313" s="1829" t="s">
        <v>227</v>
      </c>
      <c r="B1313" s="1830"/>
      <c r="C1313" s="1830"/>
      <c r="D1313" s="1830"/>
      <c r="E1313" s="1830"/>
      <c r="F1313" s="1828"/>
      <c r="G1313" s="191">
        <f>SUM(G1311:G1312)</f>
        <v>483.16</v>
      </c>
    </row>
    <row r="1314" spans="1:7" ht="14.25" hidden="1" customHeight="1">
      <c r="A1314" s="1831"/>
      <c r="B1314" s="1830"/>
      <c r="C1314" s="1830"/>
      <c r="D1314" s="1830"/>
      <c r="E1314" s="1830"/>
      <c r="F1314" s="1830"/>
      <c r="G1314" s="1828"/>
    </row>
    <row r="1315" spans="1:7" ht="14.25" hidden="1" customHeight="1">
      <c r="A1315" s="66" t="s">
        <v>918</v>
      </c>
      <c r="B1315" s="1832" t="e">
        <f>+B1307</f>
        <v>#REF!</v>
      </c>
      <c r="C1315" s="1830"/>
      <c r="D1315" s="1828"/>
      <c r="E1315" s="1833" t="s">
        <v>218</v>
      </c>
      <c r="F1315" s="1834"/>
      <c r="G1315" s="70" t="e">
        <f>+#REF!</f>
        <v>#REF!</v>
      </c>
    </row>
    <row r="1316" spans="1:7" ht="14.25" hidden="1" customHeight="1">
      <c r="A1316" s="66" t="s">
        <v>929</v>
      </c>
      <c r="B1316" s="1835" t="e">
        <f>+#REF!</f>
        <v>#REF!</v>
      </c>
      <c r="C1316" s="1621"/>
      <c r="D1316" s="1621"/>
      <c r="E1316" s="1621"/>
      <c r="F1316" s="1621"/>
      <c r="G1316" s="1622"/>
    </row>
    <row r="1317" spans="1:7" ht="14.25" hidden="1" customHeight="1">
      <c r="A1317" s="1836" t="s">
        <v>220</v>
      </c>
      <c r="B1317" s="1830"/>
      <c r="C1317" s="1830"/>
      <c r="D1317" s="1830"/>
      <c r="E1317" s="1830"/>
      <c r="F1317" s="1830"/>
      <c r="G1317" s="1828"/>
    </row>
    <row r="1318" spans="1:7" ht="14.25" hidden="1" customHeight="1">
      <c r="A1318" s="1829" t="s">
        <v>221</v>
      </c>
      <c r="B1318" s="1828"/>
      <c r="C1318" s="63" t="s">
        <v>222</v>
      </c>
      <c r="D1318" s="63" t="s">
        <v>252</v>
      </c>
      <c r="E1318" s="63" t="s">
        <v>224</v>
      </c>
      <c r="F1318" s="63" t="s">
        <v>225</v>
      </c>
      <c r="G1318" s="63" t="s">
        <v>226</v>
      </c>
    </row>
    <row r="1319" spans="1:7" ht="14.25" hidden="1" customHeight="1">
      <c r="A1319" s="1827" t="s">
        <v>923</v>
      </c>
      <c r="B1319" s="1828"/>
      <c r="C1319" s="64"/>
      <c r="D1319" s="64"/>
      <c r="E1319" s="64"/>
      <c r="F1319" s="64">
        <v>31.91</v>
      </c>
      <c r="G1319" s="64">
        <f t="shared" ref="G1319:G1320" si="105">+F1319</f>
        <v>31.91</v>
      </c>
    </row>
    <row r="1320" spans="1:7" ht="14.25" hidden="1" customHeight="1">
      <c r="A1320" s="1827"/>
      <c r="B1320" s="1828"/>
      <c r="C1320" s="64"/>
      <c r="D1320" s="64"/>
      <c r="E1320" s="64"/>
      <c r="F1320" s="64"/>
      <c r="G1320" s="64">
        <f t="shared" si="105"/>
        <v>0</v>
      </c>
    </row>
    <row r="1321" spans="1:7" ht="14.25" hidden="1" customHeight="1">
      <c r="A1321" s="1829" t="s">
        <v>227</v>
      </c>
      <c r="B1321" s="1830"/>
      <c r="C1321" s="1830"/>
      <c r="D1321" s="1830"/>
      <c r="E1321" s="1830"/>
      <c r="F1321" s="1828"/>
      <c r="G1321" s="191">
        <f>SUM(G1319:G1320)</f>
        <v>31.91</v>
      </c>
    </row>
    <row r="1322" spans="1:7" ht="14.25" hidden="1" customHeight="1">
      <c r="A1322" s="1831"/>
      <c r="B1322" s="1830"/>
      <c r="C1322" s="1830"/>
      <c r="D1322" s="1830"/>
      <c r="E1322" s="1830"/>
      <c r="F1322" s="1830"/>
      <c r="G1322" s="1828"/>
    </row>
    <row r="1323" spans="1:7" ht="14.25" hidden="1" customHeight="1">
      <c r="A1323" s="1831"/>
      <c r="B1323" s="1830"/>
      <c r="C1323" s="1830"/>
      <c r="D1323" s="1830"/>
      <c r="E1323" s="1830"/>
      <c r="F1323" s="1830"/>
      <c r="G1323" s="1828"/>
    </row>
    <row r="1324" spans="1:7" ht="14.25" hidden="1" customHeight="1">
      <c r="A1324" s="66" t="s">
        <v>918</v>
      </c>
      <c r="B1324" s="1832" t="e">
        <f>+B1315</f>
        <v>#REF!</v>
      </c>
      <c r="C1324" s="1830"/>
      <c r="D1324" s="1828"/>
      <c r="E1324" s="1833" t="s">
        <v>218</v>
      </c>
      <c r="F1324" s="1834"/>
      <c r="G1324" s="70" t="e">
        <f>+#REF!</f>
        <v>#REF!</v>
      </c>
    </row>
    <row r="1325" spans="1:7" ht="48" hidden="1" customHeight="1">
      <c r="A1325" s="66" t="s">
        <v>930</v>
      </c>
      <c r="B1325" s="1863" t="e">
        <f>+#REF!</f>
        <v>#REF!</v>
      </c>
      <c r="C1325" s="1621"/>
      <c r="D1325" s="1621"/>
      <c r="E1325" s="1621"/>
      <c r="F1325" s="1621"/>
      <c r="G1325" s="1622"/>
    </row>
    <row r="1326" spans="1:7" ht="14.25" hidden="1" customHeight="1">
      <c r="A1326" s="1836" t="s">
        <v>220</v>
      </c>
      <c r="B1326" s="1830"/>
      <c r="C1326" s="1830"/>
      <c r="D1326" s="1830"/>
      <c r="E1326" s="1830"/>
      <c r="F1326" s="1830"/>
      <c r="G1326" s="1828"/>
    </row>
    <row r="1327" spans="1:7" ht="14.25" hidden="1" customHeight="1">
      <c r="A1327" s="1829" t="s">
        <v>221</v>
      </c>
      <c r="B1327" s="1828"/>
      <c r="C1327" s="63" t="s">
        <v>222</v>
      </c>
      <c r="D1327" s="63" t="s">
        <v>252</v>
      </c>
      <c r="E1327" s="63" t="s">
        <v>224</v>
      </c>
      <c r="F1327" s="63" t="s">
        <v>225</v>
      </c>
      <c r="G1327" s="63" t="s">
        <v>226</v>
      </c>
    </row>
    <row r="1328" spans="1:7" ht="14.25" hidden="1" customHeight="1">
      <c r="A1328" s="1827" t="s">
        <v>923</v>
      </c>
      <c r="B1328" s="1828"/>
      <c r="C1328" s="64"/>
      <c r="D1328" s="64"/>
      <c r="E1328" s="64"/>
      <c r="F1328" s="64">
        <v>1</v>
      </c>
      <c r="G1328" s="64">
        <f t="shared" ref="G1328:G1329" si="106">+F1328</f>
        <v>1</v>
      </c>
    </row>
    <row r="1329" spans="1:7" ht="14.25" hidden="1" customHeight="1">
      <c r="A1329" s="1827"/>
      <c r="B1329" s="1828"/>
      <c r="C1329" s="64"/>
      <c r="D1329" s="64"/>
      <c r="E1329" s="64"/>
      <c r="F1329" s="64"/>
      <c r="G1329" s="64">
        <f t="shared" si="106"/>
        <v>0</v>
      </c>
    </row>
    <row r="1330" spans="1:7" ht="14.25" hidden="1" customHeight="1">
      <c r="A1330" s="1829" t="s">
        <v>227</v>
      </c>
      <c r="B1330" s="1830"/>
      <c r="C1330" s="1830"/>
      <c r="D1330" s="1830"/>
      <c r="E1330" s="1830"/>
      <c r="F1330" s="1828"/>
      <c r="G1330" s="191">
        <f>SUM(G1328:G1329)</f>
        <v>1</v>
      </c>
    </row>
    <row r="1331" spans="1:7" ht="14.25" hidden="1" customHeight="1">
      <c r="A1331" s="1831"/>
      <c r="B1331" s="1830"/>
      <c r="C1331" s="1830"/>
      <c r="D1331" s="1830"/>
      <c r="E1331" s="1830"/>
      <c r="F1331" s="1830"/>
      <c r="G1331" s="1828"/>
    </row>
    <row r="1332" spans="1:7" ht="14.25" hidden="1" customHeight="1">
      <c r="A1332" s="66" t="s">
        <v>918</v>
      </c>
      <c r="B1332" s="1832" t="e">
        <f>+B1324</f>
        <v>#REF!</v>
      </c>
      <c r="C1332" s="1830"/>
      <c r="D1332" s="1828"/>
      <c r="E1332" s="1833" t="s">
        <v>218</v>
      </c>
      <c r="F1332" s="1834"/>
      <c r="G1332" s="70" t="e">
        <f>+#REF!</f>
        <v>#REF!</v>
      </c>
    </row>
    <row r="1333" spans="1:7" ht="32.25" hidden="1" customHeight="1">
      <c r="A1333" s="66" t="s">
        <v>931</v>
      </c>
      <c r="B1333" s="1863" t="e">
        <f>+#REF!</f>
        <v>#REF!</v>
      </c>
      <c r="C1333" s="1621"/>
      <c r="D1333" s="1621"/>
      <c r="E1333" s="1621"/>
      <c r="F1333" s="1621"/>
      <c r="G1333" s="1622"/>
    </row>
    <row r="1334" spans="1:7" ht="14.25" hidden="1" customHeight="1">
      <c r="A1334" s="1836" t="s">
        <v>220</v>
      </c>
      <c r="B1334" s="1830"/>
      <c r="C1334" s="1830"/>
      <c r="D1334" s="1830"/>
      <c r="E1334" s="1830"/>
      <c r="F1334" s="1830"/>
      <c r="G1334" s="1828"/>
    </row>
    <row r="1335" spans="1:7" ht="14.25" hidden="1" customHeight="1">
      <c r="A1335" s="1829" t="s">
        <v>221</v>
      </c>
      <c r="B1335" s="1828"/>
      <c r="C1335" s="63" t="s">
        <v>222</v>
      </c>
      <c r="D1335" s="63" t="s">
        <v>252</v>
      </c>
      <c r="E1335" s="63" t="s">
        <v>224</v>
      </c>
      <c r="F1335" s="63" t="s">
        <v>225</v>
      </c>
      <c r="G1335" s="63" t="s">
        <v>226</v>
      </c>
    </row>
    <row r="1336" spans="1:7" ht="14.25" hidden="1" customHeight="1">
      <c r="A1336" s="1827" t="s">
        <v>923</v>
      </c>
      <c r="B1336" s="1828"/>
      <c r="C1336" s="64"/>
      <c r="D1336" s="64"/>
      <c r="E1336" s="64"/>
      <c r="F1336" s="64">
        <v>1</v>
      </c>
      <c r="G1336" s="64">
        <f t="shared" ref="G1336:G1337" si="107">+F1336</f>
        <v>1</v>
      </c>
    </row>
    <row r="1337" spans="1:7" ht="14.25" hidden="1" customHeight="1">
      <c r="A1337" s="1827"/>
      <c r="B1337" s="1828"/>
      <c r="C1337" s="64"/>
      <c r="D1337" s="64"/>
      <c r="E1337" s="64"/>
      <c r="F1337" s="64"/>
      <c r="G1337" s="64">
        <f t="shared" si="107"/>
        <v>0</v>
      </c>
    </row>
    <row r="1338" spans="1:7" ht="14.25" hidden="1" customHeight="1">
      <c r="A1338" s="1829" t="s">
        <v>227</v>
      </c>
      <c r="B1338" s="1830"/>
      <c r="C1338" s="1830"/>
      <c r="D1338" s="1830"/>
      <c r="E1338" s="1830"/>
      <c r="F1338" s="1828"/>
      <c r="G1338" s="191">
        <f>SUM(G1336:G1337)</f>
        <v>1</v>
      </c>
    </row>
    <row r="1339" spans="1:7" ht="14.25" hidden="1" customHeight="1">
      <c r="A1339" s="1831"/>
      <c r="B1339" s="1830"/>
      <c r="C1339" s="1830"/>
      <c r="D1339" s="1830"/>
      <c r="E1339" s="1830"/>
      <c r="F1339" s="1830"/>
      <c r="G1339" s="1828"/>
    </row>
    <row r="1340" spans="1:7" ht="14.25" hidden="1" customHeight="1">
      <c r="A1340" s="66" t="s">
        <v>918</v>
      </c>
      <c r="B1340" s="1832" t="e">
        <f>+B1332</f>
        <v>#REF!</v>
      </c>
      <c r="C1340" s="1830"/>
      <c r="D1340" s="1828"/>
      <c r="E1340" s="1833" t="s">
        <v>218</v>
      </c>
      <c r="F1340" s="1834"/>
      <c r="G1340" s="70" t="e">
        <f>+#REF!</f>
        <v>#REF!</v>
      </c>
    </row>
    <row r="1341" spans="1:7" ht="28.5" hidden="1" customHeight="1">
      <c r="A1341" s="66" t="s">
        <v>932</v>
      </c>
      <c r="B1341" s="1863" t="e">
        <f>+#REF!</f>
        <v>#REF!</v>
      </c>
      <c r="C1341" s="1621"/>
      <c r="D1341" s="1621"/>
      <c r="E1341" s="1621"/>
      <c r="F1341" s="1621"/>
      <c r="G1341" s="1622"/>
    </row>
    <row r="1342" spans="1:7" ht="14.25" hidden="1" customHeight="1">
      <c r="A1342" s="1836" t="s">
        <v>220</v>
      </c>
      <c r="B1342" s="1830"/>
      <c r="C1342" s="1830"/>
      <c r="D1342" s="1830"/>
      <c r="E1342" s="1830"/>
      <c r="F1342" s="1830"/>
      <c r="G1342" s="1828"/>
    </row>
    <row r="1343" spans="1:7" ht="14.25" hidden="1" customHeight="1">
      <c r="A1343" s="1829" t="s">
        <v>221</v>
      </c>
      <c r="B1343" s="1828"/>
      <c r="C1343" s="63" t="s">
        <v>222</v>
      </c>
      <c r="D1343" s="63" t="s">
        <v>252</v>
      </c>
      <c r="E1343" s="63" t="s">
        <v>224</v>
      </c>
      <c r="F1343" s="63" t="s">
        <v>225</v>
      </c>
      <c r="G1343" s="63" t="s">
        <v>226</v>
      </c>
    </row>
    <row r="1344" spans="1:7" ht="14.25" hidden="1" customHeight="1">
      <c r="A1344" s="1827" t="s">
        <v>923</v>
      </c>
      <c r="B1344" s="1828"/>
      <c r="C1344" s="64">
        <f>+(C1239*2)+(D1239*2)</f>
        <v>4</v>
      </c>
      <c r="D1344" s="64"/>
      <c r="E1344" s="64"/>
      <c r="F1344" s="64">
        <f>+C1344</f>
        <v>4</v>
      </c>
      <c r="G1344" s="64">
        <f t="shared" ref="G1344:G1345" si="108">+F1344</f>
        <v>4</v>
      </c>
    </row>
    <row r="1345" spans="1:7" ht="14.25" hidden="1" customHeight="1">
      <c r="A1345" s="1827"/>
      <c r="B1345" s="1828"/>
      <c r="C1345" s="64"/>
      <c r="D1345" s="64"/>
      <c r="E1345" s="64"/>
      <c r="F1345" s="64"/>
      <c r="G1345" s="64">
        <f t="shared" si="108"/>
        <v>0</v>
      </c>
    </row>
    <row r="1346" spans="1:7" ht="14.25" hidden="1" customHeight="1">
      <c r="A1346" s="1829" t="s">
        <v>227</v>
      </c>
      <c r="B1346" s="1830"/>
      <c r="C1346" s="1830"/>
      <c r="D1346" s="1830"/>
      <c r="E1346" s="1830"/>
      <c r="F1346" s="1828"/>
      <c r="G1346" s="65">
        <f>SUM(G1344:G1345)</f>
        <v>4</v>
      </c>
    </row>
    <row r="1347" spans="1:7" ht="14.25" hidden="1" customHeight="1">
      <c r="A1347" s="1831"/>
      <c r="B1347" s="1830"/>
      <c r="C1347" s="1830"/>
      <c r="D1347" s="1830"/>
      <c r="E1347" s="1830"/>
      <c r="F1347" s="1830"/>
      <c r="G1347" s="1828"/>
    </row>
    <row r="1348" spans="1:7" ht="14.25" hidden="1" customHeight="1">
      <c r="A1348" s="66" t="s">
        <v>918</v>
      </c>
      <c r="B1348" s="1832" t="e">
        <f>+B1340</f>
        <v>#REF!</v>
      </c>
      <c r="C1348" s="1830"/>
      <c r="D1348" s="1828"/>
      <c r="E1348" s="1833" t="s">
        <v>218</v>
      </c>
      <c r="F1348" s="1834"/>
      <c r="G1348" s="70" t="e">
        <f>+#REF!</f>
        <v>#REF!</v>
      </c>
    </row>
    <row r="1349" spans="1:7" ht="26.25" hidden="1" customHeight="1">
      <c r="A1349" s="66" t="s">
        <v>933</v>
      </c>
      <c r="B1349" s="1835" t="e">
        <f>+#REF!</f>
        <v>#REF!</v>
      </c>
      <c r="C1349" s="1621"/>
      <c r="D1349" s="1621"/>
      <c r="E1349" s="1621"/>
      <c r="F1349" s="1621"/>
      <c r="G1349" s="1622"/>
    </row>
    <row r="1350" spans="1:7" ht="14.25" hidden="1" customHeight="1">
      <c r="A1350" s="1836" t="s">
        <v>220</v>
      </c>
      <c r="B1350" s="1830"/>
      <c r="C1350" s="1830"/>
      <c r="D1350" s="1830"/>
      <c r="E1350" s="1830"/>
      <c r="F1350" s="1830"/>
      <c r="G1350" s="1828"/>
    </row>
    <row r="1351" spans="1:7" ht="14.25" hidden="1" customHeight="1">
      <c r="A1351" s="1829" t="s">
        <v>221</v>
      </c>
      <c r="B1351" s="1828"/>
      <c r="C1351" s="63" t="s">
        <v>222</v>
      </c>
      <c r="D1351" s="63" t="s">
        <v>252</v>
      </c>
      <c r="E1351" s="63" t="s">
        <v>224</v>
      </c>
      <c r="F1351" s="63" t="s">
        <v>225</v>
      </c>
      <c r="G1351" s="63" t="s">
        <v>226</v>
      </c>
    </row>
    <row r="1352" spans="1:7" ht="14.25" hidden="1" customHeight="1">
      <c r="A1352" s="1827" t="s">
        <v>923</v>
      </c>
      <c r="B1352" s="1828"/>
      <c r="C1352" s="64">
        <f>48.04+52.26+42.28</f>
        <v>142.57999999999998</v>
      </c>
      <c r="D1352" s="64"/>
      <c r="E1352" s="64"/>
      <c r="F1352" s="64"/>
      <c r="G1352" s="64">
        <f>+C1352</f>
        <v>142.57999999999998</v>
      </c>
    </row>
    <row r="1353" spans="1:7" ht="14.25" hidden="1" customHeight="1">
      <c r="A1353" s="1827"/>
      <c r="B1353" s="1828"/>
      <c r="C1353" s="64"/>
      <c r="D1353" s="64"/>
      <c r="E1353" s="64"/>
      <c r="F1353" s="64"/>
      <c r="G1353" s="64">
        <f>+F1353</f>
        <v>0</v>
      </c>
    </row>
    <row r="1354" spans="1:7" ht="14.25" hidden="1" customHeight="1">
      <c r="A1354" s="1829" t="s">
        <v>227</v>
      </c>
      <c r="B1354" s="1830"/>
      <c r="C1354" s="1830"/>
      <c r="D1354" s="1830"/>
      <c r="E1354" s="1830"/>
      <c r="F1354" s="1828"/>
      <c r="G1354" s="191">
        <f>SUM(G1352:G1353)</f>
        <v>142.57999999999998</v>
      </c>
    </row>
    <row r="1355" spans="1:7" ht="14.25" hidden="1" customHeight="1">
      <c r="A1355" s="1831"/>
      <c r="B1355" s="1830"/>
      <c r="C1355" s="1830"/>
      <c r="D1355" s="1830"/>
      <c r="E1355" s="1830"/>
      <c r="F1355" s="1830"/>
      <c r="G1355" s="1828"/>
    </row>
    <row r="1356" spans="1:7" ht="14.25" hidden="1" customHeight="1">
      <c r="A1356" s="66" t="s">
        <v>918</v>
      </c>
      <c r="B1356" s="1832" t="e">
        <f>+B1340</f>
        <v>#REF!</v>
      </c>
      <c r="C1356" s="1830"/>
      <c r="D1356" s="1828"/>
      <c r="E1356" s="1833" t="s">
        <v>218</v>
      </c>
      <c r="F1356" s="1834"/>
      <c r="G1356" s="70" t="e">
        <f>+#REF!</f>
        <v>#REF!</v>
      </c>
    </row>
    <row r="1357" spans="1:7" ht="32.25" hidden="1" customHeight="1">
      <c r="A1357" s="66" t="s">
        <v>934</v>
      </c>
      <c r="B1357" s="1863" t="e">
        <f>+#REF!</f>
        <v>#REF!</v>
      </c>
      <c r="C1357" s="1621"/>
      <c r="D1357" s="1621"/>
      <c r="E1357" s="1621"/>
      <c r="F1357" s="1621"/>
      <c r="G1357" s="1622"/>
    </row>
    <row r="1358" spans="1:7" ht="14.25" hidden="1" customHeight="1">
      <c r="A1358" s="1836" t="s">
        <v>220</v>
      </c>
      <c r="B1358" s="1830"/>
      <c r="C1358" s="1830"/>
      <c r="D1358" s="1830"/>
      <c r="E1358" s="1830"/>
      <c r="F1358" s="1830"/>
      <c r="G1358" s="1828"/>
    </row>
    <row r="1359" spans="1:7" ht="14.25" hidden="1" customHeight="1">
      <c r="A1359" s="1829" t="s">
        <v>221</v>
      </c>
      <c r="B1359" s="1828"/>
      <c r="C1359" s="63" t="s">
        <v>222</v>
      </c>
      <c r="D1359" s="63" t="s">
        <v>252</v>
      </c>
      <c r="E1359" s="63" t="s">
        <v>224</v>
      </c>
      <c r="F1359" s="63" t="s">
        <v>225</v>
      </c>
      <c r="G1359" s="63" t="s">
        <v>226</v>
      </c>
    </row>
    <row r="1360" spans="1:7" ht="14.25" hidden="1" customHeight="1">
      <c r="A1360" s="1827" t="s">
        <v>923</v>
      </c>
      <c r="B1360" s="1828"/>
      <c r="C1360" s="64">
        <f>8.11+9.34+28.07+38.06+32.3+22.32+12.34</f>
        <v>150.54</v>
      </c>
      <c r="D1360" s="64"/>
      <c r="E1360" s="64"/>
      <c r="F1360" s="64"/>
      <c r="G1360" s="64">
        <f>+C1360</f>
        <v>150.54</v>
      </c>
    </row>
    <row r="1361" spans="1:7" ht="14.25" hidden="1" customHeight="1">
      <c r="A1361" s="1827"/>
      <c r="B1361" s="1828"/>
      <c r="C1361" s="64"/>
      <c r="D1361" s="64"/>
      <c r="E1361" s="64"/>
      <c r="F1361" s="64"/>
      <c r="G1361" s="64">
        <f>+F1361</f>
        <v>0</v>
      </c>
    </row>
    <row r="1362" spans="1:7" ht="14.25" hidden="1" customHeight="1">
      <c r="A1362" s="1829" t="s">
        <v>227</v>
      </c>
      <c r="B1362" s="1830"/>
      <c r="C1362" s="1830"/>
      <c r="D1362" s="1830"/>
      <c r="E1362" s="1830"/>
      <c r="F1362" s="1828"/>
      <c r="G1362" s="65">
        <f>SUM(G1360:G1361)</f>
        <v>150.54</v>
      </c>
    </row>
    <row r="1363" spans="1:7" ht="14.25" hidden="1" customHeight="1">
      <c r="A1363" s="1831"/>
      <c r="B1363" s="1830"/>
      <c r="C1363" s="1830"/>
      <c r="D1363" s="1830"/>
      <c r="E1363" s="1830"/>
      <c r="F1363" s="1830"/>
      <c r="G1363" s="1828"/>
    </row>
    <row r="1364" spans="1:7" ht="14.25" hidden="1" customHeight="1">
      <c r="A1364" s="66" t="s">
        <v>918</v>
      </c>
      <c r="B1364" s="1832" t="e">
        <f>+B1348</f>
        <v>#REF!</v>
      </c>
      <c r="C1364" s="1830"/>
      <c r="D1364" s="1828"/>
      <c r="E1364" s="1833" t="s">
        <v>218</v>
      </c>
      <c r="F1364" s="1834"/>
      <c r="G1364" s="70" t="e">
        <f>+#REF!</f>
        <v>#REF!</v>
      </c>
    </row>
    <row r="1365" spans="1:7" ht="30" hidden="1" customHeight="1">
      <c r="A1365" s="66" t="s">
        <v>935</v>
      </c>
      <c r="B1365" s="1863" t="e">
        <f>+#REF!</f>
        <v>#REF!</v>
      </c>
      <c r="C1365" s="1621"/>
      <c r="D1365" s="1621"/>
      <c r="E1365" s="1621"/>
      <c r="F1365" s="1621"/>
      <c r="G1365" s="1622"/>
    </row>
    <row r="1366" spans="1:7" ht="14.25" hidden="1" customHeight="1">
      <c r="A1366" s="1836" t="s">
        <v>220</v>
      </c>
      <c r="B1366" s="1830"/>
      <c r="C1366" s="1830"/>
      <c r="D1366" s="1830"/>
      <c r="E1366" s="1830"/>
      <c r="F1366" s="1830"/>
      <c r="G1366" s="1828"/>
    </row>
    <row r="1367" spans="1:7" ht="14.25" hidden="1" customHeight="1">
      <c r="A1367" s="1829" t="s">
        <v>221</v>
      </c>
      <c r="B1367" s="1828"/>
      <c r="C1367" s="63" t="s">
        <v>222</v>
      </c>
      <c r="D1367" s="63" t="s">
        <v>252</v>
      </c>
      <c r="E1367" s="63" t="s">
        <v>224</v>
      </c>
      <c r="F1367" s="63" t="s">
        <v>225</v>
      </c>
      <c r="G1367" s="63" t="s">
        <v>226</v>
      </c>
    </row>
    <row r="1368" spans="1:7" ht="14.25" hidden="1" customHeight="1">
      <c r="A1368" s="1827" t="s">
        <v>923</v>
      </c>
      <c r="B1368" s="1828"/>
      <c r="C1368" s="64">
        <f>+(C1239)</f>
        <v>1</v>
      </c>
      <c r="D1368" s="64"/>
      <c r="E1368" s="64"/>
      <c r="F1368" s="64">
        <f>+C1368</f>
        <v>1</v>
      </c>
      <c r="G1368" s="64">
        <f t="shared" ref="G1368:G1369" si="109">+F1368</f>
        <v>1</v>
      </c>
    </row>
    <row r="1369" spans="1:7" ht="14.25" hidden="1" customHeight="1">
      <c r="A1369" s="1827"/>
      <c r="B1369" s="1828"/>
      <c r="C1369" s="64"/>
      <c r="D1369" s="64"/>
      <c r="E1369" s="64"/>
      <c r="F1369" s="64"/>
      <c r="G1369" s="64">
        <f t="shared" si="109"/>
        <v>0</v>
      </c>
    </row>
    <row r="1370" spans="1:7" ht="14.25" hidden="1" customHeight="1">
      <c r="A1370" s="1829" t="s">
        <v>227</v>
      </c>
      <c r="B1370" s="1830"/>
      <c r="C1370" s="1830"/>
      <c r="D1370" s="1830"/>
      <c r="E1370" s="1830"/>
      <c r="F1370" s="1828"/>
      <c r="G1370" s="65">
        <f>SUM(G1368:G1369)</f>
        <v>1</v>
      </c>
    </row>
    <row r="1371" spans="1:7" ht="14.25" hidden="1" customHeight="1">
      <c r="A1371" s="1831"/>
      <c r="B1371" s="1830"/>
      <c r="C1371" s="1830"/>
      <c r="D1371" s="1830"/>
      <c r="E1371" s="1830"/>
      <c r="F1371" s="1830"/>
      <c r="G1371" s="1828"/>
    </row>
    <row r="1372" spans="1:7" ht="14.25" hidden="1" customHeight="1">
      <c r="A1372" s="66" t="s">
        <v>918</v>
      </c>
      <c r="B1372" s="1832" t="e">
        <f>+B1364</f>
        <v>#REF!</v>
      </c>
      <c r="C1372" s="1830"/>
      <c r="D1372" s="1828"/>
      <c r="E1372" s="1833" t="s">
        <v>218</v>
      </c>
      <c r="F1372" s="1834"/>
      <c r="G1372" s="70" t="e">
        <f>+#REF!</f>
        <v>#REF!</v>
      </c>
    </row>
    <row r="1373" spans="1:7" ht="34.5" hidden="1" customHeight="1">
      <c r="A1373" s="66" t="s">
        <v>936</v>
      </c>
      <c r="B1373" s="1835" t="e">
        <f>+#REF!</f>
        <v>#REF!</v>
      </c>
      <c r="C1373" s="1621"/>
      <c r="D1373" s="1621"/>
      <c r="E1373" s="1621"/>
      <c r="F1373" s="1621"/>
      <c r="G1373" s="1622"/>
    </row>
    <row r="1374" spans="1:7" ht="14.25" hidden="1" customHeight="1">
      <c r="A1374" s="1836" t="s">
        <v>220</v>
      </c>
      <c r="B1374" s="1830"/>
      <c r="C1374" s="1830"/>
      <c r="D1374" s="1830"/>
      <c r="E1374" s="1830"/>
      <c r="F1374" s="1830"/>
      <c r="G1374" s="1828"/>
    </row>
    <row r="1375" spans="1:7" ht="14.25" hidden="1" customHeight="1">
      <c r="A1375" s="1829" t="s">
        <v>221</v>
      </c>
      <c r="B1375" s="1828"/>
      <c r="C1375" s="63" t="s">
        <v>222</v>
      </c>
      <c r="D1375" s="63" t="s">
        <v>252</v>
      </c>
      <c r="E1375" s="63" t="s">
        <v>224</v>
      </c>
      <c r="F1375" s="63" t="s">
        <v>225</v>
      </c>
      <c r="G1375" s="63" t="s">
        <v>226</v>
      </c>
    </row>
    <row r="1376" spans="1:7" ht="14.25" hidden="1" customHeight="1">
      <c r="A1376" s="1827" t="s">
        <v>923</v>
      </c>
      <c r="B1376" s="1828"/>
      <c r="C1376" s="64"/>
      <c r="D1376" s="64"/>
      <c r="E1376" s="64"/>
      <c r="F1376" s="64">
        <v>2</v>
      </c>
      <c r="G1376" s="64">
        <f t="shared" ref="G1376:G1377" si="110">+F1376</f>
        <v>2</v>
      </c>
    </row>
    <row r="1377" spans="1:7" ht="14.25" hidden="1" customHeight="1">
      <c r="A1377" s="1827"/>
      <c r="B1377" s="1828"/>
      <c r="C1377" s="64"/>
      <c r="D1377" s="64"/>
      <c r="E1377" s="64"/>
      <c r="F1377" s="64"/>
      <c r="G1377" s="64">
        <f t="shared" si="110"/>
        <v>0</v>
      </c>
    </row>
    <row r="1378" spans="1:7" ht="14.25" hidden="1" customHeight="1">
      <c r="A1378" s="1829" t="s">
        <v>227</v>
      </c>
      <c r="B1378" s="1830"/>
      <c r="C1378" s="1830"/>
      <c r="D1378" s="1830"/>
      <c r="E1378" s="1830"/>
      <c r="F1378" s="1828"/>
      <c r="G1378" s="65">
        <f>SUM(G1376:G1377)</f>
        <v>2</v>
      </c>
    </row>
    <row r="1379" spans="1:7" ht="14.25" hidden="1" customHeight="1">
      <c r="A1379" s="1831"/>
      <c r="B1379" s="1830"/>
      <c r="C1379" s="1830"/>
      <c r="D1379" s="1830"/>
      <c r="E1379" s="1830"/>
      <c r="F1379" s="1830"/>
      <c r="G1379" s="1828"/>
    </row>
    <row r="1380" spans="1:7" ht="14.25" hidden="1" customHeight="1">
      <c r="A1380" s="66" t="s">
        <v>918</v>
      </c>
      <c r="B1380" s="1832" t="e">
        <f>+B1372</f>
        <v>#REF!</v>
      </c>
      <c r="C1380" s="1830"/>
      <c r="D1380" s="1828"/>
      <c r="E1380" s="1833" t="s">
        <v>218</v>
      </c>
      <c r="F1380" s="1834"/>
      <c r="G1380" s="70" t="e">
        <f>+#REF!</f>
        <v>#REF!</v>
      </c>
    </row>
    <row r="1381" spans="1:7" ht="36.75" hidden="1" customHeight="1">
      <c r="A1381" s="66" t="s">
        <v>937</v>
      </c>
      <c r="B1381" s="1835" t="e">
        <f>+#REF!</f>
        <v>#REF!</v>
      </c>
      <c r="C1381" s="1621"/>
      <c r="D1381" s="1621"/>
      <c r="E1381" s="1621"/>
      <c r="F1381" s="1621"/>
      <c r="G1381" s="1622"/>
    </row>
    <row r="1382" spans="1:7" ht="14.25" hidden="1" customHeight="1">
      <c r="A1382" s="1836" t="s">
        <v>220</v>
      </c>
      <c r="B1382" s="1830"/>
      <c r="C1382" s="1830"/>
      <c r="D1382" s="1830"/>
      <c r="E1382" s="1830"/>
      <c r="F1382" s="1830"/>
      <c r="G1382" s="1828"/>
    </row>
    <row r="1383" spans="1:7" ht="14.25" hidden="1" customHeight="1">
      <c r="A1383" s="1829" t="s">
        <v>221</v>
      </c>
      <c r="B1383" s="1828"/>
      <c r="C1383" s="63" t="s">
        <v>222</v>
      </c>
      <c r="D1383" s="63" t="s">
        <v>252</v>
      </c>
      <c r="E1383" s="63" t="s">
        <v>224</v>
      </c>
      <c r="F1383" s="63" t="s">
        <v>225</v>
      </c>
      <c r="G1383" s="63" t="s">
        <v>226</v>
      </c>
    </row>
    <row r="1384" spans="1:7" ht="14.25" hidden="1" customHeight="1">
      <c r="A1384" s="1827" t="s">
        <v>938</v>
      </c>
      <c r="B1384" s="1828"/>
      <c r="C1384" s="64">
        <f>+$G$1257</f>
        <v>88.19</v>
      </c>
      <c r="D1384" s="64"/>
      <c r="E1384" s="64"/>
      <c r="F1384" s="64">
        <f>-$G$1289</f>
        <v>-8312.64</v>
      </c>
      <c r="G1384" s="64">
        <f>+C1384+F1384</f>
        <v>-8224.4499999999989</v>
      </c>
    </row>
    <row r="1385" spans="1:7" ht="14.25" hidden="1" customHeight="1">
      <c r="A1385" s="1827"/>
      <c r="B1385" s="1828"/>
      <c r="C1385" s="64"/>
      <c r="D1385" s="64"/>
      <c r="E1385" s="64"/>
      <c r="F1385" s="64"/>
      <c r="G1385" s="64">
        <f>+F1385</f>
        <v>0</v>
      </c>
    </row>
    <row r="1386" spans="1:7" ht="14.25" hidden="1" customHeight="1">
      <c r="A1386" s="1829" t="s">
        <v>227</v>
      </c>
      <c r="B1386" s="1830"/>
      <c r="C1386" s="1830"/>
      <c r="D1386" s="1830"/>
      <c r="E1386" s="1830"/>
      <c r="F1386" s="1828"/>
      <c r="G1386" s="65">
        <f>SUM(G1384:G1385)</f>
        <v>-8224.4499999999989</v>
      </c>
    </row>
    <row r="1387" spans="1:7" ht="14.25" hidden="1" customHeight="1">
      <c r="A1387" s="1831"/>
      <c r="B1387" s="1830"/>
      <c r="C1387" s="1830"/>
      <c r="D1387" s="1830"/>
      <c r="E1387" s="1830"/>
      <c r="F1387" s="1830"/>
      <c r="G1387" s="1828"/>
    </row>
    <row r="1388" spans="1:7" ht="14.25" hidden="1" customHeight="1">
      <c r="A1388" s="66" t="s">
        <v>918</v>
      </c>
      <c r="B1388" s="1832" t="e">
        <f>+B1380</f>
        <v>#REF!</v>
      </c>
      <c r="C1388" s="1830"/>
      <c r="D1388" s="1828"/>
      <c r="E1388" s="1833" t="s">
        <v>218</v>
      </c>
      <c r="F1388" s="1834"/>
      <c r="G1388" s="70" t="e">
        <f>+#REF!</f>
        <v>#REF!</v>
      </c>
    </row>
    <row r="1389" spans="1:7" ht="33" hidden="1" customHeight="1">
      <c r="A1389" s="66" t="s">
        <v>939</v>
      </c>
      <c r="B1389" s="1835" t="e">
        <f>+#REF!</f>
        <v>#REF!</v>
      </c>
      <c r="C1389" s="1621"/>
      <c r="D1389" s="1621"/>
      <c r="E1389" s="1621"/>
      <c r="F1389" s="1621"/>
      <c r="G1389" s="1622"/>
    </row>
    <row r="1390" spans="1:7" ht="14.25" hidden="1" customHeight="1">
      <c r="A1390" s="1836" t="s">
        <v>220</v>
      </c>
      <c r="B1390" s="1830"/>
      <c r="C1390" s="1830"/>
      <c r="D1390" s="1830"/>
      <c r="E1390" s="1830"/>
      <c r="F1390" s="1830"/>
      <c r="G1390" s="1828"/>
    </row>
    <row r="1391" spans="1:7" ht="14.25" hidden="1" customHeight="1">
      <c r="A1391" s="1829" t="s">
        <v>221</v>
      </c>
      <c r="B1391" s="1828"/>
      <c r="C1391" s="63" t="s">
        <v>222</v>
      </c>
      <c r="D1391" s="63" t="s">
        <v>252</v>
      </c>
      <c r="E1391" s="63" t="s">
        <v>224</v>
      </c>
      <c r="F1391" s="63" t="s">
        <v>225</v>
      </c>
      <c r="G1391" s="63" t="s">
        <v>226</v>
      </c>
    </row>
    <row r="1392" spans="1:7" ht="14.25" hidden="1" customHeight="1">
      <c r="A1392" s="1827" t="s">
        <v>938</v>
      </c>
      <c r="B1392" s="1828"/>
      <c r="C1392" s="64">
        <f>+$G$1257</f>
        <v>88.19</v>
      </c>
      <c r="D1392" s="64"/>
      <c r="E1392" s="64"/>
      <c r="F1392" s="64">
        <f>-$G$1289</f>
        <v>-8312.64</v>
      </c>
      <c r="G1392" s="64">
        <f>+C1392+F1392</f>
        <v>-8224.4499999999989</v>
      </c>
    </row>
    <row r="1393" spans="1:7" ht="14.25" hidden="1" customHeight="1">
      <c r="A1393" s="1827"/>
      <c r="B1393" s="1828"/>
      <c r="C1393" s="64"/>
      <c r="D1393" s="64"/>
      <c r="E1393" s="64"/>
      <c r="F1393" s="64"/>
      <c r="G1393" s="64">
        <f>+F1393</f>
        <v>0</v>
      </c>
    </row>
    <row r="1394" spans="1:7" ht="14.25" hidden="1" customHeight="1">
      <c r="A1394" s="1829" t="s">
        <v>227</v>
      </c>
      <c r="B1394" s="1830"/>
      <c r="C1394" s="1830"/>
      <c r="D1394" s="1830"/>
      <c r="E1394" s="1830"/>
      <c r="F1394" s="1828"/>
      <c r="G1394" s="65">
        <f>SUM(G1392:G1393)</f>
        <v>-8224.4499999999989</v>
      </c>
    </row>
    <row r="1395" spans="1:7" ht="14.25" hidden="1" customHeight="1">
      <c r="A1395" s="1831"/>
      <c r="B1395" s="1830"/>
      <c r="C1395" s="1830"/>
      <c r="D1395" s="1830"/>
      <c r="E1395" s="1830"/>
      <c r="F1395" s="1830"/>
      <c r="G1395" s="1828"/>
    </row>
    <row r="1396" spans="1:7" ht="14.25" hidden="1" customHeight="1">
      <c r="A1396" s="66" t="s">
        <v>918</v>
      </c>
      <c r="B1396" s="1832" t="e">
        <f>+B1388</f>
        <v>#REF!</v>
      </c>
      <c r="C1396" s="1830"/>
      <c r="D1396" s="1828"/>
      <c r="E1396" s="1833" t="s">
        <v>218</v>
      </c>
      <c r="F1396" s="1834"/>
      <c r="G1396" s="70" t="e">
        <f>+#REF!</f>
        <v>#REF!</v>
      </c>
    </row>
    <row r="1397" spans="1:7" ht="33" hidden="1" customHeight="1">
      <c r="A1397" s="66" t="s">
        <v>940</v>
      </c>
      <c r="B1397" s="1835" t="e">
        <f>+#REF!</f>
        <v>#REF!</v>
      </c>
      <c r="C1397" s="1621"/>
      <c r="D1397" s="1621"/>
      <c r="E1397" s="1621"/>
      <c r="F1397" s="1621"/>
      <c r="G1397" s="1622"/>
    </row>
    <row r="1398" spans="1:7" ht="14.25" hidden="1" customHeight="1">
      <c r="A1398" s="1836" t="s">
        <v>220</v>
      </c>
      <c r="B1398" s="1830"/>
      <c r="C1398" s="1830"/>
      <c r="D1398" s="1830"/>
      <c r="E1398" s="1830"/>
      <c r="F1398" s="1830"/>
      <c r="G1398" s="1828"/>
    </row>
    <row r="1399" spans="1:7" ht="14.25" hidden="1" customHeight="1">
      <c r="A1399" s="1829" t="s">
        <v>221</v>
      </c>
      <c r="B1399" s="1828"/>
      <c r="C1399" s="63" t="s">
        <v>222</v>
      </c>
      <c r="D1399" s="63" t="s">
        <v>252</v>
      </c>
      <c r="E1399" s="63" t="s">
        <v>224</v>
      </c>
      <c r="F1399" s="63" t="s">
        <v>225</v>
      </c>
      <c r="G1399" s="63" t="s">
        <v>226</v>
      </c>
    </row>
    <row r="1400" spans="1:7" ht="14.25" hidden="1" customHeight="1">
      <c r="A1400" s="1827" t="s">
        <v>938</v>
      </c>
      <c r="B1400" s="1828"/>
      <c r="C1400" s="64"/>
      <c r="D1400" s="64"/>
      <c r="E1400" s="64"/>
      <c r="F1400" s="64">
        <v>2</v>
      </c>
      <c r="G1400" s="64">
        <f>+C1400+F1400</f>
        <v>2</v>
      </c>
    </row>
    <row r="1401" spans="1:7" ht="14.25" hidden="1" customHeight="1">
      <c r="A1401" s="1827"/>
      <c r="B1401" s="1828"/>
      <c r="C1401" s="64"/>
      <c r="D1401" s="64"/>
      <c r="E1401" s="64"/>
      <c r="F1401" s="64"/>
      <c r="G1401" s="64">
        <f>+F1401</f>
        <v>0</v>
      </c>
    </row>
    <row r="1402" spans="1:7" ht="14.25" hidden="1" customHeight="1">
      <c r="A1402" s="1829" t="s">
        <v>227</v>
      </c>
      <c r="B1402" s="1830"/>
      <c r="C1402" s="1830"/>
      <c r="D1402" s="1830"/>
      <c r="E1402" s="1830"/>
      <c r="F1402" s="1828"/>
      <c r="G1402" s="65">
        <f>SUM(G1400:G1401)</f>
        <v>2</v>
      </c>
    </row>
    <row r="1403" spans="1:7" ht="14.25" hidden="1" customHeight="1">
      <c r="A1403" s="1831"/>
      <c r="B1403" s="1830"/>
      <c r="C1403" s="1830"/>
      <c r="D1403" s="1830"/>
      <c r="E1403" s="1830"/>
      <c r="F1403" s="1830"/>
      <c r="G1403" s="1828"/>
    </row>
    <row r="1404" spans="1:7" ht="14.25" hidden="1" customHeight="1">
      <c r="A1404" s="66" t="s">
        <v>918</v>
      </c>
      <c r="B1404" s="1832" t="e">
        <f>+B1396</f>
        <v>#REF!</v>
      </c>
      <c r="C1404" s="1830"/>
      <c r="D1404" s="1828"/>
      <c r="E1404" s="1833" t="s">
        <v>218</v>
      </c>
      <c r="F1404" s="1834"/>
      <c r="G1404" s="70" t="e">
        <f>+#REF!</f>
        <v>#REF!</v>
      </c>
    </row>
    <row r="1405" spans="1:7" ht="33" hidden="1" customHeight="1">
      <c r="A1405" s="66" t="s">
        <v>941</v>
      </c>
      <c r="B1405" s="1835" t="e">
        <f>+#REF!</f>
        <v>#REF!</v>
      </c>
      <c r="C1405" s="1621"/>
      <c r="D1405" s="1621"/>
      <c r="E1405" s="1621"/>
      <c r="F1405" s="1621"/>
      <c r="G1405" s="1622"/>
    </row>
    <row r="1406" spans="1:7" ht="14.25" hidden="1" customHeight="1">
      <c r="A1406" s="1836" t="s">
        <v>220</v>
      </c>
      <c r="B1406" s="1830"/>
      <c r="C1406" s="1830"/>
      <c r="D1406" s="1830"/>
      <c r="E1406" s="1830"/>
      <c r="F1406" s="1830"/>
      <c r="G1406" s="1828"/>
    </row>
    <row r="1407" spans="1:7" ht="14.25" hidden="1" customHeight="1">
      <c r="A1407" s="1829" t="s">
        <v>221</v>
      </c>
      <c r="B1407" s="1828"/>
      <c r="C1407" s="63" t="s">
        <v>222</v>
      </c>
      <c r="D1407" s="63" t="s">
        <v>252</v>
      </c>
      <c r="E1407" s="63" t="s">
        <v>224</v>
      </c>
      <c r="F1407" s="63" t="s">
        <v>225</v>
      </c>
      <c r="G1407" s="63" t="s">
        <v>226</v>
      </c>
    </row>
    <row r="1408" spans="1:7" ht="14.25" hidden="1" customHeight="1">
      <c r="A1408" s="1827" t="s">
        <v>938</v>
      </c>
      <c r="B1408" s="1828"/>
      <c r="C1408" s="64"/>
      <c r="D1408" s="64"/>
      <c r="E1408" s="64"/>
      <c r="F1408" s="64">
        <v>2</v>
      </c>
      <c r="G1408" s="64">
        <f>+C1408+F1408</f>
        <v>2</v>
      </c>
    </row>
    <row r="1409" spans="1:10" ht="14.25" hidden="1" customHeight="1">
      <c r="A1409" s="1827"/>
      <c r="B1409" s="1828"/>
      <c r="C1409" s="64"/>
      <c r="D1409" s="64"/>
      <c r="E1409" s="64"/>
      <c r="F1409" s="64"/>
      <c r="G1409" s="64">
        <f>+F1409</f>
        <v>0</v>
      </c>
      <c r="H1409" s="59"/>
      <c r="I1409" s="60"/>
      <c r="J1409" s="60"/>
    </row>
    <row r="1410" spans="1:10" ht="14.25" hidden="1" customHeight="1">
      <c r="A1410" s="1829" t="s">
        <v>227</v>
      </c>
      <c r="B1410" s="1830"/>
      <c r="C1410" s="1830"/>
      <c r="D1410" s="1830"/>
      <c r="E1410" s="1830"/>
      <c r="F1410" s="1828"/>
      <c r="G1410" s="65">
        <f>SUM(G1408:G1409)</f>
        <v>2</v>
      </c>
      <c r="H1410" s="59"/>
      <c r="I1410" s="60"/>
      <c r="J1410" s="60"/>
    </row>
    <row r="1411" spans="1:10" ht="14.25" hidden="1" customHeight="1">
      <c r="A1411" s="59"/>
      <c r="B1411" s="59"/>
      <c r="C1411" s="59"/>
      <c r="D1411" s="59"/>
      <c r="E1411" s="59"/>
      <c r="F1411" s="59"/>
      <c r="G1411" s="59"/>
      <c r="H1411" s="59"/>
      <c r="I1411" s="60"/>
      <c r="J1411" s="60"/>
    </row>
    <row r="1412" spans="1:10" ht="14.25" hidden="1" customHeight="1">
      <c r="A1412" s="59"/>
      <c r="B1412" s="59"/>
      <c r="C1412" s="59"/>
      <c r="D1412" s="59"/>
      <c r="E1412" s="59"/>
      <c r="F1412" s="59"/>
      <c r="G1412" s="59"/>
      <c r="H1412" s="59"/>
      <c r="I1412" s="60"/>
      <c r="J1412" s="60"/>
    </row>
    <row r="1413" spans="1:10" ht="14.25" customHeight="1">
      <c r="A1413" s="59"/>
      <c r="B1413" s="59"/>
      <c r="C1413" s="59"/>
      <c r="D1413" s="59"/>
      <c r="E1413" s="59"/>
      <c r="F1413" s="59"/>
      <c r="G1413" s="59"/>
      <c r="H1413" s="59"/>
      <c r="I1413" s="60"/>
      <c r="J1413" s="60" t="s">
        <v>368</v>
      </c>
    </row>
    <row r="1414" spans="1:10" ht="14.25" customHeight="1">
      <c r="A1414" s="59"/>
      <c r="B1414" s="59"/>
      <c r="C1414" s="59"/>
      <c r="D1414" s="59"/>
      <c r="E1414" s="59"/>
      <c r="F1414" s="59"/>
      <c r="G1414" s="59"/>
      <c r="H1414" s="59"/>
      <c r="I1414" s="60"/>
      <c r="J1414" s="60"/>
    </row>
    <row r="1415" spans="1:10" ht="14.25" customHeight="1">
      <c r="A1415" s="168" t="s">
        <v>558</v>
      </c>
      <c r="B1415" s="59"/>
      <c r="C1415" s="59"/>
      <c r="D1415" s="59"/>
      <c r="E1415" s="59"/>
      <c r="F1415" s="59"/>
      <c r="G1415" s="59"/>
      <c r="H1415" s="59"/>
      <c r="I1415" s="60"/>
      <c r="J1415" s="60"/>
    </row>
    <row r="1416" spans="1:10" ht="14.25" customHeight="1">
      <c r="A1416" s="76" t="s">
        <v>559</v>
      </c>
      <c r="B1416" s="59"/>
      <c r="C1416" s="59"/>
      <c r="D1416" s="59"/>
      <c r="E1416" s="59"/>
      <c r="F1416" s="59"/>
      <c r="G1416" s="59"/>
      <c r="H1416" s="59"/>
      <c r="I1416" s="60"/>
      <c r="J1416" s="60"/>
    </row>
    <row r="1417" spans="1:10" ht="14.25" customHeight="1">
      <c r="A1417" s="76" t="s">
        <v>560</v>
      </c>
      <c r="B1417" s="59"/>
      <c r="C1417" s="59"/>
      <c r="D1417" s="59"/>
      <c r="E1417" s="59"/>
      <c r="F1417" s="59"/>
      <c r="G1417" s="59"/>
      <c r="H1417" s="59"/>
      <c r="I1417" s="60"/>
      <c r="J1417" s="60"/>
    </row>
  </sheetData>
  <mergeCells count="1498">
    <mergeCell ref="B1267:D1267"/>
    <mergeCell ref="B1268:G1268"/>
    <mergeCell ref="A1269:G1269"/>
    <mergeCell ref="A1270:B1270"/>
    <mergeCell ref="A1271:B1271"/>
    <mergeCell ref="A1272:B1272"/>
    <mergeCell ref="A1273:F1273"/>
    <mergeCell ref="A1274:G1274"/>
    <mergeCell ref="B1275:D1275"/>
    <mergeCell ref="E1275:F1275"/>
    <mergeCell ref="B1276:G1276"/>
    <mergeCell ref="A1277:G1277"/>
    <mergeCell ref="A1278:B1278"/>
    <mergeCell ref="A1279:B1279"/>
    <mergeCell ref="A1230:B1230"/>
    <mergeCell ref="A1231:B1231"/>
    <mergeCell ref="A1232:B1232"/>
    <mergeCell ref="A1233:F1233"/>
    <mergeCell ref="A1234:G1234"/>
    <mergeCell ref="B1235:D1235"/>
    <mergeCell ref="E1235:F1235"/>
    <mergeCell ref="B1236:G1236"/>
    <mergeCell ref="A1237:G1237"/>
    <mergeCell ref="A1238:B1238"/>
    <mergeCell ref="A1239:B1239"/>
    <mergeCell ref="A1240:B1240"/>
    <mergeCell ref="A1241:F1241"/>
    <mergeCell ref="A1242:G1242"/>
    <mergeCell ref="B1243:D1243"/>
    <mergeCell ref="E1243:F1243"/>
    <mergeCell ref="B1244:G1244"/>
    <mergeCell ref="A1245:G1245"/>
    <mergeCell ref="A1246:B1246"/>
    <mergeCell ref="A1247:B1247"/>
    <mergeCell ref="A1248:B1248"/>
    <mergeCell ref="A1249:F1249"/>
    <mergeCell ref="A1250:G1250"/>
    <mergeCell ref="B1251:D1251"/>
    <mergeCell ref="E1251:F1251"/>
    <mergeCell ref="B1252:G1252"/>
    <mergeCell ref="A1253:G1253"/>
    <mergeCell ref="A1254:B1254"/>
    <mergeCell ref="A1255:B1255"/>
    <mergeCell ref="A1256:B1256"/>
    <mergeCell ref="A1257:F1257"/>
    <mergeCell ref="A1258:G1258"/>
    <mergeCell ref="B1259:D1259"/>
    <mergeCell ref="E1259:F1259"/>
    <mergeCell ref="B1260:G1260"/>
    <mergeCell ref="A1261:G1261"/>
    <mergeCell ref="A1262:B1262"/>
    <mergeCell ref="A1263:B1263"/>
    <mergeCell ref="A1264:B1264"/>
    <mergeCell ref="A1265:F1265"/>
    <mergeCell ref="A1266:G1266"/>
    <mergeCell ref="E1267:F1267"/>
    <mergeCell ref="A1280:B1280"/>
    <mergeCell ref="A1281:F1281"/>
    <mergeCell ref="A1282:G1282"/>
    <mergeCell ref="B1283:D1283"/>
    <mergeCell ref="E1283:F1283"/>
    <mergeCell ref="B1284:G1284"/>
    <mergeCell ref="A1285:G1285"/>
    <mergeCell ref="B1324:D1324"/>
    <mergeCell ref="E1324:F1324"/>
    <mergeCell ref="B1325:G1325"/>
    <mergeCell ref="A1305:F1305"/>
    <mergeCell ref="A1306:G1306"/>
    <mergeCell ref="B1307:D1307"/>
    <mergeCell ref="E1307:F1307"/>
    <mergeCell ref="B1308:G1308"/>
    <mergeCell ref="A1309:G1309"/>
    <mergeCell ref="A1310:B1310"/>
    <mergeCell ref="A1311:B1311"/>
    <mergeCell ref="A1312:B1312"/>
    <mergeCell ref="A1313:F1313"/>
    <mergeCell ref="A1314:G1314"/>
    <mergeCell ref="B1315:D1315"/>
    <mergeCell ref="E1315:F1315"/>
    <mergeCell ref="B1316:G1316"/>
    <mergeCell ref="A1317:G1317"/>
    <mergeCell ref="A1326:G1326"/>
    <mergeCell ref="A1327:B1327"/>
    <mergeCell ref="A1328:B1328"/>
    <mergeCell ref="A1329:B1329"/>
    <mergeCell ref="A1330:F1330"/>
    <mergeCell ref="A1331:G1331"/>
    <mergeCell ref="B1332:D1332"/>
    <mergeCell ref="E1332:F1332"/>
    <mergeCell ref="B1333:G1333"/>
    <mergeCell ref="A1334:G1334"/>
    <mergeCell ref="A1335:B1335"/>
    <mergeCell ref="A1286:B1286"/>
    <mergeCell ref="A1287:B1287"/>
    <mergeCell ref="A1288:B1288"/>
    <mergeCell ref="A1289:F1289"/>
    <mergeCell ref="A1290:G1290"/>
    <mergeCell ref="B1291:D1291"/>
    <mergeCell ref="E1291:F1291"/>
    <mergeCell ref="B1292:G1292"/>
    <mergeCell ref="A1293:G1293"/>
    <mergeCell ref="A1294:B1294"/>
    <mergeCell ref="A1295:B1295"/>
    <mergeCell ref="A1296:B1296"/>
    <mergeCell ref="A1297:F1297"/>
    <mergeCell ref="A1298:G1298"/>
    <mergeCell ref="B1299:D1299"/>
    <mergeCell ref="E1299:F1299"/>
    <mergeCell ref="B1300:G1300"/>
    <mergeCell ref="A1301:G1301"/>
    <mergeCell ref="A1302:B1302"/>
    <mergeCell ref="A1303:B1303"/>
    <mergeCell ref="A1304:B1304"/>
    <mergeCell ref="A1318:B1318"/>
    <mergeCell ref="A1319:B1319"/>
    <mergeCell ref="A1320:B1320"/>
    <mergeCell ref="A1321:F1321"/>
    <mergeCell ref="A1322:G1322"/>
    <mergeCell ref="A1323:G1323"/>
    <mergeCell ref="A1336:B1336"/>
    <mergeCell ref="A1337:B1337"/>
    <mergeCell ref="A1338:F1338"/>
    <mergeCell ref="A1339:G1339"/>
    <mergeCell ref="B1340:D1340"/>
    <mergeCell ref="E1340:F1340"/>
    <mergeCell ref="B1341:G1341"/>
    <mergeCell ref="B1380:D1380"/>
    <mergeCell ref="E1380:F1380"/>
    <mergeCell ref="B1381:G1381"/>
    <mergeCell ref="A1382:G1382"/>
    <mergeCell ref="A1362:F1362"/>
    <mergeCell ref="A1363:G1363"/>
    <mergeCell ref="B1364:D1364"/>
    <mergeCell ref="E1364:F1364"/>
    <mergeCell ref="B1365:G1365"/>
    <mergeCell ref="A1366:G1366"/>
    <mergeCell ref="A1367:B1367"/>
    <mergeCell ref="A1368:B1368"/>
    <mergeCell ref="A1369:B1369"/>
    <mergeCell ref="A1370:F1370"/>
    <mergeCell ref="A1371:G1371"/>
    <mergeCell ref="B1372:D1372"/>
    <mergeCell ref="E1372:F1372"/>
    <mergeCell ref="B1373:G1373"/>
    <mergeCell ref="A1374:G1374"/>
    <mergeCell ref="A1383:B1383"/>
    <mergeCell ref="A1384:B1384"/>
    <mergeCell ref="A1385:B1385"/>
    <mergeCell ref="A1386:F1386"/>
    <mergeCell ref="A1387:G1387"/>
    <mergeCell ref="B1388:D1388"/>
    <mergeCell ref="E1388:F1388"/>
    <mergeCell ref="B1389:G1389"/>
    <mergeCell ref="A1390:G1390"/>
    <mergeCell ref="A1391:B1391"/>
    <mergeCell ref="A1342:G1342"/>
    <mergeCell ref="A1343:B1343"/>
    <mergeCell ref="A1344:B1344"/>
    <mergeCell ref="A1345:B1345"/>
    <mergeCell ref="A1346:F1346"/>
    <mergeCell ref="A1347:G1347"/>
    <mergeCell ref="E1348:F1348"/>
    <mergeCell ref="B1348:D1348"/>
    <mergeCell ref="B1349:G1349"/>
    <mergeCell ref="A1350:G1350"/>
    <mergeCell ref="A1351:B1351"/>
    <mergeCell ref="A1352:B1352"/>
    <mergeCell ref="A1353:B1353"/>
    <mergeCell ref="A1354:F1354"/>
    <mergeCell ref="A1355:G1355"/>
    <mergeCell ref="B1356:D1356"/>
    <mergeCell ref="E1356:F1356"/>
    <mergeCell ref="B1357:G1357"/>
    <mergeCell ref="A1358:G1358"/>
    <mergeCell ref="A1359:B1359"/>
    <mergeCell ref="A1360:B1360"/>
    <mergeCell ref="A1361:B1361"/>
    <mergeCell ref="A1375:B1375"/>
    <mergeCell ref="A1376:B1376"/>
    <mergeCell ref="A1377:B1377"/>
    <mergeCell ref="A1378:F1378"/>
    <mergeCell ref="A1379:G1379"/>
    <mergeCell ref="A1392:B1392"/>
    <mergeCell ref="A1393:B1393"/>
    <mergeCell ref="A1394:F1394"/>
    <mergeCell ref="A1395:G1395"/>
    <mergeCell ref="B1396:D1396"/>
    <mergeCell ref="E1396:F1396"/>
    <mergeCell ref="B1397:G1397"/>
    <mergeCell ref="B974:G974"/>
    <mergeCell ref="A975:G975"/>
    <mergeCell ref="A976:B976"/>
    <mergeCell ref="A977:B977"/>
    <mergeCell ref="A978:F978"/>
    <mergeCell ref="A979:G979"/>
    <mergeCell ref="E980:F980"/>
    <mergeCell ref="B980:D980"/>
    <mergeCell ref="B981:G981"/>
    <mergeCell ref="A982:G982"/>
    <mergeCell ref="A983:B983"/>
    <mergeCell ref="A984:B984"/>
    <mergeCell ref="A985:F985"/>
    <mergeCell ref="A987:G987"/>
    <mergeCell ref="B988:D988"/>
    <mergeCell ref="E988:F988"/>
    <mergeCell ref="B989:G989"/>
    <mergeCell ref="A990:G990"/>
    <mergeCell ref="A991:B991"/>
    <mergeCell ref="A992:B992"/>
    <mergeCell ref="A993:F993"/>
    <mergeCell ref="A994:G994"/>
    <mergeCell ref="B995:D995"/>
    <mergeCell ref="E995:F995"/>
    <mergeCell ref="B996:G996"/>
    <mergeCell ref="A997:G997"/>
    <mergeCell ref="A998:B998"/>
    <mergeCell ref="A999:B999"/>
    <mergeCell ref="A1000:F1000"/>
    <mergeCell ref="A1001:G1001"/>
    <mergeCell ref="B1002:D1002"/>
    <mergeCell ref="E1002:F1002"/>
    <mergeCell ref="B1003:G1003"/>
    <mergeCell ref="A1004:G1004"/>
    <mergeCell ref="A1005:B1005"/>
    <mergeCell ref="A1006:B1006"/>
    <mergeCell ref="A1007:F1007"/>
    <mergeCell ref="A1008:G1008"/>
    <mergeCell ref="B1009:D1009"/>
    <mergeCell ref="E1009:F1009"/>
    <mergeCell ref="B1010:G1010"/>
    <mergeCell ref="A1011:G1011"/>
    <mergeCell ref="A1012:B1012"/>
    <mergeCell ref="A1013:B1013"/>
    <mergeCell ref="A1014:F1014"/>
    <mergeCell ref="A1015:G1015"/>
    <mergeCell ref="B1016:D1016"/>
    <mergeCell ref="E1016:F1016"/>
    <mergeCell ref="B1017:G1017"/>
    <mergeCell ref="A1018:G1018"/>
    <mergeCell ref="A1019:B1019"/>
    <mergeCell ref="A1020:B1020"/>
    <mergeCell ref="A1021:F1021"/>
    <mergeCell ref="A1022:G1022"/>
    <mergeCell ref="B1023:D1023"/>
    <mergeCell ref="E1023:F1023"/>
    <mergeCell ref="B1024:G1024"/>
    <mergeCell ref="A1025:G1025"/>
    <mergeCell ref="A1026:B1026"/>
    <mergeCell ref="A1027:B1027"/>
    <mergeCell ref="A1028:F1028"/>
    <mergeCell ref="A1029:G1029"/>
    <mergeCell ref="E1030:F1030"/>
    <mergeCell ref="B1030:D1030"/>
    <mergeCell ref="B1031:G1031"/>
    <mergeCell ref="A1032:G1032"/>
    <mergeCell ref="A1033:B1033"/>
    <mergeCell ref="A1034:B1034"/>
    <mergeCell ref="A1035:F1035"/>
    <mergeCell ref="A1036:G1036"/>
    <mergeCell ref="B1037:D1037"/>
    <mergeCell ref="E1037:F1037"/>
    <mergeCell ref="B1038:G1038"/>
    <mergeCell ref="A1039:G1039"/>
    <mergeCell ref="A1040:B1040"/>
    <mergeCell ref="A1041:B1041"/>
    <mergeCell ref="A1042:F1042"/>
    <mergeCell ref="A1043:G1043"/>
    <mergeCell ref="B1044:D1044"/>
    <mergeCell ref="E1044:F1044"/>
    <mergeCell ref="B1045:G1045"/>
    <mergeCell ref="A1046:G1046"/>
    <mergeCell ref="A1047:B1047"/>
    <mergeCell ref="A1048:B1048"/>
    <mergeCell ref="A1049:F1049"/>
    <mergeCell ref="A1051:G1051"/>
    <mergeCell ref="B1052:D1052"/>
    <mergeCell ref="E1052:F1052"/>
    <mergeCell ref="B1053:G1053"/>
    <mergeCell ref="A1054:G1054"/>
    <mergeCell ref="A1055:B1055"/>
    <mergeCell ref="A1056:B1056"/>
    <mergeCell ref="A1057:B1057"/>
    <mergeCell ref="A1058:F1058"/>
    <mergeCell ref="B1059:D1059"/>
    <mergeCell ref="E1059:F1059"/>
    <mergeCell ref="B1060:G1060"/>
    <mergeCell ref="A1061:G1061"/>
    <mergeCell ref="B1099:D1099"/>
    <mergeCell ref="B1100:G1100"/>
    <mergeCell ref="A1101:G1101"/>
    <mergeCell ref="A1102:B1102"/>
    <mergeCell ref="A1103:B1103"/>
    <mergeCell ref="A1104:B1104"/>
    <mergeCell ref="A1105:F1105"/>
    <mergeCell ref="A1106:G1106"/>
    <mergeCell ref="A1085:G1085"/>
    <mergeCell ref="A1086:B1086"/>
    <mergeCell ref="A1087:B1087"/>
    <mergeCell ref="A1088:B1088"/>
    <mergeCell ref="A1089:F1089"/>
    <mergeCell ref="A1090:G1090"/>
    <mergeCell ref="B1091:D1091"/>
    <mergeCell ref="E1091:F1091"/>
    <mergeCell ref="B1092:G1092"/>
    <mergeCell ref="A1093:G1093"/>
    <mergeCell ref="A1094:B1094"/>
    <mergeCell ref="A1095:B1095"/>
    <mergeCell ref="A1096:B1096"/>
    <mergeCell ref="A1097:F1097"/>
    <mergeCell ref="A1098:G1098"/>
    <mergeCell ref="B1107:D1107"/>
    <mergeCell ref="E1107:F1107"/>
    <mergeCell ref="B1108:G1108"/>
    <mergeCell ref="A1109:G1109"/>
    <mergeCell ref="A1110:B1110"/>
    <mergeCell ref="A1111:B1111"/>
    <mergeCell ref="A1062:B1062"/>
    <mergeCell ref="A1063:B1063"/>
    <mergeCell ref="A1064:B1064"/>
    <mergeCell ref="A1065:F1065"/>
    <mergeCell ref="A1066:G1066"/>
    <mergeCell ref="B1067:D1067"/>
    <mergeCell ref="E1067:F1067"/>
    <mergeCell ref="B1068:G1068"/>
    <mergeCell ref="A1069:G1069"/>
    <mergeCell ref="A1070:B1070"/>
    <mergeCell ref="A1071:B1071"/>
    <mergeCell ref="A1072:B1072"/>
    <mergeCell ref="A1073:F1073"/>
    <mergeCell ref="A1074:G1074"/>
    <mergeCell ref="B1075:D1075"/>
    <mergeCell ref="E1075:F1075"/>
    <mergeCell ref="B1076:G1076"/>
    <mergeCell ref="A1077:G1077"/>
    <mergeCell ref="A1078:B1078"/>
    <mergeCell ref="A1079:B1079"/>
    <mergeCell ref="A1080:B1080"/>
    <mergeCell ref="A1081:F1081"/>
    <mergeCell ref="A1082:G1082"/>
    <mergeCell ref="B1083:D1083"/>
    <mergeCell ref="E1083:F1083"/>
    <mergeCell ref="B1084:G1084"/>
    <mergeCell ref="E1099:F1099"/>
    <mergeCell ref="A1112:B1112"/>
    <mergeCell ref="A1113:F1113"/>
    <mergeCell ref="A1114:G1114"/>
    <mergeCell ref="B1115:D1115"/>
    <mergeCell ref="E1115:F1115"/>
    <mergeCell ref="B1116:G1116"/>
    <mergeCell ref="A1117:G1117"/>
    <mergeCell ref="B1155:D1155"/>
    <mergeCell ref="B1156:G1156"/>
    <mergeCell ref="A1157:G1157"/>
    <mergeCell ref="A1158:B1158"/>
    <mergeCell ref="A1159:B1159"/>
    <mergeCell ref="A1160:B1160"/>
    <mergeCell ref="A1161:F1161"/>
    <mergeCell ref="A1162:G1162"/>
    <mergeCell ref="B1163:D1163"/>
    <mergeCell ref="E1163:F1163"/>
    <mergeCell ref="A1143:B1143"/>
    <mergeCell ref="A1144:B1144"/>
    <mergeCell ref="A1145:F1145"/>
    <mergeCell ref="A1146:G1146"/>
    <mergeCell ref="B1147:D1147"/>
    <mergeCell ref="E1147:F1147"/>
    <mergeCell ref="B1148:G1148"/>
    <mergeCell ref="A1149:G1149"/>
    <mergeCell ref="A1150:B1150"/>
    <mergeCell ref="A1151:B1151"/>
    <mergeCell ref="A1152:B1152"/>
    <mergeCell ref="A1153:F1153"/>
    <mergeCell ref="A1154:G1154"/>
    <mergeCell ref="E1155:F1155"/>
    <mergeCell ref="B1164:G1164"/>
    <mergeCell ref="A1165:G1165"/>
    <mergeCell ref="A1166:B1166"/>
    <mergeCell ref="A1167:B1167"/>
    <mergeCell ref="A1118:B1118"/>
    <mergeCell ref="A1119:B1119"/>
    <mergeCell ref="A1120:B1120"/>
    <mergeCell ref="A1121:F1121"/>
    <mergeCell ref="A1122:G1122"/>
    <mergeCell ref="B1123:D1123"/>
    <mergeCell ref="E1123:F1123"/>
    <mergeCell ref="B1124:G1124"/>
    <mergeCell ref="A1125:G1125"/>
    <mergeCell ref="A1126:B1126"/>
    <mergeCell ref="A1127:B1127"/>
    <mergeCell ref="A1128:B1128"/>
    <mergeCell ref="A1129:F1129"/>
    <mergeCell ref="A1130:G1130"/>
    <mergeCell ref="B1131:D1131"/>
    <mergeCell ref="E1131:F1131"/>
    <mergeCell ref="B1132:G1132"/>
    <mergeCell ref="A1133:G1133"/>
    <mergeCell ref="A1134:B1134"/>
    <mergeCell ref="A1135:B1135"/>
    <mergeCell ref="A1136:B1136"/>
    <mergeCell ref="A1137:F1137"/>
    <mergeCell ref="A1138:G1138"/>
    <mergeCell ref="B1139:D1139"/>
    <mergeCell ref="E1139:F1139"/>
    <mergeCell ref="B1140:G1140"/>
    <mergeCell ref="A1141:G1141"/>
    <mergeCell ref="A1142:B1142"/>
    <mergeCell ref="A1168:B1168"/>
    <mergeCell ref="A1169:F1169"/>
    <mergeCell ref="A1170:G1170"/>
    <mergeCell ref="B1171:D1171"/>
    <mergeCell ref="E1171:F1171"/>
    <mergeCell ref="B1172:G1172"/>
    <mergeCell ref="A1173:G1173"/>
    <mergeCell ref="B1404:D1404"/>
    <mergeCell ref="B1405:G1405"/>
    <mergeCell ref="A1406:G1406"/>
    <mergeCell ref="A1407:B1407"/>
    <mergeCell ref="A1408:B1408"/>
    <mergeCell ref="A1409:B1409"/>
    <mergeCell ref="A1410:F1410"/>
    <mergeCell ref="A1398:G1398"/>
    <mergeCell ref="A1399:B1399"/>
    <mergeCell ref="A1400:B1400"/>
    <mergeCell ref="A1401:B1401"/>
    <mergeCell ref="A1402:F1402"/>
    <mergeCell ref="A1403:G1403"/>
    <mergeCell ref="E1404:F1404"/>
    <mergeCell ref="A1223:B1223"/>
    <mergeCell ref="E1187:F1187"/>
    <mergeCell ref="B1188:G1188"/>
    <mergeCell ref="A1189:G1189"/>
    <mergeCell ref="A1190:B1190"/>
    <mergeCell ref="A1191:B1191"/>
    <mergeCell ref="A1192:B1192"/>
    <mergeCell ref="A1193:F1193"/>
    <mergeCell ref="A1194:G1194"/>
    <mergeCell ref="B1195:D1195"/>
    <mergeCell ref="E1195:F1195"/>
    <mergeCell ref="A2:A5"/>
    <mergeCell ref="B2:D2"/>
    <mergeCell ref="E2:G3"/>
    <mergeCell ref="B3:D4"/>
    <mergeCell ref="E4:G4"/>
    <mergeCell ref="E5:G5"/>
    <mergeCell ref="A6:G6"/>
    <mergeCell ref="B5:D5"/>
    <mergeCell ref="B7:D7"/>
    <mergeCell ref="E7:F7"/>
    <mergeCell ref="B8:G8"/>
    <mergeCell ref="A9:G9"/>
    <mergeCell ref="A10:B10"/>
    <mergeCell ref="A11:B11"/>
    <mergeCell ref="A12:B12"/>
    <mergeCell ref="A13:F13"/>
    <mergeCell ref="A14:G14"/>
    <mergeCell ref="A15:G15"/>
    <mergeCell ref="B16:D16"/>
    <mergeCell ref="E16:F16"/>
    <mergeCell ref="B17:G17"/>
    <mergeCell ref="A18:G18"/>
    <mergeCell ref="A19:B19"/>
    <mergeCell ref="A20:B20"/>
    <mergeCell ref="A21:B21"/>
    <mergeCell ref="A22:B22"/>
    <mergeCell ref="A23:B23"/>
    <mergeCell ref="A24:B24"/>
    <mergeCell ref="A25:B25"/>
    <mergeCell ref="A26:B26"/>
    <mergeCell ref="A27:B27"/>
    <mergeCell ref="A28:B28"/>
    <mergeCell ref="A29:B29"/>
    <mergeCell ref="A30:B30"/>
    <mergeCell ref="A47:B47"/>
    <mergeCell ref="A48:B48"/>
    <mergeCell ref="A49:F49"/>
    <mergeCell ref="A50:G50"/>
    <mergeCell ref="E51:F51"/>
    <mergeCell ref="B51:D51"/>
    <mergeCell ref="B52:G52"/>
    <mergeCell ref="A53:G53"/>
    <mergeCell ref="A54:B54"/>
    <mergeCell ref="A55:B55"/>
    <mergeCell ref="A56:B56"/>
    <mergeCell ref="A57:B57"/>
    <mergeCell ref="A64:G64"/>
    <mergeCell ref="B65:D65"/>
    <mergeCell ref="E65:F65"/>
    <mergeCell ref="B66:G66"/>
    <mergeCell ref="A67:G67"/>
    <mergeCell ref="A58:B58"/>
    <mergeCell ref="A59:B59"/>
    <mergeCell ref="A60:B60"/>
    <mergeCell ref="A31:B31"/>
    <mergeCell ref="A32:B32"/>
    <mergeCell ref="A33:B33"/>
    <mergeCell ref="A34:B34"/>
    <mergeCell ref="A35:F35"/>
    <mergeCell ref="A36:G36"/>
    <mergeCell ref="B37:D37"/>
    <mergeCell ref="E37:F37"/>
    <mergeCell ref="B38:G38"/>
    <mergeCell ref="A39:G39"/>
    <mergeCell ref="A40:B40"/>
    <mergeCell ref="A41:B41"/>
    <mergeCell ref="A42:B42"/>
    <mergeCell ref="A43:B43"/>
    <mergeCell ref="A44:B44"/>
    <mergeCell ref="A45:B45"/>
    <mergeCell ref="A46:B46"/>
    <mergeCell ref="A78:G78"/>
    <mergeCell ref="B79:D79"/>
    <mergeCell ref="E79:F79"/>
    <mergeCell ref="B80:G80"/>
    <mergeCell ref="A81:G81"/>
    <mergeCell ref="A82:B82"/>
    <mergeCell ref="A83:B83"/>
    <mergeCell ref="A97:B97"/>
    <mergeCell ref="A98:F98"/>
    <mergeCell ref="A99:G99"/>
    <mergeCell ref="B100:D100"/>
    <mergeCell ref="E100:F100"/>
    <mergeCell ref="B101:G101"/>
    <mergeCell ref="A102:G102"/>
    <mergeCell ref="A61:B61"/>
    <mergeCell ref="A62:B62"/>
    <mergeCell ref="A63:F63"/>
    <mergeCell ref="A68:B68"/>
    <mergeCell ref="A69:B69"/>
    <mergeCell ref="A70:B70"/>
    <mergeCell ref="A71:B71"/>
    <mergeCell ref="A72:B72"/>
    <mergeCell ref="A73:B73"/>
    <mergeCell ref="A74:B74"/>
    <mergeCell ref="A75:B75"/>
    <mergeCell ref="A76:B76"/>
    <mergeCell ref="A77:F77"/>
    <mergeCell ref="A103:B103"/>
    <mergeCell ref="A104:B104"/>
    <mergeCell ref="A105:B105"/>
    <mergeCell ref="A86:B86"/>
    <mergeCell ref="A87:B87"/>
    <mergeCell ref="A88:B88"/>
    <mergeCell ref="A89:F89"/>
    <mergeCell ref="A90:G90"/>
    <mergeCell ref="B91:D91"/>
    <mergeCell ref="E91:F91"/>
    <mergeCell ref="B92:G92"/>
    <mergeCell ref="A93:G93"/>
    <mergeCell ref="A94:B94"/>
    <mergeCell ref="A95:B95"/>
    <mergeCell ref="A96:B96"/>
    <mergeCell ref="A84:B84"/>
    <mergeCell ref="A85:B8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 ref="A121:B121"/>
    <mergeCell ref="A122:B122"/>
    <mergeCell ref="A123:B123"/>
    <mergeCell ref="A124:F124"/>
    <mergeCell ref="A125:G125"/>
    <mergeCell ref="B126:D126"/>
    <mergeCell ref="E126:F126"/>
    <mergeCell ref="B127:G127"/>
    <mergeCell ref="A128:G128"/>
    <mergeCell ref="A129:B129"/>
    <mergeCell ref="A130:B130"/>
    <mergeCell ref="A131:B131"/>
    <mergeCell ref="A132:B132"/>
    <mergeCell ref="A133:B133"/>
    <mergeCell ref="A134:B134"/>
    <mergeCell ref="A135:F135"/>
    <mergeCell ref="A136:G136"/>
    <mergeCell ref="B137:D137"/>
    <mergeCell ref="E137:F137"/>
    <mergeCell ref="B138:G138"/>
    <mergeCell ref="A139:G139"/>
    <mergeCell ref="A140:B140"/>
    <mergeCell ref="A141:B141"/>
    <mergeCell ref="A142:B142"/>
    <mergeCell ref="A143:B143"/>
    <mergeCell ref="A144:B144"/>
    <mergeCell ref="A145:B145"/>
    <mergeCell ref="A146:B146"/>
    <mergeCell ref="A147:B147"/>
    <mergeCell ref="A148:B148"/>
    <mergeCell ref="A149:B149"/>
    <mergeCell ref="A150:B150"/>
    <mergeCell ref="A151:B151"/>
    <mergeCell ref="A152:B152"/>
    <mergeCell ref="A153:F153"/>
    <mergeCell ref="A154:G154"/>
    <mergeCell ref="B155:D155"/>
    <mergeCell ref="E155:F155"/>
    <mergeCell ref="B156:G156"/>
    <mergeCell ref="A157:G157"/>
    <mergeCell ref="A158:B158"/>
    <mergeCell ref="A159:B159"/>
    <mergeCell ref="A160:B160"/>
    <mergeCell ref="A162:F162"/>
    <mergeCell ref="A163:G163"/>
    <mergeCell ref="B164:D164"/>
    <mergeCell ref="E164:F164"/>
    <mergeCell ref="B165:G165"/>
    <mergeCell ref="A166:G166"/>
    <mergeCell ref="A167:B167"/>
    <mergeCell ref="A168:B168"/>
    <mergeCell ref="A169:B169"/>
    <mergeCell ref="A170:B170"/>
    <mergeCell ref="A171:B171"/>
    <mergeCell ref="A172:B172"/>
    <mergeCell ref="A173:B173"/>
    <mergeCell ref="A174:B174"/>
    <mergeCell ref="A175:B175"/>
    <mergeCell ref="A176:B176"/>
    <mergeCell ref="A177:B177"/>
    <mergeCell ref="A178:B178"/>
    <mergeCell ref="A179:F179"/>
    <mergeCell ref="A180:G180"/>
    <mergeCell ref="B181:D181"/>
    <mergeCell ref="E181:F181"/>
    <mergeCell ref="B182:G182"/>
    <mergeCell ref="A183:G183"/>
    <mergeCell ref="A184:B184"/>
    <mergeCell ref="A185:B185"/>
    <mergeCell ref="A186:B186"/>
    <mergeCell ref="A187:B187"/>
    <mergeCell ref="A188:B188"/>
    <mergeCell ref="A189:F189"/>
    <mergeCell ref="A190:G190"/>
    <mergeCell ref="B191:D191"/>
    <mergeCell ref="E191:F191"/>
    <mergeCell ref="B192:G192"/>
    <mergeCell ref="A193:G193"/>
    <mergeCell ref="A194:B194"/>
    <mergeCell ref="A195:B195"/>
    <mergeCell ref="A235:B235"/>
    <mergeCell ref="A236:B236"/>
    <mergeCell ref="A237:B237"/>
    <mergeCell ref="A238:F238"/>
    <mergeCell ref="A239:G239"/>
    <mergeCell ref="B240:D240"/>
    <mergeCell ref="E240:F240"/>
    <mergeCell ref="A225:B225"/>
    <mergeCell ref="A226:F226"/>
    <mergeCell ref="A227:G227"/>
    <mergeCell ref="E228:F228"/>
    <mergeCell ref="B228:D228"/>
    <mergeCell ref="B229:G229"/>
    <mergeCell ref="A230:G230"/>
    <mergeCell ref="A231:B231"/>
    <mergeCell ref="A232:B232"/>
    <mergeCell ref="A233:B233"/>
    <mergeCell ref="A234:B234"/>
    <mergeCell ref="B241:G241"/>
    <mergeCell ref="A242:G242"/>
    <mergeCell ref="A243:B243"/>
    <mergeCell ref="A244:B244"/>
    <mergeCell ref="A245:B245"/>
    <mergeCell ref="A246:B246"/>
    <mergeCell ref="A247:B247"/>
    <mergeCell ref="A248:B248"/>
    <mergeCell ref="A249:B249"/>
    <mergeCell ref="A250:B250"/>
    <mergeCell ref="A251:B251"/>
    <mergeCell ref="A252:B252"/>
    <mergeCell ref="A253:B253"/>
    <mergeCell ref="A254:F254"/>
    <mergeCell ref="A255:G255"/>
    <mergeCell ref="B256:D256"/>
    <mergeCell ref="E256:F256"/>
    <mergeCell ref="B257:G257"/>
    <mergeCell ref="A258:G258"/>
    <mergeCell ref="A259:B259"/>
    <mergeCell ref="A260:B260"/>
    <mergeCell ref="A261:B261"/>
    <mergeCell ref="A262:B262"/>
    <mergeCell ref="A263:B263"/>
    <mergeCell ref="A264:B264"/>
    <mergeCell ref="A265:F265"/>
    <mergeCell ref="A266:G266"/>
    <mergeCell ref="A267:G267"/>
    <mergeCell ref="B268:D268"/>
    <mergeCell ref="E268:F268"/>
    <mergeCell ref="B269:G269"/>
    <mergeCell ref="A270:G270"/>
    <mergeCell ref="A271:B271"/>
    <mergeCell ref="A272:B272"/>
    <mergeCell ref="A273:B273"/>
    <mergeCell ref="A196:B196"/>
    <mergeCell ref="A197:B197"/>
    <mergeCell ref="A198:B198"/>
    <mergeCell ref="A199:B199"/>
    <mergeCell ref="A200:F200"/>
    <mergeCell ref="A201:G201"/>
    <mergeCell ref="E202:F202"/>
    <mergeCell ref="B202:D202"/>
    <mergeCell ref="B203:G203"/>
    <mergeCell ref="A204:G204"/>
    <mergeCell ref="A205:B205"/>
    <mergeCell ref="A206:B206"/>
    <mergeCell ref="A207:B207"/>
    <mergeCell ref="A208:B208"/>
    <mergeCell ref="A209:B209"/>
    <mergeCell ref="A210:B210"/>
    <mergeCell ref="A211:B211"/>
    <mergeCell ref="A212:B212"/>
    <mergeCell ref="A213:B213"/>
    <mergeCell ref="A214:F214"/>
    <mergeCell ref="A215:G215"/>
    <mergeCell ref="B216:D216"/>
    <mergeCell ref="E216:F216"/>
    <mergeCell ref="B217:G217"/>
    <mergeCell ref="A218:G218"/>
    <mergeCell ref="A219:B219"/>
    <mergeCell ref="A220:B220"/>
    <mergeCell ref="A221:B221"/>
    <mergeCell ref="A222:B222"/>
    <mergeCell ref="A223:B223"/>
    <mergeCell ref="A224:B224"/>
    <mergeCell ref="A274:B274"/>
    <mergeCell ref="A275:B275"/>
    <mergeCell ref="A276:B276"/>
    <mergeCell ref="A277:F277"/>
    <mergeCell ref="A278:G278"/>
    <mergeCell ref="B279:D279"/>
    <mergeCell ref="E279:F279"/>
    <mergeCell ref="B280:G280"/>
    <mergeCell ref="A281:G281"/>
    <mergeCell ref="B282:D282"/>
    <mergeCell ref="A287:F287"/>
    <mergeCell ref="A288:G288"/>
    <mergeCell ref="B289:D289"/>
    <mergeCell ref="E289:F289"/>
    <mergeCell ref="B290:G290"/>
    <mergeCell ref="A291:G291"/>
    <mergeCell ref="B292:D292"/>
    <mergeCell ref="B344:G344"/>
    <mergeCell ref="A345:G345"/>
    <mergeCell ref="A346:B346"/>
    <mergeCell ref="A347:B347"/>
    <mergeCell ref="A348:B348"/>
    <mergeCell ref="A349:B349"/>
    <mergeCell ref="A350:B350"/>
    <mergeCell ref="A351:F351"/>
    <mergeCell ref="A352:G352"/>
    <mergeCell ref="E353:F353"/>
    <mergeCell ref="B353:D353"/>
    <mergeCell ref="B354:G354"/>
    <mergeCell ref="A355:G355"/>
    <mergeCell ref="A298:F298"/>
    <mergeCell ref="A299:G299"/>
    <mergeCell ref="B300:D300"/>
    <mergeCell ref="E300:F300"/>
    <mergeCell ref="B301:G301"/>
    <mergeCell ref="A302:G302"/>
    <mergeCell ref="B303:D303"/>
    <mergeCell ref="A309:F309"/>
    <mergeCell ref="A310:G310"/>
    <mergeCell ref="B311:D311"/>
    <mergeCell ref="E311:F311"/>
    <mergeCell ref="B312:G312"/>
    <mergeCell ref="A313:G313"/>
    <mergeCell ref="B314:D314"/>
    <mergeCell ref="A320:F320"/>
    <mergeCell ref="A321:G321"/>
    <mergeCell ref="B322:D322"/>
    <mergeCell ref="E322:F322"/>
    <mergeCell ref="B323:G323"/>
    <mergeCell ref="A324:G324"/>
    <mergeCell ref="B325:D325"/>
    <mergeCell ref="A331:F331"/>
    <mergeCell ref="A332:G332"/>
    <mergeCell ref="B333:D333"/>
    <mergeCell ref="E333:F333"/>
    <mergeCell ref="B334:G334"/>
    <mergeCell ref="A335:G335"/>
    <mergeCell ref="A336:B336"/>
    <mergeCell ref="A337:B337"/>
    <mergeCell ref="A338:B338"/>
    <mergeCell ref="A339:B339"/>
    <mergeCell ref="A340:B340"/>
    <mergeCell ref="A341:F341"/>
    <mergeCell ref="A342:G342"/>
    <mergeCell ref="B343:D343"/>
    <mergeCell ref="E343:F343"/>
    <mergeCell ref="A356:B356"/>
    <mergeCell ref="A357:B357"/>
    <mergeCell ref="A358:B358"/>
    <mergeCell ref="A359:B359"/>
    <mergeCell ref="A361:B361"/>
    <mergeCell ref="A362:B362"/>
    <mergeCell ref="A363:B363"/>
    <mergeCell ref="A364:B364"/>
    <mergeCell ref="A365:B365"/>
    <mergeCell ref="A366:B366"/>
    <mergeCell ref="A367:B367"/>
    <mergeCell ref="A368:B368"/>
    <mergeCell ref="A369:B369"/>
    <mergeCell ref="A370:B370"/>
    <mergeCell ref="A371:B371"/>
    <mergeCell ref="A372:B372"/>
    <mergeCell ref="A373:B373"/>
    <mergeCell ref="A360:B360"/>
    <mergeCell ref="A374:B374"/>
    <mergeCell ref="A375:B375"/>
    <mergeCell ref="A376:B376"/>
    <mergeCell ref="E390:F390"/>
    <mergeCell ref="A377:B377"/>
    <mergeCell ref="A378:B378"/>
    <mergeCell ref="A379:B379"/>
    <mergeCell ref="A380:B380"/>
    <mergeCell ref="A381:B381"/>
    <mergeCell ref="A382:B382"/>
    <mergeCell ref="A383:B383"/>
    <mergeCell ref="A384:B384"/>
    <mergeCell ref="A385:B385"/>
    <mergeCell ref="A386:B386"/>
    <mergeCell ref="A387:B387"/>
    <mergeCell ref="A388:F388"/>
    <mergeCell ref="A389:G389"/>
    <mergeCell ref="B390:D390"/>
    <mergeCell ref="B391:G391"/>
    <mergeCell ref="A392:G392"/>
    <mergeCell ref="A393:B393"/>
    <mergeCell ref="A432:G432"/>
    <mergeCell ref="A398:F398"/>
    <mergeCell ref="A399:G399"/>
    <mergeCell ref="E400:F400"/>
    <mergeCell ref="B400:D400"/>
    <mergeCell ref="B401:G401"/>
    <mergeCell ref="A402:G402"/>
    <mergeCell ref="A403:B403"/>
    <mergeCell ref="A404:B404"/>
    <mergeCell ref="A405:B405"/>
    <mergeCell ref="A406:F406"/>
    <mergeCell ref="A407:G407"/>
    <mergeCell ref="B408:D408"/>
    <mergeCell ref="E408:F408"/>
    <mergeCell ref="B409:G409"/>
    <mergeCell ref="A410:G410"/>
    <mergeCell ref="A411:B411"/>
    <mergeCell ref="A412:B412"/>
    <mergeCell ref="A413:B413"/>
    <mergeCell ref="A414:B414"/>
    <mergeCell ref="A415:F415"/>
    <mergeCell ref="A416:G416"/>
    <mergeCell ref="A394:B394"/>
    <mergeCell ref="A395:B395"/>
    <mergeCell ref="A396:B396"/>
    <mergeCell ref="A397:B397"/>
    <mergeCell ref="B433:D433"/>
    <mergeCell ref="E433:F433"/>
    <mergeCell ref="B434:G434"/>
    <mergeCell ref="A435:G435"/>
    <mergeCell ref="A436:B436"/>
    <mergeCell ref="A437:B437"/>
    <mergeCell ref="A438:B438"/>
    <mergeCell ref="A439:F439"/>
    <mergeCell ref="A440:G440"/>
    <mergeCell ref="B441:D441"/>
    <mergeCell ref="E441:F441"/>
    <mergeCell ref="B442:G442"/>
    <mergeCell ref="A443:G443"/>
    <mergeCell ref="A444:B444"/>
    <mergeCell ref="A445:B445"/>
    <mergeCell ref="E417:F417"/>
    <mergeCell ref="B418:G418"/>
    <mergeCell ref="A419:G419"/>
    <mergeCell ref="A420:B420"/>
    <mergeCell ref="A421:B421"/>
    <mergeCell ref="A422:B422"/>
    <mergeCell ref="A423:F423"/>
    <mergeCell ref="A424:G424"/>
    <mergeCell ref="E425:F425"/>
    <mergeCell ref="B425:D425"/>
    <mergeCell ref="B426:G426"/>
    <mergeCell ref="A427:G427"/>
    <mergeCell ref="A428:B428"/>
    <mergeCell ref="A429:B429"/>
    <mergeCell ref="A430:B430"/>
    <mergeCell ref="B417:D417"/>
    <mergeCell ref="A463:B463"/>
    <mergeCell ref="A464:F464"/>
    <mergeCell ref="A465:G465"/>
    <mergeCell ref="B466:D466"/>
    <mergeCell ref="E466:F466"/>
    <mergeCell ref="B467:G467"/>
    <mergeCell ref="A446:B446"/>
    <mergeCell ref="A447:F447"/>
    <mergeCell ref="A448:G448"/>
    <mergeCell ref="B449:D449"/>
    <mergeCell ref="E449:F449"/>
    <mergeCell ref="B450:G450"/>
    <mergeCell ref="A451:G451"/>
    <mergeCell ref="A452:B452"/>
    <mergeCell ref="A453:B453"/>
    <mergeCell ref="A454:B454"/>
    <mergeCell ref="A455:F455"/>
    <mergeCell ref="A456:G456"/>
    <mergeCell ref="B457:D457"/>
    <mergeCell ref="E457:F457"/>
    <mergeCell ref="B458:G458"/>
    <mergeCell ref="A459:G459"/>
    <mergeCell ref="A460:B460"/>
    <mergeCell ref="A461:B461"/>
    <mergeCell ref="A462:B462"/>
    <mergeCell ref="B533:G533"/>
    <mergeCell ref="A534:G534"/>
    <mergeCell ref="A513:B513"/>
    <mergeCell ref="A514:B514"/>
    <mergeCell ref="A515:B515"/>
    <mergeCell ref="A516:B516"/>
    <mergeCell ref="A517:B517"/>
    <mergeCell ref="A518:B518"/>
    <mergeCell ref="A519:B519"/>
    <mergeCell ref="A520:B520"/>
    <mergeCell ref="A521:F521"/>
    <mergeCell ref="A522:G522"/>
    <mergeCell ref="B523:D523"/>
    <mergeCell ref="E523:F523"/>
    <mergeCell ref="B524:G524"/>
    <mergeCell ref="A525:G525"/>
    <mergeCell ref="A526:B526"/>
    <mergeCell ref="B511:G511"/>
    <mergeCell ref="A512:G512"/>
    <mergeCell ref="A431:F431"/>
    <mergeCell ref="B482:D482"/>
    <mergeCell ref="E482:F482"/>
    <mergeCell ref="B483:G483"/>
    <mergeCell ref="A484:G484"/>
    <mergeCell ref="A485:B485"/>
    <mergeCell ref="A486:B486"/>
    <mergeCell ref="A487:B487"/>
    <mergeCell ref="A527:B527"/>
    <mergeCell ref="A528:B528"/>
    <mergeCell ref="A529:B529"/>
    <mergeCell ref="A530:F530"/>
    <mergeCell ref="A531:G531"/>
    <mergeCell ref="B532:D532"/>
    <mergeCell ref="E532:F532"/>
    <mergeCell ref="A476:G476"/>
    <mergeCell ref="A477:B477"/>
    <mergeCell ref="A478:B478"/>
    <mergeCell ref="A479:B479"/>
    <mergeCell ref="A480:F480"/>
    <mergeCell ref="A481:G481"/>
    <mergeCell ref="A468:G468"/>
    <mergeCell ref="A469:B469"/>
    <mergeCell ref="A470:B470"/>
    <mergeCell ref="A471:B471"/>
    <mergeCell ref="A472:F472"/>
    <mergeCell ref="A473:G473"/>
    <mergeCell ref="B474:D474"/>
    <mergeCell ref="E474:F474"/>
    <mergeCell ref="B475:G475"/>
    <mergeCell ref="A557:B557"/>
    <mergeCell ref="A558:B558"/>
    <mergeCell ref="A535:B535"/>
    <mergeCell ref="A536:B536"/>
    <mergeCell ref="A537:B537"/>
    <mergeCell ref="A538:B538"/>
    <mergeCell ref="A539:B539"/>
    <mergeCell ref="A488:B488"/>
    <mergeCell ref="A489:B489"/>
    <mergeCell ref="A490:B490"/>
    <mergeCell ref="A491:B491"/>
    <mergeCell ref="A492:B492"/>
    <mergeCell ref="A493:B493"/>
    <mergeCell ref="A494:F494"/>
    <mergeCell ref="A495:G495"/>
    <mergeCell ref="B496:D496"/>
    <mergeCell ref="E496:F496"/>
    <mergeCell ref="B497:G497"/>
    <mergeCell ref="A498:G498"/>
    <mergeCell ref="A499:B499"/>
    <mergeCell ref="A500:B500"/>
    <mergeCell ref="A501:B501"/>
    <mergeCell ref="A502:B502"/>
    <mergeCell ref="A503:B503"/>
    <mergeCell ref="A504:B504"/>
    <mergeCell ref="A505:B505"/>
    <mergeCell ref="A506:B506"/>
    <mergeCell ref="A507:B507"/>
    <mergeCell ref="A508:F508"/>
    <mergeCell ref="A509:G509"/>
    <mergeCell ref="B510:D510"/>
    <mergeCell ref="E510:F510"/>
    <mergeCell ref="A608:B608"/>
    <mergeCell ref="A609:B609"/>
    <mergeCell ref="A540:B540"/>
    <mergeCell ref="A541:F541"/>
    <mergeCell ref="A542:G542"/>
    <mergeCell ref="B543:D543"/>
    <mergeCell ref="E543:F543"/>
    <mergeCell ref="B544:G544"/>
    <mergeCell ref="A545:G545"/>
    <mergeCell ref="A584:G584"/>
    <mergeCell ref="A585:B585"/>
    <mergeCell ref="A586:B586"/>
    <mergeCell ref="A587:B587"/>
    <mergeCell ref="A588:B588"/>
    <mergeCell ref="A589:B589"/>
    <mergeCell ref="A590:B590"/>
    <mergeCell ref="A591:F591"/>
    <mergeCell ref="A592:G592"/>
    <mergeCell ref="B593:D593"/>
    <mergeCell ref="E593:F593"/>
    <mergeCell ref="A546:B546"/>
    <mergeCell ref="A547:B547"/>
    <mergeCell ref="A548:B548"/>
    <mergeCell ref="A549:F549"/>
    <mergeCell ref="A550:G550"/>
    <mergeCell ref="B551:D551"/>
    <mergeCell ref="E551:F551"/>
    <mergeCell ref="B552:G552"/>
    <mergeCell ref="A553:G553"/>
    <mergeCell ref="A554:B554"/>
    <mergeCell ref="A555:B555"/>
    <mergeCell ref="A556:B556"/>
    <mergeCell ref="A559:B559"/>
    <mergeCell ref="A560:B560"/>
    <mergeCell ref="A561:F561"/>
    <mergeCell ref="A562:G562"/>
    <mergeCell ref="B563:D563"/>
    <mergeCell ref="E563:F563"/>
    <mergeCell ref="B564:G564"/>
    <mergeCell ref="A565:G565"/>
    <mergeCell ref="A566:B566"/>
    <mergeCell ref="A567:B567"/>
    <mergeCell ref="A568:B568"/>
    <mergeCell ref="A569:B569"/>
    <mergeCell ref="A570:B570"/>
    <mergeCell ref="A571:F571"/>
    <mergeCell ref="A572:G572"/>
    <mergeCell ref="B573:D573"/>
    <mergeCell ref="E573:F573"/>
    <mergeCell ref="B574:G574"/>
    <mergeCell ref="A575:G575"/>
    <mergeCell ref="A576:B576"/>
    <mergeCell ref="A577:B577"/>
    <mergeCell ref="A578:B578"/>
    <mergeCell ref="A579:B579"/>
    <mergeCell ref="A580:F580"/>
    <mergeCell ref="A581:G581"/>
    <mergeCell ref="B582:D582"/>
    <mergeCell ref="E582:F582"/>
    <mergeCell ref="B583:G583"/>
    <mergeCell ref="A610:B610"/>
    <mergeCell ref="A611:F611"/>
    <mergeCell ref="A613:G613"/>
    <mergeCell ref="B614:D614"/>
    <mergeCell ref="E614:F614"/>
    <mergeCell ref="B615:G615"/>
    <mergeCell ref="B594:G594"/>
    <mergeCell ref="A595:G595"/>
    <mergeCell ref="A596:B596"/>
    <mergeCell ref="A597:B597"/>
    <mergeCell ref="A598:B598"/>
    <mergeCell ref="A599:F599"/>
    <mergeCell ref="A600:G600"/>
    <mergeCell ref="B601:D601"/>
    <mergeCell ref="E601:F601"/>
    <mergeCell ref="B602:G602"/>
    <mergeCell ref="A603:G603"/>
    <mergeCell ref="A604:B604"/>
    <mergeCell ref="A605:B605"/>
    <mergeCell ref="A606:B606"/>
    <mergeCell ref="A607:B607"/>
    <mergeCell ref="A616:G616"/>
    <mergeCell ref="B857:G857"/>
    <mergeCell ref="A858:G858"/>
    <mergeCell ref="A859:B859"/>
    <mergeCell ref="A860:B860"/>
    <mergeCell ref="A861:F861"/>
    <mergeCell ref="A862:G862"/>
    <mergeCell ref="E863:F863"/>
    <mergeCell ref="B863:D863"/>
    <mergeCell ref="B864:G864"/>
    <mergeCell ref="A865:G865"/>
    <mergeCell ref="A866:B866"/>
    <mergeCell ref="A867:B867"/>
    <mergeCell ref="A868:F868"/>
    <mergeCell ref="A869:G869"/>
    <mergeCell ref="B821:D821"/>
    <mergeCell ref="E821:F821"/>
    <mergeCell ref="B822:G822"/>
    <mergeCell ref="A823:G823"/>
    <mergeCell ref="A824:B824"/>
    <mergeCell ref="A825:B825"/>
    <mergeCell ref="A826:F826"/>
    <mergeCell ref="A827:G827"/>
    <mergeCell ref="B828:D828"/>
    <mergeCell ref="E828:F828"/>
    <mergeCell ref="B829:G829"/>
    <mergeCell ref="A830:G830"/>
    <mergeCell ref="A831:B831"/>
    <mergeCell ref="A832:B832"/>
    <mergeCell ref="A833:F833"/>
    <mergeCell ref="A834:G834"/>
    <mergeCell ref="B835:D835"/>
    <mergeCell ref="E905:F905"/>
    <mergeCell ref="E835:F835"/>
    <mergeCell ref="B836:G836"/>
    <mergeCell ref="A837:G837"/>
    <mergeCell ref="A838:B838"/>
    <mergeCell ref="A839:B839"/>
    <mergeCell ref="A840:F840"/>
    <mergeCell ref="A841:G841"/>
    <mergeCell ref="B842:D842"/>
    <mergeCell ref="E842:F842"/>
    <mergeCell ref="B843:G843"/>
    <mergeCell ref="A844:G844"/>
    <mergeCell ref="A845:B845"/>
    <mergeCell ref="A846:B846"/>
    <mergeCell ref="A847:F847"/>
    <mergeCell ref="A848:G848"/>
    <mergeCell ref="B849:D849"/>
    <mergeCell ref="E849:F849"/>
    <mergeCell ref="B892:G892"/>
    <mergeCell ref="B850:G850"/>
    <mergeCell ref="A851:G851"/>
    <mergeCell ref="A852:B852"/>
    <mergeCell ref="A853:B853"/>
    <mergeCell ref="A854:F854"/>
    <mergeCell ref="A855:G855"/>
    <mergeCell ref="B856:D856"/>
    <mergeCell ref="E856:F856"/>
    <mergeCell ref="B870:D870"/>
    <mergeCell ref="E870:F870"/>
    <mergeCell ref="B871:G871"/>
    <mergeCell ref="A872:G872"/>
    <mergeCell ref="A873:B873"/>
    <mergeCell ref="A874:B874"/>
    <mergeCell ref="A875:F875"/>
    <mergeCell ref="B913:D913"/>
    <mergeCell ref="E913:F913"/>
    <mergeCell ref="A893:G893"/>
    <mergeCell ref="A894:B894"/>
    <mergeCell ref="A895:B895"/>
    <mergeCell ref="A896:F896"/>
    <mergeCell ref="A897:G897"/>
    <mergeCell ref="B898:D898"/>
    <mergeCell ref="E898:F898"/>
    <mergeCell ref="B899:G899"/>
    <mergeCell ref="A900:G900"/>
    <mergeCell ref="A901:B901"/>
    <mergeCell ref="A902:B902"/>
    <mergeCell ref="A903:F903"/>
    <mergeCell ref="A904:G904"/>
    <mergeCell ref="B905:D905"/>
    <mergeCell ref="B877:D877"/>
    <mergeCell ref="E877:F877"/>
    <mergeCell ref="B878:G878"/>
    <mergeCell ref="A879:G879"/>
    <mergeCell ref="A880:B880"/>
    <mergeCell ref="A881:B881"/>
    <mergeCell ref="A882:F882"/>
    <mergeCell ref="A883:G883"/>
    <mergeCell ref="B884:D884"/>
    <mergeCell ref="E884:F884"/>
    <mergeCell ref="B885:G885"/>
    <mergeCell ref="A886:G886"/>
    <mergeCell ref="A887:B887"/>
    <mergeCell ref="A888:B888"/>
    <mergeCell ref="A889:F889"/>
    <mergeCell ref="A890:G890"/>
    <mergeCell ref="B891:D891"/>
    <mergeCell ref="E891:F891"/>
    <mergeCell ref="A634:B634"/>
    <mergeCell ref="A635:B636"/>
    <mergeCell ref="A637:B637"/>
    <mergeCell ref="A638:B638"/>
    <mergeCell ref="A639:B640"/>
    <mergeCell ref="B906:G906"/>
    <mergeCell ref="A907:G907"/>
    <mergeCell ref="A908:B908"/>
    <mergeCell ref="A909:B909"/>
    <mergeCell ref="A910:B910"/>
    <mergeCell ref="A911:F911"/>
    <mergeCell ref="A912:G912"/>
    <mergeCell ref="A925:B925"/>
    <mergeCell ref="A753:B753"/>
    <mergeCell ref="A754:B754"/>
    <mergeCell ref="A641:B641"/>
    <mergeCell ref="A642:B642"/>
    <mergeCell ref="A643:B643"/>
    <mergeCell ref="A644:B644"/>
    <mergeCell ref="A645:B645"/>
    <mergeCell ref="A646:B646"/>
    <mergeCell ref="A647:F647"/>
    <mergeCell ref="A648:G648"/>
    <mergeCell ref="B649:D649"/>
    <mergeCell ref="E649:F649"/>
    <mergeCell ref="B650:G650"/>
    <mergeCell ref="A651:G651"/>
    <mergeCell ref="A652:B652"/>
    <mergeCell ref="A926:F926"/>
    <mergeCell ref="A927:G927"/>
    <mergeCell ref="B928:D928"/>
    <mergeCell ref="E928:F928"/>
    <mergeCell ref="B660:D660"/>
    <mergeCell ref="E660:F660"/>
    <mergeCell ref="B661:G661"/>
    <mergeCell ref="A662:G662"/>
    <mergeCell ref="A663:B663"/>
    <mergeCell ref="A664:B664"/>
    <mergeCell ref="A665:B665"/>
    <mergeCell ref="A666:B666"/>
    <mergeCell ref="A667:F667"/>
    <mergeCell ref="A668:G668"/>
    <mergeCell ref="B669:D669"/>
    <mergeCell ref="E669:F669"/>
    <mergeCell ref="B670:G670"/>
    <mergeCell ref="A671:G671"/>
    <mergeCell ref="A672:B672"/>
    <mergeCell ref="A738:B738"/>
    <mergeCell ref="A739:B742"/>
    <mergeCell ref="A743:F743"/>
    <mergeCell ref="A744:G744"/>
    <mergeCell ref="B745:D745"/>
    <mergeCell ref="E745:F745"/>
    <mergeCell ref="B746:G746"/>
    <mergeCell ref="A747:G747"/>
    <mergeCell ref="A748:B748"/>
    <mergeCell ref="A749:B749"/>
    <mergeCell ref="A750:B750"/>
    <mergeCell ref="A751:B751"/>
    <mergeCell ref="A752:B752"/>
    <mergeCell ref="A617:B617"/>
    <mergeCell ref="A618:B618"/>
    <mergeCell ref="A619:B619"/>
    <mergeCell ref="A620:B620"/>
    <mergeCell ref="A621:B621"/>
    <mergeCell ref="A622:B622"/>
    <mergeCell ref="A623:B623"/>
    <mergeCell ref="A624:B624"/>
    <mergeCell ref="A625:B625"/>
    <mergeCell ref="A626:B626"/>
    <mergeCell ref="A627:B627"/>
    <mergeCell ref="A628:B628"/>
    <mergeCell ref="A629:B629"/>
    <mergeCell ref="A630:B630"/>
    <mergeCell ref="A631:B631"/>
    <mergeCell ref="A632:B632"/>
    <mergeCell ref="A633:B633"/>
    <mergeCell ref="A653:B653"/>
    <mergeCell ref="A654:B654"/>
    <mergeCell ref="A655:B655"/>
    <mergeCell ref="A656:B656"/>
    <mergeCell ref="A723:B725"/>
    <mergeCell ref="A726:B726"/>
    <mergeCell ref="A727:B728"/>
    <mergeCell ref="A729:B730"/>
    <mergeCell ref="A731:B731"/>
    <mergeCell ref="A732:B735"/>
    <mergeCell ref="A736:B736"/>
    <mergeCell ref="A737:B737"/>
    <mergeCell ref="A657:B657"/>
    <mergeCell ref="A658:F658"/>
    <mergeCell ref="A659:G659"/>
    <mergeCell ref="A685:G685"/>
    <mergeCell ref="B686:D686"/>
    <mergeCell ref="E686:F686"/>
    <mergeCell ref="B687:G687"/>
    <mergeCell ref="A688:G688"/>
    <mergeCell ref="A689:B689"/>
    <mergeCell ref="A690:B690"/>
    <mergeCell ref="A676:F676"/>
    <mergeCell ref="A677:G677"/>
    <mergeCell ref="E678:F678"/>
    <mergeCell ref="B678:D678"/>
    <mergeCell ref="B679:G679"/>
    <mergeCell ref="A680:G680"/>
    <mergeCell ref="A681:B681"/>
    <mergeCell ref="A682:B682"/>
    <mergeCell ref="A683:B683"/>
    <mergeCell ref="A684:F684"/>
    <mergeCell ref="A673:B673"/>
    <mergeCell ref="A674:B674"/>
    <mergeCell ref="A675:B675"/>
    <mergeCell ref="A691:B696"/>
    <mergeCell ref="A697:B698"/>
    <mergeCell ref="A699:B700"/>
    <mergeCell ref="A701:B701"/>
    <mergeCell ref="A702:B707"/>
    <mergeCell ref="A708:B709"/>
    <mergeCell ref="A710:B710"/>
    <mergeCell ref="A711:B711"/>
    <mergeCell ref="A712:B712"/>
    <mergeCell ref="A713:B713"/>
    <mergeCell ref="A714:B714"/>
    <mergeCell ref="A715:B715"/>
    <mergeCell ref="A716:B718"/>
    <mergeCell ref="A719:B719"/>
    <mergeCell ref="A720:B720"/>
    <mergeCell ref="A721:B721"/>
    <mergeCell ref="A722:B722"/>
    <mergeCell ref="A755:F755"/>
    <mergeCell ref="A756:G756"/>
    <mergeCell ref="A769:B769"/>
    <mergeCell ref="A770:B770"/>
    <mergeCell ref="A771:B771"/>
    <mergeCell ref="A772:B772"/>
    <mergeCell ref="A773:B773"/>
    <mergeCell ref="A774:B774"/>
    <mergeCell ref="A775:B775"/>
    <mergeCell ref="A776:B776"/>
    <mergeCell ref="A777:B777"/>
    <mergeCell ref="A778:B778"/>
    <mergeCell ref="A780:F780"/>
    <mergeCell ref="A781:G781"/>
    <mergeCell ref="B782:D782"/>
    <mergeCell ref="E782:F782"/>
    <mergeCell ref="B783:G783"/>
    <mergeCell ref="A763:F763"/>
    <mergeCell ref="A764:G764"/>
    <mergeCell ref="B765:D765"/>
    <mergeCell ref="E765:F765"/>
    <mergeCell ref="B766:G766"/>
    <mergeCell ref="A767:G767"/>
    <mergeCell ref="A768:B768"/>
    <mergeCell ref="B757:D757"/>
    <mergeCell ref="E757:F757"/>
    <mergeCell ref="B758:G758"/>
    <mergeCell ref="A759:G759"/>
    <mergeCell ref="A760:B760"/>
    <mergeCell ref="A761:B761"/>
    <mergeCell ref="A762:B762"/>
    <mergeCell ref="A784:G784"/>
    <mergeCell ref="A785:B785"/>
    <mergeCell ref="A786:B786"/>
    <mergeCell ref="A787:B787"/>
    <mergeCell ref="A788:B788"/>
    <mergeCell ref="A789:F789"/>
    <mergeCell ref="A790:G790"/>
    <mergeCell ref="B791:D791"/>
    <mergeCell ref="E791:F791"/>
    <mergeCell ref="B792:G792"/>
    <mergeCell ref="A793:G793"/>
    <mergeCell ref="A794:B794"/>
    <mergeCell ref="A795:B795"/>
    <mergeCell ref="A796:F796"/>
    <mergeCell ref="A797:G797"/>
    <mergeCell ref="B798:D798"/>
    <mergeCell ref="E798:F798"/>
    <mergeCell ref="B799:G799"/>
    <mergeCell ref="A800:G800"/>
    <mergeCell ref="A801:B801"/>
    <mergeCell ref="A802:B802"/>
    <mergeCell ref="A803:B803"/>
    <mergeCell ref="A804:F804"/>
    <mergeCell ref="A805:G805"/>
    <mergeCell ref="B806:D806"/>
    <mergeCell ref="E806:F806"/>
    <mergeCell ref="B807:G807"/>
    <mergeCell ref="A808:G808"/>
    <mergeCell ref="A809:B809"/>
    <mergeCell ref="A810:B810"/>
    <mergeCell ref="A811:B811"/>
    <mergeCell ref="A812:F812"/>
    <mergeCell ref="A813:G813"/>
    <mergeCell ref="E814:F814"/>
    <mergeCell ref="B814:D814"/>
    <mergeCell ref="B815:G815"/>
    <mergeCell ref="A816:G816"/>
    <mergeCell ref="A817:B817"/>
    <mergeCell ref="A818:B818"/>
    <mergeCell ref="A819:F819"/>
    <mergeCell ref="A820:G820"/>
    <mergeCell ref="A931:B931"/>
    <mergeCell ref="A932:B932"/>
    <mergeCell ref="A933:F933"/>
    <mergeCell ref="A934:G934"/>
    <mergeCell ref="B935:D935"/>
    <mergeCell ref="E935:F935"/>
    <mergeCell ref="B936:G936"/>
    <mergeCell ref="A937:G937"/>
    <mergeCell ref="A938:B938"/>
    <mergeCell ref="A939:B939"/>
    <mergeCell ref="A940:F940"/>
    <mergeCell ref="B929:G929"/>
    <mergeCell ref="A930:G930"/>
    <mergeCell ref="B914:G914"/>
    <mergeCell ref="A915:G915"/>
    <mergeCell ref="A916:B916"/>
    <mergeCell ref="A917:B917"/>
    <mergeCell ref="A918:B918"/>
    <mergeCell ref="A919:F919"/>
    <mergeCell ref="A920:G920"/>
    <mergeCell ref="B921:D921"/>
    <mergeCell ref="E921:F921"/>
    <mergeCell ref="B922:G922"/>
    <mergeCell ref="A923:G923"/>
    <mergeCell ref="A924:B924"/>
    <mergeCell ref="A876:G876"/>
    <mergeCell ref="A941:G941"/>
    <mergeCell ref="B942:D942"/>
    <mergeCell ref="E942:F942"/>
    <mergeCell ref="B943:G943"/>
    <mergeCell ref="A944:G944"/>
    <mergeCell ref="A945:B945"/>
    <mergeCell ref="A946:B946"/>
    <mergeCell ref="A947:B947"/>
    <mergeCell ref="A948:F948"/>
    <mergeCell ref="A949:G949"/>
    <mergeCell ref="B950:D950"/>
    <mergeCell ref="E950:F950"/>
    <mergeCell ref="B951:G951"/>
    <mergeCell ref="A952:G952"/>
    <mergeCell ref="A953:B953"/>
    <mergeCell ref="A954:B954"/>
    <mergeCell ref="A955:F955"/>
    <mergeCell ref="A956:G956"/>
    <mergeCell ref="B957:D957"/>
    <mergeCell ref="E957:F957"/>
    <mergeCell ref="B958:G958"/>
    <mergeCell ref="A959:G959"/>
    <mergeCell ref="A960:B960"/>
    <mergeCell ref="A961:B961"/>
    <mergeCell ref="A962:B962"/>
    <mergeCell ref="A963:F963"/>
    <mergeCell ref="A964:G964"/>
    <mergeCell ref="B965:D965"/>
    <mergeCell ref="E965:F965"/>
    <mergeCell ref="B966:G966"/>
    <mergeCell ref="A967:G967"/>
    <mergeCell ref="A968:B968"/>
    <mergeCell ref="A969:B969"/>
    <mergeCell ref="A970:B970"/>
    <mergeCell ref="A971:F971"/>
    <mergeCell ref="A972:G972"/>
    <mergeCell ref="B973:D973"/>
    <mergeCell ref="E973:F973"/>
    <mergeCell ref="B1211:D1211"/>
    <mergeCell ref="B1212:G1212"/>
    <mergeCell ref="A1213:G1213"/>
    <mergeCell ref="A1214:B1214"/>
    <mergeCell ref="A1215:B1215"/>
    <mergeCell ref="A1216:B1216"/>
    <mergeCell ref="A1217:F1217"/>
    <mergeCell ref="A1218:G1218"/>
    <mergeCell ref="B1219:D1219"/>
    <mergeCell ref="E1219:F1219"/>
    <mergeCell ref="B1220:G1220"/>
    <mergeCell ref="A1221:G1221"/>
    <mergeCell ref="A1222:B1222"/>
    <mergeCell ref="A1174:B1174"/>
    <mergeCell ref="A1175:B1175"/>
    <mergeCell ref="A1176:B1176"/>
    <mergeCell ref="A1177:F1177"/>
    <mergeCell ref="A1178:G1178"/>
    <mergeCell ref="B1179:D1179"/>
    <mergeCell ref="E1179:F1179"/>
    <mergeCell ref="B1180:G1180"/>
    <mergeCell ref="A1181:G1181"/>
    <mergeCell ref="A1182:B1182"/>
    <mergeCell ref="A1183:B1183"/>
    <mergeCell ref="A1184:B1184"/>
    <mergeCell ref="A1185:F1185"/>
    <mergeCell ref="A1186:G1186"/>
    <mergeCell ref="B1187:D1187"/>
    <mergeCell ref="A1224:B1224"/>
    <mergeCell ref="A1225:F1225"/>
    <mergeCell ref="A1226:G1226"/>
    <mergeCell ref="B1227:D1227"/>
    <mergeCell ref="E1227:F1227"/>
    <mergeCell ref="B1228:G1228"/>
    <mergeCell ref="A1229:G1229"/>
    <mergeCell ref="B1196:G1196"/>
    <mergeCell ref="A1197:G1197"/>
    <mergeCell ref="A1198:B1198"/>
    <mergeCell ref="A1199:B1199"/>
    <mergeCell ref="A1200:B1200"/>
    <mergeCell ref="A1201:F1201"/>
    <mergeCell ref="A1202:G1202"/>
    <mergeCell ref="B1203:D1203"/>
    <mergeCell ref="E1203:F1203"/>
    <mergeCell ref="B1204:G1204"/>
    <mergeCell ref="A1205:G1205"/>
    <mergeCell ref="A1206:B1206"/>
    <mergeCell ref="A1207:B1207"/>
    <mergeCell ref="A1208:B1208"/>
    <mergeCell ref="A1209:F1209"/>
    <mergeCell ref="A1210:G1210"/>
    <mergeCell ref="E1211:F1211"/>
  </mergeCells>
  <pageMargins left="0.70866141732283472" right="0.70866141732283472" top="0.74803149606299213" bottom="0.74803149606299213" header="0" footer="0"/>
  <pageSetup orientation="portrait"/>
  <colBreaks count="1" manualBreakCount="1">
    <brk id="7" man="1"/>
  </colBreaks>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198"/>
  <sheetViews>
    <sheetView workbookViewId="0"/>
  </sheetViews>
  <sheetFormatPr baseColWidth="10" defaultColWidth="14.44140625" defaultRowHeight="15" customHeight="1"/>
  <cols>
    <col min="1" max="1" width="4.6640625" customWidth="1"/>
    <col min="2" max="2" width="39.6640625" customWidth="1"/>
    <col min="3" max="3" width="7.6640625" customWidth="1"/>
    <col min="4" max="4" width="9.6640625" customWidth="1"/>
    <col min="5" max="5" width="13.44140625" customWidth="1"/>
    <col min="6" max="6" width="15.44140625" customWidth="1"/>
    <col min="7" max="7" width="14.33203125" customWidth="1"/>
    <col min="8" max="8" width="14.6640625" customWidth="1"/>
    <col min="9" max="9" width="15.5546875" customWidth="1"/>
    <col min="10" max="10" width="14.44140625" customWidth="1"/>
    <col min="11" max="11" width="15.44140625" customWidth="1"/>
    <col min="12" max="12" width="11.44140625" customWidth="1"/>
    <col min="13" max="13" width="14.6640625" customWidth="1"/>
    <col min="14" max="26" width="11.44140625" customWidth="1"/>
  </cols>
  <sheetData>
    <row r="1" spans="1:9" ht="12.75" customHeight="1">
      <c r="A1" s="1821" t="s">
        <v>372</v>
      </c>
      <c r="B1" s="1605"/>
      <c r="C1" s="1605"/>
      <c r="D1" s="1605"/>
      <c r="E1" s="1605"/>
      <c r="F1" s="1605"/>
      <c r="G1" s="123"/>
      <c r="H1" s="124"/>
      <c r="I1" s="125"/>
    </row>
    <row r="2" spans="1:9" ht="12.75" customHeight="1">
      <c r="A2" s="1822" t="s">
        <v>373</v>
      </c>
      <c r="B2" s="1605"/>
      <c r="C2" s="1605"/>
      <c r="D2" s="1605"/>
      <c r="E2" s="1605"/>
      <c r="F2" s="1605"/>
      <c r="G2" s="123"/>
      <c r="H2" s="124"/>
      <c r="I2" s="125"/>
    </row>
    <row r="3" spans="1:9" ht="6.75" customHeight="1">
      <c r="A3" s="1822"/>
      <c r="B3" s="1605"/>
      <c r="C3" s="1605"/>
      <c r="D3" s="1605"/>
      <c r="E3" s="1605"/>
      <c r="F3" s="1605"/>
      <c r="G3" s="123"/>
      <c r="H3" s="124"/>
      <c r="I3" s="125"/>
    </row>
    <row r="4" spans="1:9" ht="39.75" customHeight="1">
      <c r="A4" s="1823" t="e">
        <f>+#REF!</f>
        <v>#REF!</v>
      </c>
      <c r="B4" s="1824"/>
      <c r="C4" s="1824"/>
      <c r="D4" s="1824"/>
      <c r="E4" s="1824"/>
      <c r="F4" s="1825"/>
      <c r="G4" s="123"/>
      <c r="H4" s="124"/>
      <c r="I4" s="125"/>
    </row>
    <row r="5" spans="1:9" ht="12.75" customHeight="1">
      <c r="A5" s="1826" t="s">
        <v>942</v>
      </c>
      <c r="B5" s="1605"/>
      <c r="C5" s="1605"/>
      <c r="D5" s="1605"/>
      <c r="E5" s="1605"/>
      <c r="F5" s="1605"/>
      <c r="G5" s="123"/>
      <c r="H5" s="124"/>
      <c r="I5" s="125"/>
    </row>
    <row r="6" spans="1:9" ht="9" customHeight="1">
      <c r="A6" s="1816"/>
      <c r="B6" s="1817"/>
      <c r="C6" s="1817"/>
      <c r="D6" s="1817"/>
      <c r="E6" s="1817"/>
      <c r="F6" s="1817"/>
      <c r="G6" s="123"/>
      <c r="H6" s="124"/>
      <c r="I6" s="125"/>
    </row>
    <row r="7" spans="1:9" ht="12.75" customHeight="1">
      <c r="A7" s="126" t="s">
        <v>375</v>
      </c>
      <c r="B7" s="127" t="s">
        <v>376</v>
      </c>
      <c r="C7" s="127" t="s">
        <v>127</v>
      </c>
      <c r="D7" s="128" t="s">
        <v>7</v>
      </c>
      <c r="E7" s="127" t="s">
        <v>377</v>
      </c>
      <c r="F7" s="127" t="s">
        <v>378</v>
      </c>
      <c r="G7" s="123"/>
      <c r="H7" s="124"/>
      <c r="I7" s="125"/>
    </row>
    <row r="8" spans="1:9" ht="12.75" hidden="1" customHeight="1">
      <c r="A8" s="1818"/>
      <c r="B8" s="1807"/>
      <c r="C8" s="1807"/>
      <c r="D8" s="1807"/>
      <c r="E8" s="1807"/>
      <c r="F8" s="1819"/>
      <c r="G8" s="123"/>
      <c r="H8" s="124"/>
      <c r="I8" s="125"/>
    </row>
    <row r="9" spans="1:9" ht="12.75" customHeight="1">
      <c r="A9" s="129">
        <v>1</v>
      </c>
      <c r="B9" s="130" t="s">
        <v>379</v>
      </c>
      <c r="C9" s="131"/>
      <c r="D9" s="132"/>
      <c r="E9" s="133"/>
      <c r="F9" s="133"/>
      <c r="G9" s="123"/>
      <c r="H9" s="124"/>
      <c r="I9" s="125"/>
    </row>
    <row r="10" spans="1:9" ht="12.75" hidden="1" customHeight="1">
      <c r="A10" s="134" t="s">
        <v>11</v>
      </c>
      <c r="B10" s="135" t="e">
        <f>+#REF!</f>
        <v>#REF!</v>
      </c>
      <c r="C10" s="136" t="s">
        <v>228</v>
      </c>
      <c r="D10" s="137"/>
      <c r="E10" s="138" t="e">
        <f>+#REF!</f>
        <v>#REF!</v>
      </c>
      <c r="F10" s="138" t="e">
        <f t="shared" ref="F10:F18" si="0">+E10*D10</f>
        <v>#REF!</v>
      </c>
      <c r="G10" s="123"/>
      <c r="H10" s="124">
        <v>1486.0619431041453</v>
      </c>
      <c r="I10" s="125"/>
    </row>
    <row r="11" spans="1:9" ht="39" hidden="1" customHeight="1">
      <c r="A11" s="134" t="s">
        <v>14</v>
      </c>
      <c r="B11" s="135" t="e">
        <f ca="1">+_xlfn.SINGLE(#REF!)</f>
        <v>#NAME?</v>
      </c>
      <c r="C11" s="136" t="e">
        <f>+#REF!</f>
        <v>#REF!</v>
      </c>
      <c r="D11" s="137"/>
      <c r="E11" s="138">
        <f>+'2 - DEMOLICIONES'!G197</f>
        <v>117023</v>
      </c>
      <c r="F11" s="138">
        <f t="shared" si="0"/>
        <v>0</v>
      </c>
      <c r="G11" s="123"/>
      <c r="H11" s="124">
        <v>303.82537499999995</v>
      </c>
      <c r="I11" s="125"/>
    </row>
    <row r="12" spans="1:9" ht="12.75" hidden="1" customHeight="1">
      <c r="A12" s="134" t="s">
        <v>380</v>
      </c>
      <c r="B12" s="135" t="e">
        <f>+#REF!</f>
        <v>#REF!</v>
      </c>
      <c r="C12" s="136" t="e">
        <f>+#REF!</f>
        <v>#REF!</v>
      </c>
      <c r="D12" s="137"/>
      <c r="E12" s="138">
        <f>+'2 - DEMOLICIONES'!G518</f>
        <v>24806</v>
      </c>
      <c r="F12" s="138">
        <f t="shared" si="0"/>
        <v>0</v>
      </c>
      <c r="G12" s="123"/>
      <c r="H12" s="124">
        <v>328.07100000000003</v>
      </c>
      <c r="I12" s="125"/>
    </row>
    <row r="13" spans="1:9" ht="12.75" hidden="1" customHeight="1">
      <c r="A13" s="134" t="s">
        <v>381</v>
      </c>
      <c r="B13" s="135" t="e">
        <f>+#REF!</f>
        <v>#REF!</v>
      </c>
      <c r="C13" s="136" t="e">
        <f>+#REF!</f>
        <v>#REF!</v>
      </c>
      <c r="D13" s="137"/>
      <c r="E13" s="138">
        <f>+'2 - DEMOLICIONES'!G164</f>
        <v>28443</v>
      </c>
      <c r="F13" s="138">
        <f t="shared" si="0"/>
        <v>0</v>
      </c>
      <c r="G13" s="123"/>
      <c r="H13" s="124" t="e">
        <v>#REF!</v>
      </c>
      <c r="I13" s="125"/>
    </row>
    <row r="14" spans="1:9" ht="27.75" hidden="1" customHeight="1">
      <c r="A14" s="134" t="s">
        <v>382</v>
      </c>
      <c r="B14" s="135" t="e">
        <f>+#REF!</f>
        <v>#REF!</v>
      </c>
      <c r="C14" s="136" t="e">
        <f>+#REF!</f>
        <v>#REF!</v>
      </c>
      <c r="D14" s="137"/>
      <c r="E14" s="138">
        <f>+'2 - DEMOLICIONES'!G325</f>
        <v>14119</v>
      </c>
      <c r="F14" s="138">
        <f t="shared" si="0"/>
        <v>0</v>
      </c>
      <c r="G14" s="123"/>
      <c r="H14" s="124" t="e">
        <v>#REF!</v>
      </c>
      <c r="I14" s="125"/>
    </row>
    <row r="15" spans="1:9" ht="12.75" hidden="1" customHeight="1">
      <c r="A15" s="134" t="s">
        <v>383</v>
      </c>
      <c r="B15" s="135" t="e">
        <f ca="1">+_xlfn.SINGLE(#REF!)</f>
        <v>#NAME?</v>
      </c>
      <c r="C15" s="136" t="e">
        <f>+#REF!</f>
        <v>#REF!</v>
      </c>
      <c r="D15" s="137"/>
      <c r="E15" s="138">
        <f>+'2 - DEMOLICIONES'!G389</f>
        <v>323683</v>
      </c>
      <c r="F15" s="138">
        <f t="shared" si="0"/>
        <v>0</v>
      </c>
      <c r="G15" s="123"/>
      <c r="H15" s="124">
        <v>328.07100000000003</v>
      </c>
      <c r="I15" s="125"/>
    </row>
    <row r="16" spans="1:9" ht="12.75" hidden="1" customHeight="1">
      <c r="A16" s="134" t="s">
        <v>384</v>
      </c>
      <c r="B16" s="135" t="e">
        <f>+#REF!</f>
        <v>#REF!</v>
      </c>
      <c r="C16" s="136" t="e">
        <f>+#REF!</f>
        <v>#REF!</v>
      </c>
      <c r="D16" s="137"/>
      <c r="E16" s="138">
        <f>+'2 - DEMOLICIONES'!G357</f>
        <v>41801</v>
      </c>
      <c r="F16" s="138">
        <f t="shared" si="0"/>
        <v>0</v>
      </c>
      <c r="G16" s="123"/>
      <c r="H16" s="124" t="e">
        <v>#REF!</v>
      </c>
      <c r="I16" s="125"/>
    </row>
    <row r="17" spans="1:9" ht="12.75" customHeight="1">
      <c r="A17" s="134" t="s">
        <v>385</v>
      </c>
      <c r="B17" s="135" t="e">
        <f>+#REF!</f>
        <v>#REF!</v>
      </c>
      <c r="C17" s="136" t="e">
        <f>+#REF!</f>
        <v>#REF!</v>
      </c>
      <c r="D17" s="137">
        <f>+'MEMORIA DE CANTIDADES BLOQUE 2'!G109</f>
        <v>136.96</v>
      </c>
      <c r="E17" s="138" t="e">
        <f>+#REF!</f>
        <v>#REF!</v>
      </c>
      <c r="F17" s="138" t="e">
        <f t="shared" si="0"/>
        <v>#REF!</v>
      </c>
      <c r="G17" s="123"/>
      <c r="H17" s="124">
        <v>328.07100000000003</v>
      </c>
      <c r="I17" s="125"/>
    </row>
    <row r="18" spans="1:9" ht="28.5" hidden="1" customHeight="1">
      <c r="A18" s="134" t="s">
        <v>386</v>
      </c>
      <c r="B18" s="135" t="e">
        <f>+#REF!</f>
        <v>#REF!</v>
      </c>
      <c r="C18" s="136" t="e">
        <f>+#REF!</f>
        <v>#REF!</v>
      </c>
      <c r="D18" s="137"/>
      <c r="E18" s="138" t="e">
        <f>+#REF!</f>
        <v>#REF!</v>
      </c>
      <c r="F18" s="138" t="e">
        <f t="shared" si="0"/>
        <v>#REF!</v>
      </c>
      <c r="G18" s="123"/>
      <c r="H18" s="124" t="e">
        <v>#REF!</v>
      </c>
      <c r="I18" s="125"/>
    </row>
    <row r="19" spans="1:9" ht="12.75" customHeight="1">
      <c r="A19" s="1820" t="s">
        <v>387</v>
      </c>
      <c r="B19" s="1610"/>
      <c r="C19" s="1610"/>
      <c r="D19" s="1610"/>
      <c r="E19" s="1611"/>
      <c r="F19" s="139" t="e">
        <f>SUM(F10:F18)</f>
        <v>#REF!</v>
      </c>
      <c r="G19" s="123"/>
      <c r="H19" s="124" t="e">
        <f>+F19*1.25</f>
        <v>#REF!</v>
      </c>
      <c r="I19" s="125">
        <v>761767185</v>
      </c>
    </row>
    <row r="20" spans="1:9" ht="12.75" customHeight="1">
      <c r="A20" s="129">
        <v>2</v>
      </c>
      <c r="B20" s="130" t="s">
        <v>35</v>
      </c>
      <c r="C20" s="131"/>
      <c r="D20" s="132"/>
      <c r="E20" s="133"/>
      <c r="F20" s="133"/>
      <c r="G20" s="123"/>
      <c r="H20" s="124"/>
      <c r="I20" s="125"/>
    </row>
    <row r="21" spans="1:9" ht="12.75" hidden="1" customHeight="1">
      <c r="A21" s="140" t="s">
        <v>18</v>
      </c>
      <c r="B21" s="135" t="s">
        <v>388</v>
      </c>
      <c r="C21" s="134" t="s">
        <v>228</v>
      </c>
      <c r="D21" s="137"/>
      <c r="E21" s="138" t="e">
        <f>+'4 - CIMENTACIÓN - CONCRETOS'!G71</f>
        <v>#REF!</v>
      </c>
      <c r="F21" s="138" t="e">
        <f t="shared" ref="F21:F24" si="1">+D21*E21</f>
        <v>#REF!</v>
      </c>
      <c r="G21" s="123"/>
      <c r="H21" s="124">
        <v>62.825500000000005</v>
      </c>
      <c r="I21" s="125"/>
    </row>
    <row r="22" spans="1:9" ht="12.75" hidden="1" customHeight="1">
      <c r="A22" s="140" t="s">
        <v>21</v>
      </c>
      <c r="B22" s="135" t="s">
        <v>389</v>
      </c>
      <c r="C22" s="134" t="s">
        <v>116</v>
      </c>
      <c r="D22" s="137"/>
      <c r="E22" s="138">
        <f>+'4 - CIMENTACIÓN - CONCRETOS'!G109</f>
        <v>732924</v>
      </c>
      <c r="F22" s="138">
        <f t="shared" si="1"/>
        <v>0</v>
      </c>
      <c r="G22" s="123"/>
      <c r="H22" s="124">
        <v>11.908199999999999</v>
      </c>
      <c r="I22" s="125"/>
    </row>
    <row r="23" spans="1:9" ht="12.75" hidden="1" customHeight="1">
      <c r="A23" s="140" t="s">
        <v>23</v>
      </c>
      <c r="B23" s="135" t="e">
        <f ca="1">+_xlfn.SINGLE(#REF!)</f>
        <v>#NAME?</v>
      </c>
      <c r="C23" s="134" t="s">
        <v>116</v>
      </c>
      <c r="D23" s="137"/>
      <c r="E23" s="138">
        <f>+'4 - CIMENTACIÓN - CONCRETOS'!G301</f>
        <v>1229432</v>
      </c>
      <c r="F23" s="138">
        <f t="shared" si="1"/>
        <v>0</v>
      </c>
      <c r="G23" s="123"/>
      <c r="H23" s="124">
        <v>22.298275000000004</v>
      </c>
      <c r="I23" s="125"/>
    </row>
    <row r="24" spans="1:9" ht="12.75" hidden="1" customHeight="1">
      <c r="A24" s="140" t="s">
        <v>25</v>
      </c>
      <c r="B24" s="135" t="e">
        <f ca="1">+_xlfn.SINGLE(#REF!)</f>
        <v>#NAME?</v>
      </c>
      <c r="C24" s="134" t="s">
        <v>116</v>
      </c>
      <c r="D24" s="137"/>
      <c r="E24" s="138">
        <f>+'4 - CIMENTACIÓN - CONCRETOS'!G334</f>
        <v>1137721</v>
      </c>
      <c r="F24" s="138">
        <f t="shared" si="1"/>
        <v>0</v>
      </c>
      <c r="G24" s="123"/>
      <c r="H24" s="124">
        <v>21.821112499999998</v>
      </c>
      <c r="I24" s="125"/>
    </row>
    <row r="25" spans="1:9" ht="12.75" hidden="1" customHeight="1">
      <c r="A25" s="140" t="s">
        <v>27</v>
      </c>
      <c r="B25" s="135" t="e">
        <f ca="1">+_xlfn.SINGLE(#REF!)</f>
        <v>#NAME?</v>
      </c>
      <c r="C25" s="134" t="s">
        <v>116</v>
      </c>
      <c r="D25" s="137"/>
      <c r="E25" s="138" t="e">
        <f>+#REF!</f>
        <v>#REF!</v>
      </c>
      <c r="F25" s="138" t="e">
        <f>+E25*D25</f>
        <v>#REF!</v>
      </c>
      <c r="G25" s="123"/>
      <c r="H25" s="124">
        <v>24.009999999999998</v>
      </c>
      <c r="I25" s="125"/>
    </row>
    <row r="26" spans="1:9" ht="12.75" hidden="1" customHeight="1">
      <c r="A26" s="140" t="s">
        <v>29</v>
      </c>
      <c r="B26" s="135" t="e">
        <f ca="1">+_xlfn.SINGLE(#REF!)</f>
        <v>#NAME?</v>
      </c>
      <c r="C26" s="134" t="s">
        <v>116</v>
      </c>
      <c r="D26" s="137"/>
      <c r="E26" s="138" t="e">
        <f>+#REF!</f>
        <v>#REF!</v>
      </c>
      <c r="F26" s="138" t="e">
        <f>+D26*E26</f>
        <v>#REF!</v>
      </c>
      <c r="G26" s="123"/>
      <c r="H26" s="124">
        <v>10.382240000000001</v>
      </c>
      <c r="I26" s="125"/>
    </row>
    <row r="27" spans="1:9" ht="12.75" hidden="1" customHeight="1">
      <c r="A27" s="140" t="s">
        <v>31</v>
      </c>
      <c r="B27" s="135" t="e">
        <f>+#REF!</f>
        <v>#REF!</v>
      </c>
      <c r="C27" s="134" t="s">
        <v>116</v>
      </c>
      <c r="D27" s="137"/>
      <c r="E27" s="138" t="e">
        <f>+#REF!</f>
        <v>#REF!</v>
      </c>
      <c r="F27" s="138" t="e">
        <f t="shared" ref="F27:F31" si="2">+E27*D27</f>
        <v>#REF!</v>
      </c>
      <c r="G27" s="123"/>
      <c r="H27" s="124">
        <v>11.268152499999999</v>
      </c>
      <c r="I27" s="125"/>
    </row>
    <row r="28" spans="1:9" ht="12.75" customHeight="1">
      <c r="A28" s="140" t="s">
        <v>31</v>
      </c>
      <c r="B28" s="135" t="e">
        <f>+#REF!</f>
        <v>#REF!</v>
      </c>
      <c r="C28" s="134" t="s">
        <v>116</v>
      </c>
      <c r="D28" s="137">
        <f>+'MEMORIA DE CANTIDADES BLOQUE 2'!G234</f>
        <v>46.179999999999687</v>
      </c>
      <c r="E28" s="138" t="e">
        <f>+#REF!</f>
        <v>#REF!</v>
      </c>
      <c r="F28" s="138" t="e">
        <f t="shared" si="2"/>
        <v>#REF!</v>
      </c>
      <c r="G28" s="123"/>
      <c r="H28" s="124">
        <v>2.0020000000000007</v>
      </c>
      <c r="I28" s="125"/>
    </row>
    <row r="29" spans="1:9" ht="12.75" hidden="1" customHeight="1">
      <c r="A29" s="140" t="s">
        <v>33</v>
      </c>
      <c r="B29" s="135" t="e">
        <f>+#REF!</f>
        <v>#REF!</v>
      </c>
      <c r="C29" s="134" t="s">
        <v>228</v>
      </c>
      <c r="D29" s="137"/>
      <c r="E29" s="138" t="e">
        <f>+#REF!</f>
        <v>#REF!</v>
      </c>
      <c r="F29" s="138" t="e">
        <f t="shared" si="2"/>
        <v>#REF!</v>
      </c>
      <c r="G29" s="123"/>
      <c r="H29" s="124">
        <v>51.15</v>
      </c>
      <c r="I29" s="125"/>
    </row>
    <row r="30" spans="1:9" ht="12.75" hidden="1" customHeight="1">
      <c r="A30" s="140" t="s">
        <v>390</v>
      </c>
      <c r="B30" s="135" t="e">
        <f>+#REF!</f>
        <v>#REF!</v>
      </c>
      <c r="C30" s="134" t="s">
        <v>116</v>
      </c>
      <c r="D30" s="137" t="e">
        <f>+#REF!</f>
        <v>#REF!</v>
      </c>
      <c r="E30" s="138" t="e">
        <f>+#REF!</f>
        <v>#REF!</v>
      </c>
      <c r="F30" s="138" t="e">
        <f t="shared" si="2"/>
        <v>#REF!</v>
      </c>
      <c r="G30" s="123"/>
      <c r="H30" s="124">
        <v>77.600000000000009</v>
      </c>
      <c r="I30" s="125"/>
    </row>
    <row r="31" spans="1:9" ht="29.25" hidden="1" customHeight="1">
      <c r="A31" s="140" t="s">
        <v>391</v>
      </c>
      <c r="B31" s="135" t="e">
        <f>+#REF!</f>
        <v>#REF!</v>
      </c>
      <c r="C31" s="134" t="s">
        <v>228</v>
      </c>
      <c r="D31" s="137" t="e">
        <f>+#REF!</f>
        <v>#REF!</v>
      </c>
      <c r="E31" s="138" t="e">
        <f>+#REF!</f>
        <v>#REF!</v>
      </c>
      <c r="F31" s="138" t="e">
        <f t="shared" si="2"/>
        <v>#REF!</v>
      </c>
      <c r="G31" s="123"/>
      <c r="H31" s="124">
        <v>2.6892</v>
      </c>
      <c r="I31" s="125"/>
    </row>
    <row r="33" spans="1:9" ht="12.75" customHeight="1">
      <c r="A33" s="1820" t="s">
        <v>387</v>
      </c>
      <c r="B33" s="1610"/>
      <c r="C33" s="1610"/>
      <c r="D33" s="1610"/>
      <c r="E33" s="1611"/>
      <c r="F33" s="139" t="e">
        <f>SUM(F21:F32)</f>
        <v>#REF!</v>
      </c>
      <c r="G33" s="123"/>
      <c r="H33" s="124" t="e">
        <f>+F33*1.25</f>
        <v>#REF!</v>
      </c>
      <c r="I33" s="125">
        <v>1735716245</v>
      </c>
    </row>
    <row r="34" spans="1:9" ht="12.75" customHeight="1">
      <c r="A34" s="129">
        <v>3</v>
      </c>
      <c r="B34" s="130" t="s">
        <v>392</v>
      </c>
      <c r="C34" s="131"/>
      <c r="D34" s="132"/>
      <c r="E34" s="133"/>
      <c r="F34" s="133"/>
      <c r="G34" s="123"/>
      <c r="H34" s="124"/>
      <c r="I34" s="125"/>
    </row>
    <row r="35" spans="1:9" ht="12.75" hidden="1" customHeight="1">
      <c r="A35" s="140" t="s">
        <v>36</v>
      </c>
      <c r="B35" s="135" t="e">
        <f>+#REF!</f>
        <v>#REF!</v>
      </c>
      <c r="C35" s="134" t="e">
        <f>+#REF!</f>
        <v>#REF!</v>
      </c>
      <c r="D35" s="137"/>
      <c r="E35" s="138">
        <v>14025</v>
      </c>
      <c r="F35" s="138">
        <f t="shared" ref="F35:F45" si="3">+D35*E35</f>
        <v>0</v>
      </c>
      <c r="G35" s="123"/>
      <c r="H35" s="124">
        <v>11994.447499999998</v>
      </c>
      <c r="I35" s="125"/>
    </row>
    <row r="36" spans="1:9" ht="12.75" customHeight="1">
      <c r="A36" s="140" t="s">
        <v>38</v>
      </c>
      <c r="B36" s="135" t="e">
        <f>+#REF!</f>
        <v>#REF!</v>
      </c>
      <c r="C36" s="134" t="e">
        <f>+#REF!</f>
        <v>#REF!</v>
      </c>
      <c r="D36" s="137">
        <f>+'MEMORIA DE CANTIDADES BLOQUE 2'!G294</f>
        <v>1425.6</v>
      </c>
      <c r="E36" s="138">
        <v>13725</v>
      </c>
      <c r="F36" s="138">
        <f t="shared" si="3"/>
        <v>19566360</v>
      </c>
      <c r="G36" s="123"/>
      <c r="H36" s="124">
        <v>51.15</v>
      </c>
      <c r="I36" s="125"/>
    </row>
    <row r="37" spans="1:9" ht="12.75" customHeight="1">
      <c r="A37" s="140" t="s">
        <v>40</v>
      </c>
      <c r="B37" s="135" t="e">
        <f>+#REF!</f>
        <v>#REF!</v>
      </c>
      <c r="C37" s="134" t="e">
        <f>+#REF!</f>
        <v>#REF!</v>
      </c>
      <c r="D37" s="137">
        <f>+'MEMORIA DE CANTIDADES BLOQUE 2'!G305</f>
        <v>106890.34</v>
      </c>
      <c r="E37" s="138">
        <v>9745</v>
      </c>
      <c r="F37" s="138">
        <f t="shared" si="3"/>
        <v>1041646363.3</v>
      </c>
      <c r="G37" s="123"/>
      <c r="H37" s="124">
        <v>23134.035858076797</v>
      </c>
      <c r="I37" s="125"/>
    </row>
    <row r="38" spans="1:9" ht="12.75" hidden="1" customHeight="1">
      <c r="A38" s="140" t="s">
        <v>42</v>
      </c>
      <c r="B38" s="135" t="e">
        <f>+#REF!</f>
        <v>#REF!</v>
      </c>
      <c r="C38" s="134" t="e">
        <f>+#REF!</f>
        <v>#REF!</v>
      </c>
      <c r="D38" s="137"/>
      <c r="E38" s="138">
        <v>8644</v>
      </c>
      <c r="F38" s="138">
        <f t="shared" si="3"/>
        <v>0</v>
      </c>
      <c r="G38" s="123"/>
      <c r="H38" s="124" t="e">
        <v>#REF!</v>
      </c>
      <c r="I38" s="125"/>
    </row>
    <row r="39" spans="1:9" ht="12.75" customHeight="1">
      <c r="A39" s="140" t="s">
        <v>45</v>
      </c>
      <c r="B39" s="135" t="e">
        <f ca="1">+_xlfn.SINGLE(#REF!)</f>
        <v>#NAME?</v>
      </c>
      <c r="C39" s="134" t="e">
        <f>+#REF!</f>
        <v>#REF!</v>
      </c>
      <c r="D39" s="137">
        <f>+'MEMORIA DE CANTIDADES BLOQUE 2'!G327</f>
        <v>2649.3</v>
      </c>
      <c r="E39" s="138" t="e">
        <f>+#REF!</f>
        <v>#REF!</v>
      </c>
      <c r="F39" s="138" t="e">
        <f t="shared" si="3"/>
        <v>#REF!</v>
      </c>
      <c r="G39" s="123"/>
      <c r="H39" s="124" t="e">
        <v>#REF!</v>
      </c>
      <c r="I39" s="125"/>
    </row>
    <row r="40" spans="1:9" ht="12.75" hidden="1" customHeight="1">
      <c r="A40" s="140" t="s">
        <v>155</v>
      </c>
      <c r="B40" s="135" t="e">
        <f ca="1">+_xlfn.SINGLE(#REF!)</f>
        <v>#NAME?</v>
      </c>
      <c r="C40" s="134" t="e">
        <f>+#REF!</f>
        <v>#REF!</v>
      </c>
      <c r="D40" s="137"/>
      <c r="E40" s="138">
        <v>62475</v>
      </c>
      <c r="F40" s="138">
        <f t="shared" si="3"/>
        <v>0</v>
      </c>
      <c r="G40" s="123"/>
      <c r="H40" s="124" t="e">
        <v>#REF!</v>
      </c>
      <c r="I40" s="125"/>
    </row>
    <row r="41" spans="1:9" ht="12.75" hidden="1" customHeight="1">
      <c r="A41" s="140" t="s">
        <v>393</v>
      </c>
      <c r="B41" s="135" t="e">
        <f ca="1">+_xlfn.SINGLE(#REF!)</f>
        <v>#NAME?</v>
      </c>
      <c r="C41" s="134" t="e">
        <f>+#REF!</f>
        <v>#REF!</v>
      </c>
      <c r="D41" s="137"/>
      <c r="E41" s="138">
        <v>51450</v>
      </c>
      <c r="F41" s="138">
        <f t="shared" si="3"/>
        <v>0</v>
      </c>
      <c r="G41" s="123"/>
      <c r="H41" s="124">
        <v>172.8</v>
      </c>
      <c r="I41" s="125"/>
    </row>
    <row r="42" spans="1:9" ht="12.75" customHeight="1">
      <c r="A42" s="140" t="s">
        <v>394</v>
      </c>
      <c r="B42" s="135" t="e">
        <f>+#REF!</f>
        <v>#REF!</v>
      </c>
      <c r="C42" s="134" t="s">
        <v>228</v>
      </c>
      <c r="D42" s="137">
        <f>+'MEMORIA DE CANTIDADES BLOQUE 2'!G394</f>
        <v>1594.75</v>
      </c>
      <c r="E42" s="138">
        <f>+'7 - ESTRUCTURA CUBIERTA'!G232</f>
        <v>229000</v>
      </c>
      <c r="F42" s="138">
        <f t="shared" si="3"/>
        <v>365197750</v>
      </c>
      <c r="G42" s="123"/>
      <c r="H42" s="124">
        <v>172.8</v>
      </c>
      <c r="I42" s="125"/>
    </row>
    <row r="43" spans="1:9" ht="12.75" hidden="1" customHeight="1">
      <c r="A43" s="140" t="s">
        <v>395</v>
      </c>
      <c r="B43" s="135" t="e">
        <f>+#REF!</f>
        <v>#REF!</v>
      </c>
      <c r="C43" s="134" t="s">
        <v>228</v>
      </c>
      <c r="D43" s="137"/>
      <c r="E43" s="138">
        <f>+'7 - ESTRUCTURA CUBIERTA'!G271</f>
        <v>230364</v>
      </c>
      <c r="F43" s="138">
        <f t="shared" si="3"/>
        <v>0</v>
      </c>
      <c r="G43" s="123"/>
      <c r="H43" s="124">
        <v>28.1</v>
      </c>
      <c r="I43" s="125"/>
    </row>
    <row r="44" spans="1:9" ht="12.75" hidden="1" customHeight="1">
      <c r="A44" s="140" t="s">
        <v>396</v>
      </c>
      <c r="B44" s="135" t="e">
        <f>+#REF!</f>
        <v>#REF!</v>
      </c>
      <c r="C44" s="134" t="e">
        <f>+#REF!</f>
        <v>#REF!</v>
      </c>
      <c r="D44" s="137"/>
      <c r="E44" s="138">
        <v>175425</v>
      </c>
      <c r="F44" s="138">
        <f t="shared" si="3"/>
        <v>0</v>
      </c>
      <c r="G44" s="123"/>
      <c r="H44" s="124">
        <v>24.6</v>
      </c>
      <c r="I44" s="125"/>
    </row>
    <row r="45" spans="1:9" ht="12.75" hidden="1" customHeight="1">
      <c r="A45" s="140" t="s">
        <v>397</v>
      </c>
      <c r="B45" s="135" t="s">
        <v>398</v>
      </c>
      <c r="C45" s="134" t="s">
        <v>120</v>
      </c>
      <c r="D45" s="137"/>
      <c r="E45" s="138">
        <v>123769</v>
      </c>
      <c r="F45" s="138">
        <f t="shared" si="3"/>
        <v>0</v>
      </c>
      <c r="G45" s="123"/>
      <c r="H45" s="124">
        <v>24.6</v>
      </c>
      <c r="I45" s="125"/>
    </row>
    <row r="46" spans="1:9" ht="12.75" hidden="1" customHeight="1">
      <c r="A46" s="140" t="s">
        <v>393</v>
      </c>
      <c r="B46" s="135" t="s">
        <v>399</v>
      </c>
      <c r="C46" s="134" t="s">
        <v>228</v>
      </c>
      <c r="D46" s="137"/>
      <c r="E46" s="138">
        <v>48207</v>
      </c>
      <c r="F46" s="138">
        <f t="shared" ref="F46:F49" si="4">+E46*D46</f>
        <v>0</v>
      </c>
      <c r="G46" s="123"/>
      <c r="H46" s="124">
        <v>1428.864</v>
      </c>
      <c r="I46" s="125"/>
    </row>
    <row r="47" spans="1:9" ht="12.75" hidden="1" customHeight="1">
      <c r="A47" s="140" t="s">
        <v>394</v>
      </c>
      <c r="B47" s="135" t="s">
        <v>400</v>
      </c>
      <c r="C47" s="134" t="s">
        <v>120</v>
      </c>
      <c r="D47" s="137"/>
      <c r="E47" s="138">
        <v>70099</v>
      </c>
      <c r="F47" s="138">
        <f t="shared" si="4"/>
        <v>0</v>
      </c>
      <c r="G47" s="123"/>
      <c r="H47" s="124">
        <v>36.6</v>
      </c>
      <c r="I47" s="125"/>
    </row>
    <row r="48" spans="1:9" ht="12.75" customHeight="1">
      <c r="A48" s="140" t="s">
        <v>401</v>
      </c>
      <c r="B48" s="135" t="s">
        <v>402</v>
      </c>
      <c r="C48" s="134" t="s">
        <v>120</v>
      </c>
      <c r="D48" s="141">
        <f>+'MEMORIA DE CANTIDADES BLOQUE 2'!G490</f>
        <v>170.35</v>
      </c>
      <c r="E48" s="138">
        <v>75354</v>
      </c>
      <c r="F48" s="138">
        <f t="shared" si="4"/>
        <v>12836553.9</v>
      </c>
      <c r="G48" s="123"/>
      <c r="H48" s="124">
        <v>73.2</v>
      </c>
      <c r="I48" s="125"/>
    </row>
    <row r="49" spans="1:9" ht="12.75" customHeight="1">
      <c r="A49" s="140" t="s">
        <v>403</v>
      </c>
      <c r="B49" s="135" t="s">
        <v>404</v>
      </c>
      <c r="C49" s="134" t="s">
        <v>120</v>
      </c>
      <c r="D49" s="142">
        <f>+'MEMORIA DE CANTIDADES BLOQUE 2'!G504</f>
        <v>210.55</v>
      </c>
      <c r="E49" s="138">
        <v>27286</v>
      </c>
      <c r="F49" s="138">
        <f t="shared" si="4"/>
        <v>5745067.3000000007</v>
      </c>
      <c r="G49" s="123"/>
      <c r="H49" s="124">
        <v>68</v>
      </c>
      <c r="I49" s="125"/>
    </row>
    <row r="50" spans="1:9" ht="12.75" customHeight="1">
      <c r="A50" s="1809" t="s">
        <v>387</v>
      </c>
      <c r="B50" s="1601"/>
      <c r="C50" s="1601"/>
      <c r="D50" s="1601"/>
      <c r="E50" s="1801"/>
      <c r="F50" s="143" t="e">
        <f>SUM(F35:F49)</f>
        <v>#REF!</v>
      </c>
      <c r="G50" s="123"/>
      <c r="H50" s="124" t="e">
        <f>+F50*1.25</f>
        <v>#REF!</v>
      </c>
      <c r="I50" s="125"/>
    </row>
    <row r="51" spans="1:9" ht="12.75" customHeight="1">
      <c r="A51" s="129">
        <v>4</v>
      </c>
      <c r="B51" s="144" t="s">
        <v>405</v>
      </c>
      <c r="C51" s="145"/>
      <c r="D51" s="146"/>
      <c r="E51" s="133"/>
      <c r="F51" s="133"/>
      <c r="G51" s="123"/>
      <c r="H51" s="124"/>
      <c r="I51" s="125"/>
    </row>
    <row r="52" spans="1:9" ht="12.75" customHeight="1">
      <c r="A52" s="134" t="s">
        <v>48</v>
      </c>
      <c r="B52" s="135" t="e">
        <f ca="1">+_xlfn.SINGLE(#REF!)</f>
        <v>#NAME?</v>
      </c>
      <c r="C52" s="134" t="s">
        <v>228</v>
      </c>
      <c r="D52" s="137">
        <f>+'MEMORIA DE CANTIDADES BLOQUE 2'!G543</f>
        <v>1298.04</v>
      </c>
      <c r="E52" s="138">
        <f>+'8 - PISOS - CONCRETO-ENCHAPES'!G1971</f>
        <v>110066</v>
      </c>
      <c r="F52" s="138">
        <f>+E52*D52</f>
        <v>142870070.63999999</v>
      </c>
      <c r="G52" s="123"/>
      <c r="H52" s="124">
        <v>131.23000000000002</v>
      </c>
      <c r="I52" s="125"/>
    </row>
    <row r="53" spans="1:9" ht="12.75" hidden="1" customHeight="1">
      <c r="A53" s="134" t="s">
        <v>51</v>
      </c>
      <c r="B53" s="135" t="e">
        <f>+#REF!</f>
        <v>#REF!</v>
      </c>
      <c r="C53" s="134" t="s">
        <v>228</v>
      </c>
      <c r="D53" s="137"/>
      <c r="E53" s="138">
        <f>+'8 - PISOS - CONCRETO-ENCHAPES'!G1775</f>
        <v>71206</v>
      </c>
      <c r="F53" s="138">
        <f t="shared" ref="F53:F66" si="5">+D53*E53</f>
        <v>0</v>
      </c>
      <c r="G53" s="123"/>
      <c r="H53" s="124">
        <v>196.643</v>
      </c>
      <c r="I53" s="125"/>
    </row>
    <row r="54" spans="1:9" ht="12.75" customHeight="1">
      <c r="A54" s="134" t="s">
        <v>156</v>
      </c>
      <c r="B54" s="135" t="s">
        <v>943</v>
      </c>
      <c r="C54" s="134" t="str">
        <f t="shared" ref="C54:C58" si="6">+C53</f>
        <v>M2</v>
      </c>
      <c r="D54" s="137">
        <v>1093.1600000000001</v>
      </c>
      <c r="E54" s="138">
        <v>167450</v>
      </c>
      <c r="F54" s="138">
        <f t="shared" si="5"/>
        <v>183049642</v>
      </c>
      <c r="G54" s="123"/>
      <c r="H54" s="124">
        <v>39.269999999999996</v>
      </c>
      <c r="I54" s="125"/>
    </row>
    <row r="55" spans="1:9" ht="12.75" hidden="1" customHeight="1">
      <c r="A55" s="134" t="s">
        <v>156</v>
      </c>
      <c r="B55" s="135" t="s">
        <v>407</v>
      </c>
      <c r="C55" s="134" t="str">
        <f t="shared" si="6"/>
        <v>M2</v>
      </c>
      <c r="D55" s="137"/>
      <c r="E55" s="138">
        <v>61350</v>
      </c>
      <c r="F55" s="138">
        <f t="shared" si="5"/>
        <v>0</v>
      </c>
      <c r="G55" s="123"/>
      <c r="H55" s="124" t="e">
        <v>#REF!</v>
      </c>
      <c r="I55" s="125"/>
    </row>
    <row r="56" spans="1:9" ht="12.75" customHeight="1">
      <c r="A56" s="134" t="s">
        <v>159</v>
      </c>
      <c r="B56" s="135" t="s">
        <v>408</v>
      </c>
      <c r="C56" s="134" t="str">
        <f t="shared" si="6"/>
        <v>M2</v>
      </c>
      <c r="D56" s="137">
        <v>204.88</v>
      </c>
      <c r="E56" s="138">
        <v>59475</v>
      </c>
      <c r="F56" s="138">
        <f t="shared" si="5"/>
        <v>12185238</v>
      </c>
      <c r="G56" s="123"/>
      <c r="H56" s="124" t="e">
        <v>#REF!</v>
      </c>
      <c r="I56" s="125"/>
    </row>
    <row r="57" spans="1:9" ht="12.75" hidden="1" customHeight="1">
      <c r="A57" s="134" t="s">
        <v>160</v>
      </c>
      <c r="B57" s="135" t="s">
        <v>409</v>
      </c>
      <c r="C57" s="134" t="str">
        <f t="shared" si="6"/>
        <v>M2</v>
      </c>
      <c r="D57" s="137"/>
      <c r="E57" s="138">
        <v>72450</v>
      </c>
      <c r="F57" s="138">
        <f t="shared" si="5"/>
        <v>0</v>
      </c>
      <c r="G57" s="123"/>
      <c r="H57" s="124">
        <v>39.269999999999996</v>
      </c>
      <c r="I57" s="125"/>
    </row>
    <row r="58" spans="1:9" ht="12.75" hidden="1" customHeight="1">
      <c r="A58" s="134" t="s">
        <v>161</v>
      </c>
      <c r="B58" s="135" t="s">
        <v>410</v>
      </c>
      <c r="C58" s="134" t="str">
        <f t="shared" si="6"/>
        <v>M2</v>
      </c>
      <c r="D58" s="137"/>
      <c r="E58" s="138">
        <v>142540</v>
      </c>
      <c r="F58" s="138">
        <f t="shared" si="5"/>
        <v>0</v>
      </c>
      <c r="G58" s="123"/>
      <c r="H58" s="124" t="e">
        <v>#REF!</v>
      </c>
      <c r="I58" s="125"/>
    </row>
    <row r="59" spans="1:9" ht="11.25" hidden="1" customHeight="1">
      <c r="A59" s="134" t="s">
        <v>157</v>
      </c>
      <c r="B59" s="135" t="s">
        <v>411</v>
      </c>
      <c r="C59" s="134" t="str">
        <f>+C54</f>
        <v>M2</v>
      </c>
      <c r="D59" s="137"/>
      <c r="E59" s="138">
        <v>58450</v>
      </c>
      <c r="F59" s="138">
        <f t="shared" si="5"/>
        <v>0</v>
      </c>
      <c r="G59" s="123"/>
      <c r="H59" s="124">
        <v>532</v>
      </c>
      <c r="I59" s="125"/>
    </row>
    <row r="60" spans="1:9" ht="12.75" hidden="1" customHeight="1">
      <c r="A60" s="134" t="s">
        <v>158</v>
      </c>
      <c r="B60" s="135" t="s">
        <v>412</v>
      </c>
      <c r="C60" s="134" t="str">
        <f t="shared" ref="C60:C64" si="7">+C59</f>
        <v>M2</v>
      </c>
      <c r="D60" s="137"/>
      <c r="E60" s="138">
        <f>+'8 - PISOS - CONCRETO-ENCHAPES'!G1125</f>
        <v>61572</v>
      </c>
      <c r="F60" s="138">
        <f t="shared" si="5"/>
        <v>0</v>
      </c>
      <c r="G60" s="123"/>
      <c r="H60" s="124">
        <v>433.3</v>
      </c>
      <c r="I60" s="125"/>
    </row>
    <row r="61" spans="1:9" ht="12.75" hidden="1" customHeight="1">
      <c r="A61" s="134" t="s">
        <v>159</v>
      </c>
      <c r="B61" s="135" t="s">
        <v>413</v>
      </c>
      <c r="C61" s="134" t="str">
        <f t="shared" si="7"/>
        <v>M2</v>
      </c>
      <c r="D61" s="137"/>
      <c r="E61" s="138">
        <v>62450</v>
      </c>
      <c r="F61" s="138">
        <f t="shared" si="5"/>
        <v>0</v>
      </c>
      <c r="G61" s="123"/>
      <c r="H61" s="124">
        <v>114.66</v>
      </c>
      <c r="I61" s="125"/>
    </row>
    <row r="62" spans="1:9" ht="12.75" hidden="1" customHeight="1">
      <c r="A62" s="134" t="s">
        <v>160</v>
      </c>
      <c r="B62" s="135" t="s">
        <v>414</v>
      </c>
      <c r="C62" s="134" t="str">
        <f t="shared" si="7"/>
        <v>M2</v>
      </c>
      <c r="D62" s="137"/>
      <c r="E62" s="138">
        <v>102425</v>
      </c>
      <c r="F62" s="138">
        <f t="shared" si="5"/>
        <v>0</v>
      </c>
      <c r="G62" s="123"/>
      <c r="H62" s="124">
        <v>62.190000000000005</v>
      </c>
      <c r="I62" s="125"/>
    </row>
    <row r="63" spans="1:9" ht="12.75" hidden="1" customHeight="1">
      <c r="A63" s="134" t="s">
        <v>159</v>
      </c>
      <c r="B63" s="135" t="s">
        <v>415</v>
      </c>
      <c r="C63" s="134" t="str">
        <f t="shared" si="7"/>
        <v>M2</v>
      </c>
      <c r="D63" s="137"/>
      <c r="E63" s="138">
        <v>94450</v>
      </c>
      <c r="F63" s="138">
        <f t="shared" si="5"/>
        <v>0</v>
      </c>
      <c r="G63" s="123"/>
      <c r="H63" s="124">
        <v>81.983000000000004</v>
      </c>
      <c r="I63" s="125"/>
    </row>
    <row r="64" spans="1:9" ht="12.75" hidden="1" customHeight="1">
      <c r="A64" s="134" t="s">
        <v>160</v>
      </c>
      <c r="B64" s="135" t="s">
        <v>416</v>
      </c>
      <c r="C64" s="134" t="str">
        <f t="shared" si="7"/>
        <v>M2</v>
      </c>
      <c r="D64" s="137"/>
      <c r="E64" s="138">
        <v>136780</v>
      </c>
      <c r="F64" s="138">
        <f t="shared" si="5"/>
        <v>0</v>
      </c>
      <c r="G64" s="123"/>
      <c r="H64" s="124">
        <v>117.8104</v>
      </c>
      <c r="I64" s="125"/>
    </row>
    <row r="65" spans="1:9" ht="12.75" customHeight="1">
      <c r="A65" s="134" t="s">
        <v>161</v>
      </c>
      <c r="B65" s="135" t="s">
        <v>417</v>
      </c>
      <c r="C65" s="134" t="str">
        <f>+C62</f>
        <v>M2</v>
      </c>
      <c r="D65" s="137">
        <v>630.22</v>
      </c>
      <c r="E65" s="138">
        <v>14750</v>
      </c>
      <c r="F65" s="138">
        <f t="shared" si="5"/>
        <v>9295745</v>
      </c>
      <c r="G65" s="123"/>
      <c r="H65" s="124">
        <v>81.983000000000004</v>
      </c>
      <c r="I65" s="125"/>
    </row>
    <row r="66" spans="1:9" ht="12.75" customHeight="1">
      <c r="A66" s="134" t="s">
        <v>162</v>
      </c>
      <c r="B66" s="135" t="s">
        <v>418</v>
      </c>
      <c r="C66" s="134" t="str">
        <f>+C65</f>
        <v>M2</v>
      </c>
      <c r="D66" s="147">
        <v>164.91</v>
      </c>
      <c r="E66" s="148">
        <v>52480</v>
      </c>
      <c r="F66" s="148">
        <f t="shared" si="5"/>
        <v>8654476.8000000007</v>
      </c>
      <c r="G66" s="123"/>
      <c r="H66" s="124">
        <v>117.8104</v>
      </c>
      <c r="I66" s="125"/>
    </row>
    <row r="67" spans="1:9" ht="12.75" customHeight="1">
      <c r="A67" s="1809" t="s">
        <v>387</v>
      </c>
      <c r="B67" s="1601"/>
      <c r="C67" s="1601"/>
      <c r="D67" s="1601"/>
      <c r="E67" s="1801"/>
      <c r="F67" s="143">
        <f>SUM(F52:F66)</f>
        <v>356055172.44</v>
      </c>
      <c r="G67" s="123"/>
      <c r="H67" s="124">
        <f>+F67*1.25</f>
        <v>445068965.55000001</v>
      </c>
      <c r="I67" s="125">
        <v>521796964</v>
      </c>
    </row>
    <row r="68" spans="1:9" ht="12.75" customHeight="1">
      <c r="A68" s="129">
        <v>5</v>
      </c>
      <c r="B68" s="144" t="s">
        <v>419</v>
      </c>
      <c r="C68" s="145"/>
      <c r="D68" s="146"/>
      <c r="E68" s="133"/>
      <c r="F68" s="133"/>
      <c r="G68" s="123"/>
      <c r="H68" s="124"/>
      <c r="I68" s="125"/>
    </row>
    <row r="69" spans="1:9" ht="12.75" customHeight="1">
      <c r="A69" s="134" t="s">
        <v>54</v>
      </c>
      <c r="B69" s="135" t="e">
        <f>+#REF!</f>
        <v>#REF!</v>
      </c>
      <c r="C69" s="134" t="s">
        <v>228</v>
      </c>
      <c r="D69" s="137">
        <v>1261.95</v>
      </c>
      <c r="E69" s="138">
        <f>+'6 - MAMPOSTERIA - ESTRUCT. ESP.'!G68</f>
        <v>54799</v>
      </c>
      <c r="F69" s="138">
        <f t="shared" ref="F69:F71" si="8">+E69*D69</f>
        <v>69153598.049999997</v>
      </c>
      <c r="G69" s="123"/>
      <c r="H69" s="124">
        <v>279.84800000000001</v>
      </c>
      <c r="I69" s="125"/>
    </row>
    <row r="70" spans="1:9" ht="12.75" customHeight="1">
      <c r="A70" s="134" t="s">
        <v>294</v>
      </c>
      <c r="B70" s="135" t="s">
        <v>420</v>
      </c>
      <c r="C70" s="134" t="s">
        <v>228</v>
      </c>
      <c r="D70" s="137">
        <v>124.55</v>
      </c>
      <c r="E70" s="138">
        <f>+'6 - MAMPOSTERIA - ESTRUCT. ESP.'!G228</f>
        <v>102430</v>
      </c>
      <c r="F70" s="138">
        <f t="shared" si="8"/>
        <v>12757656.5</v>
      </c>
      <c r="G70" s="123"/>
      <c r="H70" s="124">
        <v>138</v>
      </c>
      <c r="I70" s="125">
        <v>94450</v>
      </c>
    </row>
    <row r="71" spans="1:9" ht="12.75" customHeight="1">
      <c r="A71" s="134" t="s">
        <v>421</v>
      </c>
      <c r="B71" s="135" t="s">
        <v>422</v>
      </c>
      <c r="C71" s="134" t="s">
        <v>228</v>
      </c>
      <c r="D71" s="137">
        <v>2523.9</v>
      </c>
      <c r="E71" s="138">
        <f>+'9 - PAÑETES - PINTURA'!G37</f>
        <v>36485</v>
      </c>
      <c r="F71" s="138">
        <f t="shared" si="8"/>
        <v>92084491.5</v>
      </c>
      <c r="G71" s="123"/>
      <c r="H71" s="124">
        <v>491.49600000000004</v>
      </c>
      <c r="I71" s="125"/>
    </row>
    <row r="72" spans="1:9" ht="12.75" customHeight="1">
      <c r="A72" s="1809" t="s">
        <v>387</v>
      </c>
      <c r="B72" s="1601"/>
      <c r="C72" s="1601"/>
      <c r="D72" s="1601"/>
      <c r="E72" s="1801"/>
      <c r="F72" s="143">
        <f>SUM(F69:F71)</f>
        <v>173995746.05000001</v>
      </c>
      <c r="G72" s="123"/>
      <c r="H72" s="124">
        <f>+F72*1.25</f>
        <v>217494682.5625</v>
      </c>
      <c r="I72" s="125"/>
    </row>
    <row r="73" spans="1:9" ht="12.75" customHeight="1">
      <c r="A73" s="129">
        <v>6</v>
      </c>
      <c r="B73" s="144" t="s">
        <v>423</v>
      </c>
      <c r="C73" s="145"/>
      <c r="D73" s="146"/>
      <c r="E73" s="133"/>
      <c r="F73" s="133"/>
      <c r="G73" s="123"/>
      <c r="H73" s="124"/>
      <c r="I73" s="125"/>
    </row>
    <row r="74" spans="1:9" ht="12.75" customHeight="1">
      <c r="A74" s="134" t="s">
        <v>58</v>
      </c>
      <c r="B74" s="135" t="s">
        <v>424</v>
      </c>
      <c r="C74" s="134" t="s">
        <v>228</v>
      </c>
      <c r="D74" s="137">
        <f>2523.9*0.75</f>
        <v>1892.9250000000002</v>
      </c>
      <c r="E74" s="138">
        <f>+'9 - PAÑETES - PINTURA'!G305</f>
        <v>17361</v>
      </c>
      <c r="F74" s="138">
        <f>+E74*D74</f>
        <v>32863070.925000004</v>
      </c>
      <c r="G74" s="123"/>
      <c r="H74" s="124"/>
      <c r="I74" s="125"/>
    </row>
    <row r="75" spans="1:9" ht="12.75" customHeight="1">
      <c r="A75" s="134" t="s">
        <v>60</v>
      </c>
      <c r="B75" s="135" t="s">
        <v>425</v>
      </c>
      <c r="C75" s="134" t="s">
        <v>228</v>
      </c>
      <c r="D75" s="137">
        <f>2523.9*0.25</f>
        <v>630.97500000000002</v>
      </c>
      <c r="E75" s="138">
        <f>+'9 - PAÑETES - PINTURA'!G433</f>
        <v>38300</v>
      </c>
      <c r="F75" s="138">
        <f t="shared" ref="F75:F92" si="9">+D75*E75</f>
        <v>24166342.5</v>
      </c>
      <c r="G75" s="123"/>
      <c r="H75" s="124"/>
      <c r="I75" s="125"/>
    </row>
    <row r="76" spans="1:9" ht="12.75" customHeight="1">
      <c r="A76" s="134" t="s">
        <v>62</v>
      </c>
      <c r="B76" s="135" t="s">
        <v>426</v>
      </c>
      <c r="C76" s="134" t="s">
        <v>228</v>
      </c>
      <c r="D76" s="137">
        <v>195.43</v>
      </c>
      <c r="E76" s="138">
        <v>37121</v>
      </c>
      <c r="F76" s="138">
        <f t="shared" si="9"/>
        <v>7254557.0300000003</v>
      </c>
      <c r="G76" s="123"/>
      <c r="H76" s="124"/>
      <c r="I76" s="125"/>
    </row>
    <row r="77" spans="1:9" ht="12.75" customHeight="1">
      <c r="A77" s="134" t="s">
        <v>62</v>
      </c>
      <c r="B77" s="135" t="s">
        <v>427</v>
      </c>
      <c r="C77" s="134" t="s">
        <v>228</v>
      </c>
      <c r="D77" s="137">
        <v>22</v>
      </c>
      <c r="E77" s="138">
        <v>345450</v>
      </c>
      <c r="F77" s="138">
        <f t="shared" si="9"/>
        <v>7599900</v>
      </c>
      <c r="G77" s="123"/>
      <c r="H77" s="124"/>
      <c r="I77" s="125"/>
    </row>
    <row r="78" spans="1:9" ht="12.75" customHeight="1">
      <c r="A78" s="134" t="s">
        <v>64</v>
      </c>
      <c r="B78" s="135" t="s">
        <v>428</v>
      </c>
      <c r="C78" s="134" t="str">
        <f t="shared" ref="C78:C79" si="10">+C77</f>
        <v>M2</v>
      </c>
      <c r="D78" s="137">
        <v>3.5</v>
      </c>
      <c r="E78" s="138">
        <v>264575</v>
      </c>
      <c r="F78" s="138">
        <f t="shared" si="9"/>
        <v>926012.5</v>
      </c>
      <c r="G78" s="123"/>
      <c r="H78" s="124"/>
      <c r="I78" s="125"/>
    </row>
    <row r="79" spans="1:9" ht="12.75" customHeight="1">
      <c r="A79" s="134" t="s">
        <v>300</v>
      </c>
      <c r="B79" s="135" t="s">
        <v>429</v>
      </c>
      <c r="C79" s="134" t="str">
        <f t="shared" si="10"/>
        <v>M2</v>
      </c>
      <c r="D79" s="137">
        <v>2.4</v>
      </c>
      <c r="E79" s="138">
        <v>425850</v>
      </c>
      <c r="F79" s="138">
        <f t="shared" si="9"/>
        <v>1022040</v>
      </c>
      <c r="G79" s="123"/>
      <c r="H79" s="124"/>
      <c r="I79" s="125"/>
    </row>
    <row r="80" spans="1:9" ht="12.75" hidden="1" customHeight="1">
      <c r="A80" s="134" t="s">
        <v>62</v>
      </c>
      <c r="B80" s="135" t="s">
        <v>430</v>
      </c>
      <c r="C80" s="134" t="s">
        <v>228</v>
      </c>
      <c r="D80" s="137"/>
      <c r="E80" s="138">
        <v>675450</v>
      </c>
      <c r="F80" s="138">
        <f t="shared" si="9"/>
        <v>0</v>
      </c>
      <c r="G80" s="123"/>
      <c r="H80" s="124"/>
      <c r="I80" s="125"/>
    </row>
    <row r="81" spans="1:9" ht="12.75" hidden="1" customHeight="1">
      <c r="A81" s="134" t="s">
        <v>64</v>
      </c>
      <c r="B81" s="135" t="s">
        <v>431</v>
      </c>
      <c r="C81" s="134" t="s">
        <v>228</v>
      </c>
      <c r="D81" s="137"/>
      <c r="E81" s="138">
        <v>314550</v>
      </c>
      <c r="F81" s="138">
        <f t="shared" si="9"/>
        <v>0</v>
      </c>
      <c r="G81" s="123"/>
      <c r="H81" s="124"/>
      <c r="I81" s="125"/>
    </row>
    <row r="82" spans="1:9" ht="12.75" customHeight="1">
      <c r="A82" s="134" t="s">
        <v>300</v>
      </c>
      <c r="B82" s="135" t="s">
        <v>432</v>
      </c>
      <c r="C82" s="134" t="s">
        <v>228</v>
      </c>
      <c r="D82" s="137">
        <v>164.73</v>
      </c>
      <c r="E82" s="138">
        <v>298088</v>
      </c>
      <c r="F82" s="138">
        <f t="shared" si="9"/>
        <v>49104036.239999995</v>
      </c>
      <c r="G82" s="123"/>
      <c r="H82" s="124"/>
      <c r="I82" s="125"/>
    </row>
    <row r="83" spans="1:9" ht="12.75" customHeight="1">
      <c r="A83" s="134" t="s">
        <v>300</v>
      </c>
      <c r="B83" s="135" t="s">
        <v>433</v>
      </c>
      <c r="C83" s="134" t="s">
        <v>228</v>
      </c>
      <c r="D83" s="137">
        <v>79.48</v>
      </c>
      <c r="E83" s="138">
        <v>645450</v>
      </c>
      <c r="F83" s="138">
        <f t="shared" si="9"/>
        <v>51300366</v>
      </c>
      <c r="G83" s="123"/>
      <c r="H83" s="124"/>
      <c r="I83" s="125"/>
    </row>
    <row r="84" spans="1:9" ht="12.75" customHeight="1">
      <c r="A84" s="134" t="s">
        <v>66</v>
      </c>
      <c r="B84" s="135" t="s">
        <v>434</v>
      </c>
      <c r="C84" s="134" t="s">
        <v>127</v>
      </c>
      <c r="D84" s="137">
        <v>12</v>
      </c>
      <c r="E84" s="138">
        <v>347540</v>
      </c>
      <c r="F84" s="138">
        <f t="shared" si="9"/>
        <v>4170480</v>
      </c>
      <c r="G84" s="123"/>
      <c r="H84" s="124"/>
      <c r="I84" s="125"/>
    </row>
    <row r="85" spans="1:9" ht="12.75" customHeight="1">
      <c r="A85" s="134" t="s">
        <v>303</v>
      </c>
      <c r="B85" s="135" t="s">
        <v>435</v>
      </c>
      <c r="C85" s="134" t="s">
        <v>127</v>
      </c>
      <c r="D85" s="137">
        <v>10</v>
      </c>
      <c r="E85" s="138">
        <v>947850</v>
      </c>
      <c r="F85" s="138">
        <f t="shared" si="9"/>
        <v>9478500</v>
      </c>
      <c r="G85" s="123"/>
      <c r="H85" s="124"/>
      <c r="I85" s="125"/>
    </row>
    <row r="86" spans="1:9" ht="12.75" customHeight="1">
      <c r="A86" s="134" t="s">
        <v>66</v>
      </c>
      <c r="B86" s="135" t="s">
        <v>436</v>
      </c>
      <c r="C86" s="134" t="s">
        <v>127</v>
      </c>
      <c r="D86" s="137">
        <v>10</v>
      </c>
      <c r="E86" s="138">
        <v>274550</v>
      </c>
      <c r="F86" s="138">
        <f t="shared" si="9"/>
        <v>2745500</v>
      </c>
      <c r="G86" s="123"/>
      <c r="H86" s="124"/>
      <c r="I86" s="125"/>
    </row>
    <row r="87" spans="1:9" ht="12.75" hidden="1" customHeight="1">
      <c r="A87" s="134" t="s">
        <v>303</v>
      </c>
      <c r="B87" s="135" t="s">
        <v>437</v>
      </c>
      <c r="C87" s="134" t="s">
        <v>127</v>
      </c>
      <c r="D87" s="137"/>
      <c r="E87" s="138">
        <v>245750</v>
      </c>
      <c r="F87" s="138">
        <f t="shared" si="9"/>
        <v>0</v>
      </c>
      <c r="G87" s="123"/>
      <c r="H87" s="124"/>
      <c r="I87" s="125"/>
    </row>
    <row r="88" spans="1:9" ht="12.75" hidden="1" customHeight="1">
      <c r="A88" s="134" t="s">
        <v>66</v>
      </c>
      <c r="B88" s="135" t="s">
        <v>438</v>
      </c>
      <c r="C88" s="134" t="s">
        <v>127</v>
      </c>
      <c r="D88" s="137"/>
      <c r="E88" s="138">
        <v>12457000</v>
      </c>
      <c r="F88" s="138">
        <f t="shared" si="9"/>
        <v>0</v>
      </c>
      <c r="G88" s="123"/>
      <c r="H88" s="124"/>
      <c r="I88" s="125"/>
    </row>
    <row r="89" spans="1:9" ht="12.75" hidden="1" customHeight="1">
      <c r="A89" s="134" t="s">
        <v>303</v>
      </c>
      <c r="B89" s="135" t="s">
        <v>439</v>
      </c>
      <c r="C89" s="134" t="s">
        <v>127</v>
      </c>
      <c r="D89" s="137"/>
      <c r="E89" s="138">
        <v>3475450</v>
      </c>
      <c r="F89" s="138">
        <f t="shared" si="9"/>
        <v>0</v>
      </c>
      <c r="G89" s="123"/>
      <c r="H89" s="124"/>
      <c r="I89" s="125"/>
    </row>
    <row r="90" spans="1:9" ht="12.75" hidden="1" customHeight="1">
      <c r="A90" s="134" t="s">
        <v>66</v>
      </c>
      <c r="B90" s="135" t="s">
        <v>440</v>
      </c>
      <c r="C90" s="134" t="s">
        <v>127</v>
      </c>
      <c r="D90" s="137"/>
      <c r="E90" s="138">
        <v>25754000</v>
      </c>
      <c r="F90" s="138">
        <f t="shared" si="9"/>
        <v>0</v>
      </c>
      <c r="G90" s="123"/>
      <c r="H90" s="124"/>
      <c r="I90" s="125"/>
    </row>
    <row r="91" spans="1:9" ht="12.75" customHeight="1">
      <c r="A91" s="134" t="s">
        <v>303</v>
      </c>
      <c r="B91" s="135" t="s">
        <v>441</v>
      </c>
      <c r="C91" s="134" t="s">
        <v>127</v>
      </c>
      <c r="D91" s="137">
        <v>2</v>
      </c>
      <c r="E91" s="138">
        <v>475450</v>
      </c>
      <c r="F91" s="138">
        <f t="shared" si="9"/>
        <v>950900</v>
      </c>
      <c r="G91" s="123"/>
      <c r="H91" s="124"/>
      <c r="I91" s="125"/>
    </row>
    <row r="92" spans="1:9" ht="12.75" hidden="1" customHeight="1">
      <c r="A92" s="134" t="s">
        <v>307</v>
      </c>
      <c r="B92" s="135" t="s">
        <v>442</v>
      </c>
      <c r="C92" s="134" t="s">
        <v>127</v>
      </c>
      <c r="D92" s="147"/>
      <c r="E92" s="148">
        <v>2304023</v>
      </c>
      <c r="F92" s="148">
        <f t="shared" si="9"/>
        <v>0</v>
      </c>
      <c r="G92" s="123"/>
      <c r="H92" s="124"/>
      <c r="I92" s="125"/>
    </row>
    <row r="93" spans="1:9" ht="12.75" customHeight="1">
      <c r="A93" s="1809" t="s">
        <v>387</v>
      </c>
      <c r="B93" s="1601"/>
      <c r="C93" s="1601"/>
      <c r="D93" s="1601"/>
      <c r="E93" s="1801"/>
      <c r="F93" s="143">
        <f>SUM(F74:F92)</f>
        <v>191581705.19499999</v>
      </c>
      <c r="G93" s="123"/>
      <c r="H93" s="124">
        <f>+F93*1.25</f>
        <v>239477131.49374998</v>
      </c>
      <c r="I93" s="125">
        <v>214111011</v>
      </c>
    </row>
    <row r="94" spans="1:9" ht="12.75" hidden="1" customHeight="1">
      <c r="A94" s="129">
        <v>7</v>
      </c>
      <c r="B94" s="144" t="s">
        <v>133</v>
      </c>
      <c r="C94" s="145"/>
      <c r="D94" s="146"/>
      <c r="E94" s="133"/>
      <c r="F94" s="133"/>
      <c r="G94" s="123"/>
      <c r="H94" s="124"/>
      <c r="I94" s="125"/>
    </row>
    <row r="95" spans="1:9" ht="12.75" hidden="1" customHeight="1">
      <c r="A95" s="134"/>
      <c r="B95" s="149" t="s">
        <v>443</v>
      </c>
      <c r="C95" s="134"/>
      <c r="D95" s="137"/>
      <c r="E95" s="138"/>
      <c r="F95" s="138"/>
      <c r="G95" s="123"/>
      <c r="H95" s="124"/>
      <c r="I95" s="125"/>
    </row>
    <row r="96" spans="1:9" ht="12.75" hidden="1" customHeight="1">
      <c r="A96" s="134" t="s">
        <v>80</v>
      </c>
      <c r="B96" s="135" t="s">
        <v>444</v>
      </c>
      <c r="C96" s="134" t="s">
        <v>120</v>
      </c>
      <c r="D96" s="137"/>
      <c r="E96" s="138">
        <v>36363</v>
      </c>
      <c r="F96" s="138">
        <f t="shared" ref="F96:F104" si="11">+D96*E96</f>
        <v>0</v>
      </c>
      <c r="G96" s="123"/>
      <c r="H96" s="124"/>
      <c r="I96" s="125"/>
    </row>
    <row r="97" spans="1:6" ht="12.75" hidden="1" customHeight="1">
      <c r="A97" s="134" t="s">
        <v>82</v>
      </c>
      <c r="B97" s="135" t="s">
        <v>445</v>
      </c>
      <c r="C97" s="134" t="s">
        <v>120</v>
      </c>
      <c r="D97" s="137"/>
      <c r="E97" s="138">
        <v>26898</v>
      </c>
      <c r="F97" s="138">
        <f t="shared" si="11"/>
        <v>0</v>
      </c>
    </row>
    <row r="98" spans="1:6" ht="12.75" hidden="1" customHeight="1">
      <c r="A98" s="134" t="s">
        <v>84</v>
      </c>
      <c r="B98" s="135" t="s">
        <v>446</v>
      </c>
      <c r="C98" s="134" t="s">
        <v>120</v>
      </c>
      <c r="D98" s="137"/>
      <c r="E98" s="138">
        <v>13928</v>
      </c>
      <c r="F98" s="138">
        <f t="shared" si="11"/>
        <v>0</v>
      </c>
    </row>
    <row r="99" spans="1:6" ht="12.75" hidden="1" customHeight="1">
      <c r="A99" s="134" t="s">
        <v>86</v>
      </c>
      <c r="B99" s="135" t="s">
        <v>447</v>
      </c>
      <c r="C99" s="134" t="s">
        <v>120</v>
      </c>
      <c r="D99" s="137"/>
      <c r="E99" s="138">
        <v>15897</v>
      </c>
      <c r="F99" s="138">
        <f t="shared" si="11"/>
        <v>0</v>
      </c>
    </row>
    <row r="100" spans="1:6" ht="12.75" hidden="1" customHeight="1">
      <c r="A100" s="134" t="s">
        <v>89</v>
      </c>
      <c r="B100" s="135" t="s">
        <v>448</v>
      </c>
      <c r="C100" s="134" t="s">
        <v>127</v>
      </c>
      <c r="D100" s="137"/>
      <c r="E100" s="138">
        <v>103919</v>
      </c>
      <c r="F100" s="138">
        <f t="shared" si="11"/>
        <v>0</v>
      </c>
    </row>
    <row r="101" spans="1:6" ht="12.75" hidden="1" customHeight="1">
      <c r="A101" s="134" t="s">
        <v>91</v>
      </c>
      <c r="B101" s="135" t="s">
        <v>449</v>
      </c>
      <c r="C101" s="134" t="s">
        <v>127</v>
      </c>
      <c r="D101" s="137"/>
      <c r="E101" s="138">
        <v>164153</v>
      </c>
      <c r="F101" s="138">
        <f t="shared" si="11"/>
        <v>0</v>
      </c>
    </row>
    <row r="102" spans="1:6" ht="12.75" hidden="1" customHeight="1">
      <c r="A102" s="134" t="s">
        <v>93</v>
      </c>
      <c r="B102" s="135" t="s">
        <v>450</v>
      </c>
      <c r="C102" s="134" t="s">
        <v>127</v>
      </c>
      <c r="D102" s="137"/>
      <c r="E102" s="138">
        <v>42030</v>
      </c>
      <c r="F102" s="138">
        <f t="shared" si="11"/>
        <v>0</v>
      </c>
    </row>
    <row r="103" spans="1:6" ht="12.75" hidden="1" customHeight="1">
      <c r="A103" s="134" t="s">
        <v>96</v>
      </c>
      <c r="B103" s="135" t="s">
        <v>451</v>
      </c>
      <c r="C103" s="134" t="s">
        <v>127</v>
      </c>
      <c r="D103" s="137"/>
      <c r="E103" s="138">
        <v>96810</v>
      </c>
      <c r="F103" s="138">
        <f t="shared" si="11"/>
        <v>0</v>
      </c>
    </row>
    <row r="104" spans="1:6" ht="12.75" hidden="1" customHeight="1">
      <c r="A104" s="134" t="s">
        <v>98</v>
      </c>
      <c r="B104" s="135" t="s">
        <v>452</v>
      </c>
      <c r="C104" s="134" t="s">
        <v>127</v>
      </c>
      <c r="D104" s="137"/>
      <c r="E104" s="138">
        <v>283340</v>
      </c>
      <c r="F104" s="138">
        <f t="shared" si="11"/>
        <v>0</v>
      </c>
    </row>
    <row r="105" spans="1:6" ht="12.75" hidden="1" customHeight="1">
      <c r="A105" s="134"/>
      <c r="B105" s="149" t="s">
        <v>453</v>
      </c>
      <c r="C105" s="134"/>
      <c r="D105" s="137"/>
      <c r="E105" s="138"/>
      <c r="F105" s="138"/>
    </row>
    <row r="106" spans="1:6" ht="12.75" hidden="1" customHeight="1">
      <c r="A106" s="134" t="s">
        <v>101</v>
      </c>
      <c r="B106" s="135" t="s">
        <v>454</v>
      </c>
      <c r="C106" s="134" t="s">
        <v>127</v>
      </c>
      <c r="D106" s="137"/>
      <c r="E106" s="138">
        <v>94589</v>
      </c>
      <c r="F106" s="138">
        <f t="shared" ref="F106:F117" si="12">+D106*E106</f>
        <v>0</v>
      </c>
    </row>
    <row r="107" spans="1:6" ht="12.75" hidden="1" customHeight="1">
      <c r="A107" s="134" t="s">
        <v>104</v>
      </c>
      <c r="B107" s="135" t="s">
        <v>455</v>
      </c>
      <c r="C107" s="134" t="s">
        <v>127</v>
      </c>
      <c r="D107" s="137"/>
      <c r="E107" s="138">
        <v>110028</v>
      </c>
      <c r="F107" s="138">
        <f t="shared" si="12"/>
        <v>0</v>
      </c>
    </row>
    <row r="108" spans="1:6" ht="12.75" hidden="1" customHeight="1">
      <c r="A108" s="134" t="s">
        <v>106</v>
      </c>
      <c r="B108" s="135" t="s">
        <v>456</v>
      </c>
      <c r="C108" s="134" t="s">
        <v>127</v>
      </c>
      <c r="D108" s="137"/>
      <c r="E108" s="138">
        <v>143548</v>
      </c>
      <c r="F108" s="138">
        <f t="shared" si="12"/>
        <v>0</v>
      </c>
    </row>
    <row r="109" spans="1:6" ht="12.75" hidden="1" customHeight="1">
      <c r="A109" s="134" t="s">
        <v>108</v>
      </c>
      <c r="B109" s="135" t="s">
        <v>457</v>
      </c>
      <c r="C109" s="134" t="s">
        <v>120</v>
      </c>
      <c r="D109" s="137"/>
      <c r="E109" s="138">
        <v>51876</v>
      </c>
      <c r="F109" s="138">
        <f t="shared" si="12"/>
        <v>0</v>
      </c>
    </row>
    <row r="110" spans="1:6" ht="12.75" hidden="1" customHeight="1">
      <c r="A110" s="134" t="s">
        <v>110</v>
      </c>
      <c r="B110" s="135" t="s">
        <v>458</v>
      </c>
      <c r="C110" s="134" t="s">
        <v>120</v>
      </c>
      <c r="D110" s="137"/>
      <c r="E110" s="138">
        <v>37695</v>
      </c>
      <c r="F110" s="138">
        <f t="shared" si="12"/>
        <v>0</v>
      </c>
    </row>
    <row r="111" spans="1:6" ht="12.75" hidden="1" customHeight="1">
      <c r="A111" s="134" t="s">
        <v>112</v>
      </c>
      <c r="B111" s="135" t="s">
        <v>459</v>
      </c>
      <c r="C111" s="134" t="s">
        <v>120</v>
      </c>
      <c r="D111" s="137"/>
      <c r="E111" s="138">
        <v>24017</v>
      </c>
      <c r="F111" s="138">
        <f t="shared" si="12"/>
        <v>0</v>
      </c>
    </row>
    <row r="112" spans="1:6" ht="12.75" hidden="1" customHeight="1">
      <c r="A112" s="134" t="s">
        <v>114</v>
      </c>
      <c r="B112" s="135" t="s">
        <v>460</v>
      </c>
      <c r="C112" s="134" t="s">
        <v>120</v>
      </c>
      <c r="D112" s="137"/>
      <c r="E112" s="138">
        <v>115017</v>
      </c>
      <c r="F112" s="138">
        <f t="shared" si="12"/>
        <v>0</v>
      </c>
    </row>
    <row r="113" spans="1:6" ht="12.75" hidden="1" customHeight="1">
      <c r="A113" s="134" t="s">
        <v>118</v>
      </c>
      <c r="B113" s="135" t="s">
        <v>461</v>
      </c>
      <c r="C113" s="134" t="s">
        <v>120</v>
      </c>
      <c r="D113" s="137"/>
      <c r="E113" s="138">
        <v>236358</v>
      </c>
      <c r="F113" s="138">
        <f t="shared" si="12"/>
        <v>0</v>
      </c>
    </row>
    <row r="114" spans="1:6" ht="12.75" hidden="1" customHeight="1">
      <c r="A114" s="150" t="s">
        <v>121</v>
      </c>
      <c r="B114" s="135" t="s">
        <v>462</v>
      </c>
      <c r="C114" s="134" t="s">
        <v>120</v>
      </c>
      <c r="D114" s="137"/>
      <c r="E114" s="138">
        <v>44087</v>
      </c>
      <c r="F114" s="138">
        <f t="shared" si="12"/>
        <v>0</v>
      </c>
    </row>
    <row r="115" spans="1:6" ht="12.75" hidden="1" customHeight="1">
      <c r="A115" s="150" t="s">
        <v>123</v>
      </c>
      <c r="B115" s="135" t="s">
        <v>463</v>
      </c>
      <c r="C115" s="134" t="s">
        <v>127</v>
      </c>
      <c r="D115" s="137"/>
      <c r="E115" s="138">
        <v>30255</v>
      </c>
      <c r="F115" s="138">
        <f t="shared" si="12"/>
        <v>0</v>
      </c>
    </row>
    <row r="116" spans="1:6" ht="12.75" hidden="1" customHeight="1">
      <c r="A116" s="150" t="s">
        <v>125</v>
      </c>
      <c r="B116" s="135" t="s">
        <v>464</v>
      </c>
      <c r="C116" s="134" t="s">
        <v>127</v>
      </c>
      <c r="D116" s="137"/>
      <c r="E116" s="138">
        <v>16200</v>
      </c>
      <c r="F116" s="138">
        <f t="shared" si="12"/>
        <v>0</v>
      </c>
    </row>
    <row r="117" spans="1:6" ht="12.75" hidden="1" customHeight="1">
      <c r="A117" s="150" t="s">
        <v>128</v>
      </c>
      <c r="B117" s="135" t="s">
        <v>465</v>
      </c>
      <c r="C117" s="134" t="s">
        <v>127</v>
      </c>
      <c r="D117" s="137"/>
      <c r="E117" s="138">
        <v>22300</v>
      </c>
      <c r="F117" s="138">
        <f t="shared" si="12"/>
        <v>0</v>
      </c>
    </row>
    <row r="118" spans="1:6" ht="12.75" hidden="1" customHeight="1">
      <c r="A118" s="134"/>
      <c r="B118" s="149" t="s">
        <v>466</v>
      </c>
      <c r="C118" s="134"/>
      <c r="D118" s="137"/>
      <c r="E118" s="138"/>
      <c r="F118" s="138"/>
    </row>
    <row r="119" spans="1:6" ht="12.75" hidden="1" customHeight="1">
      <c r="A119" s="150" t="s">
        <v>467</v>
      </c>
      <c r="B119" s="135" t="s">
        <v>468</v>
      </c>
      <c r="C119" s="134" t="s">
        <v>116</v>
      </c>
      <c r="D119" s="137"/>
      <c r="E119" s="138">
        <v>38750</v>
      </c>
      <c r="F119" s="138">
        <f t="shared" ref="F119:F125" si="13">+D119*E119</f>
        <v>0</v>
      </c>
    </row>
    <row r="120" spans="1:6" ht="12.75" hidden="1" customHeight="1">
      <c r="A120" s="150" t="s">
        <v>469</v>
      </c>
      <c r="B120" s="135" t="s">
        <v>470</v>
      </c>
      <c r="C120" s="134" t="s">
        <v>116</v>
      </c>
      <c r="D120" s="137"/>
      <c r="E120" s="138">
        <v>43800</v>
      </c>
      <c r="F120" s="138">
        <f t="shared" si="13"/>
        <v>0</v>
      </c>
    </row>
    <row r="121" spans="1:6" ht="12.75" hidden="1" customHeight="1">
      <c r="A121" s="150" t="s">
        <v>471</v>
      </c>
      <c r="B121" s="135" t="s">
        <v>472</v>
      </c>
      <c r="C121" s="134" t="s">
        <v>127</v>
      </c>
      <c r="D121" s="137"/>
      <c r="E121" s="138">
        <v>156500</v>
      </c>
      <c r="F121" s="138">
        <f t="shared" si="13"/>
        <v>0</v>
      </c>
    </row>
    <row r="122" spans="1:6" ht="12.75" hidden="1" customHeight="1">
      <c r="A122" s="150" t="s">
        <v>473</v>
      </c>
      <c r="B122" s="135" t="s">
        <v>474</v>
      </c>
      <c r="C122" s="134" t="s">
        <v>127</v>
      </c>
      <c r="D122" s="137"/>
      <c r="E122" s="138">
        <v>206500</v>
      </c>
      <c r="F122" s="138">
        <f t="shared" si="13"/>
        <v>0</v>
      </c>
    </row>
    <row r="123" spans="1:6" ht="12.75" hidden="1" customHeight="1">
      <c r="A123" s="150" t="s">
        <v>475</v>
      </c>
      <c r="B123" s="135" t="s">
        <v>476</v>
      </c>
      <c r="C123" s="134" t="s">
        <v>127</v>
      </c>
      <c r="D123" s="137"/>
      <c r="E123" s="138">
        <v>263875</v>
      </c>
      <c r="F123" s="138">
        <f t="shared" si="13"/>
        <v>0</v>
      </c>
    </row>
    <row r="124" spans="1:6" ht="12.75" hidden="1" customHeight="1">
      <c r="A124" s="150" t="s">
        <v>477</v>
      </c>
      <c r="B124" s="135" t="s">
        <v>478</v>
      </c>
      <c r="C124" s="134" t="s">
        <v>127</v>
      </c>
      <c r="D124" s="137"/>
      <c r="E124" s="138">
        <v>317050</v>
      </c>
      <c r="F124" s="138">
        <f t="shared" si="13"/>
        <v>0</v>
      </c>
    </row>
    <row r="125" spans="1:6" ht="12.75" hidden="1" customHeight="1">
      <c r="A125" s="150" t="s">
        <v>479</v>
      </c>
      <c r="B125" s="135" t="s">
        <v>480</v>
      </c>
      <c r="C125" s="134" t="s">
        <v>127</v>
      </c>
      <c r="D125" s="137"/>
      <c r="E125" s="138">
        <v>830787</v>
      </c>
      <c r="F125" s="138">
        <f t="shared" si="13"/>
        <v>0</v>
      </c>
    </row>
    <row r="126" spans="1:6" ht="12.75" hidden="1" customHeight="1">
      <c r="A126" s="134"/>
      <c r="B126" s="149" t="s">
        <v>481</v>
      </c>
      <c r="C126" s="134"/>
      <c r="D126" s="137"/>
      <c r="E126" s="138"/>
      <c r="F126" s="138"/>
    </row>
    <row r="127" spans="1:6" ht="12.75" hidden="1" customHeight="1">
      <c r="A127" s="150" t="s">
        <v>482</v>
      </c>
      <c r="B127" s="135" t="s">
        <v>483</v>
      </c>
      <c r="C127" s="134" t="s">
        <v>116</v>
      </c>
      <c r="D127" s="137"/>
      <c r="E127" s="138">
        <v>700300</v>
      </c>
      <c r="F127" s="138">
        <f t="shared" ref="F127:F130" si="14">+D127*E127</f>
        <v>0</v>
      </c>
    </row>
    <row r="128" spans="1:6" ht="12.75" hidden="1" customHeight="1">
      <c r="A128" s="150" t="s">
        <v>484</v>
      </c>
      <c r="B128" s="135" t="s">
        <v>485</v>
      </c>
      <c r="C128" s="134" t="s">
        <v>171</v>
      </c>
      <c r="D128" s="137"/>
      <c r="E128" s="138" t="e">
        <f>+E39</f>
        <v>#REF!</v>
      </c>
      <c r="F128" s="138" t="e">
        <f t="shared" si="14"/>
        <v>#REF!</v>
      </c>
    </row>
    <row r="129" spans="1:9" ht="12.75" hidden="1" customHeight="1">
      <c r="A129" s="150" t="s">
        <v>486</v>
      </c>
      <c r="B129" s="135" t="s">
        <v>487</v>
      </c>
      <c r="C129" s="134" t="s">
        <v>127</v>
      </c>
      <c r="D129" s="137"/>
      <c r="E129" s="138">
        <v>103069</v>
      </c>
      <c r="F129" s="138">
        <f t="shared" si="14"/>
        <v>0</v>
      </c>
      <c r="G129" s="123"/>
      <c r="H129" s="124"/>
      <c r="I129" s="125"/>
    </row>
    <row r="130" spans="1:9" ht="12.75" hidden="1" customHeight="1">
      <c r="A130" s="150" t="s">
        <v>488</v>
      </c>
      <c r="B130" s="135" t="s">
        <v>489</v>
      </c>
      <c r="C130" s="134" t="s">
        <v>127</v>
      </c>
      <c r="D130" s="137"/>
      <c r="E130" s="138">
        <v>450000</v>
      </c>
      <c r="F130" s="138">
        <f t="shared" si="14"/>
        <v>0</v>
      </c>
      <c r="G130" s="123"/>
      <c r="H130" s="124"/>
      <c r="I130" s="125"/>
    </row>
    <row r="131" spans="1:9" ht="12.75" hidden="1" customHeight="1">
      <c r="A131" s="134"/>
      <c r="B131" s="149" t="s">
        <v>490</v>
      </c>
      <c r="C131" s="134"/>
      <c r="D131" s="137"/>
      <c r="E131" s="138"/>
      <c r="F131" s="138"/>
      <c r="G131" s="123"/>
      <c r="H131" s="124"/>
      <c r="I131" s="125"/>
    </row>
    <row r="132" spans="1:9" ht="12.75" hidden="1" customHeight="1">
      <c r="A132" s="150" t="s">
        <v>491</v>
      </c>
      <c r="B132" s="135" t="s">
        <v>492</v>
      </c>
      <c r="C132" s="134" t="s">
        <v>228</v>
      </c>
      <c r="D132" s="137"/>
      <c r="E132" s="138">
        <v>27990</v>
      </c>
      <c r="F132" s="138">
        <f t="shared" ref="F132:F133" si="15">+D132*E132</f>
        <v>0</v>
      </c>
      <c r="G132" s="123"/>
      <c r="H132" s="124"/>
      <c r="I132" s="125"/>
    </row>
    <row r="133" spans="1:9" ht="12.75" hidden="1" customHeight="1">
      <c r="A133" s="150" t="s">
        <v>493</v>
      </c>
      <c r="B133" s="135" t="s">
        <v>494</v>
      </c>
      <c r="C133" s="134" t="s">
        <v>228</v>
      </c>
      <c r="D133" s="137"/>
      <c r="E133" s="138">
        <v>24561</v>
      </c>
      <c r="F133" s="138">
        <f t="shared" si="15"/>
        <v>0</v>
      </c>
      <c r="G133" s="123"/>
      <c r="H133" s="124"/>
      <c r="I133" s="125"/>
    </row>
    <row r="134" spans="1:9" ht="12.75" hidden="1" customHeight="1">
      <c r="A134" s="134"/>
      <c r="B134" s="149" t="s">
        <v>495</v>
      </c>
      <c r="C134" s="134"/>
      <c r="D134" s="137"/>
      <c r="E134" s="138"/>
      <c r="F134" s="138"/>
      <c r="G134" s="123"/>
      <c r="H134" s="124"/>
      <c r="I134" s="125"/>
    </row>
    <row r="135" spans="1:9" ht="12.75" hidden="1" customHeight="1">
      <c r="A135" s="150" t="s">
        <v>496</v>
      </c>
      <c r="B135" s="135" t="s">
        <v>497</v>
      </c>
      <c r="C135" s="134" t="s">
        <v>127</v>
      </c>
      <c r="D135" s="137"/>
      <c r="E135" s="138">
        <v>23300000</v>
      </c>
      <c r="F135" s="138">
        <f>+D135*E135</f>
        <v>0</v>
      </c>
      <c r="G135" s="123"/>
      <c r="H135" s="124"/>
      <c r="I135" s="125"/>
    </row>
    <row r="136" spans="1:9" ht="12.75" hidden="1" customHeight="1">
      <c r="A136" s="150"/>
      <c r="B136" s="135"/>
      <c r="C136" s="134"/>
      <c r="D136" s="137"/>
      <c r="E136" s="138"/>
      <c r="F136" s="138"/>
      <c r="G136" s="123"/>
      <c r="H136" s="124"/>
      <c r="I136" s="125"/>
    </row>
    <row r="137" spans="1:9" ht="12.75" hidden="1" customHeight="1">
      <c r="A137" s="1809" t="s">
        <v>387</v>
      </c>
      <c r="B137" s="1601"/>
      <c r="C137" s="1601"/>
      <c r="D137" s="1601"/>
      <c r="E137" s="1801"/>
      <c r="F137" s="143" t="e">
        <f>SUM(F95:F136)</f>
        <v>#REF!</v>
      </c>
      <c r="G137" s="123"/>
      <c r="H137" s="124" t="e">
        <f>+F137*1.25</f>
        <v>#REF!</v>
      </c>
      <c r="I137" s="125"/>
    </row>
    <row r="138" spans="1:9" ht="12.75" customHeight="1">
      <c r="A138" s="129">
        <v>8</v>
      </c>
      <c r="B138" s="144" t="s">
        <v>498</v>
      </c>
      <c r="C138" s="145"/>
      <c r="D138" s="146"/>
      <c r="E138" s="133"/>
      <c r="F138" s="133"/>
      <c r="G138" s="123"/>
      <c r="H138" s="124"/>
      <c r="I138" s="125"/>
    </row>
    <row r="139" spans="1:9" ht="12.75" customHeight="1">
      <c r="A139" s="150" t="s">
        <v>499</v>
      </c>
      <c r="B139" s="135" t="s">
        <v>500</v>
      </c>
      <c r="C139" s="134" t="s">
        <v>501</v>
      </c>
      <c r="D139" s="137">
        <v>1</v>
      </c>
      <c r="E139" s="138">
        <v>58252552</v>
      </c>
      <c r="F139" s="138">
        <f>+E139*D139</f>
        <v>58252552</v>
      </c>
      <c r="G139" s="123"/>
      <c r="H139" s="124">
        <v>84</v>
      </c>
      <c r="I139" s="125"/>
    </row>
    <row r="140" spans="1:9" ht="12.75" customHeight="1">
      <c r="A140" s="151"/>
      <c r="B140" s="152"/>
      <c r="C140" s="153"/>
      <c r="D140" s="154"/>
      <c r="E140" s="155"/>
      <c r="F140" s="155"/>
      <c r="G140" s="123"/>
      <c r="H140" s="124"/>
      <c r="I140" s="125"/>
    </row>
    <row r="141" spans="1:9" ht="12.75" customHeight="1">
      <c r="A141" s="150"/>
      <c r="B141" s="135"/>
      <c r="C141" s="134"/>
      <c r="D141" s="137"/>
      <c r="E141" s="138"/>
      <c r="F141" s="138"/>
      <c r="G141" s="123"/>
      <c r="H141" s="124"/>
      <c r="I141" s="125"/>
    </row>
    <row r="142" spans="1:9" ht="12.75" customHeight="1">
      <c r="A142" s="1809" t="s">
        <v>387</v>
      </c>
      <c r="B142" s="1601"/>
      <c r="C142" s="1601"/>
      <c r="D142" s="1601"/>
      <c r="E142" s="1801"/>
      <c r="F142" s="143">
        <f>SUM(F139:F141)</f>
        <v>58252552</v>
      </c>
      <c r="G142" s="123"/>
      <c r="H142" s="124">
        <f>+F142*1.25</f>
        <v>72815690</v>
      </c>
      <c r="I142" s="125">
        <v>1215032249</v>
      </c>
    </row>
    <row r="143" spans="1:9" ht="12.75" hidden="1" customHeight="1">
      <c r="A143" s="129">
        <v>9</v>
      </c>
      <c r="B143" s="144" t="s">
        <v>502</v>
      </c>
      <c r="C143" s="145"/>
      <c r="D143" s="146"/>
      <c r="E143" s="133"/>
      <c r="F143" s="133"/>
      <c r="G143" s="123"/>
      <c r="H143" s="124"/>
      <c r="I143" s="125"/>
    </row>
    <row r="144" spans="1:9" ht="12.75" hidden="1" customHeight="1">
      <c r="A144" s="134" t="s">
        <v>134</v>
      </c>
      <c r="B144" s="135" t="s">
        <v>503</v>
      </c>
      <c r="C144" s="134" t="s">
        <v>228</v>
      </c>
      <c r="D144" s="137"/>
      <c r="E144" s="138">
        <v>49185</v>
      </c>
      <c r="F144" s="138">
        <f>+E144*D144</f>
        <v>0</v>
      </c>
      <c r="G144" s="123"/>
      <c r="H144" s="124"/>
      <c r="I144" s="125"/>
    </row>
    <row r="145" spans="1:9" ht="12.75" hidden="1" customHeight="1">
      <c r="A145" s="134" t="s">
        <v>136</v>
      </c>
      <c r="B145" s="135" t="s">
        <v>504</v>
      </c>
      <c r="C145" s="134" t="s">
        <v>228</v>
      </c>
      <c r="D145" s="137"/>
      <c r="E145" s="138">
        <v>54093</v>
      </c>
      <c r="F145" s="138">
        <f t="shared" ref="F145:F151" si="16">+D145*E145</f>
        <v>0</v>
      </c>
      <c r="G145" s="123"/>
      <c r="H145" s="124"/>
      <c r="I145" s="125"/>
    </row>
    <row r="146" spans="1:9" ht="12.75" hidden="1" customHeight="1">
      <c r="A146" s="134" t="s">
        <v>505</v>
      </c>
      <c r="B146" s="135" t="s">
        <v>506</v>
      </c>
      <c r="C146" s="134" t="s">
        <v>228</v>
      </c>
      <c r="D146" s="137"/>
      <c r="E146" s="138">
        <v>64628</v>
      </c>
      <c r="F146" s="138">
        <f t="shared" si="16"/>
        <v>0</v>
      </c>
      <c r="G146" s="123"/>
      <c r="H146" s="124"/>
      <c r="I146" s="125"/>
    </row>
    <row r="147" spans="1:9" ht="12.75" hidden="1" customHeight="1">
      <c r="A147" s="134" t="s">
        <v>507</v>
      </c>
      <c r="B147" s="135" t="s">
        <v>508</v>
      </c>
      <c r="C147" s="134" t="s">
        <v>120</v>
      </c>
      <c r="D147" s="137"/>
      <c r="E147" s="138">
        <v>20782</v>
      </c>
      <c r="F147" s="138">
        <f t="shared" si="16"/>
        <v>0</v>
      </c>
      <c r="G147" s="123"/>
      <c r="H147" s="124"/>
      <c r="I147" s="125"/>
    </row>
    <row r="148" spans="1:9" ht="12.75" hidden="1" customHeight="1">
      <c r="A148" s="134" t="s">
        <v>509</v>
      </c>
      <c r="B148" s="135" t="s">
        <v>510</v>
      </c>
      <c r="C148" s="134" t="s">
        <v>120</v>
      </c>
      <c r="D148" s="137"/>
      <c r="E148" s="138">
        <v>34003</v>
      </c>
      <c r="F148" s="138">
        <f t="shared" si="16"/>
        <v>0</v>
      </c>
      <c r="G148" s="123"/>
      <c r="H148" s="124"/>
      <c r="I148" s="125"/>
    </row>
    <row r="149" spans="1:9" ht="12.75" hidden="1" customHeight="1">
      <c r="A149" s="134" t="s">
        <v>511</v>
      </c>
      <c r="B149" s="135" t="s">
        <v>512</v>
      </c>
      <c r="C149" s="134" t="s">
        <v>228</v>
      </c>
      <c r="D149" s="137"/>
      <c r="E149" s="138">
        <v>4174</v>
      </c>
      <c r="F149" s="138">
        <f t="shared" si="16"/>
        <v>0</v>
      </c>
      <c r="G149" s="123"/>
      <c r="H149" s="124"/>
      <c r="I149" s="125"/>
    </row>
    <row r="150" spans="1:9" ht="12.75" hidden="1" customHeight="1">
      <c r="A150" s="134" t="s">
        <v>513</v>
      </c>
      <c r="B150" s="135" t="s">
        <v>514</v>
      </c>
      <c r="C150" s="134" t="s">
        <v>116</v>
      </c>
      <c r="D150" s="137"/>
      <c r="E150" s="138">
        <v>428133</v>
      </c>
      <c r="F150" s="138">
        <f t="shared" si="16"/>
        <v>0</v>
      </c>
      <c r="G150" s="123"/>
      <c r="H150" s="124"/>
      <c r="I150" s="125"/>
    </row>
    <row r="151" spans="1:9" ht="12.75" hidden="1" customHeight="1">
      <c r="A151" s="134" t="s">
        <v>515</v>
      </c>
      <c r="B151" s="135" t="s">
        <v>516</v>
      </c>
      <c r="C151" s="134" t="s">
        <v>228</v>
      </c>
      <c r="D151" s="137"/>
      <c r="E151" s="148">
        <v>11600</v>
      </c>
      <c r="F151" s="148">
        <f t="shared" si="16"/>
        <v>0</v>
      </c>
      <c r="G151" s="123"/>
      <c r="H151" s="124"/>
      <c r="I151" s="125"/>
    </row>
    <row r="152" spans="1:9" ht="12.75" hidden="1" customHeight="1">
      <c r="A152" s="1809" t="s">
        <v>387</v>
      </c>
      <c r="B152" s="1601"/>
      <c r="C152" s="1601"/>
      <c r="D152" s="1601"/>
      <c r="E152" s="1801"/>
      <c r="F152" s="143">
        <f>SUM(F144:F151)</f>
        <v>0</v>
      </c>
      <c r="G152" s="123"/>
      <c r="H152" s="125">
        <f>+F152*1.25</f>
        <v>0</v>
      </c>
      <c r="I152" s="156">
        <v>318113143</v>
      </c>
    </row>
    <row r="153" spans="1:9" ht="12.75" hidden="1" customHeight="1">
      <c r="A153" s="129">
        <v>10</v>
      </c>
      <c r="B153" s="144" t="s">
        <v>517</v>
      </c>
      <c r="C153" s="145"/>
      <c r="D153" s="146"/>
      <c r="E153" s="133"/>
      <c r="F153" s="133"/>
      <c r="G153" s="123"/>
      <c r="H153" s="124"/>
      <c r="I153" s="125"/>
    </row>
    <row r="154" spans="1:9" ht="12.75" hidden="1" customHeight="1">
      <c r="A154" s="134" t="s">
        <v>359</v>
      </c>
      <c r="B154" s="135" t="s">
        <v>518</v>
      </c>
      <c r="C154" s="134" t="s">
        <v>127</v>
      </c>
      <c r="D154" s="137"/>
      <c r="E154" s="138">
        <v>315425420</v>
      </c>
      <c r="F154" s="138">
        <f t="shared" ref="F154:F155" si="17">+D154*E154</f>
        <v>0</v>
      </c>
      <c r="G154" s="123"/>
      <c r="H154" s="124">
        <f>+F180*1.25</f>
        <v>0</v>
      </c>
      <c r="I154" s="125">
        <v>1211531105</v>
      </c>
    </row>
    <row r="155" spans="1:9" ht="12.75" hidden="1" customHeight="1">
      <c r="A155" s="134" t="s">
        <v>361</v>
      </c>
      <c r="B155" s="135" t="s">
        <v>519</v>
      </c>
      <c r="C155" s="134" t="s">
        <v>127</v>
      </c>
      <c r="D155" s="137"/>
      <c r="E155" s="138">
        <v>653799464</v>
      </c>
      <c r="F155" s="138">
        <f t="shared" si="17"/>
        <v>0</v>
      </c>
      <c r="G155" s="123"/>
      <c r="H155" s="124"/>
      <c r="I155" s="125"/>
    </row>
    <row r="156" spans="1:9" ht="12.75" hidden="1" customHeight="1">
      <c r="A156" s="134" t="s">
        <v>505</v>
      </c>
      <c r="B156" s="135" t="s">
        <v>85</v>
      </c>
      <c r="C156" s="134" t="s">
        <v>228</v>
      </c>
      <c r="D156" s="137"/>
      <c r="E156" s="138"/>
      <c r="F156" s="138"/>
      <c r="G156" s="123"/>
      <c r="H156" s="124"/>
      <c r="I156" s="125"/>
    </row>
    <row r="157" spans="1:9" ht="12.75" hidden="1" customHeight="1">
      <c r="A157" s="134" t="s">
        <v>507</v>
      </c>
      <c r="B157" s="135" t="s">
        <v>520</v>
      </c>
      <c r="C157" s="134" t="s">
        <v>127</v>
      </c>
      <c r="D157" s="137"/>
      <c r="E157" s="138"/>
      <c r="F157" s="138"/>
      <c r="G157" s="123"/>
      <c r="H157" s="124"/>
      <c r="I157" s="125"/>
    </row>
    <row r="158" spans="1:9" ht="12.75" hidden="1" customHeight="1">
      <c r="A158" s="134" t="s">
        <v>509</v>
      </c>
      <c r="B158" s="135" t="s">
        <v>521</v>
      </c>
      <c r="C158" s="134" t="s">
        <v>116</v>
      </c>
      <c r="D158" s="137"/>
      <c r="E158" s="138"/>
      <c r="F158" s="138"/>
      <c r="G158" s="123"/>
      <c r="H158" s="124"/>
      <c r="I158" s="125"/>
    </row>
    <row r="159" spans="1:9" ht="12.75" hidden="1" customHeight="1">
      <c r="A159" s="134" t="s">
        <v>511</v>
      </c>
      <c r="B159" s="135" t="s">
        <v>522</v>
      </c>
      <c r="C159" s="134" t="s">
        <v>228</v>
      </c>
      <c r="D159" s="137"/>
      <c r="E159" s="138"/>
      <c r="F159" s="138"/>
      <c r="G159" s="123"/>
      <c r="H159" s="124"/>
      <c r="I159" s="125"/>
    </row>
    <row r="160" spans="1:9" ht="12.75" hidden="1" customHeight="1">
      <c r="A160" s="134" t="s">
        <v>513</v>
      </c>
      <c r="B160" s="135" t="s">
        <v>94</v>
      </c>
      <c r="C160" s="134" t="s">
        <v>228</v>
      </c>
      <c r="D160" s="137"/>
      <c r="E160" s="138"/>
      <c r="F160" s="138"/>
      <c r="G160" s="123"/>
      <c r="H160" s="124"/>
      <c r="I160" s="125"/>
    </row>
    <row r="161" spans="1:8" ht="12.75" hidden="1" customHeight="1">
      <c r="A161" s="134"/>
      <c r="B161" s="149" t="s">
        <v>95</v>
      </c>
      <c r="C161" s="134"/>
      <c r="D161" s="137"/>
      <c r="E161" s="138"/>
      <c r="F161" s="138"/>
      <c r="G161" s="123"/>
      <c r="H161" s="124"/>
    </row>
    <row r="162" spans="1:8" ht="12.75" hidden="1" customHeight="1">
      <c r="A162" s="134" t="s">
        <v>515</v>
      </c>
      <c r="B162" s="135" t="s">
        <v>97</v>
      </c>
      <c r="C162" s="134" t="s">
        <v>127</v>
      </c>
      <c r="D162" s="137"/>
      <c r="E162" s="138"/>
      <c r="F162" s="138"/>
      <c r="G162" s="123"/>
      <c r="H162" s="124"/>
    </row>
    <row r="163" spans="1:8" ht="27" hidden="1" customHeight="1">
      <c r="A163" s="134" t="s">
        <v>523</v>
      </c>
      <c r="B163" s="135" t="s">
        <v>524</v>
      </c>
      <c r="C163" s="134" t="s">
        <v>127</v>
      </c>
      <c r="D163" s="137"/>
      <c r="E163" s="138"/>
      <c r="F163" s="138"/>
      <c r="G163" s="123"/>
      <c r="H163" s="124"/>
    </row>
    <row r="164" spans="1:8" ht="12.75" hidden="1" customHeight="1">
      <c r="A164" s="134"/>
      <c r="B164" s="149" t="s">
        <v>100</v>
      </c>
      <c r="C164" s="134"/>
      <c r="D164" s="137"/>
      <c r="E164" s="138"/>
      <c r="F164" s="138"/>
      <c r="G164" s="123"/>
      <c r="H164" s="124"/>
    </row>
    <row r="165" spans="1:8" ht="12.75" hidden="1" customHeight="1">
      <c r="A165" s="134" t="s">
        <v>525</v>
      </c>
      <c r="B165" s="135" t="s">
        <v>526</v>
      </c>
      <c r="C165" s="134" t="s">
        <v>120</v>
      </c>
      <c r="D165" s="137"/>
      <c r="E165" s="138"/>
      <c r="F165" s="138"/>
      <c r="G165" s="123"/>
      <c r="H165" s="124"/>
    </row>
    <row r="166" spans="1:8" ht="12.75" hidden="1" customHeight="1">
      <c r="A166" s="134" t="s">
        <v>527</v>
      </c>
      <c r="B166" s="135" t="s">
        <v>528</v>
      </c>
      <c r="C166" s="134" t="s">
        <v>120</v>
      </c>
      <c r="D166" s="137"/>
      <c r="E166" s="138"/>
      <c r="F166" s="138"/>
      <c r="G166" s="123"/>
      <c r="H166" s="124"/>
    </row>
    <row r="167" spans="1:8" ht="12.75" hidden="1" customHeight="1">
      <c r="A167" s="134" t="s">
        <v>529</v>
      </c>
      <c r="B167" s="135" t="s">
        <v>111</v>
      </c>
      <c r="C167" s="134" t="s">
        <v>127</v>
      </c>
      <c r="D167" s="137"/>
      <c r="E167" s="138"/>
      <c r="F167" s="138"/>
      <c r="G167" s="123"/>
      <c r="H167" s="124"/>
    </row>
    <row r="168" spans="1:8" ht="12.75" hidden="1" customHeight="1">
      <c r="A168" s="134" t="s">
        <v>530</v>
      </c>
      <c r="B168" s="135" t="s">
        <v>531</v>
      </c>
      <c r="C168" s="134" t="s">
        <v>127</v>
      </c>
      <c r="D168" s="137"/>
      <c r="E168" s="138"/>
      <c r="F168" s="138"/>
      <c r="G168" s="123"/>
      <c r="H168" s="124"/>
    </row>
    <row r="169" spans="1:8" ht="12.75" hidden="1" customHeight="1">
      <c r="A169" s="150"/>
      <c r="B169" s="149" t="s">
        <v>532</v>
      </c>
      <c r="C169" s="134"/>
      <c r="D169" s="137"/>
      <c r="E169" s="138"/>
      <c r="F169" s="138"/>
      <c r="G169" s="123"/>
      <c r="H169" s="124"/>
    </row>
    <row r="170" spans="1:8" ht="12.75" hidden="1" customHeight="1">
      <c r="A170" s="134" t="s">
        <v>533</v>
      </c>
      <c r="B170" s="135" t="s">
        <v>534</v>
      </c>
      <c r="C170" s="134" t="s">
        <v>120</v>
      </c>
      <c r="D170" s="137"/>
      <c r="E170" s="138"/>
      <c r="F170" s="138"/>
      <c r="G170" s="123"/>
      <c r="H170" s="124"/>
    </row>
    <row r="171" spans="1:8" ht="12.75" hidden="1" customHeight="1">
      <c r="A171" s="150" t="s">
        <v>535</v>
      </c>
      <c r="B171" s="135" t="s">
        <v>536</v>
      </c>
      <c r="C171" s="134" t="s">
        <v>120</v>
      </c>
      <c r="D171" s="137"/>
      <c r="E171" s="138"/>
      <c r="F171" s="138"/>
      <c r="G171" s="123"/>
      <c r="H171" s="124"/>
    </row>
    <row r="172" spans="1:8" ht="12.75" hidden="1" customHeight="1">
      <c r="A172" s="134" t="s">
        <v>537</v>
      </c>
      <c r="B172" s="135" t="s">
        <v>538</v>
      </c>
      <c r="C172" s="134" t="s">
        <v>120</v>
      </c>
      <c r="D172" s="137"/>
      <c r="E172" s="138"/>
      <c r="F172" s="138"/>
      <c r="G172" s="123"/>
      <c r="H172" s="124"/>
    </row>
    <row r="173" spans="1:8" ht="12.75" hidden="1" customHeight="1">
      <c r="A173" s="150" t="s">
        <v>539</v>
      </c>
      <c r="B173" s="135" t="s">
        <v>124</v>
      </c>
      <c r="C173" s="134" t="s">
        <v>120</v>
      </c>
      <c r="D173" s="137"/>
      <c r="E173" s="138"/>
      <c r="F173" s="138"/>
      <c r="G173" s="123"/>
      <c r="H173" s="124"/>
    </row>
    <row r="174" spans="1:8" ht="12.75" hidden="1" customHeight="1">
      <c r="A174" s="134" t="s">
        <v>540</v>
      </c>
      <c r="B174" s="135" t="s">
        <v>541</v>
      </c>
      <c r="C174" s="134" t="s">
        <v>127</v>
      </c>
      <c r="D174" s="137"/>
      <c r="E174" s="138"/>
      <c r="F174" s="138"/>
      <c r="G174" s="123"/>
      <c r="H174" s="124"/>
    </row>
    <row r="175" spans="1:8" ht="12.75" hidden="1" customHeight="1">
      <c r="A175" s="150" t="s">
        <v>542</v>
      </c>
      <c r="B175" s="135" t="s">
        <v>543</v>
      </c>
      <c r="C175" s="134" t="s">
        <v>228</v>
      </c>
      <c r="D175" s="137"/>
      <c r="E175" s="138"/>
      <c r="F175" s="138"/>
      <c r="G175" s="123"/>
      <c r="H175" s="124" t="e">
        <v>#REF!</v>
      </c>
    </row>
    <row r="176" spans="1:8" ht="12.75" hidden="1" customHeight="1">
      <c r="A176" s="134" t="s">
        <v>544</v>
      </c>
      <c r="B176" s="135" t="s">
        <v>545</v>
      </c>
      <c r="C176" s="134" t="s">
        <v>228</v>
      </c>
      <c r="D176" s="137"/>
      <c r="E176" s="138"/>
      <c r="F176" s="138"/>
      <c r="G176" s="123"/>
      <c r="H176" s="124"/>
    </row>
    <row r="177" spans="1:9" ht="12.75" hidden="1" customHeight="1">
      <c r="A177" s="150" t="s">
        <v>546</v>
      </c>
      <c r="B177" s="135" t="s">
        <v>547</v>
      </c>
      <c r="C177" s="134" t="s">
        <v>127</v>
      </c>
      <c r="D177" s="137"/>
      <c r="E177" s="138"/>
      <c r="F177" s="138"/>
      <c r="G177" s="123"/>
      <c r="H177" s="124">
        <f>112.6+112.6+(32.6*6)</f>
        <v>420.8</v>
      </c>
      <c r="I177" s="125">
        <f>+H177*198520</f>
        <v>83537216</v>
      </c>
    </row>
    <row r="178" spans="1:9" ht="12.75" hidden="1" customHeight="1">
      <c r="A178" s="134" t="s">
        <v>548</v>
      </c>
      <c r="B178" s="135" t="s">
        <v>549</v>
      </c>
      <c r="C178" s="134" t="s">
        <v>127</v>
      </c>
      <c r="D178" s="137"/>
      <c r="E178" s="138"/>
      <c r="F178" s="138"/>
      <c r="G178" s="123"/>
      <c r="H178" s="124">
        <f>112.6*15</f>
        <v>1689</v>
      </c>
      <c r="I178" s="125">
        <f>+H178*62550</f>
        <v>105646950</v>
      </c>
    </row>
    <row r="179" spans="1:9" ht="12.75" hidden="1" customHeight="1">
      <c r="A179" s="150"/>
      <c r="B179" s="135"/>
      <c r="C179" s="134"/>
      <c r="D179" s="137"/>
      <c r="E179" s="138"/>
      <c r="F179" s="138"/>
      <c r="G179" s="123"/>
      <c r="H179" s="124"/>
      <c r="I179" s="125"/>
    </row>
    <row r="180" spans="1:9" ht="12.75" hidden="1" customHeight="1">
      <c r="A180" s="1809" t="s">
        <v>387</v>
      </c>
      <c r="B180" s="1601"/>
      <c r="C180" s="1601"/>
      <c r="D180" s="1601"/>
      <c r="E180" s="1801"/>
      <c r="F180" s="143">
        <f>SUM(F154:F179)</f>
        <v>0</v>
      </c>
      <c r="G180" s="123"/>
      <c r="H180" s="124"/>
      <c r="I180" s="125"/>
    </row>
    <row r="181" spans="1:9" ht="12.75" hidden="1" customHeight="1">
      <c r="A181" s="129">
        <v>11</v>
      </c>
      <c r="B181" s="144" t="s">
        <v>550</v>
      </c>
      <c r="C181" s="145"/>
      <c r="D181" s="146"/>
      <c r="E181" s="133"/>
      <c r="F181" s="133"/>
      <c r="G181" s="123"/>
      <c r="H181" s="124"/>
      <c r="I181" s="125"/>
    </row>
    <row r="182" spans="1:9" ht="12.75" hidden="1" customHeight="1">
      <c r="A182" s="134" t="s">
        <v>363</v>
      </c>
      <c r="B182" s="135" t="s">
        <v>551</v>
      </c>
      <c r="C182" s="134" t="s">
        <v>127</v>
      </c>
      <c r="D182" s="137">
        <v>1</v>
      </c>
      <c r="E182" s="138"/>
      <c r="F182" s="138">
        <f>+D182*E182</f>
        <v>0</v>
      </c>
      <c r="G182" s="123"/>
      <c r="H182" s="124">
        <f>+F184*1.25</f>
        <v>0</v>
      </c>
      <c r="I182" s="125">
        <v>113270454</v>
      </c>
    </row>
    <row r="183" spans="1:9" ht="12.75" hidden="1" customHeight="1">
      <c r="A183" s="150"/>
      <c r="B183" s="135"/>
      <c r="C183" s="134"/>
      <c r="D183" s="137"/>
      <c r="E183" s="138"/>
      <c r="F183" s="138"/>
      <c r="G183" s="123"/>
      <c r="H183" s="124"/>
      <c r="I183" s="125"/>
    </row>
    <row r="184" spans="1:9" ht="12.75" hidden="1" customHeight="1">
      <c r="A184" s="1809" t="s">
        <v>387</v>
      </c>
      <c r="B184" s="1601"/>
      <c r="C184" s="1601"/>
      <c r="D184" s="1601"/>
      <c r="E184" s="1801"/>
      <c r="F184" s="143">
        <f>SUM(F182:F183)</f>
        <v>0</v>
      </c>
      <c r="G184" s="123"/>
      <c r="H184" s="124"/>
      <c r="I184" s="125"/>
    </row>
    <row r="185" spans="1:9" ht="12.75" customHeight="1">
      <c r="A185" s="157"/>
      <c r="B185" s="158"/>
      <c r="C185" s="159"/>
      <c r="D185" s="160"/>
      <c r="E185" s="159"/>
      <c r="F185" s="161"/>
      <c r="G185" s="123"/>
      <c r="H185" s="124"/>
      <c r="I185" s="125"/>
    </row>
    <row r="186" spans="1:9" ht="12.75" customHeight="1">
      <c r="A186" s="162"/>
      <c r="B186" s="163"/>
      <c r="C186" s="1810" t="s">
        <v>552</v>
      </c>
      <c r="D186" s="1811"/>
      <c r="E186" s="1812"/>
      <c r="F186" s="164" t="e">
        <f>+F19+F33+F50+F67+F72+F93+F137+F142+F152+F180+F184</f>
        <v>#REF!</v>
      </c>
      <c r="G186" s="123"/>
      <c r="H186" s="124"/>
      <c r="I186" s="125"/>
    </row>
    <row r="187" spans="1:9" ht="12.75" customHeight="1">
      <c r="A187" s="162"/>
      <c r="B187" s="163"/>
      <c r="C187" s="1813" t="s">
        <v>553</v>
      </c>
      <c r="D187" s="1814"/>
      <c r="E187" s="165">
        <v>0.25</v>
      </c>
      <c r="F187" s="166" t="e">
        <f>+F186*25%</f>
        <v>#REF!</v>
      </c>
      <c r="G187" s="123"/>
      <c r="H187" s="124"/>
      <c r="I187" s="125"/>
    </row>
    <row r="188" spans="1:9" ht="12.75" customHeight="1">
      <c r="A188" s="162"/>
      <c r="B188" s="163"/>
      <c r="C188" s="1806" t="s">
        <v>554</v>
      </c>
      <c r="D188" s="1807"/>
      <c r="E188" s="1808"/>
      <c r="F188" s="167" t="e">
        <f>+F187+F186</f>
        <v>#REF!</v>
      </c>
      <c r="G188" s="123"/>
      <c r="H188" s="124"/>
      <c r="I188" s="125"/>
    </row>
    <row r="189" spans="1:9" ht="12.75" customHeight="1">
      <c r="A189" s="162"/>
      <c r="B189" s="168"/>
      <c r="C189" s="169"/>
      <c r="D189" s="170"/>
      <c r="E189" s="171"/>
      <c r="F189" s="171"/>
      <c r="G189" s="123"/>
      <c r="H189" s="124"/>
      <c r="I189" s="172"/>
    </row>
    <row r="190" spans="1:9" ht="12.75" customHeight="1">
      <c r="A190" s="162"/>
      <c r="B190" s="162"/>
      <c r="C190" s="1815" t="s">
        <v>555</v>
      </c>
      <c r="D190" s="1601"/>
      <c r="E190" s="1602"/>
      <c r="F190" s="166" t="e">
        <f>+F188*7%</f>
        <v>#REF!</v>
      </c>
      <c r="G190" s="123"/>
      <c r="H190" s="124"/>
      <c r="I190" s="125"/>
    </row>
    <row r="191" spans="1:9" ht="27.75" customHeight="1">
      <c r="A191" s="162"/>
      <c r="B191" s="162"/>
      <c r="C191" s="1805" t="s">
        <v>556</v>
      </c>
      <c r="D191" s="1601"/>
      <c r="E191" s="1602"/>
      <c r="F191" s="166">
        <v>71008000</v>
      </c>
      <c r="G191" s="123"/>
      <c r="H191" s="124"/>
      <c r="I191" s="125"/>
    </row>
    <row r="192" spans="1:9" ht="12.75" customHeight="1">
      <c r="A192" s="169"/>
      <c r="B192" s="169"/>
      <c r="C192" s="1806" t="s">
        <v>557</v>
      </c>
      <c r="D192" s="1807"/>
      <c r="E192" s="1808"/>
      <c r="F192" s="167" t="e">
        <f>+F190+F188+F191</f>
        <v>#REF!</v>
      </c>
      <c r="G192" s="123"/>
      <c r="H192" s="124"/>
      <c r="I192" s="174"/>
    </row>
    <row r="196" spans="1:1" ht="12.75" customHeight="1">
      <c r="A196" s="168" t="s">
        <v>558</v>
      </c>
    </row>
    <row r="197" spans="1:1" ht="12.75" customHeight="1">
      <c r="A197" s="76" t="s">
        <v>559</v>
      </c>
    </row>
    <row r="198" spans="1:1" ht="12.75" customHeight="1">
      <c r="A198" s="76" t="s">
        <v>560</v>
      </c>
    </row>
  </sheetData>
  <mergeCells count="24">
    <mergeCell ref="A1:F1"/>
    <mergeCell ref="A2:F2"/>
    <mergeCell ref="A3:F3"/>
    <mergeCell ref="A4:F4"/>
    <mergeCell ref="A5:F5"/>
    <mergeCell ref="A6:F6"/>
    <mergeCell ref="A8:F8"/>
    <mergeCell ref="A19:E19"/>
    <mergeCell ref="A33:E33"/>
    <mergeCell ref="A50:E50"/>
    <mergeCell ref="A67:E67"/>
    <mergeCell ref="A72:E72"/>
    <mergeCell ref="A93:E93"/>
    <mergeCell ref="A137:E137"/>
    <mergeCell ref="C190:E190"/>
    <mergeCell ref="C191:E191"/>
    <mergeCell ref="C192:E192"/>
    <mergeCell ref="A142:E142"/>
    <mergeCell ref="A152:E152"/>
    <mergeCell ref="A180:E180"/>
    <mergeCell ref="A184:E184"/>
    <mergeCell ref="C186:E186"/>
    <mergeCell ref="C187:D187"/>
    <mergeCell ref="C188:E188"/>
  </mergeCells>
  <printOptions horizontalCentered="1"/>
  <pageMargins left="0.70866141732283472" right="0.59055118110236227" top="0.82677165354330717" bottom="0.70866141732283472" header="0" footer="0"/>
  <pageSetup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IV1437"/>
  <sheetViews>
    <sheetView workbookViewId="0"/>
  </sheetViews>
  <sheetFormatPr baseColWidth="10" defaultColWidth="14.44140625" defaultRowHeight="15" customHeight="1"/>
  <cols>
    <col min="1" max="1" width="19.88671875" customWidth="1"/>
    <col min="2" max="4" width="15.33203125" customWidth="1"/>
    <col min="5" max="6" width="11.44140625" customWidth="1"/>
    <col min="7" max="7" width="14.109375" customWidth="1"/>
    <col min="8" max="8" width="11.44140625" customWidth="1"/>
    <col min="9" max="9" width="11.88671875" customWidth="1"/>
    <col min="10" max="10" width="14.5546875" customWidth="1"/>
    <col min="11" max="11" width="16.33203125" customWidth="1"/>
    <col min="12" max="256" width="11.44140625" customWidth="1"/>
  </cols>
  <sheetData>
    <row r="2" spans="1:11" ht="14.25" customHeight="1">
      <c r="A2" s="1854"/>
      <c r="B2" s="1857" t="s">
        <v>373</v>
      </c>
      <c r="C2" s="1830"/>
      <c r="D2" s="1828"/>
      <c r="E2" s="1858" t="s">
        <v>561</v>
      </c>
      <c r="F2" s="1859"/>
      <c r="G2" s="1843"/>
      <c r="H2" s="59"/>
      <c r="I2" s="60"/>
      <c r="J2" s="60"/>
      <c r="K2" s="61"/>
    </row>
    <row r="3" spans="1:11" ht="14.25" customHeight="1">
      <c r="A3" s="1855"/>
      <c r="B3" s="1848" t="s">
        <v>562</v>
      </c>
      <c r="C3" s="1859"/>
      <c r="D3" s="1843"/>
      <c r="E3" s="1620"/>
      <c r="F3" s="1621"/>
      <c r="G3" s="1622"/>
      <c r="H3" s="59"/>
      <c r="I3" s="60"/>
      <c r="J3" s="60"/>
      <c r="K3" s="61"/>
    </row>
    <row r="4" spans="1:11" ht="14.25" customHeight="1">
      <c r="A4" s="1855"/>
      <c r="B4" s="1620"/>
      <c r="C4" s="1621"/>
      <c r="D4" s="1622"/>
      <c r="E4" s="1829"/>
      <c r="F4" s="1830"/>
      <c r="G4" s="1828"/>
      <c r="H4" s="59"/>
      <c r="I4" s="60"/>
      <c r="J4" s="60"/>
      <c r="K4" s="61"/>
    </row>
    <row r="5" spans="1:11" ht="30.75" customHeight="1">
      <c r="A5" s="1856"/>
      <c r="B5" s="1860" t="s">
        <v>563</v>
      </c>
      <c r="C5" s="1830"/>
      <c r="D5" s="1828"/>
      <c r="E5" s="1829" t="s">
        <v>564</v>
      </c>
      <c r="F5" s="1830"/>
      <c r="G5" s="1828"/>
      <c r="H5" s="59"/>
      <c r="I5" s="60"/>
      <c r="J5" s="60"/>
      <c r="K5" s="61"/>
    </row>
    <row r="6" spans="1:11" ht="40.5" customHeight="1">
      <c r="A6" s="1860" t="s">
        <v>565</v>
      </c>
      <c r="B6" s="1830"/>
      <c r="C6" s="1830"/>
      <c r="D6" s="1830"/>
      <c r="E6" s="1830"/>
      <c r="F6" s="1830"/>
      <c r="G6" s="1828"/>
      <c r="H6" s="59"/>
      <c r="I6" s="60"/>
      <c r="J6" s="60"/>
      <c r="K6" s="61"/>
    </row>
    <row r="7" spans="1:11" ht="14.25" hidden="1" customHeight="1">
      <c r="A7" s="66" t="s">
        <v>217</v>
      </c>
      <c r="B7" s="1832" t="s">
        <v>379</v>
      </c>
      <c r="C7" s="1830"/>
      <c r="D7" s="1828"/>
      <c r="E7" s="1833" t="s">
        <v>218</v>
      </c>
      <c r="F7" s="1828"/>
      <c r="G7" s="62" t="s">
        <v>228</v>
      </c>
      <c r="H7" s="59"/>
      <c r="I7" s="60"/>
      <c r="J7" s="60"/>
      <c r="K7" s="61"/>
    </row>
    <row r="8" spans="1:11" ht="14.25" hidden="1" customHeight="1">
      <c r="A8" s="66" t="s">
        <v>219</v>
      </c>
      <c r="B8" s="1840" t="s">
        <v>566</v>
      </c>
      <c r="C8" s="1830"/>
      <c r="D8" s="1830"/>
      <c r="E8" s="1830"/>
      <c r="F8" s="1830"/>
      <c r="G8" s="1828"/>
      <c r="H8" s="59"/>
      <c r="I8" s="60"/>
      <c r="J8" s="60"/>
      <c r="K8" s="61"/>
    </row>
    <row r="9" spans="1:11" ht="14.25" hidden="1" customHeight="1">
      <c r="A9" s="1836" t="s">
        <v>220</v>
      </c>
      <c r="B9" s="1830"/>
      <c r="C9" s="1830"/>
      <c r="D9" s="1830"/>
      <c r="E9" s="1830"/>
      <c r="F9" s="1830"/>
      <c r="G9" s="1828"/>
      <c r="H9" s="59"/>
      <c r="I9" s="60"/>
      <c r="J9" s="60"/>
      <c r="K9" s="61"/>
    </row>
    <row r="10" spans="1:11" ht="14.25" hidden="1" customHeight="1">
      <c r="A10" s="1829" t="s">
        <v>221</v>
      </c>
      <c r="B10" s="1828"/>
      <c r="C10" s="63" t="s">
        <v>222</v>
      </c>
      <c r="D10" s="63" t="s">
        <v>223</v>
      </c>
      <c r="E10" s="63" t="s">
        <v>224</v>
      </c>
      <c r="F10" s="63" t="s">
        <v>225</v>
      </c>
      <c r="G10" s="63" t="s">
        <v>226</v>
      </c>
      <c r="H10" s="59"/>
      <c r="I10" s="60"/>
      <c r="J10" s="60"/>
      <c r="K10" s="61"/>
    </row>
    <row r="11" spans="1:11" ht="14.25" hidden="1" customHeight="1">
      <c r="A11" s="1844" t="s">
        <v>567</v>
      </c>
      <c r="B11" s="1828"/>
      <c r="C11" s="64">
        <v>111.37</v>
      </c>
      <c r="D11" s="64">
        <v>76.22</v>
      </c>
      <c r="E11" s="64"/>
      <c r="F11" s="64">
        <v>1</v>
      </c>
      <c r="G11" s="64">
        <f>+ROUND(C11*D11,2)</f>
        <v>8488.6200000000008</v>
      </c>
      <c r="H11" s="59"/>
      <c r="I11" s="60">
        <f>+PPTOETAPAS!F7</f>
        <v>40261694</v>
      </c>
      <c r="J11" s="60"/>
      <c r="K11" s="61">
        <f>10812.64+3314.27</f>
        <v>14126.91</v>
      </c>
    </row>
    <row r="12" spans="1:11" ht="14.25" hidden="1" customHeight="1">
      <c r="A12" s="1845"/>
      <c r="B12" s="1828"/>
      <c r="C12" s="64"/>
      <c r="D12" s="64"/>
      <c r="E12" s="64"/>
      <c r="F12" s="64"/>
      <c r="G12" s="64"/>
      <c r="H12" s="59"/>
      <c r="I12" s="60">
        <f>+G35*24550</f>
        <v>5385533.5</v>
      </c>
      <c r="J12" s="60"/>
      <c r="K12" s="61"/>
    </row>
    <row r="13" spans="1:11" ht="14.25" hidden="1" customHeight="1">
      <c r="A13" s="1829" t="s">
        <v>227</v>
      </c>
      <c r="B13" s="1830"/>
      <c r="C13" s="1830"/>
      <c r="D13" s="1830"/>
      <c r="E13" s="1830"/>
      <c r="F13" s="1828"/>
      <c r="G13" s="65">
        <f>ROUND(SUM(G11:G12),2)</f>
        <v>8488.6200000000008</v>
      </c>
      <c r="H13" s="59"/>
      <c r="I13" s="60">
        <f>+G49*14750</f>
        <v>34093002.5</v>
      </c>
      <c r="J13" s="60"/>
      <c r="K13" s="61"/>
    </row>
    <row r="14" spans="1:11" ht="14.25" hidden="1" customHeight="1">
      <c r="A14" s="1861"/>
      <c r="B14" s="1830"/>
      <c r="C14" s="1830"/>
      <c r="D14" s="1830"/>
      <c r="E14" s="1830"/>
      <c r="F14" s="1830"/>
      <c r="G14" s="1828"/>
      <c r="H14" s="59"/>
      <c r="I14" s="60">
        <f>+G63*17550</f>
        <v>43469419.5</v>
      </c>
      <c r="J14" s="60"/>
      <c r="K14" s="61"/>
    </row>
    <row r="15" spans="1:11" ht="14.25" hidden="1" customHeight="1">
      <c r="A15" s="1837"/>
      <c r="B15" s="1838"/>
      <c r="C15" s="1838"/>
      <c r="D15" s="1838"/>
      <c r="E15" s="1838"/>
      <c r="F15" s="1838"/>
      <c r="G15" s="1839"/>
      <c r="H15" s="59"/>
      <c r="I15" s="60">
        <f>+G89*25000</f>
        <v>1700000</v>
      </c>
      <c r="J15" s="60"/>
      <c r="K15" s="61"/>
    </row>
    <row r="16" spans="1:11" ht="14.25" hidden="1" customHeight="1">
      <c r="A16" s="66" t="str">
        <f>+$A$7</f>
        <v>CAPITULO 1:</v>
      </c>
      <c r="B16" s="1832" t="str">
        <f>+$B$7</f>
        <v>ACTIVIDADES PRELIMINARES</v>
      </c>
      <c r="C16" s="1830"/>
      <c r="D16" s="1828"/>
      <c r="E16" s="1833" t="s">
        <v>218</v>
      </c>
      <c r="F16" s="1828"/>
      <c r="G16" s="62" t="s">
        <v>116</v>
      </c>
      <c r="H16" s="59"/>
      <c r="I16" s="60">
        <f>+G98*27550</f>
        <v>1212200</v>
      </c>
      <c r="J16" s="60"/>
      <c r="K16" s="61"/>
    </row>
    <row r="17" spans="1:11" ht="30.75" hidden="1" customHeight="1">
      <c r="A17" s="66" t="s">
        <v>229</v>
      </c>
      <c r="B17" s="1840" t="s">
        <v>568</v>
      </c>
      <c r="C17" s="1830"/>
      <c r="D17" s="1830"/>
      <c r="E17" s="1830"/>
      <c r="F17" s="1830"/>
      <c r="G17" s="1828"/>
      <c r="H17" s="59"/>
      <c r="I17" s="60">
        <f>+G109*30550</f>
        <v>4184128.0000000005</v>
      </c>
      <c r="J17" s="60"/>
      <c r="K17" s="61"/>
    </row>
    <row r="18" spans="1:11" ht="14.25" hidden="1" customHeight="1">
      <c r="A18" s="1836" t="s">
        <v>220</v>
      </c>
      <c r="B18" s="1830"/>
      <c r="C18" s="1830"/>
      <c r="D18" s="1830"/>
      <c r="E18" s="1830"/>
      <c r="F18" s="1830"/>
      <c r="G18" s="1828"/>
      <c r="H18" s="59"/>
      <c r="I18" s="60">
        <f>+G120*56500</f>
        <v>244556860.00000003</v>
      </c>
      <c r="J18" s="60"/>
      <c r="K18" s="61"/>
    </row>
    <row r="19" spans="1:11" ht="14.25" hidden="1" customHeight="1">
      <c r="A19" s="1829" t="s">
        <v>221</v>
      </c>
      <c r="B19" s="1828"/>
      <c r="C19" s="63" t="s">
        <v>222</v>
      </c>
      <c r="D19" s="63" t="s">
        <v>223</v>
      </c>
      <c r="E19" s="63" t="s">
        <v>224</v>
      </c>
      <c r="F19" s="63" t="s">
        <v>225</v>
      </c>
      <c r="G19" s="63" t="s">
        <v>226</v>
      </c>
      <c r="H19" s="59"/>
      <c r="I19" s="60">
        <f>ROUND(SUM(I11:I18),0)</f>
        <v>374862838</v>
      </c>
      <c r="J19" s="60" t="s">
        <v>230</v>
      </c>
      <c r="K19" s="61"/>
    </row>
    <row r="20" spans="1:11" ht="14.25" hidden="1" customHeight="1">
      <c r="A20" s="1847" t="s">
        <v>569</v>
      </c>
      <c r="B20" s="1828"/>
      <c r="C20" s="64"/>
      <c r="D20" s="64"/>
      <c r="E20" s="64"/>
      <c r="F20" s="64"/>
      <c r="G20" s="64"/>
      <c r="H20" s="59"/>
      <c r="I20" s="60"/>
      <c r="J20" s="60"/>
      <c r="K20" s="61"/>
    </row>
    <row r="21" spans="1:11" ht="14.25" hidden="1" customHeight="1">
      <c r="A21" s="1845" t="s">
        <v>570</v>
      </c>
      <c r="B21" s="1828"/>
      <c r="C21" s="64">
        <f>120.53+71.17+36.41+9.12+26.18</f>
        <v>263.40999999999997</v>
      </c>
      <c r="D21" s="64">
        <v>0.1</v>
      </c>
      <c r="E21" s="64">
        <v>0.1</v>
      </c>
      <c r="F21" s="64">
        <v>1</v>
      </c>
      <c r="G21" s="64">
        <f t="shared" ref="G21:G23" si="0">+C21*D21*E21*F21</f>
        <v>2.6341000000000001</v>
      </c>
      <c r="H21" s="59"/>
      <c r="I21" s="60"/>
      <c r="J21" s="60"/>
      <c r="K21" s="61"/>
    </row>
    <row r="22" spans="1:11" ht="14.25" hidden="1" customHeight="1">
      <c r="A22" s="1845" t="s">
        <v>571</v>
      </c>
      <c r="B22" s="1828"/>
      <c r="C22" s="64">
        <f>+C21</f>
        <v>263.40999999999997</v>
      </c>
      <c r="D22" s="64">
        <v>0.25</v>
      </c>
      <c r="E22" s="64">
        <v>0.25</v>
      </c>
      <c r="F22" s="64">
        <v>1</v>
      </c>
      <c r="G22" s="64">
        <f t="shared" si="0"/>
        <v>16.463124999999998</v>
      </c>
      <c r="H22" s="59"/>
      <c r="I22" s="60"/>
      <c r="J22" s="60"/>
      <c r="K22" s="61"/>
    </row>
    <row r="23" spans="1:11" ht="14.25" hidden="1" customHeight="1">
      <c r="A23" s="1845" t="s">
        <v>572</v>
      </c>
      <c r="B23" s="1828"/>
      <c r="C23" s="64">
        <v>0.8</v>
      </c>
      <c r="D23" s="64">
        <v>0.25</v>
      </c>
      <c r="E23" s="64">
        <v>0.25</v>
      </c>
      <c r="F23" s="64">
        <f>+ROUND(C22/3,0)</f>
        <v>88</v>
      </c>
      <c r="G23" s="64">
        <f t="shared" si="0"/>
        <v>4.4000000000000004</v>
      </c>
      <c r="H23" s="59"/>
      <c r="I23" s="60"/>
      <c r="J23" s="60"/>
      <c r="K23" s="61"/>
    </row>
    <row r="24" spans="1:11" ht="14.25" hidden="1" customHeight="1">
      <c r="A24" s="1847" t="s">
        <v>573</v>
      </c>
      <c r="B24" s="1828"/>
      <c r="C24" s="64"/>
      <c r="D24" s="64"/>
      <c r="E24" s="64"/>
      <c r="F24" s="64"/>
      <c r="G24" s="64"/>
      <c r="H24" s="59"/>
      <c r="I24" s="60"/>
      <c r="J24" s="60"/>
      <c r="K24" s="61"/>
    </row>
    <row r="25" spans="1:11" ht="14.25" hidden="1" customHeight="1">
      <c r="A25" s="1845" t="s">
        <v>574</v>
      </c>
      <c r="B25" s="1828"/>
      <c r="C25" s="64">
        <f>20+9.72+12.2+40.6+20+10.6+20+12.2+9.8+14.43+7.8+12.4+5.1+9.6+3.3+3.3+3.1+2+17.9+(1.25*7)+0.9+8.05+5.45+1.1+3.3+20+6.15+(6.75*3)+7.45+2.65+2.65+5+1.55</f>
        <v>327.3</v>
      </c>
      <c r="D25" s="64">
        <v>0.3</v>
      </c>
      <c r="E25" s="64">
        <v>0.3</v>
      </c>
      <c r="F25" s="64">
        <v>2</v>
      </c>
      <c r="G25" s="64">
        <f t="shared" ref="G25:G27" si="1">+C25*D25*E25*F25</f>
        <v>58.913999999999994</v>
      </c>
      <c r="H25" s="59"/>
      <c r="I25" s="60"/>
      <c r="J25" s="60"/>
      <c r="K25" s="61"/>
    </row>
    <row r="26" spans="1:11" ht="14.25" hidden="1" customHeight="1">
      <c r="A26" s="1845" t="s">
        <v>575</v>
      </c>
      <c r="B26" s="1828"/>
      <c r="C26" s="64">
        <v>7.35</v>
      </c>
      <c r="D26" s="64">
        <v>0.3</v>
      </c>
      <c r="E26" s="64">
        <v>0.3</v>
      </c>
      <c r="F26" s="64">
        <v>40</v>
      </c>
      <c r="G26" s="64">
        <f t="shared" si="1"/>
        <v>26.459999999999994</v>
      </c>
      <c r="H26" s="59"/>
      <c r="I26" s="60"/>
      <c r="J26" s="60"/>
      <c r="K26" s="61"/>
    </row>
    <row r="27" spans="1:11" ht="15" hidden="1" customHeight="1">
      <c r="A27" s="1845" t="s">
        <v>576</v>
      </c>
      <c r="B27" s="1828"/>
      <c r="C27" s="64">
        <v>1.2</v>
      </c>
      <c r="D27" s="64">
        <v>1.2</v>
      </c>
      <c r="E27" s="64">
        <v>0.3</v>
      </c>
      <c r="F27" s="64">
        <v>40</v>
      </c>
      <c r="G27" s="64">
        <f t="shared" si="1"/>
        <v>17.28</v>
      </c>
      <c r="H27" s="59"/>
      <c r="I27" s="60"/>
      <c r="J27" s="60"/>
      <c r="K27" s="61"/>
    </row>
    <row r="28" spans="1:11" ht="14.25" hidden="1" customHeight="1">
      <c r="A28" s="1847" t="s">
        <v>577</v>
      </c>
      <c r="B28" s="1828"/>
      <c r="C28" s="64"/>
      <c r="D28" s="64"/>
      <c r="E28" s="64"/>
      <c r="F28" s="64"/>
      <c r="G28" s="64"/>
      <c r="H28" s="59"/>
      <c r="I28" s="60"/>
      <c r="J28" s="60"/>
      <c r="K28" s="61"/>
    </row>
    <row r="29" spans="1:11" ht="14.25" hidden="1" customHeight="1">
      <c r="A29" s="1845" t="s">
        <v>574</v>
      </c>
      <c r="B29" s="1828"/>
      <c r="C29" s="64">
        <f>16.15+16.15+5.37+5.37+5.37+4.6+(4.9*5)+4.6+(4.9*8)+(7.85*4)+3.33+(5.2*4)+21+(4.85*2)+5+(1.95*3*0.2)+(2.2*6)+(10.45*2)+(6.45*3)+(4.6*2)+(1.4*20)+(1.65*10)</f>
        <v>320.85999999999996</v>
      </c>
      <c r="D29" s="64">
        <v>0.3</v>
      </c>
      <c r="E29" s="64">
        <v>0.3</v>
      </c>
      <c r="F29" s="64">
        <v>2</v>
      </c>
      <c r="G29" s="64">
        <f t="shared" ref="G29:G33" si="2">+C29*D29*E29*F29</f>
        <v>57.754799999999989</v>
      </c>
      <c r="H29" s="59"/>
      <c r="I29" s="60"/>
      <c r="J29" s="60"/>
      <c r="K29" s="61"/>
    </row>
    <row r="30" spans="1:11" ht="14.25" hidden="1" customHeight="1">
      <c r="A30" s="1845" t="s">
        <v>575</v>
      </c>
      <c r="B30" s="1828"/>
      <c r="C30" s="64">
        <v>6.09</v>
      </c>
      <c r="D30" s="64">
        <v>0.3</v>
      </c>
      <c r="E30" s="64">
        <v>0.3</v>
      </c>
      <c r="F30" s="64">
        <v>32</v>
      </c>
      <c r="G30" s="64">
        <f t="shared" si="2"/>
        <v>17.539199999999997</v>
      </c>
      <c r="H30" s="59"/>
      <c r="I30" s="60"/>
      <c r="J30" s="60"/>
      <c r="K30" s="61"/>
    </row>
    <row r="31" spans="1:11" ht="14.25" hidden="1" customHeight="1">
      <c r="A31" s="1845" t="s">
        <v>576</v>
      </c>
      <c r="B31" s="1828"/>
      <c r="C31" s="64">
        <v>1.2</v>
      </c>
      <c r="D31" s="64">
        <v>1.2</v>
      </c>
      <c r="E31" s="64">
        <v>0.3</v>
      </c>
      <c r="F31" s="64">
        <v>32</v>
      </c>
      <c r="G31" s="64">
        <f t="shared" si="2"/>
        <v>13.824</v>
      </c>
      <c r="H31" s="59"/>
      <c r="I31" s="60"/>
      <c r="J31" s="60"/>
      <c r="K31" s="61"/>
    </row>
    <row r="32" spans="1:11" ht="14.25" hidden="1" customHeight="1">
      <c r="A32" s="1845" t="s">
        <v>578</v>
      </c>
      <c r="B32" s="1828"/>
      <c r="C32" s="64">
        <f>8.44/3</f>
        <v>2.813333333333333</v>
      </c>
      <c r="D32" s="64">
        <v>3</v>
      </c>
      <c r="E32" s="64">
        <v>0.2</v>
      </c>
      <c r="F32" s="64">
        <v>2</v>
      </c>
      <c r="G32" s="64">
        <f t="shared" si="2"/>
        <v>3.3759999999999999</v>
      </c>
      <c r="H32" s="59"/>
      <c r="I32" s="60"/>
      <c r="J32" s="60"/>
      <c r="K32" s="61"/>
    </row>
    <row r="33" spans="1:7" ht="14.25" hidden="1" customHeight="1">
      <c r="A33" s="1845" t="s">
        <v>579</v>
      </c>
      <c r="B33" s="1828"/>
      <c r="C33" s="64">
        <v>3</v>
      </c>
      <c r="D33" s="64">
        <v>0.6</v>
      </c>
      <c r="E33" s="64">
        <v>0.2</v>
      </c>
      <c r="F33" s="64">
        <v>2</v>
      </c>
      <c r="G33" s="64">
        <f t="shared" si="2"/>
        <v>0.72</v>
      </c>
    </row>
    <row r="34" spans="1:7" ht="14.25" hidden="1" customHeight="1">
      <c r="A34" s="1845"/>
      <c r="B34" s="1828"/>
      <c r="C34" s="64"/>
      <c r="D34" s="64"/>
      <c r="E34" s="64"/>
      <c r="F34" s="64"/>
      <c r="G34" s="64"/>
    </row>
    <row r="35" spans="1:7" ht="14.25" hidden="1" customHeight="1">
      <c r="A35" s="1829" t="s">
        <v>227</v>
      </c>
      <c r="B35" s="1830"/>
      <c r="C35" s="1830"/>
      <c r="D35" s="1830"/>
      <c r="E35" s="1830"/>
      <c r="F35" s="1828"/>
      <c r="G35" s="65">
        <f>ROUND(SUM(G20:G34),2)</f>
        <v>219.37</v>
      </c>
    </row>
    <row r="36" spans="1:7" ht="14.25" hidden="1" customHeight="1">
      <c r="A36" s="1837"/>
      <c r="B36" s="1838"/>
      <c r="C36" s="1838"/>
      <c r="D36" s="1838"/>
      <c r="E36" s="1838"/>
      <c r="F36" s="1838"/>
      <c r="G36" s="1839"/>
    </row>
    <row r="37" spans="1:7" ht="14.25" hidden="1" customHeight="1">
      <c r="A37" s="66" t="str">
        <f>+$A$7</f>
        <v>CAPITULO 1:</v>
      </c>
      <c r="B37" s="1832" t="str">
        <f>+$B$7</f>
        <v>ACTIVIDADES PRELIMINARES</v>
      </c>
      <c r="C37" s="1830"/>
      <c r="D37" s="1828"/>
      <c r="E37" s="1833" t="s">
        <v>218</v>
      </c>
      <c r="F37" s="1828"/>
      <c r="G37" s="62" t="s">
        <v>228</v>
      </c>
    </row>
    <row r="38" spans="1:7" ht="23.25" hidden="1" customHeight="1">
      <c r="A38" s="66" t="s">
        <v>231</v>
      </c>
      <c r="B38" s="1840" t="s">
        <v>580</v>
      </c>
      <c r="C38" s="1830"/>
      <c r="D38" s="1830"/>
      <c r="E38" s="1830"/>
      <c r="F38" s="1830"/>
      <c r="G38" s="1828"/>
    </row>
    <row r="39" spans="1:7" ht="14.25" hidden="1" customHeight="1">
      <c r="A39" s="1836" t="s">
        <v>220</v>
      </c>
      <c r="B39" s="1830"/>
      <c r="C39" s="1830"/>
      <c r="D39" s="1830"/>
      <c r="E39" s="1830"/>
      <c r="F39" s="1830"/>
      <c r="G39" s="1828"/>
    </row>
    <row r="40" spans="1:7" ht="14.25" hidden="1" customHeight="1">
      <c r="A40" s="1829" t="s">
        <v>221</v>
      </c>
      <c r="B40" s="1828"/>
      <c r="C40" s="63" t="s">
        <v>222</v>
      </c>
      <c r="D40" s="63" t="s">
        <v>223</v>
      </c>
      <c r="E40" s="63" t="s">
        <v>224</v>
      </c>
      <c r="F40" s="63" t="s">
        <v>225</v>
      </c>
      <c r="G40" s="63" t="s">
        <v>226</v>
      </c>
    </row>
    <row r="41" spans="1:7" ht="14.25" hidden="1" customHeight="1">
      <c r="A41" s="1847" t="s">
        <v>569</v>
      </c>
      <c r="B41" s="1828"/>
      <c r="C41" s="64"/>
      <c r="D41" s="64"/>
      <c r="E41" s="64"/>
      <c r="F41" s="64"/>
      <c r="G41" s="64"/>
    </row>
    <row r="42" spans="1:7" ht="14.25" hidden="1" customHeight="1">
      <c r="A42" s="1845" t="s">
        <v>581</v>
      </c>
      <c r="B42" s="1828"/>
      <c r="C42" s="64">
        <f>+C22</f>
        <v>263.40999999999997</v>
      </c>
      <c r="D42" s="64">
        <v>0.4</v>
      </c>
      <c r="E42" s="64"/>
      <c r="F42" s="64"/>
      <c r="G42" s="64">
        <f>+C42*D42</f>
        <v>105.36399999999999</v>
      </c>
    </row>
    <row r="43" spans="1:7" ht="14.25" hidden="1" customHeight="1">
      <c r="A43" s="1847" t="s">
        <v>573</v>
      </c>
      <c r="B43" s="1828"/>
      <c r="C43" s="64"/>
      <c r="D43" s="64"/>
      <c r="E43" s="64"/>
      <c r="F43" s="64"/>
      <c r="G43" s="64"/>
    </row>
    <row r="44" spans="1:7" ht="14.25" hidden="1" customHeight="1">
      <c r="A44" s="1845" t="s">
        <v>582</v>
      </c>
      <c r="B44" s="1828"/>
      <c r="C44" s="64">
        <f>20+9.72+12.2+40.6+20+10.6+20+12.2+9.8</f>
        <v>155.12</v>
      </c>
      <c r="D44" s="64">
        <f>+(3.9+4.65+2.95)/3</f>
        <v>3.8333333333333335</v>
      </c>
      <c r="E44" s="64"/>
      <c r="F44" s="64"/>
      <c r="G44" s="64">
        <f>+D44*C44</f>
        <v>594.62666666666667</v>
      </c>
    </row>
    <row r="45" spans="1:7" ht="14.25" hidden="1" customHeight="1">
      <c r="A45" s="1845" t="s">
        <v>583</v>
      </c>
      <c r="B45" s="1828"/>
      <c r="C45" s="64">
        <f>14.43+7.8+12.4+5.1+9.6+3.3+3.3+3.1+2+17.9+(1.25*7)+0.9+8.05+5.45+1.1+3.3+20+6.15+(6.75*3)+7.45+2.65+2.65+5+1.55</f>
        <v>172.18</v>
      </c>
      <c r="D45" s="64">
        <v>4.7</v>
      </c>
      <c r="E45" s="64"/>
      <c r="F45" s="64"/>
      <c r="G45" s="64">
        <f>+C45*D45</f>
        <v>809.24600000000009</v>
      </c>
    </row>
    <row r="46" spans="1:7" ht="14.25" hidden="1" customHeight="1">
      <c r="A46" s="1847" t="s">
        <v>577</v>
      </c>
      <c r="B46" s="1828"/>
      <c r="C46" s="64"/>
      <c r="D46" s="64"/>
      <c r="E46" s="64"/>
      <c r="F46" s="64"/>
      <c r="G46" s="64"/>
    </row>
    <row r="47" spans="1:7" ht="14.25" hidden="1" customHeight="1">
      <c r="A47" s="1845" t="s">
        <v>584</v>
      </c>
      <c r="B47" s="1828"/>
      <c r="C47" s="64">
        <f>+C29</f>
        <v>320.85999999999996</v>
      </c>
      <c r="D47" s="64">
        <v>2.5</v>
      </c>
      <c r="E47" s="64"/>
      <c r="F47" s="64"/>
      <c r="G47" s="64">
        <f>+D47*C47</f>
        <v>802.14999999999986</v>
      </c>
    </row>
    <row r="48" spans="1:7" ht="14.25" hidden="1" customHeight="1">
      <c r="A48" s="1845"/>
      <c r="B48" s="1828"/>
      <c r="C48" s="64"/>
      <c r="D48" s="64"/>
      <c r="E48" s="64"/>
      <c r="F48" s="64"/>
      <c r="G48" s="64"/>
    </row>
    <row r="49" spans="1:7" ht="14.25" hidden="1" customHeight="1">
      <c r="A49" s="1829" t="s">
        <v>227</v>
      </c>
      <c r="B49" s="1830"/>
      <c r="C49" s="1830"/>
      <c r="D49" s="1830"/>
      <c r="E49" s="1830"/>
      <c r="F49" s="1828"/>
      <c r="G49" s="65">
        <f>ROUND(SUM(G41:G48),2)</f>
        <v>2311.39</v>
      </c>
    </row>
    <row r="50" spans="1:7" ht="14.25" hidden="1" customHeight="1">
      <c r="A50" s="1837"/>
      <c r="B50" s="1838"/>
      <c r="C50" s="1838"/>
      <c r="D50" s="1838"/>
      <c r="E50" s="1838"/>
      <c r="F50" s="1838"/>
      <c r="G50" s="1839"/>
    </row>
    <row r="51" spans="1:7" ht="14.25" hidden="1" customHeight="1">
      <c r="A51" s="66" t="str">
        <f>+$A$7</f>
        <v>CAPITULO 1:</v>
      </c>
      <c r="B51" s="1832" t="str">
        <f>+$B$7</f>
        <v>ACTIVIDADES PRELIMINARES</v>
      </c>
      <c r="C51" s="1830"/>
      <c r="D51" s="1828"/>
      <c r="E51" s="1833" t="s">
        <v>218</v>
      </c>
      <c r="F51" s="1828"/>
      <c r="G51" s="62" t="s">
        <v>228</v>
      </c>
    </row>
    <row r="52" spans="1:7" ht="23.25" hidden="1" customHeight="1">
      <c r="A52" s="66" t="s">
        <v>585</v>
      </c>
      <c r="B52" s="1840" t="s">
        <v>586</v>
      </c>
      <c r="C52" s="1830"/>
      <c r="D52" s="1830"/>
      <c r="E52" s="1830"/>
      <c r="F52" s="1830"/>
      <c r="G52" s="1828"/>
    </row>
    <row r="53" spans="1:7" ht="14.25" hidden="1" customHeight="1">
      <c r="A53" s="1836" t="s">
        <v>220</v>
      </c>
      <c r="B53" s="1830"/>
      <c r="C53" s="1830"/>
      <c r="D53" s="1830"/>
      <c r="E53" s="1830"/>
      <c r="F53" s="1830"/>
      <c r="G53" s="1828"/>
    </row>
    <row r="54" spans="1:7" ht="14.25" hidden="1" customHeight="1">
      <c r="A54" s="1829" t="s">
        <v>221</v>
      </c>
      <c r="B54" s="1828"/>
      <c r="C54" s="63" t="s">
        <v>222</v>
      </c>
      <c r="D54" s="63" t="s">
        <v>223</v>
      </c>
      <c r="E54" s="63" t="s">
        <v>224</v>
      </c>
      <c r="F54" s="63" t="s">
        <v>225</v>
      </c>
      <c r="G54" s="63" t="s">
        <v>226</v>
      </c>
    </row>
    <row r="55" spans="1:7" ht="14.25" hidden="1" customHeight="1">
      <c r="A55" s="1847" t="s">
        <v>573</v>
      </c>
      <c r="B55" s="1828"/>
      <c r="C55" s="64"/>
      <c r="D55" s="64"/>
      <c r="E55" s="64"/>
      <c r="F55" s="64"/>
      <c r="G55" s="64"/>
    </row>
    <row r="56" spans="1:7" ht="14.25" hidden="1" customHeight="1">
      <c r="A56" s="1845" t="s">
        <v>587</v>
      </c>
      <c r="B56" s="1828"/>
      <c r="C56" s="64">
        <v>41.34</v>
      </c>
      <c r="D56" s="64">
        <v>39.979999999999997</v>
      </c>
      <c r="E56" s="64"/>
      <c r="F56" s="64"/>
      <c r="G56" s="64">
        <f>+D56*C56</f>
        <v>1652.7732000000001</v>
      </c>
    </row>
    <row r="57" spans="1:7" ht="5.25" hidden="1" customHeight="1">
      <c r="A57" s="1845"/>
      <c r="B57" s="1828"/>
      <c r="C57" s="64"/>
      <c r="D57" s="64"/>
      <c r="E57" s="64"/>
      <c r="F57" s="64"/>
      <c r="G57" s="64"/>
    </row>
    <row r="58" spans="1:7" ht="14.25" hidden="1" customHeight="1">
      <c r="A58" s="1847" t="s">
        <v>577</v>
      </c>
      <c r="B58" s="1828"/>
      <c r="C58" s="64"/>
      <c r="D58" s="64"/>
      <c r="E58" s="64"/>
      <c r="F58" s="64"/>
      <c r="G58" s="64"/>
    </row>
    <row r="59" spans="1:7" ht="14.25" hidden="1" customHeight="1">
      <c r="A59" s="1845" t="s">
        <v>588</v>
      </c>
      <c r="B59" s="1828"/>
      <c r="C59" s="64">
        <v>16.149999999999999</v>
      </c>
      <c r="D59" s="64">
        <v>5.4</v>
      </c>
      <c r="E59" s="64"/>
      <c r="F59" s="64"/>
      <c r="G59" s="64">
        <f t="shared" ref="G59:G62" si="3">+D59*C59</f>
        <v>87.21</v>
      </c>
    </row>
    <row r="60" spans="1:7" ht="14.25" hidden="1" customHeight="1">
      <c r="A60" s="1845" t="s">
        <v>589</v>
      </c>
      <c r="B60" s="1828"/>
      <c r="C60" s="64">
        <f>20.21+25.25</f>
        <v>45.46</v>
      </c>
      <c r="D60" s="64">
        <v>8</v>
      </c>
      <c r="E60" s="64"/>
      <c r="F60" s="64"/>
      <c r="G60" s="64">
        <f t="shared" si="3"/>
        <v>363.68</v>
      </c>
    </row>
    <row r="61" spans="1:7" ht="14.25" hidden="1" customHeight="1">
      <c r="A61" s="1845" t="s">
        <v>590</v>
      </c>
      <c r="B61" s="1828"/>
      <c r="C61" s="64">
        <v>11.7</v>
      </c>
      <c r="D61" s="64">
        <v>13.8</v>
      </c>
      <c r="E61" s="64"/>
      <c r="F61" s="64"/>
      <c r="G61" s="64">
        <f t="shared" si="3"/>
        <v>161.46</v>
      </c>
    </row>
    <row r="62" spans="1:7" ht="14.25" hidden="1" customHeight="1">
      <c r="A62" s="1845" t="s">
        <v>591</v>
      </c>
      <c r="B62" s="1828"/>
      <c r="C62" s="64">
        <v>23.4</v>
      </c>
      <c r="D62" s="64">
        <v>9.0500000000000007</v>
      </c>
      <c r="E62" s="64"/>
      <c r="F62" s="64"/>
      <c r="G62" s="64">
        <f t="shared" si="3"/>
        <v>211.77</v>
      </c>
    </row>
    <row r="63" spans="1:7" ht="14.25" hidden="1" customHeight="1">
      <c r="A63" s="1829" t="s">
        <v>227</v>
      </c>
      <c r="B63" s="1830"/>
      <c r="C63" s="1830"/>
      <c r="D63" s="1830"/>
      <c r="E63" s="1830"/>
      <c r="F63" s="1828"/>
      <c r="G63" s="65">
        <f>ROUND(SUM(G56:G62),2)</f>
        <v>2476.89</v>
      </c>
    </row>
    <row r="64" spans="1:7" ht="14.25" hidden="1" customHeight="1">
      <c r="A64" s="1837"/>
      <c r="B64" s="1838"/>
      <c r="C64" s="1838"/>
      <c r="D64" s="1838"/>
      <c r="E64" s="1838"/>
      <c r="F64" s="1838"/>
      <c r="G64" s="1839"/>
    </row>
    <row r="65" spans="1:7" ht="14.25" hidden="1" customHeight="1">
      <c r="A65" s="66" t="str">
        <f>+$A$7</f>
        <v>CAPITULO 1:</v>
      </c>
      <c r="B65" s="1832" t="str">
        <f>+$B$7</f>
        <v>ACTIVIDADES PRELIMINARES</v>
      </c>
      <c r="C65" s="1830"/>
      <c r="D65" s="1828"/>
      <c r="E65" s="1833" t="s">
        <v>218</v>
      </c>
      <c r="F65" s="1828"/>
      <c r="G65" s="62" t="s">
        <v>228</v>
      </c>
    </row>
    <row r="66" spans="1:7" ht="23.25" hidden="1" customHeight="1">
      <c r="A66" s="66" t="s">
        <v>592</v>
      </c>
      <c r="B66" s="1840" t="s">
        <v>593</v>
      </c>
      <c r="C66" s="1830"/>
      <c r="D66" s="1830"/>
      <c r="E66" s="1830"/>
      <c r="F66" s="1830"/>
      <c r="G66" s="1828"/>
    </row>
    <row r="67" spans="1:7" ht="14.25" hidden="1" customHeight="1">
      <c r="A67" s="1836" t="s">
        <v>220</v>
      </c>
      <c r="B67" s="1830"/>
      <c r="C67" s="1830"/>
      <c r="D67" s="1830"/>
      <c r="E67" s="1830"/>
      <c r="F67" s="1830"/>
      <c r="G67" s="1828"/>
    </row>
    <row r="68" spans="1:7" ht="14.25" hidden="1" customHeight="1">
      <c r="A68" s="1829" t="s">
        <v>221</v>
      </c>
      <c r="B68" s="1828"/>
      <c r="C68" s="63" t="s">
        <v>222</v>
      </c>
      <c r="D68" s="63" t="s">
        <v>223</v>
      </c>
      <c r="E68" s="63" t="s">
        <v>224</v>
      </c>
      <c r="F68" s="63" t="s">
        <v>225</v>
      </c>
      <c r="G68" s="63" t="s">
        <v>226</v>
      </c>
    </row>
    <row r="69" spans="1:7" ht="14.25" hidden="1" customHeight="1">
      <c r="A69" s="1847" t="s">
        <v>573</v>
      </c>
      <c r="B69" s="1828"/>
      <c r="C69" s="64"/>
      <c r="D69" s="64"/>
      <c r="E69" s="64"/>
      <c r="F69" s="64"/>
      <c r="G69" s="64"/>
    </row>
    <row r="70" spans="1:7" ht="14.25" hidden="1" customHeight="1">
      <c r="A70" s="1845" t="s">
        <v>587</v>
      </c>
      <c r="B70" s="1828"/>
      <c r="C70" s="64">
        <v>41.34</v>
      </c>
      <c r="D70" s="64">
        <v>39.979999999999997</v>
      </c>
      <c r="E70" s="64"/>
      <c r="F70" s="64"/>
      <c r="G70" s="64">
        <f>+D70*C70</f>
        <v>1652.7732000000001</v>
      </c>
    </row>
    <row r="71" spans="1:7" ht="5.25" hidden="1" customHeight="1">
      <c r="A71" s="1845"/>
      <c r="B71" s="1828"/>
      <c r="C71" s="64"/>
      <c r="D71" s="64"/>
      <c r="E71" s="64"/>
      <c r="F71" s="64"/>
      <c r="G71" s="64"/>
    </row>
    <row r="72" spans="1:7" ht="14.25" hidden="1" customHeight="1">
      <c r="A72" s="1847" t="s">
        <v>577</v>
      </c>
      <c r="B72" s="1828"/>
      <c r="C72" s="64"/>
      <c r="D72" s="64"/>
      <c r="E72" s="64"/>
      <c r="F72" s="64"/>
      <c r="G72" s="64"/>
    </row>
    <row r="73" spans="1:7" ht="14.25" hidden="1" customHeight="1">
      <c r="A73" s="1845" t="s">
        <v>588</v>
      </c>
      <c r="B73" s="1828"/>
      <c r="C73" s="64">
        <v>16.149999999999999</v>
      </c>
      <c r="D73" s="64">
        <v>5.4</v>
      </c>
      <c r="E73" s="64"/>
      <c r="F73" s="64"/>
      <c r="G73" s="64">
        <f t="shared" ref="G73:G75" si="4">+D73*C73</f>
        <v>87.21</v>
      </c>
    </row>
    <row r="74" spans="1:7" ht="14.25" hidden="1" customHeight="1">
      <c r="A74" s="1845" t="s">
        <v>589</v>
      </c>
      <c r="B74" s="1828"/>
      <c r="C74" s="64">
        <f>20.21+25.25</f>
        <v>45.46</v>
      </c>
      <c r="D74" s="64">
        <v>8</v>
      </c>
      <c r="E74" s="64"/>
      <c r="F74" s="64"/>
      <c r="G74" s="64">
        <f t="shared" si="4"/>
        <v>363.68</v>
      </c>
    </row>
    <row r="75" spans="1:7" ht="14.25" hidden="1" customHeight="1">
      <c r="A75" s="1845" t="s">
        <v>590</v>
      </c>
      <c r="B75" s="1828"/>
      <c r="C75" s="64">
        <v>11.7</v>
      </c>
      <c r="D75" s="64">
        <v>13.8</v>
      </c>
      <c r="E75" s="64"/>
      <c r="F75" s="64"/>
      <c r="G75" s="64">
        <f t="shared" si="4"/>
        <v>161.46</v>
      </c>
    </row>
    <row r="76" spans="1:7" ht="14.25" hidden="1" customHeight="1">
      <c r="A76" s="1845" t="s">
        <v>591</v>
      </c>
      <c r="B76" s="1828"/>
      <c r="C76" s="64">
        <v>23.4</v>
      </c>
      <c r="D76" s="64">
        <v>9.0500000000000007</v>
      </c>
      <c r="E76" s="64">
        <f>-8.95*6.4</f>
        <v>-57.28</v>
      </c>
      <c r="F76" s="64"/>
      <c r="G76" s="64">
        <f>+D76*C76+E76</f>
        <v>154.49</v>
      </c>
    </row>
    <row r="77" spans="1:7" ht="14.25" hidden="1" customHeight="1">
      <c r="A77" s="1829" t="s">
        <v>227</v>
      </c>
      <c r="B77" s="1830"/>
      <c r="C77" s="1830"/>
      <c r="D77" s="1830"/>
      <c r="E77" s="1830"/>
      <c r="F77" s="1828"/>
      <c r="G77" s="65">
        <f>ROUND(SUM(G70:G76),2)</f>
        <v>2419.61</v>
      </c>
    </row>
    <row r="78" spans="1:7" ht="14.25" hidden="1" customHeight="1">
      <c r="A78" s="1837"/>
      <c r="B78" s="1838"/>
      <c r="C78" s="1838"/>
      <c r="D78" s="1838"/>
      <c r="E78" s="1838"/>
      <c r="F78" s="1838"/>
      <c r="G78" s="1839"/>
    </row>
    <row r="79" spans="1:7" ht="14.25" hidden="1" customHeight="1">
      <c r="A79" s="66" t="str">
        <f>+$A$7</f>
        <v>CAPITULO 1:</v>
      </c>
      <c r="B79" s="1832" t="str">
        <f>+$B$7</f>
        <v>ACTIVIDADES PRELIMINARES</v>
      </c>
      <c r="C79" s="1830"/>
      <c r="D79" s="1828"/>
      <c r="E79" s="1833" t="s">
        <v>218</v>
      </c>
      <c r="F79" s="1828"/>
      <c r="G79" s="62" t="s">
        <v>127</v>
      </c>
    </row>
    <row r="80" spans="1:7" ht="23.25" hidden="1" customHeight="1">
      <c r="A80" s="66" t="s">
        <v>594</v>
      </c>
      <c r="B80" s="1840" t="s">
        <v>595</v>
      </c>
      <c r="C80" s="1830"/>
      <c r="D80" s="1830"/>
      <c r="E80" s="1830"/>
      <c r="F80" s="1830"/>
      <c r="G80" s="1828"/>
    </row>
    <row r="81" spans="1:10" ht="14.25" hidden="1" customHeight="1">
      <c r="A81" s="1836" t="s">
        <v>220</v>
      </c>
      <c r="B81" s="1830"/>
      <c r="C81" s="1830"/>
      <c r="D81" s="1830"/>
      <c r="E81" s="1830"/>
      <c r="F81" s="1830"/>
      <c r="G81" s="1828"/>
      <c r="H81" s="59"/>
      <c r="I81" s="60"/>
      <c r="J81" s="60"/>
    </row>
    <row r="82" spans="1:10" ht="14.25" hidden="1" customHeight="1">
      <c r="A82" s="1829" t="s">
        <v>221</v>
      </c>
      <c r="B82" s="1828"/>
      <c r="C82" s="63" t="s">
        <v>222</v>
      </c>
      <c r="D82" s="63" t="s">
        <v>223</v>
      </c>
      <c r="E82" s="63" t="s">
        <v>224</v>
      </c>
      <c r="F82" s="63" t="s">
        <v>225</v>
      </c>
      <c r="G82" s="63" t="s">
        <v>226</v>
      </c>
      <c r="H82" s="59"/>
      <c r="I82" s="60"/>
      <c r="J82" s="60">
        <f>4.83+4.01</f>
        <v>8.84</v>
      </c>
    </row>
    <row r="83" spans="1:10" ht="14.25" hidden="1" customHeight="1">
      <c r="A83" s="1847" t="s">
        <v>573</v>
      </c>
      <c r="B83" s="1828"/>
      <c r="C83" s="64"/>
      <c r="D83" s="64"/>
      <c r="E83" s="64"/>
      <c r="F83" s="64"/>
      <c r="G83" s="64"/>
      <c r="H83" s="59"/>
      <c r="I83" s="60"/>
      <c r="J83" s="60"/>
    </row>
    <row r="84" spans="1:10" ht="14.25" hidden="1" customHeight="1">
      <c r="A84" s="1845" t="s">
        <v>587</v>
      </c>
      <c r="B84" s="1828"/>
      <c r="C84" s="64"/>
      <c r="D84" s="64"/>
      <c r="E84" s="64"/>
      <c r="F84" s="64">
        <v>14</v>
      </c>
      <c r="G84" s="64">
        <f>+F84</f>
        <v>14</v>
      </c>
      <c r="H84" s="59"/>
      <c r="I84" s="60"/>
      <c r="J84" s="60"/>
    </row>
    <row r="85" spans="1:10" ht="5.25" hidden="1" customHeight="1">
      <c r="A85" s="1845"/>
      <c r="B85" s="1828"/>
      <c r="C85" s="64"/>
      <c r="D85" s="64"/>
      <c r="E85" s="64"/>
      <c r="F85" s="64"/>
      <c r="G85" s="64"/>
      <c r="H85" s="59"/>
      <c r="I85" s="60"/>
      <c r="J85" s="60"/>
    </row>
    <row r="86" spans="1:10" ht="14.25" hidden="1" customHeight="1">
      <c r="A86" s="1847" t="s">
        <v>577</v>
      </c>
      <c r="B86" s="1828"/>
      <c r="C86" s="64"/>
      <c r="D86" s="64"/>
      <c r="E86" s="64"/>
      <c r="F86" s="64"/>
      <c r="G86" s="64"/>
      <c r="H86" s="59"/>
      <c r="I86" s="60"/>
      <c r="J86" s="60"/>
    </row>
    <row r="87" spans="1:10" ht="14.25" hidden="1" customHeight="1">
      <c r="A87" s="1845" t="s">
        <v>587</v>
      </c>
      <c r="B87" s="1828"/>
      <c r="C87" s="64"/>
      <c r="D87" s="64"/>
      <c r="E87" s="64"/>
      <c r="F87" s="64">
        <v>54</v>
      </c>
      <c r="G87" s="64">
        <f>+F87</f>
        <v>54</v>
      </c>
      <c r="H87" s="59"/>
      <c r="I87" s="60"/>
      <c r="J87" s="60"/>
    </row>
    <row r="88" spans="1:10" ht="14.25" hidden="1" customHeight="1">
      <c r="A88" s="1845"/>
      <c r="B88" s="1828"/>
      <c r="C88" s="64"/>
      <c r="D88" s="64"/>
      <c r="E88" s="64"/>
      <c r="F88" s="64"/>
      <c r="G88" s="64"/>
      <c r="H88" s="59"/>
      <c r="I88" s="60"/>
      <c r="J88" s="60"/>
    </row>
    <row r="89" spans="1:10" ht="14.25" hidden="1" customHeight="1">
      <c r="A89" s="1829" t="s">
        <v>227</v>
      </c>
      <c r="B89" s="1830"/>
      <c r="C89" s="1830"/>
      <c r="D89" s="1830"/>
      <c r="E89" s="1830"/>
      <c r="F89" s="1828"/>
      <c r="G89" s="65">
        <f>ROUND(SUM(G83:G88),2)</f>
        <v>68</v>
      </c>
      <c r="H89" s="59"/>
      <c r="I89" s="60"/>
      <c r="J89" s="60"/>
    </row>
    <row r="90" spans="1:10" ht="14.25" hidden="1" customHeight="1">
      <c r="A90" s="1837"/>
      <c r="B90" s="1838"/>
      <c r="C90" s="1838"/>
      <c r="D90" s="1838"/>
      <c r="E90" s="1838"/>
      <c r="F90" s="1838"/>
      <c r="G90" s="1839"/>
      <c r="H90" s="59"/>
      <c r="I90" s="60"/>
      <c r="J90" s="60"/>
    </row>
    <row r="91" spans="1:10" ht="14.25" hidden="1" customHeight="1">
      <c r="A91" s="66" t="str">
        <f>+$A$7</f>
        <v>CAPITULO 1:</v>
      </c>
      <c r="B91" s="1832" t="str">
        <f>+$B$7</f>
        <v>ACTIVIDADES PRELIMINARES</v>
      </c>
      <c r="C91" s="1830"/>
      <c r="D91" s="1828"/>
      <c r="E91" s="1833" t="s">
        <v>218</v>
      </c>
      <c r="F91" s="1828"/>
      <c r="G91" s="62" t="s">
        <v>127</v>
      </c>
      <c r="H91" s="59"/>
      <c r="I91" s="60"/>
      <c r="J91" s="60"/>
    </row>
    <row r="92" spans="1:10" ht="23.25" hidden="1" customHeight="1">
      <c r="A92" s="66" t="s">
        <v>596</v>
      </c>
      <c r="B92" s="1840" t="s">
        <v>597</v>
      </c>
      <c r="C92" s="1830"/>
      <c r="D92" s="1830"/>
      <c r="E92" s="1830"/>
      <c r="F92" s="1830"/>
      <c r="G92" s="1828"/>
      <c r="H92" s="59"/>
      <c r="I92" s="60"/>
      <c r="J92" s="60"/>
    </row>
    <row r="93" spans="1:10" ht="14.25" hidden="1" customHeight="1">
      <c r="A93" s="1836" t="s">
        <v>220</v>
      </c>
      <c r="B93" s="1830"/>
      <c r="C93" s="1830"/>
      <c r="D93" s="1830"/>
      <c r="E93" s="1830"/>
      <c r="F93" s="1830"/>
      <c r="G93" s="1828"/>
      <c r="H93" s="59"/>
      <c r="I93" s="60"/>
      <c r="J93" s="60"/>
    </row>
    <row r="94" spans="1:10" ht="14.25" hidden="1" customHeight="1">
      <c r="A94" s="1829" t="s">
        <v>221</v>
      </c>
      <c r="B94" s="1828"/>
      <c r="C94" s="63" t="s">
        <v>222</v>
      </c>
      <c r="D94" s="63" t="s">
        <v>223</v>
      </c>
      <c r="E94" s="63" t="s">
        <v>224</v>
      </c>
      <c r="F94" s="63" t="s">
        <v>225</v>
      </c>
      <c r="G94" s="63" t="s">
        <v>226</v>
      </c>
      <c r="H94" s="59"/>
      <c r="I94" s="60"/>
      <c r="J94" s="60"/>
    </row>
    <row r="95" spans="1:10" ht="14.25" hidden="1" customHeight="1">
      <c r="A95" s="1845" t="s">
        <v>598</v>
      </c>
      <c r="B95" s="1828"/>
      <c r="C95" s="64"/>
      <c r="D95" s="64"/>
      <c r="E95" s="64"/>
      <c r="F95" s="64">
        <v>7</v>
      </c>
      <c r="G95" s="64">
        <f t="shared" ref="G95:G97" si="5">+F95</f>
        <v>7</v>
      </c>
      <c r="H95" s="59"/>
      <c r="I95" s="60"/>
      <c r="J95" s="60"/>
    </row>
    <row r="96" spans="1:10" ht="14.25" hidden="1" customHeight="1">
      <c r="A96" s="1845" t="s">
        <v>599</v>
      </c>
      <c r="B96" s="1828"/>
      <c r="C96" s="64"/>
      <c r="D96" s="64"/>
      <c r="E96" s="64"/>
      <c r="F96" s="64">
        <f>7+10</f>
        <v>17</v>
      </c>
      <c r="G96" s="64">
        <f t="shared" si="5"/>
        <v>17</v>
      </c>
      <c r="H96" s="59"/>
      <c r="I96" s="60"/>
      <c r="J96" s="60"/>
    </row>
    <row r="97" spans="1:10" ht="14.25" hidden="1" customHeight="1">
      <c r="A97" s="1845" t="s">
        <v>600</v>
      </c>
      <c r="B97" s="1828"/>
      <c r="C97" s="64"/>
      <c r="D97" s="64"/>
      <c r="E97" s="64"/>
      <c r="F97" s="64">
        <v>20</v>
      </c>
      <c r="G97" s="64">
        <f t="shared" si="5"/>
        <v>20</v>
      </c>
      <c r="H97" s="59"/>
      <c r="I97" s="60"/>
      <c r="J97" s="60"/>
    </row>
    <row r="98" spans="1:10" ht="14.25" hidden="1" customHeight="1">
      <c r="A98" s="1829" t="s">
        <v>227</v>
      </c>
      <c r="B98" s="1830"/>
      <c r="C98" s="1830"/>
      <c r="D98" s="1830"/>
      <c r="E98" s="1830"/>
      <c r="F98" s="1828"/>
      <c r="G98" s="65">
        <f>ROUND(SUM(G95:G97),2)</f>
        <v>44</v>
      </c>
      <c r="H98" s="59"/>
      <c r="I98" s="60"/>
      <c r="J98" s="60"/>
    </row>
    <row r="99" spans="1:10" ht="14.25" hidden="1" customHeight="1">
      <c r="A99" s="1837"/>
      <c r="B99" s="1838"/>
      <c r="C99" s="1838"/>
      <c r="D99" s="1838"/>
      <c r="E99" s="1838"/>
      <c r="F99" s="1838"/>
      <c r="G99" s="1839"/>
      <c r="H99" s="59"/>
      <c r="I99" s="60"/>
      <c r="J99" s="60"/>
    </row>
    <row r="100" spans="1:10" ht="19.5" customHeight="1">
      <c r="A100" s="66" t="str">
        <f t="shared" ref="A100:B100" si="6">+A7</f>
        <v>CAPITULO 1:</v>
      </c>
      <c r="B100" s="1832" t="str">
        <f t="shared" si="6"/>
        <v>ACTIVIDADES PRELIMINARES</v>
      </c>
      <c r="C100" s="1830"/>
      <c r="D100" s="1828"/>
      <c r="E100" s="1833" t="s">
        <v>218</v>
      </c>
      <c r="F100" s="1828"/>
      <c r="G100" s="62" t="s">
        <v>116</v>
      </c>
      <c r="H100" s="59"/>
      <c r="I100" s="60"/>
      <c r="J100" s="60"/>
    </row>
    <row r="101" spans="1:10" ht="32.25" customHeight="1">
      <c r="A101" s="66" t="s">
        <v>601</v>
      </c>
      <c r="B101" s="1832" t="s">
        <v>602</v>
      </c>
      <c r="C101" s="1830"/>
      <c r="D101" s="1830"/>
      <c r="E101" s="1830"/>
      <c r="F101" s="1830"/>
      <c r="G101" s="1828"/>
      <c r="H101" s="59"/>
      <c r="I101" s="60"/>
      <c r="J101" s="60"/>
    </row>
    <row r="102" spans="1:10" ht="14.25" customHeight="1">
      <c r="A102" s="1836" t="s">
        <v>220</v>
      </c>
      <c r="B102" s="1830"/>
      <c r="C102" s="1830"/>
      <c r="D102" s="1830"/>
      <c r="E102" s="1830"/>
      <c r="F102" s="1830"/>
      <c r="G102" s="1828"/>
      <c r="H102" s="59"/>
      <c r="I102" s="60"/>
      <c r="J102" s="60"/>
    </row>
    <row r="103" spans="1:10" ht="14.25" customHeight="1">
      <c r="A103" s="1829" t="s">
        <v>221</v>
      </c>
      <c r="B103" s="1828"/>
      <c r="C103" s="63" t="s">
        <v>222</v>
      </c>
      <c r="D103" s="63" t="s">
        <v>223</v>
      </c>
      <c r="E103" s="63" t="s">
        <v>224</v>
      </c>
      <c r="F103" s="63" t="s">
        <v>225</v>
      </c>
      <c r="G103" s="63" t="s">
        <v>226</v>
      </c>
      <c r="H103" s="59"/>
      <c r="I103" s="60"/>
      <c r="J103" s="60"/>
    </row>
    <row r="104" spans="1:10" ht="14.25" customHeight="1">
      <c r="A104" s="1847" t="s">
        <v>944</v>
      </c>
      <c r="B104" s="1828"/>
      <c r="C104" s="64"/>
      <c r="D104" s="64"/>
      <c r="E104" s="64"/>
      <c r="F104" s="64"/>
      <c r="G104" s="64"/>
      <c r="H104" s="59"/>
      <c r="I104" s="60"/>
      <c r="J104" s="60"/>
    </row>
    <row r="105" spans="1:10" ht="14.25" customHeight="1">
      <c r="A105" s="1845" t="s">
        <v>945</v>
      </c>
      <c r="B105" s="1828"/>
      <c r="C105" s="64">
        <v>3.1415999999999999</v>
      </c>
      <c r="D105" s="64">
        <f>0.35*0.35</f>
        <v>0.12249999999999998</v>
      </c>
      <c r="E105" s="64">
        <v>2</v>
      </c>
      <c r="F105" s="64">
        <v>60</v>
      </c>
      <c r="G105" s="64">
        <f t="shared" ref="G105:G107" si="7">+C105*D105*E105*F105</f>
        <v>46.181519999999999</v>
      </c>
      <c r="H105" s="59"/>
      <c r="I105" s="60"/>
      <c r="J105" s="60"/>
    </row>
    <row r="106" spans="1:10" ht="14.25" customHeight="1">
      <c r="A106" s="1845" t="s">
        <v>946</v>
      </c>
      <c r="B106" s="1828"/>
      <c r="C106" s="64">
        <v>1.7</v>
      </c>
      <c r="D106" s="64">
        <v>1.7</v>
      </c>
      <c r="E106" s="64">
        <v>2</v>
      </c>
      <c r="F106" s="64">
        <v>6</v>
      </c>
      <c r="G106" s="64">
        <f t="shared" si="7"/>
        <v>34.679999999999993</v>
      </c>
      <c r="H106" s="59"/>
      <c r="I106" s="60"/>
      <c r="J106" s="60">
        <f>0.4*0.6</f>
        <v>0.24</v>
      </c>
    </row>
    <row r="107" spans="1:10" ht="14.25" customHeight="1">
      <c r="A107" s="1845" t="s">
        <v>947</v>
      </c>
      <c r="B107" s="1828"/>
      <c r="C107" s="64">
        <v>1.7</v>
      </c>
      <c r="D107" s="64">
        <v>2.75</v>
      </c>
      <c r="E107" s="64">
        <v>2</v>
      </c>
      <c r="F107" s="64">
        <v>6</v>
      </c>
      <c r="G107" s="64">
        <f t="shared" si="7"/>
        <v>56.099999999999994</v>
      </c>
      <c r="H107" s="59"/>
      <c r="I107" s="60"/>
      <c r="J107" s="60" t="e">
        <f>+#REF!/J106</f>
        <v>#REF!</v>
      </c>
    </row>
    <row r="108" spans="1:10" ht="14.25" customHeight="1">
      <c r="A108" s="1845"/>
      <c r="B108" s="1828"/>
      <c r="C108" s="64"/>
      <c r="D108" s="64"/>
      <c r="E108" s="64"/>
      <c r="F108" s="64"/>
      <c r="G108" s="64"/>
      <c r="H108" s="59"/>
      <c r="I108" s="60"/>
      <c r="J108" s="60"/>
    </row>
    <row r="109" spans="1:10" ht="14.25" customHeight="1">
      <c r="A109" s="1829" t="s">
        <v>227</v>
      </c>
      <c r="B109" s="1830"/>
      <c r="C109" s="1830"/>
      <c r="D109" s="1830"/>
      <c r="E109" s="1830"/>
      <c r="F109" s="1828"/>
      <c r="G109" s="65">
        <f>ROUND(SUM(G104:G108),2)</f>
        <v>136.96</v>
      </c>
      <c r="H109" s="59"/>
      <c r="I109" s="60"/>
      <c r="J109" s="60"/>
    </row>
    <row r="110" spans="1:10" ht="14.25" customHeight="1">
      <c r="A110" s="1837"/>
      <c r="B110" s="1838"/>
      <c r="C110" s="1838"/>
      <c r="D110" s="1838"/>
      <c r="E110" s="1838"/>
      <c r="F110" s="1838"/>
      <c r="G110" s="1839"/>
      <c r="H110" s="59"/>
      <c r="I110" s="60"/>
      <c r="J110" s="60"/>
    </row>
    <row r="111" spans="1:10" ht="14.25" hidden="1" customHeight="1">
      <c r="A111" s="66" t="str">
        <f t="shared" ref="A111:B111" si="8">+A100</f>
        <v>CAPITULO 1:</v>
      </c>
      <c r="B111" s="1832" t="str">
        <f t="shared" si="8"/>
        <v>ACTIVIDADES PRELIMINARES</v>
      </c>
      <c r="C111" s="1830"/>
      <c r="D111" s="1828"/>
      <c r="E111" s="1833" t="s">
        <v>218</v>
      </c>
      <c r="F111" s="1828"/>
      <c r="G111" s="62" t="s">
        <v>116</v>
      </c>
      <c r="H111" s="59"/>
      <c r="I111" s="60"/>
      <c r="J111" s="60"/>
    </row>
    <row r="112" spans="1:10" ht="14.25" hidden="1" customHeight="1">
      <c r="A112" s="66" t="s">
        <v>612</v>
      </c>
      <c r="B112" s="1840" t="s">
        <v>613</v>
      </c>
      <c r="C112" s="1830"/>
      <c r="D112" s="1830"/>
      <c r="E112" s="1830"/>
      <c r="F112" s="1830"/>
      <c r="G112" s="1828"/>
      <c r="H112" s="59"/>
      <c r="I112" s="60"/>
      <c r="J112" s="60"/>
    </row>
    <row r="113" spans="1:7" ht="14.25" hidden="1" customHeight="1">
      <c r="A113" s="1836" t="s">
        <v>220</v>
      </c>
      <c r="B113" s="1830"/>
      <c r="C113" s="1830"/>
      <c r="D113" s="1830"/>
      <c r="E113" s="1830"/>
      <c r="F113" s="1830"/>
      <c r="G113" s="1828"/>
    </row>
    <row r="114" spans="1:7" ht="14.25" hidden="1" customHeight="1">
      <c r="A114" s="1829" t="s">
        <v>221</v>
      </c>
      <c r="B114" s="1828"/>
      <c r="C114" s="63" t="s">
        <v>222</v>
      </c>
      <c r="D114" s="63" t="s">
        <v>223</v>
      </c>
      <c r="E114" s="63" t="s">
        <v>224</v>
      </c>
      <c r="F114" s="63" t="s">
        <v>225</v>
      </c>
      <c r="G114" s="63" t="s">
        <v>235</v>
      </c>
    </row>
    <row r="115" spans="1:7" ht="14.25" hidden="1" customHeight="1">
      <c r="A115" s="1845" t="s">
        <v>614</v>
      </c>
      <c r="B115" s="1828"/>
      <c r="C115" s="64">
        <v>6108.38</v>
      </c>
      <c r="D115" s="64"/>
      <c r="E115" s="64">
        <v>0.65</v>
      </c>
      <c r="F115" s="64">
        <v>1</v>
      </c>
      <c r="G115" s="64">
        <f t="shared" ref="G115:G117" si="9">+F115*E115*C115</f>
        <v>3970.4470000000001</v>
      </c>
    </row>
    <row r="116" spans="1:7" ht="14.25" hidden="1" customHeight="1">
      <c r="A116" s="1845" t="s">
        <v>615</v>
      </c>
      <c r="B116" s="1828"/>
      <c r="C116" s="64">
        <v>795.54</v>
      </c>
      <c r="D116" s="64"/>
      <c r="E116" s="64">
        <v>0.45</v>
      </c>
      <c r="F116" s="64">
        <v>1</v>
      </c>
      <c r="G116" s="64">
        <f t="shared" si="9"/>
        <v>357.99299999999999</v>
      </c>
    </row>
    <row r="117" spans="1:7" ht="14.25" hidden="1" customHeight="1">
      <c r="A117" s="1845" t="s">
        <v>616</v>
      </c>
      <c r="B117" s="1828"/>
      <c r="C117" s="64"/>
      <c r="D117" s="64"/>
      <c r="E117" s="64">
        <v>0.3</v>
      </c>
      <c r="F117" s="64">
        <v>1</v>
      </c>
      <c r="G117" s="64">
        <f t="shared" si="9"/>
        <v>0</v>
      </c>
    </row>
    <row r="118" spans="1:7" ht="14.25" hidden="1" customHeight="1">
      <c r="A118" s="1845"/>
      <c r="B118" s="1828"/>
      <c r="C118" s="64"/>
      <c r="D118" s="64"/>
      <c r="E118" s="64"/>
      <c r="F118" s="64"/>
      <c r="G118" s="64"/>
    </row>
    <row r="119" spans="1:7" ht="14.25" hidden="1" customHeight="1">
      <c r="A119" s="1845"/>
      <c r="B119" s="1828"/>
      <c r="C119" s="64"/>
      <c r="D119" s="64"/>
      <c r="E119" s="64"/>
      <c r="F119" s="64"/>
      <c r="G119" s="64"/>
    </row>
    <row r="120" spans="1:7" ht="14.25" hidden="1" customHeight="1">
      <c r="A120" s="1829" t="s">
        <v>227</v>
      </c>
      <c r="B120" s="1830"/>
      <c r="C120" s="1830"/>
      <c r="D120" s="1830"/>
      <c r="E120" s="1830"/>
      <c r="F120" s="1828"/>
      <c r="G120" s="65">
        <f>SUM(G115:G119)</f>
        <v>4328.4400000000005</v>
      </c>
    </row>
    <row r="121" spans="1:7" ht="14.25" hidden="1" customHeight="1">
      <c r="A121" s="1837"/>
      <c r="B121" s="1838"/>
      <c r="C121" s="1838"/>
      <c r="D121" s="1838"/>
      <c r="E121" s="1838"/>
      <c r="F121" s="1838"/>
      <c r="G121" s="1839"/>
    </row>
    <row r="122" spans="1:7" ht="14.25" hidden="1" customHeight="1">
      <c r="A122" s="66" t="s">
        <v>232</v>
      </c>
      <c r="B122" s="1832" t="s">
        <v>35</v>
      </c>
      <c r="C122" s="1830"/>
      <c r="D122" s="1828"/>
      <c r="E122" s="1833" t="s">
        <v>218</v>
      </c>
      <c r="F122" s="1828"/>
      <c r="G122" s="62" t="s">
        <v>228</v>
      </c>
    </row>
    <row r="123" spans="1:7" ht="14.25" hidden="1" customHeight="1">
      <c r="A123" s="66" t="s">
        <v>233</v>
      </c>
      <c r="B123" s="1840" t="s">
        <v>948</v>
      </c>
      <c r="C123" s="1830"/>
      <c r="D123" s="1830"/>
      <c r="E123" s="1830"/>
      <c r="F123" s="1830"/>
      <c r="G123" s="1828"/>
    </row>
    <row r="124" spans="1:7" ht="14.25" hidden="1" customHeight="1">
      <c r="A124" s="1836" t="s">
        <v>220</v>
      </c>
      <c r="B124" s="1830"/>
      <c r="C124" s="1830"/>
      <c r="D124" s="1830"/>
      <c r="E124" s="1830"/>
      <c r="F124" s="1830"/>
      <c r="G124" s="1828"/>
    </row>
    <row r="125" spans="1:7" ht="14.25" hidden="1" customHeight="1">
      <c r="A125" s="1829" t="s">
        <v>221</v>
      </c>
      <c r="B125" s="1828"/>
      <c r="C125" s="63" t="s">
        <v>222</v>
      </c>
      <c r="D125" s="63" t="s">
        <v>223</v>
      </c>
      <c r="E125" s="63" t="s">
        <v>224</v>
      </c>
      <c r="F125" s="63" t="s">
        <v>225</v>
      </c>
      <c r="G125" s="63" t="s">
        <v>226</v>
      </c>
    </row>
    <row r="126" spans="1:7" ht="14.25" hidden="1" customHeight="1">
      <c r="A126" s="1847" t="s">
        <v>603</v>
      </c>
      <c r="B126" s="1828"/>
      <c r="C126" s="64"/>
      <c r="D126" s="64"/>
      <c r="E126" s="64"/>
      <c r="F126" s="64"/>
      <c r="G126" s="64"/>
    </row>
    <row r="127" spans="1:7" ht="14.25" hidden="1" customHeight="1">
      <c r="A127" s="1845" t="s">
        <v>604</v>
      </c>
      <c r="B127" s="1828"/>
      <c r="C127" s="64">
        <v>1.8</v>
      </c>
      <c r="D127" s="64">
        <v>1.8</v>
      </c>
      <c r="E127" s="64"/>
      <c r="F127" s="64">
        <v>6</v>
      </c>
      <c r="G127" s="64">
        <f t="shared" ref="G127:G131" si="10">+C127*D127*F127</f>
        <v>19.440000000000001</v>
      </c>
    </row>
    <row r="128" spans="1:7" ht="14.25" hidden="1" customHeight="1">
      <c r="A128" s="1845" t="s">
        <v>605</v>
      </c>
      <c r="B128" s="1828"/>
      <c r="C128" s="64">
        <v>1.9</v>
      </c>
      <c r="D128" s="64">
        <v>1.9</v>
      </c>
      <c r="E128" s="64"/>
      <c r="F128" s="64">
        <v>10</v>
      </c>
      <c r="G128" s="64">
        <f t="shared" si="10"/>
        <v>36.1</v>
      </c>
    </row>
    <row r="129" spans="1:7" ht="14.25" hidden="1" customHeight="1">
      <c r="A129" s="1845" t="s">
        <v>606</v>
      </c>
      <c r="B129" s="1828"/>
      <c r="C129" s="64">
        <v>3.9</v>
      </c>
      <c r="D129" s="64">
        <v>2</v>
      </c>
      <c r="E129" s="64"/>
      <c r="F129" s="64">
        <v>2</v>
      </c>
      <c r="G129" s="64">
        <f t="shared" si="10"/>
        <v>15.6</v>
      </c>
    </row>
    <row r="130" spans="1:7" ht="14.25" hidden="1" customHeight="1">
      <c r="A130" s="1845" t="s">
        <v>607</v>
      </c>
      <c r="B130" s="1828"/>
      <c r="C130" s="64">
        <v>2.15</v>
      </c>
      <c r="D130" s="64">
        <v>2.15</v>
      </c>
      <c r="E130" s="64"/>
      <c r="F130" s="64">
        <v>13</v>
      </c>
      <c r="G130" s="64">
        <f t="shared" si="10"/>
        <v>60.092499999999994</v>
      </c>
    </row>
    <row r="131" spans="1:7" ht="14.25" hidden="1" customHeight="1">
      <c r="A131" s="1845" t="s">
        <v>608</v>
      </c>
      <c r="B131" s="1828"/>
      <c r="C131" s="64">
        <v>3.1</v>
      </c>
      <c r="D131" s="64">
        <v>1.8</v>
      </c>
      <c r="E131" s="64"/>
      <c r="F131" s="64">
        <v>1</v>
      </c>
      <c r="G131" s="64">
        <f t="shared" si="10"/>
        <v>5.58</v>
      </c>
    </row>
    <row r="132" spans="1:7" ht="14.25" hidden="1" customHeight="1">
      <c r="A132" s="1847" t="s">
        <v>944</v>
      </c>
      <c r="B132" s="1828"/>
      <c r="C132" s="64"/>
      <c r="D132" s="64"/>
      <c r="E132" s="64"/>
      <c r="F132" s="64"/>
      <c r="G132" s="64"/>
    </row>
    <row r="133" spans="1:7" ht="14.25" hidden="1" customHeight="1">
      <c r="A133" s="1845" t="s">
        <v>949</v>
      </c>
      <c r="B133" s="1828"/>
      <c r="C133" s="64">
        <v>2</v>
      </c>
      <c r="D133" s="64">
        <v>2</v>
      </c>
      <c r="E133" s="64"/>
      <c r="F133" s="64">
        <v>35</v>
      </c>
      <c r="G133" s="64">
        <f>+C133*D133*F133</f>
        <v>140</v>
      </c>
    </row>
    <row r="134" spans="1:7" ht="14.25" hidden="1" customHeight="1">
      <c r="A134" s="1847" t="s">
        <v>950</v>
      </c>
      <c r="B134" s="1828"/>
      <c r="C134" s="64"/>
      <c r="D134" s="64"/>
      <c r="E134" s="64"/>
      <c r="F134" s="64"/>
      <c r="G134" s="64"/>
    </row>
    <row r="135" spans="1:7" ht="14.25" hidden="1" customHeight="1">
      <c r="A135" s="1845" t="s">
        <v>951</v>
      </c>
      <c r="B135" s="1828"/>
      <c r="C135" s="64">
        <v>2.9</v>
      </c>
      <c r="D135" s="64">
        <v>2.9</v>
      </c>
      <c r="E135" s="64"/>
      <c r="F135" s="64">
        <v>8</v>
      </c>
      <c r="G135" s="64">
        <f t="shared" ref="G135:G138" si="11">+C135*D135*F135</f>
        <v>67.28</v>
      </c>
    </row>
    <row r="136" spans="1:7" ht="14.25" hidden="1" customHeight="1">
      <c r="A136" s="1845" t="s">
        <v>952</v>
      </c>
      <c r="B136" s="1828"/>
      <c r="C136" s="64">
        <v>2.75</v>
      </c>
      <c r="D136" s="64">
        <v>2.75</v>
      </c>
      <c r="E136" s="64"/>
      <c r="F136" s="64">
        <v>4</v>
      </c>
      <c r="G136" s="64">
        <f t="shared" si="11"/>
        <v>30.25</v>
      </c>
    </row>
    <row r="137" spans="1:7" ht="14.25" hidden="1" customHeight="1">
      <c r="A137" s="1845" t="s">
        <v>953</v>
      </c>
      <c r="B137" s="1828"/>
      <c r="C137" s="64">
        <v>2.5499999999999998</v>
      </c>
      <c r="D137" s="64">
        <v>2.5499999999999998</v>
      </c>
      <c r="E137" s="64"/>
      <c r="F137" s="64">
        <v>7</v>
      </c>
      <c r="G137" s="64">
        <f t="shared" si="11"/>
        <v>45.517499999999998</v>
      </c>
    </row>
    <row r="138" spans="1:7" ht="14.25" hidden="1" customHeight="1">
      <c r="A138" s="1845" t="s">
        <v>954</v>
      </c>
      <c r="B138" s="1828"/>
      <c r="C138" s="64">
        <v>2.4</v>
      </c>
      <c r="D138" s="64">
        <v>2.4</v>
      </c>
      <c r="E138" s="64"/>
      <c r="F138" s="64">
        <v>16</v>
      </c>
      <c r="G138" s="64">
        <f t="shared" si="11"/>
        <v>92.16</v>
      </c>
    </row>
    <row r="139" spans="1:7" ht="14.25" hidden="1" customHeight="1">
      <c r="A139" s="1845"/>
      <c r="B139" s="1828"/>
      <c r="C139" s="64"/>
      <c r="D139" s="64"/>
      <c r="E139" s="64"/>
      <c r="F139" s="64"/>
      <c r="G139" s="64"/>
    </row>
    <row r="140" spans="1:7" ht="15" hidden="1" customHeight="1">
      <c r="A140" s="1845"/>
      <c r="B140" s="1828"/>
      <c r="C140" s="64"/>
      <c r="D140" s="64"/>
      <c r="E140" s="64"/>
      <c r="F140" s="64"/>
      <c r="G140" s="64"/>
    </row>
    <row r="141" spans="1:7" ht="15" hidden="1" customHeight="1">
      <c r="A141" s="1845"/>
      <c r="B141" s="1828"/>
      <c r="C141" s="64"/>
      <c r="D141" s="64"/>
      <c r="E141" s="64"/>
      <c r="F141" s="64"/>
      <c r="G141" s="64"/>
    </row>
    <row r="142" spans="1:7" ht="14.25" hidden="1" customHeight="1">
      <c r="A142" s="1829" t="s">
        <v>227</v>
      </c>
      <c r="B142" s="1830"/>
      <c r="C142" s="1830"/>
      <c r="D142" s="1830"/>
      <c r="E142" s="1830"/>
      <c r="F142" s="1828"/>
      <c r="G142" s="65"/>
    </row>
    <row r="143" spans="1:7" ht="14.25" hidden="1" customHeight="1">
      <c r="A143" s="1837"/>
      <c r="B143" s="1838"/>
      <c r="C143" s="1838"/>
      <c r="D143" s="1838"/>
      <c r="E143" s="1838"/>
      <c r="F143" s="1838"/>
      <c r="G143" s="1839"/>
    </row>
    <row r="144" spans="1:7" ht="14.25" hidden="1" customHeight="1">
      <c r="A144" s="66" t="str">
        <f t="shared" ref="A144:B144" si="12">+A122</f>
        <v>CAPITULO 2:</v>
      </c>
      <c r="B144" s="1832" t="str">
        <f t="shared" si="12"/>
        <v>CONCRETOS</v>
      </c>
      <c r="C144" s="1830"/>
      <c r="D144" s="1828"/>
      <c r="E144" s="1833" t="s">
        <v>218</v>
      </c>
      <c r="F144" s="1828"/>
      <c r="G144" s="62" t="s">
        <v>116</v>
      </c>
    </row>
    <row r="145" spans="1:7" ht="34.5" hidden="1" customHeight="1">
      <c r="A145" s="66" t="s">
        <v>234</v>
      </c>
      <c r="B145" s="1840" t="s">
        <v>389</v>
      </c>
      <c r="C145" s="1830"/>
      <c r="D145" s="1830"/>
      <c r="E145" s="1830"/>
      <c r="F145" s="1830"/>
      <c r="G145" s="1828"/>
    </row>
    <row r="146" spans="1:7" ht="14.25" hidden="1" customHeight="1">
      <c r="A146" s="1836" t="s">
        <v>220</v>
      </c>
      <c r="B146" s="1830"/>
      <c r="C146" s="1830"/>
      <c r="D146" s="1830"/>
      <c r="E146" s="1830"/>
      <c r="F146" s="1830"/>
      <c r="G146" s="1828"/>
    </row>
    <row r="147" spans="1:7" ht="14.25" hidden="1" customHeight="1">
      <c r="A147" s="1829" t="s">
        <v>221</v>
      </c>
      <c r="B147" s="1828"/>
      <c r="C147" s="63" t="s">
        <v>222</v>
      </c>
      <c r="D147" s="63" t="s">
        <v>223</v>
      </c>
      <c r="E147" s="63" t="s">
        <v>224</v>
      </c>
      <c r="F147" s="63" t="s">
        <v>225</v>
      </c>
      <c r="G147" s="63" t="s">
        <v>226</v>
      </c>
    </row>
    <row r="148" spans="1:7" ht="14.25" hidden="1" customHeight="1">
      <c r="A148" s="1845" t="s">
        <v>618</v>
      </c>
      <c r="B148" s="1828"/>
      <c r="C148" s="64"/>
      <c r="D148" s="64">
        <v>0.3</v>
      </c>
      <c r="E148" s="64">
        <v>0.2</v>
      </c>
      <c r="F148" s="64">
        <v>1</v>
      </c>
      <c r="G148" s="64">
        <f>+C148*D148*E148*F148</f>
        <v>0</v>
      </c>
    </row>
    <row r="149" spans="1:7" ht="14.25" hidden="1" customHeight="1">
      <c r="A149" s="1845"/>
      <c r="B149" s="1828"/>
      <c r="C149" s="64"/>
      <c r="D149" s="64"/>
      <c r="E149" s="64"/>
      <c r="F149" s="64"/>
      <c r="G149" s="64"/>
    </row>
    <row r="150" spans="1:7" ht="14.25" hidden="1" customHeight="1">
      <c r="A150" s="68"/>
      <c r="B150" s="180"/>
      <c r="C150" s="64"/>
      <c r="D150" s="64"/>
      <c r="E150" s="64"/>
      <c r="F150" s="64"/>
      <c r="G150" s="64"/>
    </row>
    <row r="151" spans="1:7" ht="14.25" hidden="1" customHeight="1">
      <c r="A151" s="1829" t="s">
        <v>227</v>
      </c>
      <c r="B151" s="1830"/>
      <c r="C151" s="1830"/>
      <c r="D151" s="1830"/>
      <c r="E151" s="1830"/>
      <c r="F151" s="1828"/>
      <c r="G151" s="65">
        <f>ROUND(SUM(G148:G150),2)</f>
        <v>0</v>
      </c>
    </row>
    <row r="152" spans="1:7" ht="14.25" hidden="1" customHeight="1">
      <c r="A152" s="1837"/>
      <c r="B152" s="1838"/>
      <c r="C152" s="1838"/>
      <c r="D152" s="1838"/>
      <c r="E152" s="1838"/>
      <c r="F152" s="1838"/>
      <c r="G152" s="1839"/>
    </row>
    <row r="153" spans="1:7" ht="14.25" hidden="1" customHeight="1">
      <c r="A153" s="66" t="str">
        <f t="shared" ref="A153:B153" si="13">+A144</f>
        <v>CAPITULO 2:</v>
      </c>
      <c r="B153" s="1832" t="str">
        <f t="shared" si="13"/>
        <v>CONCRETOS</v>
      </c>
      <c r="C153" s="1830"/>
      <c r="D153" s="1828"/>
      <c r="E153" s="1833" t="s">
        <v>218</v>
      </c>
      <c r="F153" s="1828"/>
      <c r="G153" s="62" t="s">
        <v>116</v>
      </c>
    </row>
    <row r="154" spans="1:7" ht="14.25" hidden="1" customHeight="1">
      <c r="A154" s="66" t="s">
        <v>236</v>
      </c>
      <c r="B154" s="1840" t="s">
        <v>619</v>
      </c>
      <c r="C154" s="1830"/>
      <c r="D154" s="1830"/>
      <c r="E154" s="1830"/>
      <c r="F154" s="1830"/>
      <c r="G154" s="1828"/>
    </row>
    <row r="155" spans="1:7" ht="14.25" hidden="1" customHeight="1">
      <c r="A155" s="1836" t="s">
        <v>220</v>
      </c>
      <c r="B155" s="1830"/>
      <c r="C155" s="1830"/>
      <c r="D155" s="1830"/>
      <c r="E155" s="1830"/>
      <c r="F155" s="1830"/>
      <c r="G155" s="1828"/>
    </row>
    <row r="156" spans="1:7" ht="14.25" hidden="1" customHeight="1">
      <c r="A156" s="1829" t="s">
        <v>221</v>
      </c>
      <c r="B156" s="1828"/>
      <c r="C156" s="63" t="s">
        <v>222</v>
      </c>
      <c r="D156" s="63" t="s">
        <v>223</v>
      </c>
      <c r="E156" s="63" t="s">
        <v>224</v>
      </c>
      <c r="F156" s="63" t="s">
        <v>225</v>
      </c>
      <c r="G156" s="63" t="s">
        <v>226</v>
      </c>
    </row>
    <row r="157" spans="1:7" ht="14.25" hidden="1" customHeight="1">
      <c r="A157" s="1847" t="s">
        <v>620</v>
      </c>
      <c r="B157" s="1828"/>
      <c r="C157" s="64"/>
      <c r="D157" s="64"/>
      <c r="E157" s="64"/>
      <c r="F157" s="64"/>
      <c r="G157" s="64"/>
    </row>
    <row r="158" spans="1:7" ht="14.25" hidden="1" customHeight="1">
      <c r="A158" s="1845" t="s">
        <v>604</v>
      </c>
      <c r="B158" s="1828"/>
      <c r="C158" s="64">
        <v>1.7</v>
      </c>
      <c r="D158" s="64">
        <v>1.7</v>
      </c>
      <c r="E158" s="64">
        <v>0.4</v>
      </c>
      <c r="F158" s="64">
        <v>5</v>
      </c>
      <c r="G158" s="64">
        <f t="shared" ref="G158:G165" si="14">+C158*D158*F158*E158</f>
        <v>5.78</v>
      </c>
    </row>
    <row r="159" spans="1:7" ht="14.25" hidden="1" customHeight="1">
      <c r="A159" s="1845" t="s">
        <v>605</v>
      </c>
      <c r="B159" s="1828"/>
      <c r="C159" s="64">
        <v>1.8</v>
      </c>
      <c r="D159" s="64">
        <v>1.8</v>
      </c>
      <c r="E159" s="64">
        <v>0.4</v>
      </c>
      <c r="F159" s="64">
        <v>3</v>
      </c>
      <c r="G159" s="64">
        <f t="shared" si="14"/>
        <v>3.8880000000000003</v>
      </c>
    </row>
    <row r="160" spans="1:7" ht="14.25" hidden="1" customHeight="1">
      <c r="A160" s="1845" t="s">
        <v>606</v>
      </c>
      <c r="B160" s="1828"/>
      <c r="C160" s="64">
        <v>1.9</v>
      </c>
      <c r="D160" s="64">
        <v>1.9</v>
      </c>
      <c r="E160" s="64">
        <v>0.4</v>
      </c>
      <c r="F160" s="64">
        <v>13</v>
      </c>
      <c r="G160" s="64">
        <f t="shared" si="14"/>
        <v>18.772000000000002</v>
      </c>
    </row>
    <row r="161" spans="1:7" ht="14.25" hidden="1" customHeight="1">
      <c r="A161" s="1845" t="s">
        <v>607</v>
      </c>
      <c r="B161" s="1828"/>
      <c r="C161" s="64">
        <v>2</v>
      </c>
      <c r="D161" s="64">
        <v>2</v>
      </c>
      <c r="E161" s="64">
        <v>0.4</v>
      </c>
      <c r="F161" s="64">
        <v>7</v>
      </c>
      <c r="G161" s="64">
        <f t="shared" si="14"/>
        <v>11.200000000000001</v>
      </c>
    </row>
    <row r="162" spans="1:7" ht="14.25" hidden="1" customHeight="1">
      <c r="A162" s="1845" t="s">
        <v>608</v>
      </c>
      <c r="B162" s="1828"/>
      <c r="C162" s="64">
        <v>2.1</v>
      </c>
      <c r="D162" s="64">
        <v>2.1</v>
      </c>
      <c r="E162" s="64">
        <v>0.4</v>
      </c>
      <c r="F162" s="64">
        <v>2</v>
      </c>
      <c r="G162" s="64">
        <f t="shared" si="14"/>
        <v>3.5280000000000005</v>
      </c>
    </row>
    <row r="163" spans="1:7" ht="14.25" hidden="1" customHeight="1">
      <c r="A163" s="1845" t="s">
        <v>609</v>
      </c>
      <c r="B163" s="1828"/>
      <c r="C163" s="64">
        <v>2.2000000000000002</v>
      </c>
      <c r="D163" s="64">
        <v>2.2000000000000002</v>
      </c>
      <c r="E163" s="64">
        <v>0.4</v>
      </c>
      <c r="F163" s="64">
        <v>2</v>
      </c>
      <c r="G163" s="64">
        <f t="shared" si="14"/>
        <v>3.8720000000000008</v>
      </c>
    </row>
    <row r="164" spans="1:7" ht="14.25" hidden="1" customHeight="1">
      <c r="A164" s="1845" t="s">
        <v>610</v>
      </c>
      <c r="B164" s="1828"/>
      <c r="C164" s="64">
        <v>1.7</v>
      </c>
      <c r="D164" s="64">
        <v>3</v>
      </c>
      <c r="E164" s="64">
        <v>0.4</v>
      </c>
      <c r="F164" s="64">
        <v>1</v>
      </c>
      <c r="G164" s="64">
        <f t="shared" si="14"/>
        <v>2.04</v>
      </c>
    </row>
    <row r="165" spans="1:7" ht="14.25" hidden="1" customHeight="1">
      <c r="A165" s="1845" t="s">
        <v>611</v>
      </c>
      <c r="B165" s="1828"/>
      <c r="C165" s="64">
        <v>1.1000000000000001</v>
      </c>
      <c r="D165" s="64">
        <v>2.2000000000000002</v>
      </c>
      <c r="E165" s="64">
        <v>0.4</v>
      </c>
      <c r="F165" s="64">
        <v>1</v>
      </c>
      <c r="G165" s="64">
        <f t="shared" si="14"/>
        <v>0.96800000000000019</v>
      </c>
    </row>
    <row r="166" spans="1:7" ht="14.25" hidden="1" customHeight="1">
      <c r="A166" s="1847" t="s">
        <v>699</v>
      </c>
      <c r="B166" s="1828"/>
      <c r="C166" s="64"/>
      <c r="D166" s="64"/>
      <c r="E166" s="64"/>
      <c r="F166" s="64"/>
      <c r="G166" s="64"/>
    </row>
    <row r="167" spans="1:7" ht="14.25" hidden="1" customHeight="1">
      <c r="A167" s="1845" t="s">
        <v>951</v>
      </c>
      <c r="B167" s="1828"/>
      <c r="C167" s="64">
        <v>2.9</v>
      </c>
      <c r="D167" s="64">
        <v>2.9</v>
      </c>
      <c r="E167" s="64">
        <v>0.4</v>
      </c>
      <c r="F167" s="64">
        <v>8</v>
      </c>
      <c r="G167" s="64">
        <f t="shared" ref="G167:G170" si="15">+C167*D167*F167*E167</f>
        <v>26.912000000000003</v>
      </c>
    </row>
    <row r="168" spans="1:7" ht="14.25" hidden="1" customHeight="1">
      <c r="A168" s="1845" t="s">
        <v>952</v>
      </c>
      <c r="B168" s="1828"/>
      <c r="C168" s="64">
        <v>2.75</v>
      </c>
      <c r="D168" s="64">
        <v>2.75</v>
      </c>
      <c r="E168" s="64">
        <v>0.4</v>
      </c>
      <c r="F168" s="64">
        <v>4</v>
      </c>
      <c r="G168" s="64">
        <f t="shared" si="15"/>
        <v>12.100000000000001</v>
      </c>
    </row>
    <row r="169" spans="1:7" ht="14.25" hidden="1" customHeight="1">
      <c r="A169" s="1845" t="s">
        <v>953</v>
      </c>
      <c r="B169" s="1828"/>
      <c r="C169" s="64">
        <v>2.5499999999999998</v>
      </c>
      <c r="D169" s="64">
        <v>2.5499999999999998</v>
      </c>
      <c r="E169" s="64">
        <v>0.4</v>
      </c>
      <c r="F169" s="64">
        <v>7</v>
      </c>
      <c r="G169" s="64">
        <f t="shared" si="15"/>
        <v>18.207000000000001</v>
      </c>
    </row>
    <row r="170" spans="1:7" ht="14.25" hidden="1" customHeight="1">
      <c r="A170" s="1845" t="s">
        <v>954</v>
      </c>
      <c r="B170" s="1828"/>
      <c r="C170" s="64">
        <v>2.4</v>
      </c>
      <c r="D170" s="64">
        <v>2.4</v>
      </c>
      <c r="E170" s="64">
        <v>0.4</v>
      </c>
      <c r="F170" s="64">
        <v>16</v>
      </c>
      <c r="G170" s="64">
        <f t="shared" si="15"/>
        <v>36.863999999999997</v>
      </c>
    </row>
    <row r="171" spans="1:7" ht="15" hidden="1" customHeight="1">
      <c r="A171" s="1847" t="s">
        <v>569</v>
      </c>
      <c r="B171" s="1828"/>
      <c r="C171" s="64"/>
      <c r="D171" s="64"/>
      <c r="E171" s="64"/>
      <c r="F171" s="64"/>
      <c r="G171" s="64"/>
    </row>
    <row r="172" spans="1:7" ht="15" hidden="1" customHeight="1">
      <c r="A172" s="1845" t="s">
        <v>955</v>
      </c>
      <c r="B172" s="1828"/>
      <c r="C172" s="64">
        <v>0.6</v>
      </c>
      <c r="D172" s="64">
        <v>0.6</v>
      </c>
      <c r="E172" s="64">
        <v>0.6</v>
      </c>
      <c r="F172" s="64"/>
      <c r="G172" s="64">
        <f>+C172*D172*F172*E172</f>
        <v>0</v>
      </c>
    </row>
    <row r="173" spans="1:7" ht="15" hidden="1" customHeight="1">
      <c r="A173" s="1845"/>
      <c r="B173" s="1828"/>
      <c r="C173" s="64"/>
      <c r="D173" s="64"/>
      <c r="E173" s="64"/>
      <c r="F173" s="64"/>
      <c r="G173" s="64"/>
    </row>
    <row r="174" spans="1:7" ht="15" hidden="1" customHeight="1">
      <c r="A174" s="1845"/>
      <c r="B174" s="1828"/>
      <c r="C174" s="64"/>
      <c r="D174" s="64"/>
      <c r="E174" s="64"/>
      <c r="F174" s="64"/>
      <c r="G174" s="64"/>
    </row>
    <row r="175" spans="1:7" ht="14.25" hidden="1" customHeight="1">
      <c r="A175" s="1829" t="s">
        <v>227</v>
      </c>
      <c r="B175" s="1830"/>
      <c r="C175" s="1830"/>
      <c r="D175" s="1830"/>
      <c r="E175" s="1830"/>
      <c r="F175" s="1828"/>
      <c r="G175" s="65">
        <f>ROUND((SUM(G157:G174)),2)</f>
        <v>144.13</v>
      </c>
    </row>
    <row r="176" spans="1:7" ht="14.25" hidden="1" customHeight="1">
      <c r="A176" s="1837"/>
      <c r="B176" s="1838"/>
      <c r="C176" s="1838"/>
      <c r="D176" s="1838"/>
      <c r="E176" s="1838"/>
      <c r="F176" s="1838"/>
      <c r="G176" s="1839"/>
    </row>
    <row r="177" spans="1:7" ht="14.25" hidden="1" customHeight="1">
      <c r="A177" s="66" t="s">
        <v>232</v>
      </c>
      <c r="B177" s="1832" t="str">
        <f>+B153</f>
        <v>CONCRETOS</v>
      </c>
      <c r="C177" s="1830"/>
      <c r="D177" s="1828"/>
      <c r="E177" s="1833" t="s">
        <v>218</v>
      </c>
      <c r="F177" s="1828"/>
      <c r="G177" s="62" t="s">
        <v>116</v>
      </c>
    </row>
    <row r="178" spans="1:7" ht="14.25" hidden="1" customHeight="1">
      <c r="A178" s="66" t="s">
        <v>237</v>
      </c>
      <c r="B178" s="1840" t="s">
        <v>621</v>
      </c>
      <c r="C178" s="1830"/>
      <c r="D178" s="1830"/>
      <c r="E178" s="1830"/>
      <c r="F178" s="1830"/>
      <c r="G178" s="1828"/>
    </row>
    <row r="179" spans="1:7" ht="14.25" hidden="1" customHeight="1">
      <c r="A179" s="1836" t="s">
        <v>220</v>
      </c>
      <c r="B179" s="1830"/>
      <c r="C179" s="1830"/>
      <c r="D179" s="1830"/>
      <c r="E179" s="1830"/>
      <c r="F179" s="1830"/>
      <c r="G179" s="1828"/>
    </row>
    <row r="180" spans="1:7" ht="14.25" hidden="1" customHeight="1">
      <c r="A180" s="1829" t="s">
        <v>221</v>
      </c>
      <c r="B180" s="1828"/>
      <c r="C180" s="63" t="s">
        <v>222</v>
      </c>
      <c r="D180" s="63" t="s">
        <v>223</v>
      </c>
      <c r="E180" s="63" t="s">
        <v>224</v>
      </c>
      <c r="F180" s="63" t="s">
        <v>225</v>
      </c>
      <c r="G180" s="63" t="s">
        <v>226</v>
      </c>
    </row>
    <row r="181" spans="1:7" ht="14.25" hidden="1" customHeight="1">
      <c r="A181" s="1845" t="s">
        <v>622</v>
      </c>
      <c r="B181" s="1828"/>
      <c r="C181" s="64">
        <v>142.92500000000001</v>
      </c>
      <c r="D181" s="64">
        <v>0.4</v>
      </c>
      <c r="E181" s="64">
        <v>0.5</v>
      </c>
      <c r="F181" s="64">
        <v>2</v>
      </c>
      <c r="G181" s="64">
        <f t="shared" ref="G181:G182" si="16">+C181*D181*E181*F181</f>
        <v>57.170000000000009</v>
      </c>
    </row>
    <row r="182" spans="1:7" ht="14.25" hidden="1" customHeight="1">
      <c r="A182" s="1845" t="s">
        <v>956</v>
      </c>
      <c r="B182" s="1828"/>
      <c r="C182" s="64">
        <v>306.79999999999995</v>
      </c>
      <c r="D182" s="64">
        <v>0.4</v>
      </c>
      <c r="E182" s="64">
        <v>0.5</v>
      </c>
      <c r="F182" s="64">
        <v>1</v>
      </c>
      <c r="G182" s="64">
        <f t="shared" si="16"/>
        <v>61.359999999999992</v>
      </c>
    </row>
    <row r="183" spans="1:7" ht="15" hidden="1" customHeight="1">
      <c r="A183" s="1847" t="s">
        <v>569</v>
      </c>
      <c r="B183" s="1828"/>
      <c r="C183" s="64"/>
      <c r="D183" s="64"/>
      <c r="E183" s="64"/>
      <c r="F183" s="64"/>
      <c r="G183" s="64"/>
    </row>
    <row r="184" spans="1:7" ht="15" hidden="1" customHeight="1">
      <c r="A184" s="1845" t="s">
        <v>955</v>
      </c>
      <c r="B184" s="1828"/>
      <c r="C184" s="64"/>
      <c r="D184" s="64">
        <v>0.3</v>
      </c>
      <c r="E184" s="64">
        <v>0.3</v>
      </c>
      <c r="F184" s="64">
        <f>+ROUND(C160/3,0)</f>
        <v>1</v>
      </c>
      <c r="G184" s="64">
        <f>+C184*D184*F184*E184</f>
        <v>0</v>
      </c>
    </row>
    <row r="185" spans="1:7" ht="14.25" hidden="1" customHeight="1">
      <c r="A185" s="1829" t="s">
        <v>227</v>
      </c>
      <c r="B185" s="1830"/>
      <c r="C185" s="1830"/>
      <c r="D185" s="1830"/>
      <c r="E185" s="1830"/>
      <c r="F185" s="1828"/>
      <c r="G185" s="65">
        <f>ROUND((SUM(G181:G184)),2)</f>
        <v>118.53</v>
      </c>
    </row>
    <row r="186" spans="1:7" ht="14.25" hidden="1" customHeight="1">
      <c r="A186" s="1837"/>
      <c r="B186" s="1838"/>
      <c r="C186" s="1838"/>
      <c r="D186" s="1838"/>
      <c r="E186" s="1838"/>
      <c r="F186" s="1838"/>
      <c r="G186" s="1839"/>
    </row>
    <row r="187" spans="1:7" ht="14.25" hidden="1" customHeight="1">
      <c r="A187" s="66" t="s">
        <v>232</v>
      </c>
      <c r="B187" s="1832" t="s">
        <v>35</v>
      </c>
      <c r="C187" s="1830"/>
      <c r="D187" s="1828"/>
      <c r="E187" s="1833" t="s">
        <v>218</v>
      </c>
      <c r="F187" s="1828"/>
      <c r="G187" s="62" t="s">
        <v>116</v>
      </c>
    </row>
    <row r="188" spans="1:7" ht="14.25" hidden="1" customHeight="1">
      <c r="A188" s="66" t="s">
        <v>238</v>
      </c>
      <c r="B188" s="1840" t="s">
        <v>623</v>
      </c>
      <c r="C188" s="1830"/>
      <c r="D188" s="1830"/>
      <c r="E188" s="1830"/>
      <c r="F188" s="1830"/>
      <c r="G188" s="1828"/>
    </row>
    <row r="189" spans="1:7" ht="14.25" hidden="1" customHeight="1">
      <c r="A189" s="1836" t="s">
        <v>220</v>
      </c>
      <c r="B189" s="1830"/>
      <c r="C189" s="1830"/>
      <c r="D189" s="1830"/>
      <c r="E189" s="1830"/>
      <c r="F189" s="1830"/>
      <c r="G189" s="1828"/>
    </row>
    <row r="190" spans="1:7" ht="14.25" hidden="1" customHeight="1">
      <c r="A190" s="1829" t="s">
        <v>221</v>
      </c>
      <c r="B190" s="1828"/>
      <c r="C190" s="63" t="s">
        <v>222</v>
      </c>
      <c r="D190" s="63" t="s">
        <v>223</v>
      </c>
      <c r="E190" s="63" t="s">
        <v>224</v>
      </c>
      <c r="F190" s="63" t="s">
        <v>225</v>
      </c>
      <c r="G190" s="63" t="s">
        <v>226</v>
      </c>
    </row>
    <row r="191" spans="1:7" ht="14.25" hidden="1" customHeight="1">
      <c r="A191" s="1847" t="s">
        <v>620</v>
      </c>
      <c r="B191" s="1828"/>
      <c r="C191" s="64"/>
      <c r="D191" s="64"/>
      <c r="E191" s="64"/>
      <c r="F191" s="64"/>
      <c r="G191" s="64"/>
    </row>
    <row r="192" spans="1:7" ht="14.25" hidden="1" customHeight="1">
      <c r="A192" s="1845" t="s">
        <v>624</v>
      </c>
      <c r="B192" s="1828"/>
      <c r="C192" s="64"/>
      <c r="D192" s="64"/>
      <c r="E192" s="64"/>
      <c r="F192" s="64">
        <v>85.016019999999997</v>
      </c>
      <c r="G192" s="64">
        <f>+F192</f>
        <v>85.016019999999997</v>
      </c>
    </row>
    <row r="193" spans="1:7" ht="14.25" hidden="1" customHeight="1">
      <c r="A193" s="1847" t="s">
        <v>699</v>
      </c>
      <c r="B193" s="1828"/>
      <c r="C193" s="64"/>
      <c r="D193" s="64"/>
      <c r="E193" s="64"/>
      <c r="F193" s="64"/>
      <c r="G193" s="64"/>
    </row>
    <row r="194" spans="1:7" ht="14.25" hidden="1" customHeight="1">
      <c r="A194" s="1845" t="s">
        <v>957</v>
      </c>
      <c r="B194" s="1828"/>
      <c r="C194" s="64"/>
      <c r="D194" s="64"/>
      <c r="E194" s="64"/>
      <c r="F194" s="64" t="e">
        <v>#VALUE!</v>
      </c>
      <c r="G194" s="64" t="e">
        <f>+F194</f>
        <v>#VALUE!</v>
      </c>
    </row>
    <row r="195" spans="1:7" ht="14.25" hidden="1" customHeight="1">
      <c r="A195" s="1845"/>
      <c r="B195" s="1828"/>
      <c r="C195" s="64"/>
      <c r="D195" s="64"/>
      <c r="E195" s="64"/>
      <c r="F195" s="64"/>
      <c r="G195" s="64"/>
    </row>
    <row r="196" spans="1:7" ht="14.25" hidden="1" customHeight="1">
      <c r="A196" s="1829" t="s">
        <v>227</v>
      </c>
      <c r="B196" s="1830"/>
      <c r="C196" s="1830"/>
      <c r="D196" s="1830"/>
      <c r="E196" s="1830"/>
      <c r="F196" s="1828"/>
      <c r="G196" s="65"/>
    </row>
    <row r="197" spans="1:7" ht="14.25" hidden="1" customHeight="1">
      <c r="A197" s="1837"/>
      <c r="B197" s="1838"/>
      <c r="C197" s="1838"/>
      <c r="D197" s="1838"/>
      <c r="E197" s="1838"/>
      <c r="F197" s="1838"/>
      <c r="G197" s="1839"/>
    </row>
    <row r="198" spans="1:7" ht="14.25" hidden="1" customHeight="1">
      <c r="A198" s="66" t="s">
        <v>232</v>
      </c>
      <c r="B198" s="1832" t="str">
        <f>+B187</f>
        <v>CONCRETOS</v>
      </c>
      <c r="C198" s="1830"/>
      <c r="D198" s="1828"/>
      <c r="E198" s="1833" t="s">
        <v>218</v>
      </c>
      <c r="F198" s="1828"/>
      <c r="G198" s="62" t="s">
        <v>116</v>
      </c>
    </row>
    <row r="199" spans="1:7" ht="14.25" hidden="1" customHeight="1">
      <c r="A199" s="66" t="s">
        <v>239</v>
      </c>
      <c r="B199" s="1840" t="s">
        <v>625</v>
      </c>
      <c r="C199" s="1830"/>
      <c r="D199" s="1830"/>
      <c r="E199" s="1830"/>
      <c r="F199" s="1830"/>
      <c r="G199" s="1828"/>
    </row>
    <row r="200" spans="1:7" ht="14.25" hidden="1" customHeight="1">
      <c r="A200" s="1836" t="s">
        <v>220</v>
      </c>
      <c r="B200" s="1830"/>
      <c r="C200" s="1830"/>
      <c r="D200" s="1830"/>
      <c r="E200" s="1830"/>
      <c r="F200" s="1830"/>
      <c r="G200" s="1828"/>
    </row>
    <row r="201" spans="1:7" ht="14.25" hidden="1" customHeight="1">
      <c r="A201" s="1829" t="s">
        <v>221</v>
      </c>
      <c r="B201" s="1828"/>
      <c r="C201" s="63" t="s">
        <v>222</v>
      </c>
      <c r="D201" s="63" t="s">
        <v>223</v>
      </c>
      <c r="E201" s="63" t="s">
        <v>224</v>
      </c>
      <c r="F201" s="63" t="s">
        <v>225</v>
      </c>
      <c r="G201" s="63" t="s">
        <v>226</v>
      </c>
    </row>
    <row r="202" spans="1:7" ht="14.25" hidden="1" customHeight="1">
      <c r="A202" s="1847" t="s">
        <v>620</v>
      </c>
      <c r="B202" s="1828"/>
      <c r="C202" s="64"/>
      <c r="D202" s="64"/>
      <c r="E202" s="64"/>
      <c r="F202" s="64"/>
      <c r="G202" s="64"/>
    </row>
    <row r="203" spans="1:7" ht="14.25" hidden="1" customHeight="1">
      <c r="A203" s="1845" t="s">
        <v>626</v>
      </c>
      <c r="B203" s="1828"/>
      <c r="C203" s="64"/>
      <c r="D203" s="64"/>
      <c r="E203" s="64"/>
      <c r="F203" s="64">
        <v>30.83</v>
      </c>
      <c r="G203" s="64">
        <f>+F203</f>
        <v>30.83</v>
      </c>
    </row>
    <row r="204" spans="1:7" ht="14.25" hidden="1" customHeight="1">
      <c r="A204" s="1847" t="s">
        <v>698</v>
      </c>
      <c r="B204" s="1828"/>
      <c r="C204" s="64"/>
      <c r="D204" s="64"/>
      <c r="E204" s="64"/>
      <c r="F204" s="64"/>
      <c r="G204" s="64"/>
    </row>
    <row r="205" spans="1:7" ht="14.25" hidden="1" customHeight="1">
      <c r="A205" s="1845" t="s">
        <v>958</v>
      </c>
      <c r="B205" s="1828"/>
      <c r="C205" s="64"/>
      <c r="D205" s="64"/>
      <c r="E205" s="64"/>
      <c r="F205" s="64">
        <f>14.03+8.67</f>
        <v>22.7</v>
      </c>
      <c r="G205" s="64">
        <f>+F205</f>
        <v>22.7</v>
      </c>
    </row>
    <row r="206" spans="1:7" ht="14.25" hidden="1" customHeight="1">
      <c r="A206" s="1847" t="s">
        <v>699</v>
      </c>
      <c r="B206" s="1828"/>
      <c r="C206" s="64"/>
      <c r="D206" s="64"/>
      <c r="E206" s="64"/>
      <c r="F206" s="64"/>
      <c r="G206" s="64"/>
    </row>
    <row r="207" spans="1:7" ht="14.25" hidden="1" customHeight="1">
      <c r="A207" s="1845" t="s">
        <v>959</v>
      </c>
      <c r="B207" s="1828"/>
      <c r="C207" s="64"/>
      <c r="D207" s="64"/>
      <c r="E207" s="64"/>
      <c r="F207" s="64">
        <v>51.367461538461583</v>
      </c>
      <c r="G207" s="64">
        <f>+F207</f>
        <v>51.367461538461583</v>
      </c>
    </row>
    <row r="208" spans="1:7" ht="14.25" hidden="1" customHeight="1">
      <c r="A208" s="1845"/>
      <c r="B208" s="1828"/>
      <c r="C208" s="64"/>
      <c r="D208" s="64"/>
      <c r="E208" s="64"/>
      <c r="F208" s="64"/>
      <c r="G208" s="64"/>
    </row>
    <row r="209" spans="1:7" ht="14.25" hidden="1" customHeight="1">
      <c r="A209" s="1845"/>
      <c r="B209" s="1828"/>
      <c r="C209" s="64"/>
      <c r="D209" s="64"/>
      <c r="E209" s="64"/>
      <c r="F209" s="64"/>
      <c r="G209" s="64"/>
    </row>
    <row r="210" spans="1:7" ht="14.25" hidden="1" customHeight="1">
      <c r="A210" s="1829" t="s">
        <v>227</v>
      </c>
      <c r="B210" s="1830"/>
      <c r="C210" s="1830"/>
      <c r="D210" s="1830"/>
      <c r="E210" s="1830"/>
      <c r="F210" s="1828"/>
      <c r="G210" s="65"/>
    </row>
    <row r="211" spans="1:7" ht="14.25" hidden="1" customHeight="1">
      <c r="A211" s="1837"/>
      <c r="B211" s="1838"/>
      <c r="C211" s="1838"/>
      <c r="D211" s="1838"/>
      <c r="E211" s="1838"/>
      <c r="F211" s="1838"/>
      <c r="G211" s="1839"/>
    </row>
    <row r="212" spans="1:7" ht="14.25" hidden="1" customHeight="1">
      <c r="A212" s="66" t="s">
        <v>232</v>
      </c>
      <c r="B212" s="1832" t="str">
        <f>+B187</f>
        <v>CONCRETOS</v>
      </c>
      <c r="C212" s="1830"/>
      <c r="D212" s="1828"/>
      <c r="E212" s="1833" t="s">
        <v>218</v>
      </c>
      <c r="F212" s="1828"/>
      <c r="G212" s="62" t="s">
        <v>116</v>
      </c>
    </row>
    <row r="213" spans="1:7" ht="14.25" hidden="1" customHeight="1">
      <c r="A213" s="66" t="s">
        <v>627</v>
      </c>
      <c r="B213" s="1840" t="s">
        <v>628</v>
      </c>
      <c r="C213" s="1830"/>
      <c r="D213" s="1830"/>
      <c r="E213" s="1830"/>
      <c r="F213" s="1830"/>
      <c r="G213" s="1828"/>
    </row>
    <row r="214" spans="1:7" ht="14.25" hidden="1" customHeight="1">
      <c r="A214" s="1836" t="s">
        <v>220</v>
      </c>
      <c r="B214" s="1830"/>
      <c r="C214" s="1830"/>
      <c r="D214" s="1830"/>
      <c r="E214" s="1830"/>
      <c r="F214" s="1830"/>
      <c r="G214" s="1828"/>
    </row>
    <row r="215" spans="1:7" ht="14.25" hidden="1" customHeight="1">
      <c r="A215" s="1829" t="s">
        <v>221</v>
      </c>
      <c r="B215" s="1828"/>
      <c r="C215" s="63" t="s">
        <v>222</v>
      </c>
      <c r="D215" s="63" t="s">
        <v>223</v>
      </c>
      <c r="E215" s="63" t="s">
        <v>224</v>
      </c>
      <c r="F215" s="63" t="s">
        <v>225</v>
      </c>
      <c r="G215" s="63" t="s">
        <v>226</v>
      </c>
    </row>
    <row r="216" spans="1:7" ht="14.25" hidden="1" customHeight="1">
      <c r="A216" s="1845" t="s">
        <v>629</v>
      </c>
      <c r="B216" s="1828"/>
      <c r="C216" s="64">
        <f>+(61.61+6.24)/0.4</f>
        <v>169.62499999999997</v>
      </c>
      <c r="D216" s="64">
        <v>0.4</v>
      </c>
      <c r="E216" s="64">
        <v>0.6</v>
      </c>
      <c r="F216" s="64">
        <v>2</v>
      </c>
      <c r="G216" s="64">
        <f t="shared" ref="G216:G221" si="17">+C216*D216*E216*F216</f>
        <v>81.419999999999987</v>
      </c>
    </row>
    <row r="217" spans="1:7" ht="14.25" hidden="1" customHeight="1">
      <c r="A217" s="1845" t="s">
        <v>630</v>
      </c>
      <c r="B217" s="1828"/>
      <c r="C217" s="64">
        <f>21.016/0.4</f>
        <v>52.539999999999992</v>
      </c>
      <c r="D217" s="64">
        <v>0.4</v>
      </c>
      <c r="E217" s="64">
        <v>0.6</v>
      </c>
      <c r="F217" s="64">
        <v>2</v>
      </c>
      <c r="G217" s="64">
        <f t="shared" si="17"/>
        <v>25.219199999999997</v>
      </c>
    </row>
    <row r="218" spans="1:7" ht="14.25" hidden="1" customHeight="1">
      <c r="A218" s="1845" t="s">
        <v>631</v>
      </c>
      <c r="B218" s="1828"/>
      <c r="C218" s="64">
        <f>+(12.48+72.46)/0.4</f>
        <v>212.35</v>
      </c>
      <c r="D218" s="64">
        <v>0.4</v>
      </c>
      <c r="E218" s="64">
        <v>0.6</v>
      </c>
      <c r="F218" s="64">
        <v>1</v>
      </c>
      <c r="G218" s="64">
        <f t="shared" si="17"/>
        <v>50.963999999999999</v>
      </c>
    </row>
    <row r="219" spans="1:7" ht="14.25" hidden="1" customHeight="1">
      <c r="A219" s="1845" t="s">
        <v>632</v>
      </c>
      <c r="B219" s="1828"/>
      <c r="C219" s="64">
        <f>28.471/0.4</f>
        <v>71.177499999999995</v>
      </c>
      <c r="D219" s="64">
        <v>0.4</v>
      </c>
      <c r="E219" s="64">
        <v>0.6</v>
      </c>
      <c r="F219" s="64">
        <v>1</v>
      </c>
      <c r="G219" s="64">
        <f t="shared" si="17"/>
        <v>17.082599999999999</v>
      </c>
    </row>
    <row r="220" spans="1:7" ht="14.25" hidden="1" customHeight="1">
      <c r="A220" s="1845" t="s">
        <v>633</v>
      </c>
      <c r="B220" s="1828"/>
      <c r="C220" s="64">
        <f>49.2/0.4</f>
        <v>123</v>
      </c>
      <c r="D220" s="64">
        <v>0.4</v>
      </c>
      <c r="E220" s="64">
        <v>0.55000000000000004</v>
      </c>
      <c r="F220" s="64">
        <v>1</v>
      </c>
      <c r="G220" s="64">
        <f t="shared" si="17"/>
        <v>27.060000000000002</v>
      </c>
    </row>
    <row r="221" spans="1:7" ht="14.25" hidden="1" customHeight="1">
      <c r="A221" s="1845" t="s">
        <v>634</v>
      </c>
      <c r="B221" s="1828"/>
      <c r="C221" s="64">
        <f>+(11.4*4)+(15.2*3)</f>
        <v>91.199999999999989</v>
      </c>
      <c r="D221" s="64">
        <v>0.3</v>
      </c>
      <c r="E221" s="64">
        <v>0.6</v>
      </c>
      <c r="F221" s="64">
        <v>1</v>
      </c>
      <c r="G221" s="64">
        <f t="shared" si="17"/>
        <v>16.415999999999997</v>
      </c>
    </row>
    <row r="222" spans="1:7" ht="14.25" hidden="1" customHeight="1">
      <c r="A222" s="1829" t="s">
        <v>227</v>
      </c>
      <c r="B222" s="1830"/>
      <c r="C222" s="1830"/>
      <c r="D222" s="1830"/>
      <c r="E222" s="1830"/>
      <c r="F222" s="1828"/>
      <c r="G222" s="65"/>
    </row>
    <row r="223" spans="1:7" ht="14.25" hidden="1" customHeight="1">
      <c r="A223" s="1837"/>
      <c r="B223" s="1838"/>
      <c r="C223" s="1838"/>
      <c r="D223" s="1838"/>
      <c r="E223" s="1838"/>
      <c r="F223" s="1838"/>
      <c r="G223" s="1839"/>
    </row>
    <row r="224" spans="1:7" ht="14.25" customHeight="1">
      <c r="A224" s="66" t="s">
        <v>232</v>
      </c>
      <c r="B224" s="1832" t="str">
        <f>+B212</f>
        <v>CONCRETOS</v>
      </c>
      <c r="C224" s="1830"/>
      <c r="D224" s="1828"/>
      <c r="E224" s="1833" t="s">
        <v>218</v>
      </c>
      <c r="F224" s="1828"/>
      <c r="G224" s="62" t="s">
        <v>116</v>
      </c>
    </row>
    <row r="225" spans="1:12" ht="33.75" customHeight="1">
      <c r="A225" s="66" t="s">
        <v>627</v>
      </c>
      <c r="B225" s="1840" t="s">
        <v>635</v>
      </c>
      <c r="C225" s="1830"/>
      <c r="D225" s="1830"/>
      <c r="E225" s="1830"/>
      <c r="F225" s="1830"/>
      <c r="G225" s="1828"/>
      <c r="H225" s="59"/>
      <c r="I225" s="60"/>
      <c r="J225" s="60"/>
      <c r="K225" s="61"/>
      <c r="L225" s="59"/>
    </row>
    <row r="226" spans="1:12" ht="14.25" customHeight="1">
      <c r="A226" s="1836" t="s">
        <v>220</v>
      </c>
      <c r="B226" s="1830"/>
      <c r="C226" s="1830"/>
      <c r="D226" s="1830"/>
      <c r="E226" s="1830"/>
      <c r="F226" s="1830"/>
      <c r="G226" s="1828"/>
      <c r="H226" s="59"/>
      <c r="I226" s="60"/>
      <c r="J226" s="60"/>
      <c r="K226" s="61">
        <f>62+31.66</f>
        <v>93.66</v>
      </c>
      <c r="L226" s="59">
        <f>+K226*0.4*0.6</f>
        <v>22.478399999999997</v>
      </c>
    </row>
    <row r="227" spans="1:12" ht="14.25" customHeight="1">
      <c r="A227" s="1829" t="s">
        <v>221</v>
      </c>
      <c r="B227" s="1828"/>
      <c r="C227" s="63" t="s">
        <v>222</v>
      </c>
      <c r="D227" s="63" t="s">
        <v>223</v>
      </c>
      <c r="E227" s="63" t="s">
        <v>224</v>
      </c>
      <c r="F227" s="63" t="s">
        <v>225</v>
      </c>
      <c r="G227" s="63" t="s">
        <v>226</v>
      </c>
      <c r="H227" s="59"/>
      <c r="I227" s="60"/>
      <c r="J227" s="60"/>
      <c r="K227" s="61"/>
      <c r="L227" s="181">
        <f>+K228+L226</f>
        <v>61.178399999999996</v>
      </c>
    </row>
    <row r="228" spans="1:12" ht="14.25" customHeight="1">
      <c r="A228" s="1845" t="s">
        <v>636</v>
      </c>
      <c r="B228" s="1828"/>
      <c r="C228" s="64">
        <v>1.0995238095238022</v>
      </c>
      <c r="D228" s="64">
        <v>0.35</v>
      </c>
      <c r="E228" s="64">
        <v>2</v>
      </c>
      <c r="F228" s="64">
        <v>60</v>
      </c>
      <c r="G228" s="64">
        <f>+C228*D228*E228*F228</f>
        <v>46.179999999999687</v>
      </c>
      <c r="H228" s="59"/>
      <c r="I228" s="60">
        <f>+(41.86+35.74+8.19+54.21+55.19)*2</f>
        <v>390.38</v>
      </c>
      <c r="J228" s="60"/>
      <c r="K228" s="61">
        <f>31+7.7</f>
        <v>38.700000000000003</v>
      </c>
      <c r="L228" s="59">
        <f>41.86-L226</f>
        <v>19.381600000000002</v>
      </c>
    </row>
    <row r="229" spans="1:12" ht="14.25" customHeight="1">
      <c r="A229" s="1845"/>
      <c r="B229" s="1828"/>
      <c r="C229" s="64"/>
      <c r="D229" s="64"/>
      <c r="E229" s="64"/>
      <c r="F229" s="64"/>
      <c r="G229" s="64"/>
      <c r="H229" s="59"/>
      <c r="I229" s="60"/>
      <c r="J229" s="60"/>
      <c r="K229" s="61"/>
      <c r="L229" s="182"/>
    </row>
    <row r="230" spans="1:12" ht="14.25" customHeight="1">
      <c r="A230" s="1845"/>
      <c r="B230" s="1828"/>
      <c r="C230" s="64"/>
      <c r="D230" s="64"/>
      <c r="E230" s="64"/>
      <c r="F230" s="64"/>
      <c r="G230" s="64"/>
      <c r="H230" s="59"/>
      <c r="I230" s="183"/>
      <c r="J230" s="60"/>
      <c r="K230" s="61"/>
      <c r="L230" s="59"/>
    </row>
    <row r="231" spans="1:12" ht="14.25" customHeight="1">
      <c r="A231" s="1845"/>
      <c r="B231" s="1828"/>
      <c r="C231" s="64"/>
      <c r="D231" s="64"/>
      <c r="E231" s="64"/>
      <c r="F231" s="64"/>
      <c r="G231" s="64"/>
      <c r="H231" s="59"/>
      <c r="I231" s="60"/>
      <c r="J231" s="60"/>
      <c r="K231" s="61"/>
      <c r="L231" s="59"/>
    </row>
    <row r="232" spans="1:12" ht="14.25" customHeight="1">
      <c r="A232" s="1845"/>
      <c r="B232" s="1828"/>
      <c r="C232" s="64"/>
      <c r="D232" s="64"/>
      <c r="E232" s="64"/>
      <c r="F232" s="64"/>
      <c r="G232" s="64"/>
      <c r="H232" s="59"/>
      <c r="I232" s="60"/>
      <c r="J232" s="60"/>
      <c r="K232" s="61"/>
      <c r="L232" s="59"/>
    </row>
    <row r="233" spans="1:12" ht="14.25" customHeight="1">
      <c r="A233" s="1845"/>
      <c r="B233" s="1828"/>
      <c r="C233" s="64"/>
      <c r="D233" s="64"/>
      <c r="E233" s="64"/>
      <c r="F233" s="64"/>
      <c r="G233" s="64"/>
      <c r="H233" s="59"/>
      <c r="I233" s="60"/>
      <c r="J233" s="60"/>
      <c r="K233" s="61"/>
      <c r="L233" s="59"/>
    </row>
    <row r="234" spans="1:12" ht="14.25" customHeight="1">
      <c r="A234" s="1829" t="s">
        <v>227</v>
      </c>
      <c r="B234" s="1830"/>
      <c r="C234" s="1830"/>
      <c r="D234" s="1830"/>
      <c r="E234" s="1830"/>
      <c r="F234" s="1828"/>
      <c r="G234" s="65">
        <f>SUM(G228:G233)</f>
        <v>46.179999999999687</v>
      </c>
      <c r="H234" s="59"/>
      <c r="I234" s="60"/>
      <c r="J234" s="60"/>
      <c r="K234" s="61"/>
      <c r="L234" s="59"/>
    </row>
    <row r="235" spans="1:12" ht="14.25" customHeight="1">
      <c r="A235" s="1837"/>
      <c r="B235" s="1838"/>
      <c r="C235" s="1838"/>
      <c r="D235" s="1838"/>
      <c r="E235" s="1838"/>
      <c r="F235" s="1838"/>
      <c r="G235" s="1839"/>
      <c r="H235" s="59"/>
      <c r="I235" s="60"/>
      <c r="J235" s="60"/>
      <c r="K235" s="61"/>
      <c r="L235" s="59"/>
    </row>
    <row r="236" spans="1:12" ht="14.25" hidden="1" customHeight="1">
      <c r="A236" s="66" t="s">
        <v>232</v>
      </c>
      <c r="B236" s="1832" t="str">
        <f>+B224</f>
        <v>CONCRETOS</v>
      </c>
      <c r="C236" s="1830"/>
      <c r="D236" s="1828"/>
      <c r="E236" s="1833" t="s">
        <v>218</v>
      </c>
      <c r="F236" s="1828"/>
      <c r="G236" s="62" t="s">
        <v>228</v>
      </c>
      <c r="H236" s="59"/>
      <c r="I236" s="60"/>
      <c r="J236" s="60"/>
      <c r="K236" s="61"/>
      <c r="L236" s="59"/>
    </row>
    <row r="237" spans="1:12" ht="14.25" hidden="1" customHeight="1">
      <c r="A237" s="66" t="s">
        <v>637</v>
      </c>
      <c r="B237" s="1840" t="s">
        <v>638</v>
      </c>
      <c r="C237" s="1830"/>
      <c r="D237" s="1830"/>
      <c r="E237" s="1830"/>
      <c r="F237" s="1830"/>
      <c r="G237" s="1828"/>
      <c r="H237" s="59"/>
      <c r="I237" s="60">
        <v>19.09</v>
      </c>
      <c r="J237" s="60"/>
      <c r="K237" s="61"/>
      <c r="L237" s="59"/>
    </row>
    <row r="238" spans="1:12" ht="14.25" hidden="1" customHeight="1">
      <c r="A238" s="1836" t="s">
        <v>220</v>
      </c>
      <c r="B238" s="1830"/>
      <c r="C238" s="1830"/>
      <c r="D238" s="1830"/>
      <c r="E238" s="1830"/>
      <c r="F238" s="1830"/>
      <c r="G238" s="1828"/>
      <c r="H238" s="59"/>
      <c r="I238" s="60">
        <v>9.0500000000000007</v>
      </c>
      <c r="J238" s="60"/>
      <c r="K238" s="61"/>
      <c r="L238" s="59"/>
    </row>
    <row r="239" spans="1:12" ht="14.25" hidden="1" customHeight="1">
      <c r="A239" s="1829" t="s">
        <v>221</v>
      </c>
      <c r="B239" s="1828"/>
      <c r="C239" s="63" t="s">
        <v>222</v>
      </c>
      <c r="D239" s="63" t="s">
        <v>223</v>
      </c>
      <c r="E239" s="63" t="s">
        <v>224</v>
      </c>
      <c r="F239" s="63" t="s">
        <v>225</v>
      </c>
      <c r="G239" s="63" t="s">
        <v>226</v>
      </c>
      <c r="H239" s="59"/>
      <c r="I239" s="183">
        <f>SUM(I237:I238)</f>
        <v>28.14</v>
      </c>
      <c r="J239" s="60"/>
      <c r="K239" s="61"/>
      <c r="L239" s="59"/>
    </row>
    <row r="240" spans="1:12" ht="14.25" hidden="1" customHeight="1">
      <c r="A240" s="1847" t="s">
        <v>620</v>
      </c>
      <c r="B240" s="1828"/>
      <c r="C240" s="64"/>
      <c r="D240" s="64"/>
      <c r="E240" s="64"/>
      <c r="F240" s="64"/>
      <c r="G240" s="64"/>
      <c r="H240" s="59"/>
      <c r="I240" s="60"/>
      <c r="J240" s="60"/>
      <c r="K240" s="61"/>
      <c r="L240" s="59"/>
    </row>
    <row r="241" spans="1:12" ht="14.25" hidden="1" customHeight="1">
      <c r="A241" s="1845" t="s">
        <v>639</v>
      </c>
      <c r="B241" s="1828"/>
      <c r="C241" s="64"/>
      <c r="D241" s="64"/>
      <c r="E241" s="64"/>
      <c r="F241" s="64"/>
      <c r="G241" s="64">
        <f t="shared" ref="G241:G243" si="18">+F241</f>
        <v>0</v>
      </c>
      <c r="H241" s="59"/>
      <c r="I241" s="60"/>
      <c r="J241" s="60"/>
      <c r="K241" s="61"/>
      <c r="L241" s="59"/>
    </row>
    <row r="242" spans="1:12" ht="14.25" hidden="1" customHeight="1">
      <c r="A242" s="1845" t="s">
        <v>640</v>
      </c>
      <c r="B242" s="1828"/>
      <c r="C242" s="64"/>
      <c r="D242" s="64"/>
      <c r="E242" s="64"/>
      <c r="F242" s="64"/>
      <c r="G242" s="64">
        <f t="shared" si="18"/>
        <v>0</v>
      </c>
      <c r="H242" s="59"/>
      <c r="I242" s="60"/>
      <c r="J242" s="60"/>
      <c r="K242" s="61"/>
      <c r="L242" s="59"/>
    </row>
    <row r="243" spans="1:12" ht="15" hidden="1" customHeight="1">
      <c r="A243" s="1845" t="s">
        <v>641</v>
      </c>
      <c r="B243" s="1828"/>
      <c r="C243" s="64"/>
      <c r="D243" s="64"/>
      <c r="E243" s="64"/>
      <c r="F243" s="64"/>
      <c r="G243" s="64">
        <f t="shared" si="18"/>
        <v>0</v>
      </c>
      <c r="H243" s="59"/>
      <c r="I243" s="60"/>
      <c r="J243" s="60"/>
      <c r="K243" s="61"/>
      <c r="L243" s="59"/>
    </row>
    <row r="244" spans="1:12" ht="14.25" hidden="1" customHeight="1">
      <c r="A244" s="1847" t="s">
        <v>699</v>
      </c>
      <c r="B244" s="1828"/>
      <c r="C244" s="64"/>
      <c r="D244" s="64"/>
      <c r="E244" s="64"/>
      <c r="F244" s="64"/>
      <c r="G244" s="64"/>
      <c r="H244" s="59"/>
      <c r="I244" s="60"/>
      <c r="J244" s="60"/>
      <c r="K244" s="61"/>
      <c r="L244" s="59"/>
    </row>
    <row r="245" spans="1:12" ht="14.25" hidden="1" customHeight="1">
      <c r="A245" s="1845" t="s">
        <v>960</v>
      </c>
      <c r="B245" s="1828"/>
      <c r="C245" s="64"/>
      <c r="D245" s="64"/>
      <c r="E245" s="64"/>
      <c r="F245" s="64"/>
      <c r="G245" s="64">
        <f t="shared" ref="G245:G247" si="19">+F245</f>
        <v>0</v>
      </c>
      <c r="H245" s="59"/>
      <c r="I245" s="60"/>
      <c r="J245" s="60"/>
      <c r="K245" s="61"/>
      <c r="L245" s="59"/>
    </row>
    <row r="246" spans="1:12" ht="14.25" hidden="1" customHeight="1">
      <c r="A246" s="1845" t="s">
        <v>961</v>
      </c>
      <c r="B246" s="1828"/>
      <c r="C246" s="64"/>
      <c r="D246" s="64"/>
      <c r="E246" s="64"/>
      <c r="F246" s="64"/>
      <c r="G246" s="64">
        <f t="shared" si="19"/>
        <v>0</v>
      </c>
      <c r="H246" s="59"/>
      <c r="I246" s="60"/>
      <c r="J246" s="60"/>
      <c r="K246" s="61"/>
      <c r="L246" s="59"/>
    </row>
    <row r="247" spans="1:12" ht="15" hidden="1" customHeight="1">
      <c r="A247" s="1845" t="s">
        <v>962</v>
      </c>
      <c r="B247" s="1828"/>
      <c r="C247" s="64"/>
      <c r="D247" s="64"/>
      <c r="E247" s="64"/>
      <c r="F247" s="64"/>
      <c r="G247" s="64">
        <f t="shared" si="19"/>
        <v>0</v>
      </c>
      <c r="H247" s="59"/>
      <c r="I247" s="60"/>
      <c r="J247" s="60"/>
      <c r="K247" s="61"/>
      <c r="L247" s="59"/>
    </row>
    <row r="248" spans="1:12" ht="14.25" hidden="1" customHeight="1">
      <c r="A248" s="1845"/>
      <c r="B248" s="1828"/>
      <c r="C248" s="184"/>
      <c r="D248" s="64"/>
      <c r="E248" s="64"/>
      <c r="F248" s="64"/>
      <c r="G248" s="64"/>
      <c r="H248" s="59"/>
      <c r="I248" s="60"/>
      <c r="J248" s="60"/>
      <c r="K248" s="61"/>
      <c r="L248" s="59"/>
    </row>
    <row r="249" spans="1:12" ht="14.25" hidden="1" customHeight="1">
      <c r="A249" s="1845"/>
      <c r="B249" s="1828"/>
      <c r="C249" s="64"/>
      <c r="D249" s="64"/>
      <c r="E249" s="64"/>
      <c r="F249" s="64"/>
      <c r="G249" s="64"/>
      <c r="H249" s="59"/>
      <c r="I249" s="60"/>
      <c r="J249" s="60"/>
      <c r="K249" s="61"/>
      <c r="L249" s="59"/>
    </row>
    <row r="250" spans="1:12" ht="14.25" hidden="1" customHeight="1">
      <c r="A250" s="1829" t="s">
        <v>227</v>
      </c>
      <c r="B250" s="1830"/>
      <c r="C250" s="1830"/>
      <c r="D250" s="1830"/>
      <c r="E250" s="1830"/>
      <c r="F250" s="1828"/>
      <c r="G250" s="65">
        <f>SUM(G240:G249)</f>
        <v>0</v>
      </c>
      <c r="H250" s="59"/>
      <c r="I250" s="60"/>
      <c r="J250" s="60"/>
      <c r="K250" s="61"/>
      <c r="L250" s="59"/>
    </row>
    <row r="251" spans="1:12" ht="14.25" hidden="1" customHeight="1">
      <c r="A251" s="1837"/>
      <c r="B251" s="1838"/>
      <c r="C251" s="1838"/>
      <c r="D251" s="1838"/>
      <c r="E251" s="1838"/>
      <c r="F251" s="1838"/>
      <c r="G251" s="1839"/>
      <c r="H251" s="59"/>
      <c r="I251" s="60"/>
      <c r="J251" s="60"/>
      <c r="K251" s="61"/>
      <c r="L251" s="59"/>
    </row>
    <row r="252" spans="1:12" ht="14.25" hidden="1" customHeight="1">
      <c r="A252" s="66" t="s">
        <v>232</v>
      </c>
      <c r="B252" s="1832" t="str">
        <f>+B236</f>
        <v>CONCRETOS</v>
      </c>
      <c r="C252" s="1830"/>
      <c r="D252" s="1828"/>
      <c r="E252" s="1833" t="s">
        <v>218</v>
      </c>
      <c r="F252" s="1828"/>
      <c r="G252" s="62" t="s">
        <v>116</v>
      </c>
      <c r="H252" s="59"/>
      <c r="I252" s="60"/>
      <c r="J252" s="60"/>
      <c r="K252" s="61"/>
      <c r="L252" s="59"/>
    </row>
    <row r="253" spans="1:12" ht="14.25" hidden="1" customHeight="1">
      <c r="A253" s="66" t="s">
        <v>642</v>
      </c>
      <c r="B253" s="1840" t="s">
        <v>643</v>
      </c>
      <c r="C253" s="1830"/>
      <c r="D253" s="1830"/>
      <c r="E253" s="1830"/>
      <c r="F253" s="1830"/>
      <c r="G253" s="1828"/>
      <c r="H253" s="59"/>
      <c r="I253" s="60"/>
      <c r="J253" s="60"/>
      <c r="K253" s="61"/>
      <c r="L253" s="59"/>
    </row>
    <row r="254" spans="1:12" ht="14.25" hidden="1" customHeight="1">
      <c r="A254" s="1836" t="s">
        <v>220</v>
      </c>
      <c r="B254" s="1830"/>
      <c r="C254" s="1830"/>
      <c r="D254" s="1830"/>
      <c r="E254" s="1830"/>
      <c r="F254" s="1830"/>
      <c r="G254" s="1828"/>
      <c r="H254" s="59"/>
      <c r="I254" s="60">
        <v>11.43</v>
      </c>
      <c r="J254" s="60"/>
      <c r="K254" s="61"/>
      <c r="L254" s="59"/>
    </row>
    <row r="255" spans="1:12" ht="14.25" hidden="1" customHeight="1">
      <c r="A255" s="1829" t="s">
        <v>221</v>
      </c>
      <c r="B255" s="1828"/>
      <c r="C255" s="63" t="s">
        <v>644</v>
      </c>
      <c r="D255" s="63" t="s">
        <v>223</v>
      </c>
      <c r="E255" s="63" t="s">
        <v>224</v>
      </c>
      <c r="F255" s="63" t="s">
        <v>225</v>
      </c>
      <c r="G255" s="63" t="s">
        <v>226</v>
      </c>
      <c r="H255" s="59"/>
      <c r="I255" s="60">
        <v>12.13</v>
      </c>
      <c r="J255" s="60"/>
      <c r="K255" s="61"/>
      <c r="L255" s="59"/>
    </row>
    <row r="256" spans="1:12" ht="14.25" hidden="1" customHeight="1">
      <c r="A256" s="1845" t="s">
        <v>645</v>
      </c>
      <c r="B256" s="1828"/>
      <c r="C256" s="184">
        <v>2.823</v>
      </c>
      <c r="D256" s="64">
        <v>1.35</v>
      </c>
      <c r="E256" s="64"/>
      <c r="F256" s="64">
        <v>6</v>
      </c>
      <c r="G256" s="64">
        <f t="shared" ref="G256:G258" si="20">+F256*C256*D256</f>
        <v>22.866299999999999</v>
      </c>
      <c r="H256" s="59"/>
      <c r="I256" s="183">
        <f>SUM(I254:I255)</f>
        <v>23.560000000000002</v>
      </c>
      <c r="J256" s="60"/>
      <c r="K256" s="61">
        <f>+I256+I239+I230+G222+G210+G196+G185+G175+G151</f>
        <v>314.36</v>
      </c>
      <c r="L256" s="59"/>
    </row>
    <row r="257" spans="1:12" ht="14.25" hidden="1" customHeight="1">
      <c r="A257" s="1845" t="s">
        <v>646</v>
      </c>
      <c r="B257" s="1828"/>
      <c r="C257" s="64">
        <f>5.3+1.4</f>
        <v>6.6999999999999993</v>
      </c>
      <c r="D257" s="64">
        <v>1.81</v>
      </c>
      <c r="E257" s="64"/>
      <c r="F257" s="64">
        <v>1</v>
      </c>
      <c r="G257" s="64">
        <f t="shared" si="20"/>
        <v>12.126999999999999</v>
      </c>
      <c r="H257" s="59"/>
      <c r="I257" s="60"/>
      <c r="J257" s="60"/>
      <c r="K257" s="61">
        <f>+K256*655000</f>
        <v>205905800</v>
      </c>
      <c r="L257" s="59"/>
    </row>
    <row r="258" spans="1:12" ht="14.25" hidden="1" customHeight="1">
      <c r="A258" s="1845" t="s">
        <v>647</v>
      </c>
      <c r="B258" s="1828"/>
      <c r="C258" s="64">
        <f>1.28+1.25</f>
        <v>2.5300000000000002</v>
      </c>
      <c r="D258" s="64">
        <v>1.25</v>
      </c>
      <c r="E258" s="64"/>
      <c r="F258" s="64">
        <v>1</v>
      </c>
      <c r="G258" s="64">
        <f t="shared" si="20"/>
        <v>3.1625000000000005</v>
      </c>
      <c r="H258" s="59"/>
      <c r="I258" s="60"/>
      <c r="J258" s="60"/>
      <c r="K258" s="61">
        <f>+G142*35000</f>
        <v>0</v>
      </c>
      <c r="L258" s="59"/>
    </row>
    <row r="259" spans="1:12" ht="15" hidden="1" customHeight="1">
      <c r="A259" s="1845"/>
      <c r="B259" s="1828"/>
      <c r="C259" s="64"/>
      <c r="D259" s="64"/>
      <c r="E259" s="64"/>
      <c r="F259" s="64"/>
      <c r="G259" s="64"/>
      <c r="H259" s="59"/>
      <c r="I259" s="60"/>
      <c r="J259" s="60"/>
      <c r="K259" s="61">
        <f>+ROUND(K258+K257,0)</f>
        <v>205905800</v>
      </c>
      <c r="L259" s="59" t="s">
        <v>648</v>
      </c>
    </row>
    <row r="260" spans="1:12" ht="14.25" hidden="1" customHeight="1">
      <c r="A260" s="1845"/>
      <c r="B260" s="1828"/>
      <c r="C260" s="64"/>
      <c r="D260" s="64"/>
      <c r="E260" s="64"/>
      <c r="F260" s="64"/>
      <c r="G260" s="64"/>
      <c r="H260" s="59"/>
      <c r="I260" s="60"/>
      <c r="J260" s="60"/>
      <c r="K260" s="61"/>
      <c r="L260" s="59"/>
    </row>
    <row r="261" spans="1:12" ht="14.25" hidden="1" customHeight="1">
      <c r="A261" s="1829" t="s">
        <v>227</v>
      </c>
      <c r="B261" s="1830"/>
      <c r="C261" s="1830"/>
      <c r="D261" s="1830"/>
      <c r="E261" s="1830"/>
      <c r="F261" s="1828"/>
      <c r="G261" s="65"/>
      <c r="H261" s="59"/>
      <c r="I261" s="60"/>
      <c r="J261" s="60"/>
      <c r="K261" s="61">
        <v>204977.23950000003</v>
      </c>
      <c r="L261" s="59"/>
    </row>
    <row r="262" spans="1:12" ht="14.25" hidden="1" customHeight="1">
      <c r="A262" s="1837"/>
      <c r="B262" s="1838"/>
      <c r="C262" s="1838"/>
      <c r="D262" s="1838"/>
      <c r="E262" s="1838"/>
      <c r="F262" s="1838"/>
      <c r="G262" s="1839"/>
      <c r="H262" s="59"/>
      <c r="I262" s="60"/>
      <c r="J262" s="60"/>
      <c r="K262" s="61">
        <f>+ROUND(K261*4050,0)</f>
        <v>830157820</v>
      </c>
      <c r="L262" s="59" t="s">
        <v>649</v>
      </c>
    </row>
    <row r="263" spans="1:12" ht="14.25" hidden="1" customHeight="1">
      <c r="A263" s="1837"/>
      <c r="B263" s="1838"/>
      <c r="C263" s="1838"/>
      <c r="D263" s="1838"/>
      <c r="E263" s="1838"/>
      <c r="F263" s="1838"/>
      <c r="G263" s="1839"/>
      <c r="H263" s="59"/>
      <c r="I263" s="60"/>
      <c r="J263" s="60"/>
      <c r="K263" s="61"/>
      <c r="L263" s="59"/>
    </row>
    <row r="264" spans="1:12" ht="14.25" hidden="1" customHeight="1">
      <c r="A264" s="66" t="s">
        <v>232</v>
      </c>
      <c r="B264" s="1832" t="str">
        <f>+B252</f>
        <v>CONCRETOS</v>
      </c>
      <c r="C264" s="1830"/>
      <c r="D264" s="1828"/>
      <c r="E264" s="1833" t="s">
        <v>218</v>
      </c>
      <c r="F264" s="1828"/>
      <c r="G264" s="62" t="s">
        <v>228</v>
      </c>
      <c r="H264" s="59"/>
      <c r="I264" s="60"/>
      <c r="J264" s="60"/>
      <c r="K264" s="61"/>
      <c r="L264" s="59"/>
    </row>
    <row r="265" spans="1:12" ht="33.75" hidden="1" customHeight="1">
      <c r="A265" s="66" t="s">
        <v>650</v>
      </c>
      <c r="B265" s="1840" t="s">
        <v>651</v>
      </c>
      <c r="C265" s="1830"/>
      <c r="D265" s="1830"/>
      <c r="E265" s="1830"/>
      <c r="F265" s="1830"/>
      <c r="G265" s="1828"/>
      <c r="H265" s="59"/>
      <c r="I265" s="60"/>
      <c r="J265" s="60"/>
      <c r="K265" s="61"/>
      <c r="L265" s="59"/>
    </row>
    <row r="266" spans="1:12" ht="14.25" hidden="1" customHeight="1">
      <c r="A266" s="1836" t="s">
        <v>220</v>
      </c>
      <c r="B266" s="1830"/>
      <c r="C266" s="1830"/>
      <c r="D266" s="1830"/>
      <c r="E266" s="1830"/>
      <c r="F266" s="1830"/>
      <c r="G266" s="1828"/>
      <c r="H266" s="59"/>
      <c r="I266" s="60"/>
      <c r="J266" s="60"/>
      <c r="K266" s="61">
        <f>62+31.66</f>
        <v>93.66</v>
      </c>
      <c r="L266" s="59">
        <f>+K266*0.4*0.6</f>
        <v>22.478399999999997</v>
      </c>
    </row>
    <row r="267" spans="1:12" ht="14.25" hidden="1" customHeight="1">
      <c r="A267" s="1829" t="s">
        <v>221</v>
      </c>
      <c r="B267" s="1828"/>
      <c r="C267" s="63" t="s">
        <v>222</v>
      </c>
      <c r="D267" s="63" t="s">
        <v>223</v>
      </c>
      <c r="E267" s="63" t="s">
        <v>224</v>
      </c>
      <c r="F267" s="63" t="s">
        <v>225</v>
      </c>
      <c r="G267" s="63" t="s">
        <v>226</v>
      </c>
      <c r="H267" s="59"/>
      <c r="I267" s="60"/>
      <c r="J267" s="60"/>
      <c r="K267" s="61"/>
      <c r="L267" s="181">
        <f>+K268+L266</f>
        <v>61.178399999999996</v>
      </c>
    </row>
    <row r="268" spans="1:12" ht="14.25" hidden="1" customHeight="1">
      <c r="A268" s="1845" t="s">
        <v>652</v>
      </c>
      <c r="B268" s="1828"/>
      <c r="C268" s="64">
        <v>209.4</v>
      </c>
      <c r="D268" s="64"/>
      <c r="E268" s="64"/>
      <c r="F268" s="64"/>
      <c r="G268" s="64">
        <f>+C268-F268</f>
        <v>209.4</v>
      </c>
      <c r="H268" s="59"/>
      <c r="I268" s="60">
        <f>+(41.86+35.74+8.19+54.21+55.19)*2</f>
        <v>390.38</v>
      </c>
      <c r="J268" s="60"/>
      <c r="K268" s="61">
        <f>31+7.7</f>
        <v>38.700000000000003</v>
      </c>
      <c r="L268" s="59">
        <f>41.86-L266</f>
        <v>19.381600000000002</v>
      </c>
    </row>
    <row r="269" spans="1:12" ht="14.25" hidden="1" customHeight="1">
      <c r="A269" s="1845"/>
      <c r="B269" s="1828"/>
      <c r="C269" s="64"/>
      <c r="D269" s="64"/>
      <c r="E269" s="64"/>
      <c r="F269" s="64"/>
      <c r="G269" s="64"/>
      <c r="H269" s="59"/>
      <c r="I269" s="60"/>
      <c r="J269" s="60"/>
      <c r="K269" s="61"/>
      <c r="L269" s="182"/>
    </row>
    <row r="270" spans="1:12" ht="14.25" hidden="1" customHeight="1">
      <c r="A270" s="1845"/>
      <c r="B270" s="1828"/>
      <c r="C270" s="64"/>
      <c r="D270" s="64"/>
      <c r="E270" s="64"/>
      <c r="F270" s="64"/>
      <c r="G270" s="64"/>
      <c r="H270" s="59"/>
      <c r="I270" s="183"/>
      <c r="J270" s="60"/>
      <c r="K270" s="61"/>
      <c r="L270" s="59"/>
    </row>
    <row r="271" spans="1:12" ht="14.25" hidden="1" customHeight="1">
      <c r="A271" s="1845"/>
      <c r="B271" s="1828"/>
      <c r="C271" s="64"/>
      <c r="D271" s="64"/>
      <c r="E271" s="64"/>
      <c r="F271" s="64"/>
      <c r="G271" s="64"/>
      <c r="H271" s="59"/>
      <c r="I271" s="60"/>
      <c r="J271" s="60"/>
      <c r="K271" s="61"/>
      <c r="L271" s="59"/>
    </row>
    <row r="272" spans="1:12" ht="14.25" hidden="1" customHeight="1">
      <c r="A272" s="1845"/>
      <c r="B272" s="1828"/>
      <c r="C272" s="64"/>
      <c r="D272" s="64"/>
      <c r="E272" s="64"/>
      <c r="F272" s="64"/>
      <c r="G272" s="64"/>
      <c r="H272" s="59"/>
      <c r="I272" s="60"/>
      <c r="J272" s="60"/>
      <c r="K272" s="61"/>
      <c r="L272" s="59"/>
    </row>
    <row r="273" spans="1:11" ht="14.25" hidden="1" customHeight="1">
      <c r="A273" s="1829" t="s">
        <v>227</v>
      </c>
      <c r="B273" s="1830"/>
      <c r="C273" s="1830"/>
      <c r="D273" s="1830"/>
      <c r="E273" s="1830"/>
      <c r="F273" s="1828"/>
      <c r="G273" s="65"/>
      <c r="H273" s="59"/>
      <c r="I273" s="60"/>
      <c r="J273" s="60"/>
      <c r="K273" s="61"/>
    </row>
    <row r="274" spans="1:11" ht="14.25" hidden="1" customHeight="1">
      <c r="A274" s="1831"/>
      <c r="B274" s="1830"/>
      <c r="C274" s="1830"/>
      <c r="D274" s="1830"/>
      <c r="E274" s="1830"/>
      <c r="F274" s="1830"/>
      <c r="G274" s="1828"/>
      <c r="H274" s="59"/>
      <c r="I274" s="60"/>
      <c r="J274" s="60"/>
      <c r="K274" s="61"/>
    </row>
    <row r="275" spans="1:11" ht="14.25" hidden="1" customHeight="1">
      <c r="A275" s="66" t="s">
        <v>240</v>
      </c>
      <c r="B275" s="1832" t="s">
        <v>392</v>
      </c>
      <c r="C275" s="1830"/>
      <c r="D275" s="1828"/>
      <c r="E275" s="1833" t="s">
        <v>218</v>
      </c>
      <c r="F275" s="1828"/>
      <c r="G275" s="62" t="s">
        <v>171</v>
      </c>
      <c r="H275" s="59"/>
      <c r="I275" s="60"/>
      <c r="J275" s="60"/>
      <c r="K275" s="61" t="e">
        <f>+#REF!*0.07</f>
        <v>#REF!</v>
      </c>
    </row>
    <row r="276" spans="1:11" ht="39" hidden="1" customHeight="1">
      <c r="A276" s="66" t="s">
        <v>241</v>
      </c>
      <c r="B276" s="1832" t="s">
        <v>653</v>
      </c>
      <c r="C276" s="1830"/>
      <c r="D276" s="1830"/>
      <c r="E276" s="1830"/>
      <c r="F276" s="1830"/>
      <c r="G276" s="1828"/>
      <c r="H276" s="59"/>
      <c r="I276" s="60"/>
      <c r="J276" s="60"/>
      <c r="K276" s="61"/>
    </row>
    <row r="277" spans="1:11" ht="14.25" hidden="1" customHeight="1">
      <c r="A277" s="1836" t="s">
        <v>220</v>
      </c>
      <c r="B277" s="1830"/>
      <c r="C277" s="1830"/>
      <c r="D277" s="1830"/>
      <c r="E277" s="1830"/>
      <c r="F277" s="1830"/>
      <c r="G277" s="1828"/>
      <c r="H277" s="59"/>
      <c r="I277" s="60"/>
      <c r="J277" s="60"/>
      <c r="K277" s="61"/>
    </row>
    <row r="278" spans="1:11" ht="14.25" hidden="1" customHeight="1">
      <c r="A278" s="185" t="s">
        <v>376</v>
      </c>
      <c r="B278" s="1853" t="s">
        <v>654</v>
      </c>
      <c r="C278" s="1830"/>
      <c r="D278" s="1828"/>
      <c r="E278" s="186"/>
      <c r="F278" s="186"/>
      <c r="G278" s="186"/>
      <c r="H278" s="59"/>
      <c r="I278" s="60"/>
      <c r="J278" s="60"/>
      <c r="K278" s="61"/>
    </row>
    <row r="279" spans="1:11" ht="14.25" hidden="1" customHeight="1">
      <c r="A279" s="187" t="s">
        <v>655</v>
      </c>
      <c r="B279" s="63" t="s">
        <v>656</v>
      </c>
      <c r="C279" s="63" t="s">
        <v>657</v>
      </c>
      <c r="D279" s="63" t="s">
        <v>658</v>
      </c>
      <c r="E279" s="63" t="s">
        <v>659</v>
      </c>
      <c r="F279" s="63" t="s">
        <v>660</v>
      </c>
      <c r="G279" s="63" t="s">
        <v>661</v>
      </c>
      <c r="H279" s="59"/>
      <c r="I279" s="60"/>
      <c r="J279" s="60"/>
      <c r="K279" s="61"/>
    </row>
    <row r="280" spans="1:11" ht="14.25" hidden="1" customHeight="1">
      <c r="A280" s="188" t="s">
        <v>620</v>
      </c>
      <c r="B280" s="68"/>
      <c r="C280" s="64"/>
      <c r="D280" s="64"/>
      <c r="E280" s="189"/>
      <c r="F280" s="64"/>
      <c r="G280" s="64"/>
      <c r="H280" s="59"/>
      <c r="I280" s="60"/>
      <c r="J280" s="60"/>
      <c r="K280" s="61"/>
    </row>
    <row r="281" spans="1:11" ht="14.25" hidden="1" customHeight="1">
      <c r="A281" s="68" t="s">
        <v>699</v>
      </c>
      <c r="B281" s="68"/>
      <c r="C281" s="64"/>
      <c r="D281" s="64"/>
      <c r="E281" s="189"/>
      <c r="F281" s="64"/>
      <c r="G281" s="64"/>
      <c r="H281" s="59"/>
      <c r="I281" s="60"/>
      <c r="J281" s="60"/>
      <c r="K281" s="61"/>
    </row>
    <row r="282" spans="1:11" ht="14.25" hidden="1" customHeight="1">
      <c r="A282" s="68"/>
      <c r="B282" s="68"/>
      <c r="C282" s="64"/>
      <c r="D282" s="64"/>
      <c r="E282" s="189"/>
      <c r="F282" s="64"/>
      <c r="G282" s="64"/>
      <c r="H282" s="59"/>
      <c r="I282" s="60"/>
      <c r="J282" s="60"/>
      <c r="K282" s="61"/>
    </row>
    <row r="283" spans="1:11" ht="14.25" hidden="1" customHeight="1">
      <c r="A283" s="1829" t="s">
        <v>227</v>
      </c>
      <c r="B283" s="1830"/>
      <c r="C283" s="1830"/>
      <c r="D283" s="1830"/>
      <c r="E283" s="1830"/>
      <c r="F283" s="1828"/>
      <c r="G283" s="65">
        <f>ROUND(SUM(G280:G282),2)</f>
        <v>0</v>
      </c>
      <c r="H283" s="59"/>
      <c r="I283" s="60"/>
      <c r="J283" s="60"/>
      <c r="K283" s="61"/>
    </row>
    <row r="284" spans="1:11" ht="14.25" hidden="1" customHeight="1">
      <c r="A284" s="1831"/>
      <c r="B284" s="1830"/>
      <c r="C284" s="1830"/>
      <c r="D284" s="1830"/>
      <c r="E284" s="1830"/>
      <c r="F284" s="1830"/>
      <c r="G284" s="1828"/>
      <c r="H284" s="59"/>
      <c r="I284" s="60"/>
      <c r="J284" s="60"/>
      <c r="K284" s="61"/>
    </row>
    <row r="285" spans="1:11" ht="14.25" customHeight="1">
      <c r="A285" s="66" t="s">
        <v>240</v>
      </c>
      <c r="B285" s="1832" t="s">
        <v>392</v>
      </c>
      <c r="C285" s="1830"/>
      <c r="D285" s="1828"/>
      <c r="E285" s="1833" t="s">
        <v>218</v>
      </c>
      <c r="F285" s="1828"/>
      <c r="G285" s="62" t="s">
        <v>171</v>
      </c>
      <c r="H285" s="59"/>
      <c r="I285" s="60"/>
      <c r="J285" s="60"/>
      <c r="K285" s="61" t="e">
        <f>+#REF!*0.07</f>
        <v>#REF!</v>
      </c>
    </row>
    <row r="286" spans="1:11" ht="39" customHeight="1">
      <c r="A286" s="66" t="s">
        <v>243</v>
      </c>
      <c r="B286" s="1832" t="s">
        <v>662</v>
      </c>
      <c r="C286" s="1830"/>
      <c r="D286" s="1830"/>
      <c r="E286" s="1830"/>
      <c r="F286" s="1830"/>
      <c r="G286" s="1828"/>
      <c r="H286" s="59"/>
      <c r="I286" s="60"/>
      <c r="J286" s="60"/>
      <c r="K286" s="61"/>
    </row>
    <row r="287" spans="1:11" ht="14.25" customHeight="1">
      <c r="A287" s="1836" t="s">
        <v>220</v>
      </c>
      <c r="B287" s="1830"/>
      <c r="C287" s="1830"/>
      <c r="D287" s="1830"/>
      <c r="E287" s="1830"/>
      <c r="F287" s="1830"/>
      <c r="G287" s="1828"/>
      <c r="H287" s="59"/>
      <c r="I287" s="60"/>
      <c r="J287" s="60"/>
      <c r="K287" s="61"/>
    </row>
    <row r="288" spans="1:11" ht="14.25" customHeight="1">
      <c r="A288" s="185" t="s">
        <v>376</v>
      </c>
      <c r="B288" s="1853" t="s">
        <v>654</v>
      </c>
      <c r="C288" s="1830"/>
      <c r="D288" s="1828"/>
      <c r="E288" s="186"/>
      <c r="F288" s="186"/>
      <c r="G288" s="186"/>
      <c r="H288" s="59"/>
      <c r="I288" s="60"/>
      <c r="J288" s="60"/>
      <c r="K288" s="61"/>
    </row>
    <row r="289" spans="1:11" ht="14.25" customHeight="1">
      <c r="A289" s="187" t="s">
        <v>655</v>
      </c>
      <c r="B289" s="63" t="s">
        <v>656</v>
      </c>
      <c r="C289" s="63" t="s">
        <v>657</v>
      </c>
      <c r="D289" s="63" t="s">
        <v>658</v>
      </c>
      <c r="E289" s="63" t="s">
        <v>659</v>
      </c>
      <c r="F289" s="63" t="s">
        <v>660</v>
      </c>
      <c r="G289" s="63" t="s">
        <v>661</v>
      </c>
      <c r="H289" s="59"/>
      <c r="I289" s="60"/>
      <c r="J289" s="60"/>
      <c r="K289" s="61"/>
    </row>
    <row r="290" spans="1:11" ht="14.25" customHeight="1">
      <c r="A290" s="188"/>
      <c r="B290" s="68"/>
      <c r="C290" s="64"/>
      <c r="D290" s="64"/>
      <c r="E290" s="189"/>
      <c r="F290" s="64"/>
      <c r="G290" s="64"/>
      <c r="H290" s="59"/>
      <c r="I290" s="60"/>
      <c r="J290" s="60"/>
      <c r="K290" s="61"/>
    </row>
    <row r="291" spans="1:11" ht="14.25" customHeight="1">
      <c r="A291" s="68" t="s">
        <v>698</v>
      </c>
      <c r="B291" s="68"/>
      <c r="C291" s="64"/>
      <c r="D291" s="64"/>
      <c r="E291" s="189"/>
      <c r="F291" s="64"/>
      <c r="G291" s="64">
        <v>1425.6</v>
      </c>
      <c r="H291" s="59"/>
      <c r="I291" s="60"/>
      <c r="J291" s="60"/>
      <c r="K291" s="61"/>
    </row>
    <row r="292" spans="1:11" ht="14.25" customHeight="1">
      <c r="A292" s="68"/>
      <c r="B292" s="68"/>
      <c r="C292" s="64"/>
      <c r="D292" s="64"/>
      <c r="E292" s="189"/>
      <c r="F292" s="64"/>
      <c r="G292" s="64"/>
      <c r="H292" s="59"/>
      <c r="I292" s="60"/>
      <c r="J292" s="60"/>
      <c r="K292" s="61"/>
    </row>
    <row r="293" spans="1:11" ht="14.25" customHeight="1">
      <c r="A293" s="68"/>
      <c r="B293" s="68"/>
      <c r="C293" s="64"/>
      <c r="D293" s="64"/>
      <c r="E293" s="189"/>
      <c r="F293" s="64"/>
      <c r="G293" s="64"/>
      <c r="H293" s="59"/>
      <c r="I293" s="60"/>
      <c r="J293" s="60"/>
      <c r="K293" s="61"/>
    </row>
    <row r="294" spans="1:11" ht="14.25" customHeight="1">
      <c r="A294" s="1829" t="s">
        <v>227</v>
      </c>
      <c r="B294" s="1830"/>
      <c r="C294" s="1830"/>
      <c r="D294" s="1830"/>
      <c r="E294" s="1830"/>
      <c r="F294" s="1828"/>
      <c r="G294" s="65">
        <f>ROUND(SUM(G290:G293),2)</f>
        <v>1425.6</v>
      </c>
      <c r="H294" s="59"/>
      <c r="I294" s="60"/>
      <c r="J294" s="60"/>
      <c r="K294" s="61"/>
    </row>
    <row r="295" spans="1:11" ht="14.25" customHeight="1">
      <c r="A295" s="1831"/>
      <c r="B295" s="1830"/>
      <c r="C295" s="1830"/>
      <c r="D295" s="1830"/>
      <c r="E295" s="1830"/>
      <c r="F295" s="1830"/>
      <c r="G295" s="1828"/>
      <c r="H295" s="59"/>
      <c r="I295" s="60"/>
      <c r="J295" s="60"/>
      <c r="K295" s="61"/>
    </row>
    <row r="296" spans="1:11" ht="14.25" customHeight="1">
      <c r="A296" s="66" t="s">
        <v>240</v>
      </c>
      <c r="B296" s="1832" t="s">
        <v>392</v>
      </c>
      <c r="C296" s="1830"/>
      <c r="D296" s="1828"/>
      <c r="E296" s="1833" t="s">
        <v>218</v>
      </c>
      <c r="F296" s="1828"/>
      <c r="G296" s="62" t="s">
        <v>171</v>
      </c>
      <c r="H296" s="59"/>
      <c r="I296" s="60"/>
      <c r="J296" s="60"/>
      <c r="K296" s="61" t="e">
        <f>+#REF!*0.07</f>
        <v>#REF!</v>
      </c>
    </row>
    <row r="297" spans="1:11" ht="42" customHeight="1">
      <c r="A297" s="66" t="s">
        <v>244</v>
      </c>
      <c r="B297" s="1832" t="s">
        <v>663</v>
      </c>
      <c r="C297" s="1830"/>
      <c r="D297" s="1830"/>
      <c r="E297" s="1830"/>
      <c r="F297" s="1830"/>
      <c r="G297" s="1828"/>
      <c r="H297" s="59"/>
      <c r="I297" s="60"/>
      <c r="J297" s="60"/>
      <c r="K297" s="61"/>
    </row>
    <row r="298" spans="1:11" ht="14.25" customHeight="1">
      <c r="A298" s="1836" t="s">
        <v>220</v>
      </c>
      <c r="B298" s="1830"/>
      <c r="C298" s="1830"/>
      <c r="D298" s="1830"/>
      <c r="E298" s="1830"/>
      <c r="F298" s="1830"/>
      <c r="G298" s="1828"/>
      <c r="H298" s="59"/>
      <c r="I298" s="60"/>
      <c r="J298" s="60"/>
      <c r="K298" s="61"/>
    </row>
    <row r="299" spans="1:11" ht="14.25" customHeight="1">
      <c r="A299" s="185" t="s">
        <v>376</v>
      </c>
      <c r="B299" s="1853" t="s">
        <v>654</v>
      </c>
      <c r="C299" s="1830"/>
      <c r="D299" s="1828"/>
      <c r="E299" s="186"/>
      <c r="F299" s="186"/>
      <c r="G299" s="186"/>
      <c r="H299" s="59"/>
      <c r="I299" s="60"/>
      <c r="J299" s="60"/>
      <c r="K299" s="61"/>
    </row>
    <row r="300" spans="1:11" ht="14.25" customHeight="1">
      <c r="A300" s="187" t="s">
        <v>655</v>
      </c>
      <c r="B300" s="63" t="s">
        <v>656</v>
      </c>
      <c r="C300" s="63" t="s">
        <v>657</v>
      </c>
      <c r="D300" s="63" t="s">
        <v>658</v>
      </c>
      <c r="E300" s="63" t="s">
        <v>659</v>
      </c>
      <c r="F300" s="63" t="s">
        <v>660</v>
      </c>
      <c r="G300" s="63" t="s">
        <v>661</v>
      </c>
      <c r="H300" s="59"/>
      <c r="I300" s="60"/>
      <c r="J300" s="60"/>
      <c r="K300" s="61"/>
    </row>
    <row r="301" spans="1:11" ht="14.25" customHeight="1">
      <c r="A301" s="188"/>
      <c r="B301" s="68"/>
      <c r="C301" s="64"/>
      <c r="D301" s="64"/>
      <c r="E301" s="189"/>
      <c r="F301" s="64"/>
      <c r="G301" s="64"/>
      <c r="H301" s="59"/>
      <c r="I301" s="60"/>
      <c r="J301" s="60"/>
      <c r="K301" s="61"/>
    </row>
    <row r="302" spans="1:11" ht="14.25" customHeight="1">
      <c r="A302" s="68" t="s">
        <v>698</v>
      </c>
      <c r="B302" s="68"/>
      <c r="C302" s="64"/>
      <c r="D302" s="64"/>
      <c r="E302" s="189"/>
      <c r="F302" s="64"/>
      <c r="G302" s="64">
        <v>106890.3417</v>
      </c>
      <c r="H302" s="59"/>
      <c r="I302" s="60"/>
      <c r="J302" s="60"/>
      <c r="K302" s="61"/>
    </row>
    <row r="305" spans="1:11" ht="14.25" customHeight="1">
      <c r="A305" s="1829" t="s">
        <v>227</v>
      </c>
      <c r="B305" s="1830"/>
      <c r="C305" s="1830"/>
      <c r="D305" s="1830"/>
      <c r="E305" s="1830"/>
      <c r="F305" s="1828"/>
      <c r="G305" s="65">
        <f>ROUND(SUM(G301:G304),2)</f>
        <v>106890.34</v>
      </c>
      <c r="H305" s="59"/>
      <c r="I305" s="61">
        <f>+G305+G294+G283</f>
        <v>108315.94</v>
      </c>
      <c r="J305" s="60">
        <f>+I305*13500</f>
        <v>1462265190</v>
      </c>
      <c r="K305" s="61"/>
    </row>
    <row r="306" spans="1:11" ht="14.25" customHeight="1">
      <c r="A306" s="1831"/>
      <c r="B306" s="1830"/>
      <c r="C306" s="1830"/>
      <c r="D306" s="1830"/>
      <c r="E306" s="1830"/>
      <c r="F306" s="1830"/>
      <c r="G306" s="1828"/>
      <c r="H306" s="59"/>
      <c r="I306" s="60"/>
      <c r="J306" s="60"/>
      <c r="K306" s="61"/>
    </row>
    <row r="307" spans="1:11" ht="14.25" hidden="1" customHeight="1">
      <c r="A307" s="66" t="s">
        <v>240</v>
      </c>
      <c r="B307" s="1832" t="s">
        <v>392</v>
      </c>
      <c r="C307" s="1830"/>
      <c r="D307" s="1828"/>
      <c r="E307" s="1833" t="s">
        <v>218</v>
      </c>
      <c r="F307" s="1828"/>
      <c r="G307" s="62" t="s">
        <v>127</v>
      </c>
      <c r="H307" s="59"/>
      <c r="I307" s="60"/>
      <c r="J307" s="60"/>
      <c r="K307" s="61" t="e">
        <f>+#REF!*0.07</f>
        <v>#REF!</v>
      </c>
    </row>
    <row r="308" spans="1:11" ht="42" hidden="1" customHeight="1">
      <c r="A308" s="66" t="s">
        <v>245</v>
      </c>
      <c r="B308" s="1832" t="s">
        <v>664</v>
      </c>
      <c r="C308" s="1830"/>
      <c r="D308" s="1830"/>
      <c r="E308" s="1830"/>
      <c r="F308" s="1830"/>
      <c r="G308" s="1828"/>
      <c r="H308" s="59"/>
      <c r="I308" s="60"/>
      <c r="J308" s="60"/>
      <c r="K308" s="61"/>
    </row>
    <row r="309" spans="1:11" ht="14.25" hidden="1" customHeight="1">
      <c r="A309" s="1836" t="s">
        <v>220</v>
      </c>
      <c r="B309" s="1830"/>
      <c r="C309" s="1830"/>
      <c r="D309" s="1830"/>
      <c r="E309" s="1830"/>
      <c r="F309" s="1830"/>
      <c r="G309" s="1828"/>
      <c r="H309" s="59"/>
      <c r="I309" s="60"/>
      <c r="J309" s="60"/>
      <c r="K309" s="61"/>
    </row>
    <row r="310" spans="1:11" ht="14.25" hidden="1" customHeight="1">
      <c r="A310" s="185" t="s">
        <v>376</v>
      </c>
      <c r="B310" s="1853" t="s">
        <v>654</v>
      </c>
      <c r="C310" s="1830"/>
      <c r="D310" s="1828"/>
      <c r="E310" s="186"/>
      <c r="F310" s="186"/>
      <c r="G310" s="186"/>
      <c r="H310" s="59"/>
      <c r="I310" s="60"/>
      <c r="J310" s="60"/>
      <c r="K310" s="61"/>
    </row>
    <row r="311" spans="1:11" ht="14.25" hidden="1" customHeight="1">
      <c r="A311" s="187" t="s">
        <v>655</v>
      </c>
      <c r="B311" s="63" t="s">
        <v>656</v>
      </c>
      <c r="C311" s="63" t="s">
        <v>657</v>
      </c>
      <c r="D311" s="63" t="s">
        <v>658</v>
      </c>
      <c r="E311" s="63" t="s">
        <v>659</v>
      </c>
      <c r="F311" s="63" t="s">
        <v>660</v>
      </c>
      <c r="G311" s="63" t="s">
        <v>226</v>
      </c>
      <c r="H311" s="59"/>
      <c r="I311" s="60"/>
      <c r="J311" s="60"/>
      <c r="K311" s="61"/>
    </row>
    <row r="312" spans="1:11" ht="14.25" hidden="1" customHeight="1">
      <c r="A312" s="188" t="s">
        <v>620</v>
      </c>
      <c r="B312" s="68"/>
      <c r="C312" s="64"/>
      <c r="D312" s="64"/>
      <c r="E312" s="189"/>
      <c r="F312" s="64"/>
      <c r="G312" s="64">
        <v>9696</v>
      </c>
      <c r="H312" s="59"/>
      <c r="I312" s="60"/>
      <c r="J312" s="60"/>
      <c r="K312" s="61"/>
    </row>
    <row r="313" spans="1:11" ht="14.25" hidden="1" customHeight="1">
      <c r="A313" s="68" t="s">
        <v>699</v>
      </c>
      <c r="B313" s="68"/>
      <c r="C313" s="64"/>
      <c r="D313" s="64"/>
      <c r="E313" s="189"/>
      <c r="F313" s="64"/>
      <c r="G313" s="64" t="e">
        <v>#REF!</v>
      </c>
      <c r="H313" s="59"/>
      <c r="I313" s="60"/>
      <c r="J313" s="60"/>
      <c r="K313" s="61"/>
    </row>
    <row r="314" spans="1:11" ht="14.25" hidden="1" customHeight="1">
      <c r="A314" s="68"/>
      <c r="B314" s="68"/>
      <c r="C314" s="64"/>
      <c r="D314" s="64"/>
      <c r="E314" s="189"/>
      <c r="F314" s="64"/>
      <c r="G314" s="64"/>
      <c r="H314" s="59"/>
      <c r="I314" s="60"/>
      <c r="J314" s="60"/>
      <c r="K314" s="61"/>
    </row>
    <row r="315" spans="1:11" ht="14.25" hidden="1" customHeight="1">
      <c r="A315" s="68"/>
      <c r="B315" s="68"/>
      <c r="C315" s="64"/>
      <c r="D315" s="64"/>
      <c r="E315" s="189"/>
      <c r="F315" s="64"/>
      <c r="G315" s="64"/>
      <c r="H315" s="59"/>
      <c r="I315" s="60"/>
      <c r="J315" s="60"/>
      <c r="K315" s="61"/>
    </row>
    <row r="316" spans="1:11" ht="14.25" hidden="1" customHeight="1">
      <c r="A316" s="1829" t="s">
        <v>227</v>
      </c>
      <c r="B316" s="1830"/>
      <c r="C316" s="1830"/>
      <c r="D316" s="1830"/>
      <c r="E316" s="1830"/>
      <c r="F316" s="1828"/>
      <c r="G316" s="65"/>
      <c r="H316" s="59"/>
      <c r="I316" s="61">
        <f>+G316+G305+G294</f>
        <v>108315.94</v>
      </c>
      <c r="J316" s="60">
        <f>+I316*13500</f>
        <v>1462265190</v>
      </c>
      <c r="K316" s="61"/>
    </row>
    <row r="317" spans="1:11" ht="14.25" hidden="1" customHeight="1">
      <c r="A317" s="1831"/>
      <c r="B317" s="1830"/>
      <c r="C317" s="1830"/>
      <c r="D317" s="1830"/>
      <c r="E317" s="1830"/>
      <c r="F317" s="1830"/>
      <c r="G317" s="1828"/>
      <c r="H317" s="59"/>
      <c r="I317" s="60"/>
      <c r="J317" s="60"/>
      <c r="K317" s="61"/>
    </row>
    <row r="318" spans="1:11" ht="14.25" customHeight="1">
      <c r="A318" s="66" t="s">
        <v>240</v>
      </c>
      <c r="B318" s="1832" t="s">
        <v>392</v>
      </c>
      <c r="C318" s="1830"/>
      <c r="D318" s="1828"/>
      <c r="E318" s="1833" t="s">
        <v>218</v>
      </c>
      <c r="F318" s="1828"/>
      <c r="G318" s="62" t="s">
        <v>171</v>
      </c>
      <c r="H318" s="59"/>
      <c r="I318" s="60"/>
      <c r="J318" s="60"/>
      <c r="K318" s="61" t="e">
        <f>+#REF!*0.07</f>
        <v>#REF!</v>
      </c>
    </row>
    <row r="319" spans="1:11" ht="27.75" customHeight="1">
      <c r="A319" s="66" t="s">
        <v>246</v>
      </c>
      <c r="B319" s="1832" t="s">
        <v>665</v>
      </c>
      <c r="C319" s="1830"/>
      <c r="D319" s="1830"/>
      <c r="E319" s="1830"/>
      <c r="F319" s="1830"/>
      <c r="G319" s="1828"/>
      <c r="H319" s="59"/>
      <c r="I319" s="60"/>
      <c r="J319" s="60"/>
      <c r="K319" s="61"/>
    </row>
    <row r="320" spans="1:11" ht="14.25" customHeight="1">
      <c r="A320" s="1836" t="s">
        <v>220</v>
      </c>
      <c r="B320" s="1830"/>
      <c r="C320" s="1830"/>
      <c r="D320" s="1830"/>
      <c r="E320" s="1830"/>
      <c r="F320" s="1830"/>
      <c r="G320" s="1828"/>
      <c r="H320" s="59"/>
      <c r="I320" s="60"/>
      <c r="J320" s="60"/>
      <c r="K320" s="61"/>
    </row>
    <row r="321" spans="1:7" ht="14.25" customHeight="1">
      <c r="A321" s="185" t="s">
        <v>376</v>
      </c>
      <c r="B321" s="1853" t="s">
        <v>654</v>
      </c>
      <c r="C321" s="1830"/>
      <c r="D321" s="1828"/>
      <c r="E321" s="186"/>
      <c r="F321" s="186"/>
      <c r="G321" s="186"/>
    </row>
    <row r="322" spans="1:7" ht="14.25" customHeight="1">
      <c r="A322" s="187" t="s">
        <v>655</v>
      </c>
      <c r="B322" s="63" t="s">
        <v>656</v>
      </c>
      <c r="C322" s="63" t="s">
        <v>657</v>
      </c>
      <c r="D322" s="63" t="s">
        <v>658</v>
      </c>
      <c r="E322" s="63" t="s">
        <v>659</v>
      </c>
      <c r="F322" s="63" t="s">
        <v>660</v>
      </c>
      <c r="G322" s="63" t="s">
        <v>661</v>
      </c>
    </row>
    <row r="323" spans="1:7" ht="14.25" hidden="1" customHeight="1">
      <c r="A323" s="188"/>
      <c r="B323" s="68"/>
      <c r="C323" s="64"/>
      <c r="D323" s="64"/>
      <c r="E323" s="189"/>
      <c r="F323" s="64"/>
      <c r="G323" s="64"/>
    </row>
    <row r="324" spans="1:7" ht="14.25" customHeight="1">
      <c r="A324" s="68" t="s">
        <v>698</v>
      </c>
      <c r="B324" s="68"/>
      <c r="C324" s="64"/>
      <c r="D324" s="64"/>
      <c r="E324" s="189"/>
      <c r="F324" s="64"/>
      <c r="G324" s="64">
        <v>2649.3</v>
      </c>
    </row>
    <row r="325" spans="1:7" ht="14.25" customHeight="1">
      <c r="A325" s="68"/>
      <c r="B325" s="68"/>
      <c r="C325" s="64"/>
      <c r="D325" s="64"/>
      <c r="E325" s="189"/>
      <c r="F325" s="64"/>
      <c r="G325" s="64"/>
    </row>
    <row r="326" spans="1:7" ht="14.25" customHeight="1">
      <c r="A326" s="68"/>
      <c r="B326" s="68"/>
      <c r="C326" s="64"/>
      <c r="D326" s="64"/>
      <c r="E326" s="189"/>
      <c r="F326" s="64"/>
      <c r="G326" s="64"/>
    </row>
    <row r="327" spans="1:7" ht="14.25" customHeight="1">
      <c r="A327" s="1829" t="s">
        <v>227</v>
      </c>
      <c r="B327" s="1830"/>
      <c r="C327" s="1830"/>
      <c r="D327" s="1830"/>
      <c r="E327" s="1830"/>
      <c r="F327" s="1828"/>
      <c r="G327" s="65">
        <f>ROUND(SUM(G323:G326),2)</f>
        <v>2649.3</v>
      </c>
    </row>
    <row r="328" spans="1:7" ht="14.25" customHeight="1">
      <c r="A328" s="1831"/>
      <c r="B328" s="1830"/>
      <c r="C328" s="1830"/>
      <c r="D328" s="1830"/>
      <c r="E328" s="1830"/>
      <c r="F328" s="1830"/>
      <c r="G328" s="1828"/>
    </row>
    <row r="329" spans="1:7" ht="14.25" hidden="1" customHeight="1">
      <c r="A329" s="66" t="s">
        <v>240</v>
      </c>
      <c r="B329" s="1832" t="str">
        <f>+B318</f>
        <v>ESTRUCTURA METÁLICA</v>
      </c>
      <c r="C329" s="1830"/>
      <c r="D329" s="1828"/>
      <c r="E329" s="1833" t="s">
        <v>218</v>
      </c>
      <c r="F329" s="1828"/>
      <c r="G329" s="62" t="s">
        <v>228</v>
      </c>
    </row>
    <row r="330" spans="1:7" ht="27" hidden="1" customHeight="1">
      <c r="A330" s="66" t="s">
        <v>247</v>
      </c>
      <c r="B330" s="1840" t="s">
        <v>666</v>
      </c>
      <c r="C330" s="1830"/>
      <c r="D330" s="1830"/>
      <c r="E330" s="1830"/>
      <c r="F330" s="1830"/>
      <c r="G330" s="1828"/>
    </row>
    <row r="331" spans="1:7" ht="14.25" hidden="1" customHeight="1">
      <c r="A331" s="1836" t="s">
        <v>220</v>
      </c>
      <c r="B331" s="1830"/>
      <c r="C331" s="1830"/>
      <c r="D331" s="1830"/>
      <c r="E331" s="1830"/>
      <c r="F331" s="1830"/>
      <c r="G331" s="1828"/>
    </row>
    <row r="332" spans="1:7" ht="14.25" hidden="1" customHeight="1">
      <c r="A332" s="1829" t="s">
        <v>221</v>
      </c>
      <c r="B332" s="1828"/>
      <c r="C332" s="63" t="s">
        <v>222</v>
      </c>
      <c r="D332" s="63" t="s">
        <v>223</v>
      </c>
      <c r="E332" s="63" t="s">
        <v>224</v>
      </c>
      <c r="F332" s="63" t="s">
        <v>225</v>
      </c>
      <c r="G332" s="63" t="s">
        <v>226</v>
      </c>
    </row>
    <row r="333" spans="1:7" ht="14.25" hidden="1" customHeight="1">
      <c r="A333" s="1844" t="s">
        <v>620</v>
      </c>
      <c r="B333" s="1828"/>
      <c r="C333" s="64"/>
      <c r="D333" s="64">
        <v>2151.75</v>
      </c>
      <c r="E333" s="189"/>
      <c r="F333" s="64"/>
      <c r="G333" s="64">
        <f t="shared" ref="G333:G334" si="21">+D333</f>
        <v>2151.75</v>
      </c>
    </row>
    <row r="334" spans="1:7" ht="14.25" hidden="1" customHeight="1">
      <c r="A334" s="1844" t="s">
        <v>699</v>
      </c>
      <c r="B334" s="1828"/>
      <c r="C334" s="64"/>
      <c r="D334" s="64" t="e">
        <v>#REF!</v>
      </c>
      <c r="E334" s="189"/>
      <c r="F334" s="64"/>
      <c r="G334" s="64" t="e">
        <f t="shared" si="21"/>
        <v>#REF!</v>
      </c>
    </row>
    <row r="335" spans="1:7" ht="14.25" hidden="1" customHeight="1">
      <c r="A335" s="1845"/>
      <c r="B335" s="1828"/>
      <c r="C335" s="64"/>
      <c r="D335" s="64"/>
      <c r="E335" s="64"/>
      <c r="F335" s="64"/>
      <c r="G335" s="64"/>
    </row>
    <row r="336" spans="1:7" ht="14.25" hidden="1" customHeight="1">
      <c r="A336" s="1845"/>
      <c r="B336" s="1828"/>
      <c r="C336" s="64"/>
      <c r="D336" s="64"/>
      <c r="E336" s="64"/>
      <c r="F336" s="64"/>
      <c r="G336" s="64"/>
    </row>
    <row r="337" spans="1:7" ht="14.25" hidden="1" customHeight="1">
      <c r="A337" s="1829" t="s">
        <v>227</v>
      </c>
      <c r="B337" s="1830"/>
      <c r="C337" s="1830"/>
      <c r="D337" s="1830"/>
      <c r="E337" s="1830"/>
      <c r="F337" s="1828"/>
      <c r="G337" s="65"/>
    </row>
    <row r="338" spans="1:7" ht="14.25" hidden="1" customHeight="1">
      <c r="A338" s="1831"/>
      <c r="B338" s="1830"/>
      <c r="C338" s="1830"/>
      <c r="D338" s="1830"/>
      <c r="E338" s="1830"/>
      <c r="F338" s="1830"/>
      <c r="G338" s="1828"/>
    </row>
    <row r="339" spans="1:7" ht="14.25" hidden="1" customHeight="1">
      <c r="A339" s="66" t="s">
        <v>240</v>
      </c>
      <c r="B339" s="1832" t="str">
        <f>+B275</f>
        <v>ESTRUCTURA METÁLICA</v>
      </c>
      <c r="C339" s="1830"/>
      <c r="D339" s="1828"/>
      <c r="E339" s="1833" t="s">
        <v>218</v>
      </c>
      <c r="F339" s="1828"/>
      <c r="G339" s="62" t="s">
        <v>228</v>
      </c>
    </row>
    <row r="340" spans="1:7" ht="26.25" hidden="1" customHeight="1">
      <c r="A340" s="66" t="s">
        <v>667</v>
      </c>
      <c r="B340" s="1840" t="s">
        <v>668</v>
      </c>
      <c r="C340" s="1830"/>
      <c r="D340" s="1830"/>
      <c r="E340" s="1830"/>
      <c r="F340" s="1830"/>
      <c r="G340" s="1828"/>
    </row>
    <row r="341" spans="1:7" ht="14.25" hidden="1" customHeight="1">
      <c r="A341" s="1836" t="s">
        <v>220</v>
      </c>
      <c r="B341" s="1830"/>
      <c r="C341" s="1830"/>
      <c r="D341" s="1830"/>
      <c r="E341" s="1830"/>
      <c r="F341" s="1830"/>
      <c r="G341" s="1828"/>
    </row>
    <row r="342" spans="1:7" ht="14.25" hidden="1" customHeight="1">
      <c r="A342" s="1829" t="s">
        <v>221</v>
      </c>
      <c r="B342" s="1828"/>
      <c r="C342" s="63" t="s">
        <v>222</v>
      </c>
      <c r="D342" s="63" t="s">
        <v>223</v>
      </c>
      <c r="E342" s="63" t="s">
        <v>224</v>
      </c>
      <c r="F342" s="63" t="s">
        <v>225</v>
      </c>
      <c r="G342" s="63" t="s">
        <v>226</v>
      </c>
    </row>
    <row r="343" spans="1:7" ht="14.25" hidden="1" customHeight="1">
      <c r="A343" s="1844" t="s">
        <v>620</v>
      </c>
      <c r="B343" s="1828"/>
      <c r="C343" s="64"/>
      <c r="D343" s="64">
        <v>2151.75</v>
      </c>
      <c r="E343" s="189"/>
      <c r="F343" s="64"/>
      <c r="G343" s="64">
        <f t="shared" ref="G343:G344" si="22">+D343</f>
        <v>2151.75</v>
      </c>
    </row>
    <row r="344" spans="1:7" ht="14.25" hidden="1" customHeight="1">
      <c r="A344" s="1844" t="s">
        <v>699</v>
      </c>
      <c r="B344" s="1828"/>
      <c r="C344" s="64"/>
      <c r="D344" s="64" t="e">
        <v>#REF!</v>
      </c>
      <c r="E344" s="189"/>
      <c r="F344" s="64"/>
      <c r="G344" s="64" t="e">
        <f t="shared" si="22"/>
        <v>#REF!</v>
      </c>
    </row>
    <row r="345" spans="1:7" ht="14.25" hidden="1" customHeight="1">
      <c r="A345" s="1845"/>
      <c r="B345" s="1828"/>
      <c r="C345" s="64"/>
      <c r="D345" s="64"/>
      <c r="E345" s="64"/>
      <c r="F345" s="64"/>
      <c r="G345" s="64"/>
    </row>
    <row r="346" spans="1:7" ht="14.25" hidden="1" customHeight="1">
      <c r="A346" s="1845"/>
      <c r="B346" s="1828"/>
      <c r="C346" s="64"/>
      <c r="D346" s="64"/>
      <c r="E346" s="64"/>
      <c r="F346" s="64"/>
      <c r="G346" s="64"/>
    </row>
    <row r="347" spans="1:7" ht="14.25" hidden="1" customHeight="1">
      <c r="A347" s="1829" t="s">
        <v>227</v>
      </c>
      <c r="B347" s="1830"/>
      <c r="C347" s="1830"/>
      <c r="D347" s="1830"/>
      <c r="E347" s="1830"/>
      <c r="F347" s="1828"/>
      <c r="G347" s="65"/>
    </row>
    <row r="348" spans="1:7" ht="14.25" hidden="1" customHeight="1">
      <c r="A348" s="1831"/>
      <c r="B348" s="1830"/>
      <c r="C348" s="1830"/>
      <c r="D348" s="1830"/>
      <c r="E348" s="1830"/>
      <c r="F348" s="1830"/>
      <c r="G348" s="1828"/>
    </row>
    <row r="349" spans="1:7" ht="14.25" hidden="1" customHeight="1">
      <c r="A349" s="66" t="s">
        <v>240</v>
      </c>
      <c r="B349" s="1832" t="str">
        <f>+B339</f>
        <v>ESTRUCTURA METÁLICA</v>
      </c>
      <c r="C349" s="1830"/>
      <c r="D349" s="1828"/>
      <c r="E349" s="1833" t="s">
        <v>218</v>
      </c>
      <c r="F349" s="1828"/>
      <c r="G349" s="62" t="s">
        <v>50</v>
      </c>
    </row>
    <row r="350" spans="1:7" ht="65.25" hidden="1" customHeight="1">
      <c r="A350" s="66" t="s">
        <v>244</v>
      </c>
      <c r="B350" s="1840" t="s">
        <v>669</v>
      </c>
      <c r="C350" s="1830"/>
      <c r="D350" s="1830"/>
      <c r="E350" s="1830"/>
      <c r="F350" s="1830"/>
      <c r="G350" s="1828"/>
    </row>
    <row r="351" spans="1:7" ht="14.25" hidden="1" customHeight="1">
      <c r="A351" s="1836" t="s">
        <v>220</v>
      </c>
      <c r="B351" s="1830"/>
      <c r="C351" s="1830"/>
      <c r="D351" s="1830"/>
      <c r="E351" s="1830"/>
      <c r="F351" s="1830"/>
      <c r="G351" s="1828"/>
    </row>
    <row r="352" spans="1:7" ht="14.25" hidden="1" customHeight="1">
      <c r="A352" s="1829" t="s">
        <v>221</v>
      </c>
      <c r="B352" s="1828"/>
      <c r="C352" s="63" t="s">
        <v>670</v>
      </c>
      <c r="D352" s="63" t="s">
        <v>671</v>
      </c>
      <c r="E352" s="63" t="s">
        <v>672</v>
      </c>
      <c r="F352" s="63" t="s">
        <v>673</v>
      </c>
      <c r="G352" s="63" t="s">
        <v>226</v>
      </c>
    </row>
    <row r="353" spans="1:7" ht="14.25" hidden="1" customHeight="1">
      <c r="A353" s="1847" t="s">
        <v>674</v>
      </c>
      <c r="B353" s="1828"/>
      <c r="C353" s="64"/>
      <c r="D353" s="64"/>
      <c r="E353" s="64"/>
      <c r="F353" s="64"/>
      <c r="G353" s="64"/>
    </row>
    <row r="354" spans="1:7" ht="14.25" hidden="1" customHeight="1">
      <c r="A354" s="1845" t="s">
        <v>675</v>
      </c>
      <c r="B354" s="1828"/>
      <c r="C354" s="190" t="s">
        <v>676</v>
      </c>
      <c r="D354" s="64">
        <v>77.010000000000005</v>
      </c>
      <c r="E354" s="64">
        <v>6.43</v>
      </c>
      <c r="F354" s="64"/>
      <c r="G354" s="64">
        <f t="shared" ref="G354:G361" si="23">+D354*E354*F354</f>
        <v>0</v>
      </c>
    </row>
    <row r="355" spans="1:7" ht="14.25" hidden="1" customHeight="1">
      <c r="A355" s="1845" t="s">
        <v>677</v>
      </c>
      <c r="B355" s="1828"/>
      <c r="C355" s="190" t="s">
        <v>676</v>
      </c>
      <c r="D355" s="64">
        <v>19.16</v>
      </c>
      <c r="E355" s="64">
        <v>6.43</v>
      </c>
      <c r="F355" s="64"/>
      <c r="G355" s="64">
        <f t="shared" si="23"/>
        <v>0</v>
      </c>
    </row>
    <row r="356" spans="1:7" ht="14.25" hidden="1" customHeight="1">
      <c r="A356" s="1845" t="s">
        <v>677</v>
      </c>
      <c r="B356" s="1828"/>
      <c r="C356" s="190" t="s">
        <v>678</v>
      </c>
      <c r="D356" s="64">
        <v>132.30000000000001</v>
      </c>
      <c r="E356" s="64">
        <v>2.34</v>
      </c>
      <c r="F356" s="64"/>
      <c r="G356" s="64">
        <f t="shared" si="23"/>
        <v>0</v>
      </c>
    </row>
    <row r="357" spans="1:7" ht="14.25" hidden="1" customHeight="1">
      <c r="A357" s="1845" t="s">
        <v>677</v>
      </c>
      <c r="B357" s="1828"/>
      <c r="C357" s="190" t="s">
        <v>679</v>
      </c>
      <c r="D357" s="64">
        <v>20.6</v>
      </c>
      <c r="E357" s="64">
        <v>4.01</v>
      </c>
      <c r="F357" s="64"/>
      <c r="G357" s="64">
        <f t="shared" si="23"/>
        <v>0</v>
      </c>
    </row>
    <row r="358" spans="1:7" ht="14.25" hidden="1" customHeight="1">
      <c r="A358" s="1845" t="s">
        <v>680</v>
      </c>
      <c r="B358" s="1828"/>
      <c r="C358" s="190" t="s">
        <v>676</v>
      </c>
      <c r="D358" s="64">
        <v>6</v>
      </c>
      <c r="E358" s="64">
        <v>6.43</v>
      </c>
      <c r="F358" s="64"/>
      <c r="G358" s="64">
        <f t="shared" si="23"/>
        <v>0</v>
      </c>
    </row>
    <row r="359" spans="1:7" ht="14.25" hidden="1" customHeight="1">
      <c r="A359" s="1845" t="s">
        <v>680</v>
      </c>
      <c r="B359" s="1828"/>
      <c r="C359" s="190" t="s">
        <v>681</v>
      </c>
      <c r="D359" s="64">
        <v>20.010000000000002</v>
      </c>
      <c r="E359" s="64">
        <v>5.29</v>
      </c>
      <c r="F359" s="64"/>
      <c r="G359" s="64">
        <f t="shared" si="23"/>
        <v>0</v>
      </c>
    </row>
    <row r="360" spans="1:7" ht="14.25" hidden="1" customHeight="1">
      <c r="A360" s="1845" t="s">
        <v>680</v>
      </c>
      <c r="B360" s="1828"/>
      <c r="C360" s="190" t="s">
        <v>682</v>
      </c>
      <c r="D360" s="64">
        <v>50.21</v>
      </c>
      <c r="E360" s="64">
        <v>4.1100000000000003</v>
      </c>
      <c r="F360" s="64"/>
      <c r="G360" s="64">
        <f t="shared" si="23"/>
        <v>0</v>
      </c>
    </row>
    <row r="361" spans="1:7" ht="14.25" hidden="1" customHeight="1">
      <c r="A361" s="1845" t="s">
        <v>683</v>
      </c>
      <c r="B361" s="1828"/>
      <c r="C361" s="190" t="s">
        <v>684</v>
      </c>
      <c r="D361" s="64">
        <v>92.86</v>
      </c>
      <c r="E361" s="64">
        <v>3.21</v>
      </c>
      <c r="F361" s="64"/>
      <c r="G361" s="64">
        <f t="shared" si="23"/>
        <v>0</v>
      </c>
    </row>
    <row r="362" spans="1:7" ht="14.25" hidden="1" customHeight="1">
      <c r="A362" s="1847" t="s">
        <v>685</v>
      </c>
      <c r="B362" s="1828"/>
      <c r="C362" s="64"/>
      <c r="D362" s="64"/>
      <c r="E362" s="64"/>
      <c r="F362" s="64"/>
      <c r="G362" s="64"/>
    </row>
    <row r="363" spans="1:7" ht="14.25" hidden="1" customHeight="1">
      <c r="A363" s="1845" t="s">
        <v>686</v>
      </c>
      <c r="B363" s="1828"/>
      <c r="C363" s="190" t="s">
        <v>676</v>
      </c>
      <c r="D363" s="64">
        <v>18.53</v>
      </c>
      <c r="E363" s="64">
        <v>6.43</v>
      </c>
      <c r="F363" s="64"/>
      <c r="G363" s="64">
        <f t="shared" ref="G363:G367" si="24">+D363*E363*F363</f>
        <v>0</v>
      </c>
    </row>
    <row r="364" spans="1:7" ht="14.25" hidden="1" customHeight="1">
      <c r="A364" s="1845" t="s">
        <v>677</v>
      </c>
      <c r="B364" s="1828"/>
      <c r="C364" s="190" t="s">
        <v>684</v>
      </c>
      <c r="D364" s="64">
        <v>42.68</v>
      </c>
      <c r="E364" s="64">
        <v>3.21</v>
      </c>
      <c r="F364" s="64"/>
      <c r="G364" s="64">
        <f t="shared" si="24"/>
        <v>0</v>
      </c>
    </row>
    <row r="365" spans="1:7" ht="14.25" hidden="1" customHeight="1">
      <c r="A365" s="1845" t="s">
        <v>677</v>
      </c>
      <c r="B365" s="1828"/>
      <c r="C365" s="190" t="s">
        <v>679</v>
      </c>
      <c r="D365" s="64">
        <v>4.7699999999999996</v>
      </c>
      <c r="E365" s="64">
        <v>4.01</v>
      </c>
      <c r="F365" s="64"/>
      <c r="G365" s="64">
        <f t="shared" si="24"/>
        <v>0</v>
      </c>
    </row>
    <row r="366" spans="1:7" ht="14.25" hidden="1" customHeight="1">
      <c r="A366" s="1845" t="s">
        <v>687</v>
      </c>
      <c r="B366" s="1828"/>
      <c r="C366" s="190" t="s">
        <v>676</v>
      </c>
      <c r="D366" s="64">
        <v>18</v>
      </c>
      <c r="E366" s="64">
        <v>6.43</v>
      </c>
      <c r="F366" s="64"/>
      <c r="G366" s="64">
        <f t="shared" si="24"/>
        <v>0</v>
      </c>
    </row>
    <row r="367" spans="1:7" ht="14.25" hidden="1" customHeight="1">
      <c r="A367" s="1845" t="s">
        <v>683</v>
      </c>
      <c r="B367" s="1828"/>
      <c r="C367" s="190" t="s">
        <v>684</v>
      </c>
      <c r="D367" s="64">
        <v>31.02</v>
      </c>
      <c r="E367" s="64">
        <v>3.21</v>
      </c>
      <c r="F367" s="64"/>
      <c r="G367" s="64">
        <f t="shared" si="24"/>
        <v>0</v>
      </c>
    </row>
    <row r="368" spans="1:7" ht="14.25" hidden="1" customHeight="1">
      <c r="A368" s="1847" t="s">
        <v>688</v>
      </c>
      <c r="B368" s="1828"/>
      <c r="C368" s="64"/>
      <c r="D368" s="64"/>
      <c r="E368" s="64"/>
      <c r="F368" s="64"/>
      <c r="G368" s="64"/>
    </row>
    <row r="369" spans="1:7" ht="14.25" hidden="1" customHeight="1">
      <c r="A369" s="1845" t="s">
        <v>675</v>
      </c>
      <c r="B369" s="1828"/>
      <c r="C369" s="190" t="s">
        <v>679</v>
      </c>
      <c r="D369" s="64">
        <v>10.28</v>
      </c>
      <c r="E369" s="64">
        <v>4.01</v>
      </c>
      <c r="F369" s="64"/>
      <c r="G369" s="64">
        <f t="shared" ref="G369:G372" si="25">+D369*E369*F369</f>
        <v>0</v>
      </c>
    </row>
    <row r="370" spans="1:7" ht="14.25" hidden="1" customHeight="1">
      <c r="A370" s="1845" t="s">
        <v>677</v>
      </c>
      <c r="B370" s="1828"/>
      <c r="C370" s="190" t="s">
        <v>689</v>
      </c>
      <c r="D370" s="64">
        <v>22.73</v>
      </c>
      <c r="E370" s="64">
        <v>2.1800000000000002</v>
      </c>
      <c r="F370" s="64"/>
      <c r="G370" s="64">
        <f t="shared" si="25"/>
        <v>0</v>
      </c>
    </row>
    <row r="371" spans="1:7" ht="14.25" hidden="1" customHeight="1">
      <c r="A371" s="1845" t="s">
        <v>680</v>
      </c>
      <c r="B371" s="1828"/>
      <c r="C371" s="190" t="s">
        <v>679</v>
      </c>
      <c r="D371" s="64">
        <v>10.28</v>
      </c>
      <c r="E371" s="64">
        <v>4.01</v>
      </c>
      <c r="F371" s="64"/>
      <c r="G371" s="64">
        <f t="shared" si="25"/>
        <v>0</v>
      </c>
    </row>
    <row r="372" spans="1:7" ht="14.25" hidden="1" customHeight="1">
      <c r="A372" s="1845" t="s">
        <v>683</v>
      </c>
      <c r="B372" s="1828"/>
      <c r="C372" s="190" t="s">
        <v>689</v>
      </c>
      <c r="D372" s="64">
        <v>14.97</v>
      </c>
      <c r="E372" s="64">
        <v>2.1800000000000002</v>
      </c>
      <c r="F372" s="64"/>
      <c r="G372" s="64">
        <f t="shared" si="25"/>
        <v>0</v>
      </c>
    </row>
    <row r="373" spans="1:7" ht="14.25" hidden="1" customHeight="1">
      <c r="A373" s="1847" t="s">
        <v>690</v>
      </c>
      <c r="B373" s="1828"/>
      <c r="C373" s="64"/>
      <c r="D373" s="64"/>
      <c r="E373" s="64"/>
      <c r="F373" s="64"/>
      <c r="G373" s="64"/>
    </row>
    <row r="374" spans="1:7" ht="14.25" hidden="1" customHeight="1">
      <c r="A374" s="1845" t="s">
        <v>675</v>
      </c>
      <c r="B374" s="1828"/>
      <c r="C374" s="190" t="s">
        <v>679</v>
      </c>
      <c r="D374" s="64">
        <v>5.14</v>
      </c>
      <c r="E374" s="64">
        <v>4.01</v>
      </c>
      <c r="F374" s="64"/>
      <c r="G374" s="64">
        <f t="shared" ref="G374:G376" si="26">+D374*E374*F374</f>
        <v>0</v>
      </c>
    </row>
    <row r="375" spans="1:7" ht="14.25" hidden="1" customHeight="1">
      <c r="A375" s="1845" t="s">
        <v>677</v>
      </c>
      <c r="B375" s="1828"/>
      <c r="C375" s="190" t="s">
        <v>689</v>
      </c>
      <c r="D375" s="64">
        <v>28.32</v>
      </c>
      <c r="E375" s="64">
        <v>2.1800000000000002</v>
      </c>
      <c r="F375" s="64"/>
      <c r="G375" s="64">
        <f t="shared" si="26"/>
        <v>0</v>
      </c>
    </row>
    <row r="376" spans="1:7" ht="14.25" hidden="1" customHeight="1">
      <c r="A376" s="1845" t="s">
        <v>680</v>
      </c>
      <c r="B376" s="1828"/>
      <c r="C376" s="190" t="s">
        <v>679</v>
      </c>
      <c r="D376" s="64">
        <v>5.14</v>
      </c>
      <c r="E376" s="64">
        <v>4.01</v>
      </c>
      <c r="F376" s="64"/>
      <c r="G376" s="64">
        <f t="shared" si="26"/>
        <v>0</v>
      </c>
    </row>
    <row r="377" spans="1:7" ht="14.25" hidden="1" customHeight="1">
      <c r="A377" s="1847" t="s">
        <v>691</v>
      </c>
      <c r="B377" s="1828"/>
      <c r="C377" s="64"/>
      <c r="D377" s="64"/>
      <c r="E377" s="64"/>
      <c r="F377" s="64"/>
      <c r="G377" s="64"/>
    </row>
    <row r="378" spans="1:7" ht="14.25" hidden="1" customHeight="1">
      <c r="A378" s="1845" t="s">
        <v>675</v>
      </c>
      <c r="B378" s="1828"/>
      <c r="C378" s="190" t="s">
        <v>679</v>
      </c>
      <c r="D378" s="64">
        <v>5.14</v>
      </c>
      <c r="E378" s="64">
        <v>4.01</v>
      </c>
      <c r="F378" s="64"/>
      <c r="G378" s="64">
        <f t="shared" ref="G378:G380" si="27">+D378*E378*F378</f>
        <v>0</v>
      </c>
    </row>
    <row r="379" spans="1:7" ht="14.25" hidden="1" customHeight="1">
      <c r="A379" s="1845" t="s">
        <v>677</v>
      </c>
      <c r="B379" s="1828"/>
      <c r="C379" s="190" t="s">
        <v>689</v>
      </c>
      <c r="D379" s="64">
        <v>18.25</v>
      </c>
      <c r="E379" s="64">
        <v>2.1800000000000002</v>
      </c>
      <c r="F379" s="64"/>
      <c r="G379" s="64">
        <f t="shared" si="27"/>
        <v>0</v>
      </c>
    </row>
    <row r="380" spans="1:7" ht="14.25" hidden="1" customHeight="1">
      <c r="A380" s="1845" t="s">
        <v>680</v>
      </c>
      <c r="B380" s="1828"/>
      <c r="C380" s="190" t="s">
        <v>679</v>
      </c>
      <c r="D380" s="64">
        <v>5.14</v>
      </c>
      <c r="E380" s="64">
        <v>4.01</v>
      </c>
      <c r="F380" s="64"/>
      <c r="G380" s="64">
        <f t="shared" si="27"/>
        <v>0</v>
      </c>
    </row>
    <row r="381" spans="1:7" ht="14.25" hidden="1" customHeight="1">
      <c r="A381" s="1845"/>
      <c r="B381" s="1828"/>
      <c r="C381" s="190"/>
      <c r="D381" s="64"/>
      <c r="E381" s="64"/>
      <c r="F381" s="64"/>
      <c r="G381" s="64"/>
    </row>
    <row r="382" spans="1:7" ht="14.25" hidden="1" customHeight="1">
      <c r="A382" s="1845" t="s">
        <v>692</v>
      </c>
      <c r="B382" s="1828"/>
      <c r="C382" s="190" t="s">
        <v>693</v>
      </c>
      <c r="D382" s="64">
        <v>36.299999999999997</v>
      </c>
      <c r="E382" s="64">
        <v>4.8099999999999996</v>
      </c>
      <c r="F382" s="64"/>
      <c r="G382" s="64">
        <f t="shared" ref="G382:G383" si="28">+D382*E382*F382</f>
        <v>0</v>
      </c>
    </row>
    <row r="383" spans="1:7" ht="14.25" hidden="1" customHeight="1">
      <c r="A383" s="1845" t="s">
        <v>694</v>
      </c>
      <c r="B383" s="1828"/>
      <c r="C383" s="190" t="s">
        <v>695</v>
      </c>
      <c r="D383" s="64">
        <v>38.5</v>
      </c>
      <c r="E383" s="64">
        <v>1</v>
      </c>
      <c r="F383" s="64"/>
      <c r="G383" s="64">
        <f t="shared" si="28"/>
        <v>0</v>
      </c>
    </row>
    <row r="384" spans="1:7" ht="14.25" hidden="1" customHeight="1">
      <c r="A384" s="1829" t="s">
        <v>227</v>
      </c>
      <c r="B384" s="1830"/>
      <c r="C384" s="1830"/>
      <c r="D384" s="1830"/>
      <c r="E384" s="1830"/>
      <c r="F384" s="1828"/>
      <c r="G384" s="65">
        <f>ROUND(SUM(G354:G383),2)</f>
        <v>0</v>
      </c>
    </row>
    <row r="385" spans="1:7" ht="14.25" hidden="1" customHeight="1">
      <c r="A385" s="1831"/>
      <c r="B385" s="1830"/>
      <c r="C385" s="1830"/>
      <c r="D385" s="1830"/>
      <c r="E385" s="1830"/>
      <c r="F385" s="1830"/>
      <c r="G385" s="1828"/>
    </row>
    <row r="386" spans="1:7" ht="14.25" customHeight="1">
      <c r="A386" s="66" t="s">
        <v>240</v>
      </c>
      <c r="B386" s="1832" t="str">
        <f>+B349</f>
        <v>ESTRUCTURA METÁLICA</v>
      </c>
      <c r="C386" s="1830"/>
      <c r="D386" s="1828"/>
      <c r="E386" s="1833" t="s">
        <v>218</v>
      </c>
      <c r="F386" s="1828"/>
      <c r="G386" s="62" t="s">
        <v>228</v>
      </c>
    </row>
    <row r="387" spans="1:7" ht="24" customHeight="1">
      <c r="A387" s="66" t="s">
        <v>696</v>
      </c>
      <c r="B387" s="1840" t="s">
        <v>697</v>
      </c>
      <c r="C387" s="1830"/>
      <c r="D387" s="1830"/>
      <c r="E387" s="1830"/>
      <c r="F387" s="1830"/>
      <c r="G387" s="1828"/>
    </row>
    <row r="388" spans="1:7" ht="14.25" customHeight="1">
      <c r="A388" s="1836" t="s">
        <v>220</v>
      </c>
      <c r="B388" s="1830"/>
      <c r="C388" s="1830"/>
      <c r="D388" s="1830"/>
      <c r="E388" s="1830"/>
      <c r="F388" s="1830"/>
      <c r="G388" s="1828"/>
    </row>
    <row r="389" spans="1:7" ht="14.25" customHeight="1">
      <c r="A389" s="1829" t="s">
        <v>221</v>
      </c>
      <c r="B389" s="1828"/>
      <c r="C389" s="63" t="s">
        <v>222</v>
      </c>
      <c r="D389" s="63" t="s">
        <v>223</v>
      </c>
      <c r="E389" s="63" t="s">
        <v>252</v>
      </c>
      <c r="F389" s="63" t="s">
        <v>225</v>
      </c>
      <c r="G389" s="63" t="s">
        <v>226</v>
      </c>
    </row>
    <row r="390" spans="1:7" ht="15" customHeight="1">
      <c r="A390" s="1844" t="s">
        <v>698</v>
      </c>
      <c r="B390" s="1828"/>
      <c r="C390" s="64"/>
      <c r="D390" s="64">
        <v>1594.7545</v>
      </c>
      <c r="E390" s="189"/>
      <c r="F390" s="64"/>
      <c r="G390" s="64">
        <f>+D390</f>
        <v>1594.7545</v>
      </c>
    </row>
    <row r="391" spans="1:7" ht="15" customHeight="1">
      <c r="A391" s="1844"/>
      <c r="B391" s="1828"/>
      <c r="C391" s="64"/>
      <c r="D391" s="64"/>
      <c r="E391" s="189"/>
      <c r="F391" s="64"/>
      <c r="G391" s="64"/>
    </row>
    <row r="392" spans="1:7" ht="15" customHeight="1">
      <c r="A392" s="1845"/>
      <c r="B392" s="1828"/>
      <c r="C392" s="64"/>
      <c r="D392" s="64"/>
      <c r="E392" s="64"/>
      <c r="F392" s="64"/>
      <c r="G392" s="64"/>
    </row>
    <row r="393" spans="1:7" ht="14.25" customHeight="1">
      <c r="A393" s="1845"/>
      <c r="B393" s="1828"/>
      <c r="C393" s="64"/>
      <c r="D393" s="64"/>
      <c r="E393" s="64"/>
      <c r="F393" s="64"/>
      <c r="G393" s="64"/>
    </row>
    <row r="394" spans="1:7" ht="14.25" customHeight="1">
      <c r="A394" s="1829" t="s">
        <v>227</v>
      </c>
      <c r="B394" s="1830"/>
      <c r="C394" s="1830"/>
      <c r="D394" s="1830"/>
      <c r="E394" s="1830"/>
      <c r="F394" s="1828"/>
      <c r="G394" s="65">
        <f>ROUND(SUM(G390:G393),2)</f>
        <v>1594.75</v>
      </c>
    </row>
    <row r="395" spans="1:7" ht="14.25" customHeight="1">
      <c r="A395" s="1831"/>
      <c r="B395" s="1830"/>
      <c r="C395" s="1830"/>
      <c r="D395" s="1830"/>
      <c r="E395" s="1830"/>
      <c r="F395" s="1830"/>
      <c r="G395" s="1828"/>
    </row>
    <row r="396" spans="1:7" ht="20.25" hidden="1" customHeight="1">
      <c r="A396" s="66" t="s">
        <v>240</v>
      </c>
      <c r="B396" s="1832" t="str">
        <f>+B386</f>
        <v>ESTRUCTURA METÁLICA</v>
      </c>
      <c r="C396" s="1830"/>
      <c r="D396" s="1828"/>
      <c r="E396" s="1833" t="s">
        <v>218</v>
      </c>
      <c r="F396" s="1828"/>
      <c r="G396" s="62" t="s">
        <v>228</v>
      </c>
    </row>
    <row r="397" spans="1:7" ht="48.75" hidden="1" customHeight="1">
      <c r="A397" s="66" t="s">
        <v>700</v>
      </c>
      <c r="B397" s="1840" t="s">
        <v>701</v>
      </c>
      <c r="C397" s="1830"/>
      <c r="D397" s="1830"/>
      <c r="E397" s="1830"/>
      <c r="F397" s="1830"/>
      <c r="G397" s="1828"/>
    </row>
    <row r="398" spans="1:7" ht="14.25" hidden="1" customHeight="1">
      <c r="A398" s="1836" t="s">
        <v>220</v>
      </c>
      <c r="B398" s="1830"/>
      <c r="C398" s="1830"/>
      <c r="D398" s="1830"/>
      <c r="E398" s="1830"/>
      <c r="F398" s="1830"/>
      <c r="G398" s="1828"/>
    </row>
    <row r="399" spans="1:7" ht="14.25" hidden="1" customHeight="1">
      <c r="A399" s="1829" t="s">
        <v>221</v>
      </c>
      <c r="B399" s="1828"/>
      <c r="C399" s="63" t="s">
        <v>222</v>
      </c>
      <c r="D399" s="63" t="s">
        <v>223</v>
      </c>
      <c r="E399" s="63" t="s">
        <v>224</v>
      </c>
      <c r="F399" s="63" t="s">
        <v>225</v>
      </c>
      <c r="G399" s="63" t="s">
        <v>226</v>
      </c>
    </row>
    <row r="400" spans="1:7" ht="14.25" hidden="1" customHeight="1">
      <c r="A400" s="1845" t="s">
        <v>702</v>
      </c>
      <c r="B400" s="1828"/>
      <c r="C400" s="64">
        <v>20.010000000000002</v>
      </c>
      <c r="D400" s="64"/>
      <c r="E400" s="64"/>
      <c r="F400" s="64">
        <v>5</v>
      </c>
      <c r="G400" s="64">
        <f>+F400*C400</f>
        <v>100.05000000000001</v>
      </c>
    </row>
    <row r="401" spans="1:7" ht="14.25" hidden="1" customHeight="1">
      <c r="A401" s="1845" t="s">
        <v>703</v>
      </c>
      <c r="B401" s="1828"/>
      <c r="C401" s="64">
        <v>6</v>
      </c>
      <c r="D401" s="64">
        <v>3</v>
      </c>
      <c r="E401" s="64"/>
      <c r="F401" s="64"/>
      <c r="G401" s="64">
        <f>+D401*C401</f>
        <v>18</v>
      </c>
    </row>
    <row r="402" spans="1:7" ht="14.25" hidden="1" customHeight="1">
      <c r="A402" s="1829" t="s">
        <v>227</v>
      </c>
      <c r="B402" s="1830"/>
      <c r="C402" s="1830"/>
      <c r="D402" s="1830"/>
      <c r="E402" s="1830"/>
      <c r="F402" s="1828"/>
      <c r="G402" s="65"/>
    </row>
    <row r="403" spans="1:7" ht="14.25" hidden="1" customHeight="1">
      <c r="A403" s="1831"/>
      <c r="B403" s="1830"/>
      <c r="C403" s="1830"/>
      <c r="D403" s="1830"/>
      <c r="E403" s="1830"/>
      <c r="F403" s="1830"/>
      <c r="G403" s="1828"/>
    </row>
    <row r="404" spans="1:7" ht="14.25" hidden="1" customHeight="1">
      <c r="A404" s="66" t="s">
        <v>240</v>
      </c>
      <c r="B404" s="1832" t="str">
        <f>+B396</f>
        <v>ESTRUCTURA METÁLICA</v>
      </c>
      <c r="C404" s="1830"/>
      <c r="D404" s="1828"/>
      <c r="E404" s="1833" t="s">
        <v>218</v>
      </c>
      <c r="F404" s="1828"/>
      <c r="G404" s="62" t="s">
        <v>120</v>
      </c>
    </row>
    <row r="405" spans="1:7" ht="30.75" hidden="1" customHeight="1">
      <c r="A405" s="66" t="s">
        <v>247</v>
      </c>
      <c r="B405" s="1840" t="s">
        <v>704</v>
      </c>
      <c r="C405" s="1830"/>
      <c r="D405" s="1830"/>
      <c r="E405" s="1830"/>
      <c r="F405" s="1830"/>
      <c r="G405" s="1828"/>
    </row>
    <row r="406" spans="1:7" ht="14.25" hidden="1" customHeight="1">
      <c r="A406" s="1836" t="s">
        <v>220</v>
      </c>
      <c r="B406" s="1830"/>
      <c r="C406" s="1830"/>
      <c r="D406" s="1830"/>
      <c r="E406" s="1830"/>
      <c r="F406" s="1830"/>
      <c r="G406" s="1828"/>
    </row>
    <row r="407" spans="1:7" ht="14.25" hidden="1" customHeight="1">
      <c r="A407" s="1829" t="s">
        <v>221</v>
      </c>
      <c r="B407" s="1828"/>
      <c r="C407" s="63" t="s">
        <v>222</v>
      </c>
      <c r="D407" s="63" t="s">
        <v>223</v>
      </c>
      <c r="E407" s="63" t="s">
        <v>224</v>
      </c>
      <c r="F407" s="63" t="s">
        <v>225</v>
      </c>
      <c r="G407" s="63" t="s">
        <v>226</v>
      </c>
    </row>
    <row r="408" spans="1:7" ht="14.25" hidden="1" customHeight="1">
      <c r="A408" s="1845" t="s">
        <v>705</v>
      </c>
      <c r="B408" s="1828"/>
      <c r="C408" s="64">
        <v>5.6719999999999997</v>
      </c>
      <c r="D408" s="64"/>
      <c r="E408" s="64"/>
      <c r="F408" s="64">
        <v>2</v>
      </c>
      <c r="G408" s="64"/>
    </row>
    <row r="409" spans="1:7" ht="14.25" hidden="1" customHeight="1">
      <c r="A409" s="1845" t="s">
        <v>706</v>
      </c>
      <c r="B409" s="1828"/>
      <c r="C409" s="64">
        <v>25.81</v>
      </c>
      <c r="D409" s="64"/>
      <c r="E409" s="64"/>
      <c r="F409" s="64">
        <v>1</v>
      </c>
      <c r="G409" s="64"/>
    </row>
    <row r="410" spans="1:7" ht="14.25" hidden="1" customHeight="1">
      <c r="A410" s="1845"/>
      <c r="B410" s="1828"/>
      <c r="C410" s="64"/>
      <c r="D410" s="64"/>
      <c r="E410" s="64"/>
      <c r="F410" s="64"/>
      <c r="G410" s="64"/>
    </row>
    <row r="411" spans="1:7" ht="14.25" hidden="1" customHeight="1">
      <c r="A411" s="1829" t="s">
        <v>227</v>
      </c>
      <c r="B411" s="1830"/>
      <c r="C411" s="1830"/>
      <c r="D411" s="1830"/>
      <c r="E411" s="1830"/>
      <c r="F411" s="1828"/>
      <c r="G411" s="191"/>
    </row>
    <row r="412" spans="1:7" ht="14.25" hidden="1" customHeight="1">
      <c r="A412" s="1831"/>
      <c r="B412" s="1830"/>
      <c r="C412" s="1830"/>
      <c r="D412" s="1830"/>
      <c r="E412" s="1830"/>
      <c r="F412" s="1830"/>
      <c r="G412" s="1828"/>
    </row>
    <row r="413" spans="1:7" ht="14.25" hidden="1" customHeight="1">
      <c r="A413" s="66" t="s">
        <v>240</v>
      </c>
      <c r="B413" s="1832" t="str">
        <f>+B404</f>
        <v>ESTRUCTURA METÁLICA</v>
      </c>
      <c r="C413" s="1830"/>
      <c r="D413" s="1828"/>
      <c r="E413" s="1833" t="s">
        <v>218</v>
      </c>
      <c r="F413" s="1828"/>
      <c r="G413" s="62" t="s">
        <v>228</v>
      </c>
    </row>
    <row r="414" spans="1:7" ht="14.25" hidden="1" customHeight="1">
      <c r="A414" s="66" t="s">
        <v>667</v>
      </c>
      <c r="B414" s="1840" t="s">
        <v>399</v>
      </c>
      <c r="C414" s="1830"/>
      <c r="D414" s="1830"/>
      <c r="E414" s="1830"/>
      <c r="F414" s="1830"/>
      <c r="G414" s="1828"/>
    </row>
    <row r="415" spans="1:7" ht="14.25" hidden="1" customHeight="1">
      <c r="A415" s="1836" t="s">
        <v>220</v>
      </c>
      <c r="B415" s="1830"/>
      <c r="C415" s="1830"/>
      <c r="D415" s="1830"/>
      <c r="E415" s="1830"/>
      <c r="F415" s="1830"/>
      <c r="G415" s="1828"/>
    </row>
    <row r="416" spans="1:7" ht="14.25" hidden="1" customHeight="1">
      <c r="A416" s="1829" t="s">
        <v>221</v>
      </c>
      <c r="B416" s="1828"/>
      <c r="C416" s="63" t="s">
        <v>222</v>
      </c>
      <c r="D416" s="63" t="s">
        <v>223</v>
      </c>
      <c r="E416" s="63" t="s">
        <v>224</v>
      </c>
      <c r="F416" s="63" t="s">
        <v>225</v>
      </c>
      <c r="G416" s="63" t="s">
        <v>226</v>
      </c>
    </row>
    <row r="417" spans="1:7" ht="14.25" hidden="1" customHeight="1">
      <c r="A417" s="1845" t="s">
        <v>707</v>
      </c>
      <c r="B417" s="1828"/>
      <c r="C417" s="64"/>
      <c r="D417" s="64"/>
      <c r="E417" s="64"/>
      <c r="F417" s="64"/>
      <c r="G417" s="64"/>
    </row>
    <row r="418" spans="1:7" ht="14.25" hidden="1" customHeight="1">
      <c r="A418" s="1845"/>
      <c r="B418" s="1828"/>
      <c r="C418" s="64"/>
      <c r="D418" s="64"/>
      <c r="E418" s="64"/>
      <c r="F418" s="64"/>
      <c r="G418" s="64"/>
    </row>
    <row r="419" spans="1:7" ht="14.25" hidden="1" customHeight="1">
      <c r="A419" s="1829" t="s">
        <v>227</v>
      </c>
      <c r="B419" s="1830"/>
      <c r="C419" s="1830"/>
      <c r="D419" s="1830"/>
      <c r="E419" s="1830"/>
      <c r="F419" s="1828"/>
      <c r="G419" s="191">
        <f>ROUND(SUM(G417:G418),2)</f>
        <v>0</v>
      </c>
    </row>
    <row r="420" spans="1:7" ht="14.25" hidden="1" customHeight="1">
      <c r="A420" s="1831"/>
      <c r="B420" s="1830"/>
      <c r="C420" s="1830"/>
      <c r="D420" s="1830"/>
      <c r="E420" s="1830"/>
      <c r="F420" s="1830"/>
      <c r="G420" s="1828"/>
    </row>
    <row r="421" spans="1:7" ht="14.25" hidden="1" customHeight="1">
      <c r="A421" s="66" t="s">
        <v>240</v>
      </c>
      <c r="B421" s="1832" t="str">
        <f>+B413</f>
        <v>ESTRUCTURA METÁLICA</v>
      </c>
      <c r="C421" s="1830"/>
      <c r="D421" s="1828"/>
      <c r="E421" s="1833" t="s">
        <v>218</v>
      </c>
      <c r="F421" s="1828"/>
      <c r="G421" s="62" t="s">
        <v>120</v>
      </c>
    </row>
    <row r="422" spans="1:7" ht="14.25" hidden="1" customHeight="1">
      <c r="A422" s="66" t="s">
        <v>696</v>
      </c>
      <c r="B422" s="1840" t="s">
        <v>400</v>
      </c>
      <c r="C422" s="1830"/>
      <c r="D422" s="1830"/>
      <c r="E422" s="1830"/>
      <c r="F422" s="1830"/>
      <c r="G422" s="1828"/>
    </row>
    <row r="423" spans="1:7" ht="14.25" hidden="1" customHeight="1">
      <c r="A423" s="1836" t="s">
        <v>220</v>
      </c>
      <c r="B423" s="1830"/>
      <c r="C423" s="1830"/>
      <c r="D423" s="1830"/>
      <c r="E423" s="1830"/>
      <c r="F423" s="1830"/>
      <c r="G423" s="1828"/>
    </row>
    <row r="424" spans="1:7" ht="14.25" hidden="1" customHeight="1">
      <c r="A424" s="1829" t="s">
        <v>221</v>
      </c>
      <c r="B424" s="1828"/>
      <c r="C424" s="63" t="s">
        <v>222</v>
      </c>
      <c r="D424" s="63" t="s">
        <v>223</v>
      </c>
      <c r="E424" s="63" t="s">
        <v>224</v>
      </c>
      <c r="F424" s="63" t="s">
        <v>225</v>
      </c>
      <c r="G424" s="63" t="s">
        <v>226</v>
      </c>
    </row>
    <row r="425" spans="1:7" ht="14.25" hidden="1" customHeight="1">
      <c r="A425" s="1845"/>
      <c r="B425" s="1828"/>
      <c r="C425" s="192"/>
      <c r="D425" s="64"/>
      <c r="E425" s="64"/>
      <c r="F425" s="64"/>
      <c r="G425" s="64"/>
    </row>
    <row r="426" spans="1:7" ht="14.25" hidden="1" customHeight="1">
      <c r="A426" s="1845"/>
      <c r="B426" s="1828"/>
      <c r="C426" s="64"/>
      <c r="D426" s="64"/>
      <c r="E426" s="64"/>
      <c r="F426" s="64"/>
      <c r="G426" s="64"/>
    </row>
    <row r="427" spans="1:7" ht="14.25" hidden="1" customHeight="1">
      <c r="A427" s="1829" t="s">
        <v>227</v>
      </c>
      <c r="B427" s="1830"/>
      <c r="C427" s="1830"/>
      <c r="D427" s="1830"/>
      <c r="E427" s="1830"/>
      <c r="F427" s="1828"/>
      <c r="G427" s="191">
        <f>ROUND(SUM(G425:G426),2)</f>
        <v>0</v>
      </c>
    </row>
    <row r="428" spans="1:7" ht="14.25" hidden="1" customHeight="1">
      <c r="A428" s="1831"/>
      <c r="B428" s="1830"/>
      <c r="C428" s="1830"/>
      <c r="D428" s="1830"/>
      <c r="E428" s="1830"/>
      <c r="F428" s="1830"/>
      <c r="G428" s="1828"/>
    </row>
    <row r="429" spans="1:7" ht="14.25" hidden="1" customHeight="1">
      <c r="A429" s="66" t="s">
        <v>240</v>
      </c>
      <c r="B429" s="1832" t="str">
        <f>+B421</f>
        <v>ESTRUCTURA METÁLICA</v>
      </c>
      <c r="C429" s="1830"/>
      <c r="D429" s="1828"/>
      <c r="E429" s="1833" t="s">
        <v>218</v>
      </c>
      <c r="F429" s="1828"/>
      <c r="G429" s="62" t="s">
        <v>120</v>
      </c>
    </row>
    <row r="430" spans="1:7" ht="14.25" hidden="1" customHeight="1">
      <c r="A430" s="66" t="s">
        <v>700</v>
      </c>
      <c r="B430" s="1840" t="s">
        <v>402</v>
      </c>
      <c r="C430" s="1830"/>
      <c r="D430" s="1830"/>
      <c r="E430" s="1830"/>
      <c r="F430" s="1830"/>
      <c r="G430" s="1828"/>
    </row>
    <row r="431" spans="1:7" ht="14.25" hidden="1" customHeight="1">
      <c r="A431" s="1836" t="s">
        <v>220</v>
      </c>
      <c r="B431" s="1830"/>
      <c r="C431" s="1830"/>
      <c r="D431" s="1830"/>
      <c r="E431" s="1830"/>
      <c r="F431" s="1830"/>
      <c r="G431" s="1828"/>
    </row>
    <row r="432" spans="1:7" ht="14.25" hidden="1" customHeight="1">
      <c r="A432" s="1829" t="s">
        <v>221</v>
      </c>
      <c r="B432" s="1828"/>
      <c r="C432" s="63" t="s">
        <v>222</v>
      </c>
      <c r="D432" s="63" t="s">
        <v>223</v>
      </c>
      <c r="E432" s="63" t="s">
        <v>224</v>
      </c>
      <c r="F432" s="63" t="s">
        <v>225</v>
      </c>
      <c r="G432" s="63" t="s">
        <v>226</v>
      </c>
    </row>
    <row r="433" spans="1:7" ht="14.25" hidden="1" customHeight="1">
      <c r="A433" s="1845"/>
      <c r="B433" s="1828"/>
      <c r="C433" s="64"/>
      <c r="D433" s="64"/>
      <c r="E433" s="64"/>
      <c r="F433" s="64"/>
      <c r="G433" s="64"/>
    </row>
    <row r="434" spans="1:7" ht="14.25" hidden="1" customHeight="1">
      <c r="A434" s="1845"/>
      <c r="B434" s="1828"/>
      <c r="C434" s="64"/>
      <c r="D434" s="64"/>
      <c r="E434" s="64"/>
      <c r="F434" s="64"/>
      <c r="G434" s="64"/>
    </row>
    <row r="435" spans="1:7" ht="14.25" hidden="1" customHeight="1">
      <c r="A435" s="1829" t="s">
        <v>227</v>
      </c>
      <c r="B435" s="1830"/>
      <c r="C435" s="1830"/>
      <c r="D435" s="1830"/>
      <c r="E435" s="1830"/>
      <c r="F435" s="1828"/>
      <c r="G435" s="191">
        <f>ROUND(SUM(G433:G434),2)</f>
        <v>0</v>
      </c>
    </row>
    <row r="436" spans="1:7" ht="14.25" hidden="1" customHeight="1">
      <c r="A436" s="1831"/>
      <c r="B436" s="1830"/>
      <c r="C436" s="1830"/>
      <c r="D436" s="1830"/>
      <c r="E436" s="1830"/>
      <c r="F436" s="1830"/>
      <c r="G436" s="1828"/>
    </row>
    <row r="437" spans="1:7" ht="14.25" hidden="1" customHeight="1">
      <c r="A437" s="66" t="s">
        <v>240</v>
      </c>
      <c r="B437" s="1832" t="str">
        <f>+B429</f>
        <v>ESTRUCTURA METÁLICA</v>
      </c>
      <c r="C437" s="1830"/>
      <c r="D437" s="1828"/>
      <c r="E437" s="1833" t="s">
        <v>218</v>
      </c>
      <c r="F437" s="1828"/>
      <c r="G437" s="62" t="s">
        <v>120</v>
      </c>
    </row>
    <row r="438" spans="1:7" ht="14.25" hidden="1" customHeight="1">
      <c r="A438" s="66" t="s">
        <v>708</v>
      </c>
      <c r="B438" s="1840" t="s">
        <v>404</v>
      </c>
      <c r="C438" s="1830"/>
      <c r="D438" s="1830"/>
      <c r="E438" s="1830"/>
      <c r="F438" s="1830"/>
      <c r="G438" s="1828"/>
    </row>
    <row r="439" spans="1:7" ht="14.25" hidden="1" customHeight="1">
      <c r="A439" s="1836" t="s">
        <v>220</v>
      </c>
      <c r="B439" s="1830"/>
      <c r="C439" s="1830"/>
      <c r="D439" s="1830"/>
      <c r="E439" s="1830"/>
      <c r="F439" s="1830"/>
      <c r="G439" s="1828"/>
    </row>
    <row r="440" spans="1:7" ht="14.25" hidden="1" customHeight="1">
      <c r="A440" s="1829" t="s">
        <v>221</v>
      </c>
      <c r="B440" s="1828"/>
      <c r="C440" s="63" t="s">
        <v>222</v>
      </c>
      <c r="D440" s="63" t="s">
        <v>223</v>
      </c>
      <c r="E440" s="63" t="s">
        <v>224</v>
      </c>
      <c r="F440" s="63" t="s">
        <v>225</v>
      </c>
      <c r="G440" s="63" t="s">
        <v>226</v>
      </c>
    </row>
    <row r="441" spans="1:7" ht="14.25" hidden="1" customHeight="1">
      <c r="A441" s="1845"/>
      <c r="B441" s="1828"/>
      <c r="C441" s="64"/>
      <c r="D441" s="64"/>
      <c r="E441" s="64"/>
      <c r="F441" s="64"/>
      <c r="G441" s="64"/>
    </row>
    <row r="442" spans="1:7" ht="14.25" hidden="1" customHeight="1">
      <c r="A442" s="1845"/>
      <c r="B442" s="1828"/>
      <c r="C442" s="64"/>
      <c r="D442" s="64"/>
      <c r="E442" s="64"/>
      <c r="F442" s="64"/>
      <c r="G442" s="64"/>
    </row>
    <row r="443" spans="1:7" ht="14.25" hidden="1" customHeight="1">
      <c r="A443" s="1829" t="s">
        <v>227</v>
      </c>
      <c r="B443" s="1830"/>
      <c r="C443" s="1830"/>
      <c r="D443" s="1830"/>
      <c r="E443" s="1830"/>
      <c r="F443" s="1828"/>
      <c r="G443" s="191">
        <f>ROUND(SUM(G441:G442),2)</f>
        <v>0</v>
      </c>
    </row>
    <row r="444" spans="1:7" ht="14.25" hidden="1" customHeight="1">
      <c r="A444" s="1831"/>
      <c r="B444" s="1830"/>
      <c r="C444" s="1830"/>
      <c r="D444" s="1830"/>
      <c r="E444" s="1830"/>
      <c r="F444" s="1830"/>
      <c r="G444" s="1828"/>
    </row>
    <row r="445" spans="1:7" ht="14.25" hidden="1" customHeight="1">
      <c r="A445" s="66" t="s">
        <v>240</v>
      </c>
      <c r="B445" s="1832" t="str">
        <f>+B396</f>
        <v>ESTRUCTURA METÁLICA</v>
      </c>
      <c r="C445" s="1830"/>
      <c r="D445" s="1828"/>
      <c r="E445" s="1833" t="s">
        <v>218</v>
      </c>
      <c r="F445" s="1828"/>
      <c r="G445" s="62" t="s">
        <v>120</v>
      </c>
    </row>
    <row r="446" spans="1:7" ht="48.75" hidden="1" customHeight="1">
      <c r="A446" s="66" t="s">
        <v>708</v>
      </c>
      <c r="B446" s="1840" t="s">
        <v>709</v>
      </c>
      <c r="C446" s="1830"/>
      <c r="D446" s="1830"/>
      <c r="E446" s="1830"/>
      <c r="F446" s="1830"/>
      <c r="G446" s="1828"/>
    </row>
    <row r="447" spans="1:7" ht="14.25" hidden="1" customHeight="1">
      <c r="A447" s="1836" t="s">
        <v>220</v>
      </c>
      <c r="B447" s="1830"/>
      <c r="C447" s="1830"/>
      <c r="D447" s="1830"/>
      <c r="E447" s="1830"/>
      <c r="F447" s="1830"/>
      <c r="G447" s="1828"/>
    </row>
    <row r="448" spans="1:7" ht="14.25" hidden="1" customHeight="1">
      <c r="A448" s="1829" t="s">
        <v>221</v>
      </c>
      <c r="B448" s="1828"/>
      <c r="C448" s="63" t="s">
        <v>222</v>
      </c>
      <c r="D448" s="63" t="s">
        <v>223</v>
      </c>
      <c r="E448" s="63" t="s">
        <v>224</v>
      </c>
      <c r="F448" s="63" t="s">
        <v>225</v>
      </c>
      <c r="G448" s="63" t="s">
        <v>226</v>
      </c>
    </row>
    <row r="449" spans="1:7" ht="25.5" hidden="1" customHeight="1">
      <c r="A449" s="1845" t="s">
        <v>710</v>
      </c>
      <c r="B449" s="1828"/>
      <c r="C449" s="64">
        <f>+C148</f>
        <v>0</v>
      </c>
      <c r="D449" s="64"/>
      <c r="E449" s="64"/>
      <c r="F449" s="64">
        <v>1</v>
      </c>
      <c r="G449" s="64">
        <f>+F449*C449</f>
        <v>0</v>
      </c>
    </row>
    <row r="450" spans="1:7" ht="14.25" hidden="1" customHeight="1">
      <c r="A450" s="1845"/>
      <c r="B450" s="1828"/>
      <c r="C450" s="64"/>
      <c r="D450" s="64"/>
      <c r="E450" s="64"/>
      <c r="F450" s="64"/>
      <c r="G450" s="64"/>
    </row>
    <row r="451" spans="1:7" ht="14.25" hidden="1" customHeight="1">
      <c r="A451" s="1829" t="s">
        <v>227</v>
      </c>
      <c r="B451" s="1830"/>
      <c r="C451" s="1830"/>
      <c r="D451" s="1830"/>
      <c r="E451" s="1830"/>
      <c r="F451" s="1828"/>
      <c r="G451" s="65"/>
    </row>
    <row r="452" spans="1:7" ht="14.25" hidden="1" customHeight="1">
      <c r="A452" s="1831"/>
      <c r="B452" s="1830"/>
      <c r="C452" s="1830"/>
      <c r="D452" s="1830"/>
      <c r="E452" s="1830"/>
      <c r="F452" s="1830"/>
      <c r="G452" s="1828"/>
    </row>
    <row r="453" spans="1:7" ht="14.25" hidden="1" customHeight="1">
      <c r="A453" s="66" t="s">
        <v>240</v>
      </c>
      <c r="B453" s="1832" t="str">
        <f>+B445</f>
        <v>ESTRUCTURA METÁLICA</v>
      </c>
      <c r="C453" s="1830"/>
      <c r="D453" s="1828"/>
      <c r="E453" s="1833" t="s">
        <v>218</v>
      </c>
      <c r="F453" s="1828"/>
      <c r="G453" s="62" t="s">
        <v>120</v>
      </c>
    </row>
    <row r="454" spans="1:7" ht="30.75" hidden="1" customHeight="1">
      <c r="A454" s="66" t="s">
        <v>711</v>
      </c>
      <c r="B454" s="1840" t="s">
        <v>704</v>
      </c>
      <c r="C454" s="1830"/>
      <c r="D454" s="1830"/>
      <c r="E454" s="1830"/>
      <c r="F454" s="1830"/>
      <c r="G454" s="1828"/>
    </row>
    <row r="455" spans="1:7" ht="14.25" hidden="1" customHeight="1">
      <c r="A455" s="1836" t="s">
        <v>220</v>
      </c>
      <c r="B455" s="1830"/>
      <c r="C455" s="1830"/>
      <c r="D455" s="1830"/>
      <c r="E455" s="1830"/>
      <c r="F455" s="1830"/>
      <c r="G455" s="1828"/>
    </row>
    <row r="456" spans="1:7" ht="14.25" hidden="1" customHeight="1">
      <c r="A456" s="1829" t="s">
        <v>221</v>
      </c>
      <c r="B456" s="1828"/>
      <c r="C456" s="63" t="s">
        <v>222</v>
      </c>
      <c r="D456" s="63" t="s">
        <v>223</v>
      </c>
      <c r="E456" s="63" t="s">
        <v>224</v>
      </c>
      <c r="F456" s="63" t="s">
        <v>225</v>
      </c>
      <c r="G456" s="63" t="s">
        <v>226</v>
      </c>
    </row>
    <row r="457" spans="1:7" ht="14.25" hidden="1" customHeight="1">
      <c r="A457" s="1845" t="s">
        <v>705</v>
      </c>
      <c r="B457" s="1828"/>
      <c r="C457" s="64">
        <v>25.67</v>
      </c>
      <c r="D457" s="64"/>
      <c r="E457" s="64"/>
      <c r="F457" s="64">
        <v>2</v>
      </c>
      <c r="G457" s="64">
        <f t="shared" ref="G457:G458" si="29">+F457*C457</f>
        <v>51.34</v>
      </c>
    </row>
    <row r="458" spans="1:7" ht="14.25" hidden="1" customHeight="1">
      <c r="A458" s="1845" t="s">
        <v>706</v>
      </c>
      <c r="B458" s="1828"/>
      <c r="C458" s="64">
        <v>45.87</v>
      </c>
      <c r="D458" s="64"/>
      <c r="E458" s="64"/>
      <c r="F458" s="64">
        <v>1</v>
      </c>
      <c r="G458" s="64">
        <f t="shared" si="29"/>
        <v>45.87</v>
      </c>
    </row>
    <row r="459" spans="1:7" ht="14.25" hidden="1" customHeight="1">
      <c r="A459" s="1845"/>
      <c r="B459" s="1828"/>
      <c r="C459" s="64"/>
      <c r="D459" s="64"/>
      <c r="E459" s="64"/>
      <c r="F459" s="64"/>
      <c r="G459" s="64"/>
    </row>
    <row r="460" spans="1:7" ht="14.25" hidden="1" customHeight="1">
      <c r="A460" s="1829" t="s">
        <v>227</v>
      </c>
      <c r="B460" s="1830"/>
      <c r="C460" s="1830"/>
      <c r="D460" s="1830"/>
      <c r="E460" s="1830"/>
      <c r="F460" s="1828"/>
      <c r="G460" s="191"/>
    </row>
    <row r="461" spans="1:7" ht="14.25" hidden="1" customHeight="1">
      <c r="A461" s="1831"/>
      <c r="B461" s="1830"/>
      <c r="C461" s="1830"/>
      <c r="D461" s="1830"/>
      <c r="E461" s="1830"/>
      <c r="F461" s="1830"/>
      <c r="G461" s="1828"/>
    </row>
    <row r="462" spans="1:7" ht="14.25" hidden="1" customHeight="1">
      <c r="A462" s="66" t="s">
        <v>240</v>
      </c>
      <c r="B462" s="1832" t="str">
        <f>+B453</f>
        <v>ESTRUCTURA METÁLICA</v>
      </c>
      <c r="C462" s="1830"/>
      <c r="D462" s="1828"/>
      <c r="E462" s="1833" t="s">
        <v>218</v>
      </c>
      <c r="F462" s="1828"/>
      <c r="G462" s="62" t="s">
        <v>228</v>
      </c>
    </row>
    <row r="463" spans="1:7" ht="14.25" hidden="1" customHeight="1">
      <c r="A463" s="66" t="s">
        <v>667</v>
      </c>
      <c r="B463" s="1840" t="s">
        <v>399</v>
      </c>
      <c r="C463" s="1830"/>
      <c r="D463" s="1830"/>
      <c r="E463" s="1830"/>
      <c r="F463" s="1830"/>
      <c r="G463" s="1828"/>
    </row>
    <row r="464" spans="1:7" ht="14.25" hidden="1" customHeight="1">
      <c r="A464" s="1836" t="s">
        <v>220</v>
      </c>
      <c r="B464" s="1830"/>
      <c r="C464" s="1830"/>
      <c r="D464" s="1830"/>
      <c r="E464" s="1830"/>
      <c r="F464" s="1830"/>
      <c r="G464" s="1828"/>
    </row>
    <row r="465" spans="1:7" ht="14.25" hidden="1" customHeight="1">
      <c r="A465" s="1829" t="s">
        <v>221</v>
      </c>
      <c r="B465" s="1828"/>
      <c r="C465" s="63" t="s">
        <v>222</v>
      </c>
      <c r="D465" s="63" t="s">
        <v>223</v>
      </c>
      <c r="E465" s="63" t="s">
        <v>224</v>
      </c>
      <c r="F465" s="63" t="s">
        <v>225</v>
      </c>
      <c r="G465" s="63" t="s">
        <v>226</v>
      </c>
    </row>
    <row r="466" spans="1:7" ht="14.25" hidden="1" customHeight="1">
      <c r="A466" s="1845" t="s">
        <v>707</v>
      </c>
      <c r="B466" s="1828"/>
      <c r="C466" s="64"/>
      <c r="D466" s="64"/>
      <c r="E466" s="64"/>
      <c r="F466" s="64"/>
      <c r="G466" s="64"/>
    </row>
    <row r="467" spans="1:7" ht="14.25" hidden="1" customHeight="1">
      <c r="A467" s="1845"/>
      <c r="B467" s="1828"/>
      <c r="C467" s="64"/>
      <c r="D467" s="64"/>
      <c r="E467" s="64"/>
      <c r="F467" s="64"/>
      <c r="G467" s="64"/>
    </row>
    <row r="468" spans="1:7" ht="14.25" hidden="1" customHeight="1">
      <c r="A468" s="1829" t="s">
        <v>227</v>
      </c>
      <c r="B468" s="1830"/>
      <c r="C468" s="1830"/>
      <c r="D468" s="1830"/>
      <c r="E468" s="1830"/>
      <c r="F468" s="1828"/>
      <c r="G468" s="191">
        <f>ROUND(SUM(G466:G467),2)</f>
        <v>0</v>
      </c>
    </row>
    <row r="469" spans="1:7" ht="14.25" hidden="1" customHeight="1">
      <c r="A469" s="1831"/>
      <c r="B469" s="1830"/>
      <c r="C469" s="1830"/>
      <c r="D469" s="1830"/>
      <c r="E469" s="1830"/>
      <c r="F469" s="1830"/>
      <c r="G469" s="1828"/>
    </row>
    <row r="470" spans="1:7" ht="14.25" hidden="1" customHeight="1">
      <c r="A470" s="66" t="s">
        <v>240</v>
      </c>
      <c r="B470" s="1832" t="str">
        <f>+B462</f>
        <v>ESTRUCTURA METÁLICA</v>
      </c>
      <c r="C470" s="1830"/>
      <c r="D470" s="1828"/>
      <c r="E470" s="1833" t="s">
        <v>218</v>
      </c>
      <c r="F470" s="1828"/>
      <c r="G470" s="62" t="s">
        <v>120</v>
      </c>
    </row>
    <row r="471" spans="1:7" ht="14.25" hidden="1" customHeight="1">
      <c r="A471" s="66" t="s">
        <v>696</v>
      </c>
      <c r="B471" s="1840" t="s">
        <v>400</v>
      </c>
      <c r="C471" s="1830"/>
      <c r="D471" s="1830"/>
      <c r="E471" s="1830"/>
      <c r="F471" s="1830"/>
      <c r="G471" s="1828"/>
    </row>
    <row r="472" spans="1:7" ht="14.25" hidden="1" customHeight="1">
      <c r="A472" s="1836" t="s">
        <v>220</v>
      </c>
      <c r="B472" s="1830"/>
      <c r="C472" s="1830"/>
      <c r="D472" s="1830"/>
      <c r="E472" s="1830"/>
      <c r="F472" s="1830"/>
      <c r="G472" s="1828"/>
    </row>
    <row r="473" spans="1:7" ht="14.25" hidden="1" customHeight="1">
      <c r="A473" s="1829" t="s">
        <v>221</v>
      </c>
      <c r="B473" s="1828"/>
      <c r="C473" s="63" t="s">
        <v>222</v>
      </c>
      <c r="D473" s="63" t="s">
        <v>223</v>
      </c>
      <c r="E473" s="63" t="s">
        <v>224</v>
      </c>
      <c r="F473" s="63" t="s">
        <v>225</v>
      </c>
      <c r="G473" s="63" t="s">
        <v>226</v>
      </c>
    </row>
    <row r="474" spans="1:7" ht="14.25" hidden="1" customHeight="1">
      <c r="A474" s="1845"/>
      <c r="B474" s="1828"/>
      <c r="C474" s="192"/>
      <c r="D474" s="64"/>
      <c r="E474" s="64"/>
      <c r="F474" s="64"/>
      <c r="G474" s="64"/>
    </row>
    <row r="475" spans="1:7" ht="14.25" hidden="1" customHeight="1">
      <c r="A475" s="1845"/>
      <c r="B475" s="1828"/>
      <c r="C475" s="64"/>
      <c r="D475" s="64"/>
      <c r="E475" s="64"/>
      <c r="F475" s="64"/>
      <c r="G475" s="64"/>
    </row>
    <row r="476" spans="1:7" ht="14.25" hidden="1" customHeight="1">
      <c r="A476" s="1829" t="s">
        <v>227</v>
      </c>
      <c r="B476" s="1830"/>
      <c r="C476" s="1830"/>
      <c r="D476" s="1830"/>
      <c r="E476" s="1830"/>
      <c r="F476" s="1828"/>
      <c r="G476" s="191">
        <f>ROUND(SUM(G474:G475),2)</f>
        <v>0</v>
      </c>
    </row>
    <row r="477" spans="1:7" ht="14.25" hidden="1" customHeight="1">
      <c r="A477" s="1831"/>
      <c r="B477" s="1830"/>
      <c r="C477" s="1830"/>
      <c r="D477" s="1830"/>
      <c r="E477" s="1830"/>
      <c r="F477" s="1830"/>
      <c r="G477" s="1828"/>
    </row>
    <row r="478" spans="1:7" ht="14.25" customHeight="1">
      <c r="A478" s="66" t="s">
        <v>240</v>
      </c>
      <c r="B478" s="1832" t="str">
        <f>+B470</f>
        <v>ESTRUCTURA METÁLICA</v>
      </c>
      <c r="C478" s="1830"/>
      <c r="D478" s="1828"/>
      <c r="E478" s="1833" t="s">
        <v>218</v>
      </c>
      <c r="F478" s="1828"/>
      <c r="G478" s="62" t="s">
        <v>120</v>
      </c>
    </row>
    <row r="479" spans="1:7" ht="14.25" customHeight="1">
      <c r="A479" s="66" t="s">
        <v>712</v>
      </c>
      <c r="B479" s="1840" t="s">
        <v>402</v>
      </c>
      <c r="C479" s="1830"/>
      <c r="D479" s="1830"/>
      <c r="E479" s="1830"/>
      <c r="F479" s="1830"/>
      <c r="G479" s="1828"/>
    </row>
    <row r="480" spans="1:7" ht="14.25" customHeight="1">
      <c r="A480" s="1836" t="s">
        <v>220</v>
      </c>
      <c r="B480" s="1830"/>
      <c r="C480" s="1830"/>
      <c r="D480" s="1830"/>
      <c r="E480" s="1830"/>
      <c r="F480" s="1830"/>
      <c r="G480" s="1828"/>
    </row>
    <row r="481" spans="1:7" ht="14.25" customHeight="1">
      <c r="A481" s="1829" t="s">
        <v>221</v>
      </c>
      <c r="B481" s="1828"/>
      <c r="C481" s="63" t="s">
        <v>222</v>
      </c>
      <c r="D481" s="63" t="s">
        <v>223</v>
      </c>
      <c r="E481" s="63" t="s">
        <v>224</v>
      </c>
      <c r="F481" s="63" t="s">
        <v>225</v>
      </c>
      <c r="G481" s="63" t="s">
        <v>226</v>
      </c>
    </row>
    <row r="482" spans="1:7" ht="14.25" hidden="1" customHeight="1">
      <c r="A482" s="1847" t="s">
        <v>620</v>
      </c>
      <c r="B482" s="1828"/>
      <c r="C482" s="64"/>
      <c r="D482" s="64"/>
      <c r="E482" s="64"/>
      <c r="F482" s="64"/>
      <c r="G482" s="64"/>
    </row>
    <row r="483" spans="1:7" ht="14.25" hidden="1" customHeight="1">
      <c r="A483" s="1845" t="s">
        <v>713</v>
      </c>
      <c r="B483" s="1828"/>
      <c r="C483" s="64">
        <v>45.65</v>
      </c>
      <c r="D483" s="64"/>
      <c r="E483" s="64"/>
      <c r="F483" s="64"/>
      <c r="G483" s="64"/>
    </row>
    <row r="484" spans="1:7" ht="14.25" customHeight="1">
      <c r="A484" s="1847" t="s">
        <v>698</v>
      </c>
      <c r="B484" s="1828"/>
      <c r="C484" s="64"/>
      <c r="D484" s="64"/>
      <c r="E484" s="64"/>
      <c r="F484" s="64"/>
      <c r="G484" s="64"/>
    </row>
    <row r="485" spans="1:7" ht="14.25" customHeight="1">
      <c r="A485" s="1845" t="s">
        <v>963</v>
      </c>
      <c r="B485" s="1828"/>
      <c r="C485" s="64">
        <v>170.35</v>
      </c>
      <c r="D485" s="64"/>
      <c r="E485" s="64"/>
      <c r="F485" s="64"/>
      <c r="G485" s="64">
        <f>+C485</f>
        <v>170.35</v>
      </c>
    </row>
    <row r="486" spans="1:7" ht="14.25" hidden="1" customHeight="1">
      <c r="A486" s="1847" t="s">
        <v>699</v>
      </c>
      <c r="B486" s="1828"/>
      <c r="C486" s="64"/>
      <c r="D486" s="64"/>
      <c r="E486" s="64"/>
      <c r="F486" s="64"/>
      <c r="G486" s="64"/>
    </row>
    <row r="487" spans="1:7" ht="14.25" hidden="1" customHeight="1">
      <c r="A487" s="1845" t="s">
        <v>964</v>
      </c>
      <c r="B487" s="1828"/>
      <c r="C487" s="64">
        <v>163.15</v>
      </c>
      <c r="D487" s="64"/>
      <c r="E487" s="64"/>
      <c r="F487" s="64"/>
      <c r="G487" s="64"/>
    </row>
    <row r="488" spans="1:7" ht="14.25" customHeight="1">
      <c r="A488" s="1845"/>
      <c r="B488" s="1828"/>
      <c r="C488" s="64"/>
      <c r="D488" s="64"/>
      <c r="E488" s="64"/>
      <c r="F488" s="64"/>
      <c r="G488" s="64"/>
    </row>
    <row r="489" spans="1:7" ht="14.25" customHeight="1">
      <c r="A489" s="1845"/>
      <c r="B489" s="1828"/>
      <c r="C489" s="64"/>
      <c r="D489" s="64"/>
      <c r="E489" s="64"/>
      <c r="F489" s="64"/>
      <c r="G489" s="64"/>
    </row>
    <row r="490" spans="1:7" ht="14.25" customHeight="1">
      <c r="A490" s="1829" t="s">
        <v>227</v>
      </c>
      <c r="B490" s="1830"/>
      <c r="C490" s="1830"/>
      <c r="D490" s="1830"/>
      <c r="E490" s="1830"/>
      <c r="F490" s="1828"/>
      <c r="G490" s="191">
        <f>SUM(G483:G489)</f>
        <v>170.35</v>
      </c>
    </row>
    <row r="491" spans="1:7" ht="14.25" customHeight="1">
      <c r="A491" s="1831"/>
      <c r="B491" s="1830"/>
      <c r="C491" s="1830"/>
      <c r="D491" s="1830"/>
      <c r="E491" s="1830"/>
      <c r="F491" s="1830"/>
      <c r="G491" s="1828"/>
    </row>
    <row r="492" spans="1:7" ht="14.25" customHeight="1">
      <c r="A492" s="66" t="s">
        <v>240</v>
      </c>
      <c r="B492" s="1832" t="str">
        <f>+B478</f>
        <v>ESTRUCTURA METÁLICA</v>
      </c>
      <c r="C492" s="1830"/>
      <c r="D492" s="1828"/>
      <c r="E492" s="1833" t="s">
        <v>218</v>
      </c>
      <c r="F492" s="1828"/>
      <c r="G492" s="62" t="s">
        <v>120</v>
      </c>
    </row>
    <row r="493" spans="1:7" ht="14.25" customHeight="1">
      <c r="A493" s="66" t="s">
        <v>714</v>
      </c>
      <c r="B493" s="1840" t="s">
        <v>404</v>
      </c>
      <c r="C493" s="1830"/>
      <c r="D493" s="1830"/>
      <c r="E493" s="1830"/>
      <c r="F493" s="1830"/>
      <c r="G493" s="1828"/>
    </row>
    <row r="494" spans="1:7" ht="14.25" customHeight="1">
      <c r="A494" s="1836" t="s">
        <v>220</v>
      </c>
      <c r="B494" s="1830"/>
      <c r="C494" s="1830"/>
      <c r="D494" s="1830"/>
      <c r="E494" s="1830"/>
      <c r="F494" s="1830"/>
      <c r="G494" s="1828"/>
    </row>
    <row r="495" spans="1:7" ht="14.25" customHeight="1">
      <c r="A495" s="1829" t="s">
        <v>221</v>
      </c>
      <c r="B495" s="1828"/>
      <c r="C495" s="63" t="s">
        <v>222</v>
      </c>
      <c r="D495" s="63" t="s">
        <v>223</v>
      </c>
      <c r="E495" s="63" t="s">
        <v>224</v>
      </c>
      <c r="F495" s="63" t="s">
        <v>225</v>
      </c>
      <c r="G495" s="63" t="s">
        <v>226</v>
      </c>
    </row>
    <row r="496" spans="1:7" ht="14.25" hidden="1" customHeight="1">
      <c r="A496" s="1847" t="s">
        <v>620</v>
      </c>
      <c r="B496" s="1828"/>
      <c r="C496" s="64"/>
      <c r="D496" s="64"/>
      <c r="E496" s="64"/>
      <c r="F496" s="64"/>
      <c r="G496" s="64"/>
    </row>
    <row r="497" spans="1:7" ht="14.25" hidden="1" customHeight="1">
      <c r="A497" s="1845" t="s">
        <v>715</v>
      </c>
      <c r="B497" s="1828"/>
      <c r="C497" s="64">
        <v>214.5</v>
      </c>
      <c r="D497" s="64"/>
      <c r="E497" s="64"/>
      <c r="F497" s="64"/>
      <c r="G497" s="64"/>
    </row>
    <row r="498" spans="1:7" ht="14.25" customHeight="1">
      <c r="A498" s="1847" t="s">
        <v>698</v>
      </c>
      <c r="B498" s="1828"/>
      <c r="C498" s="64"/>
      <c r="D498" s="64"/>
      <c r="E498" s="64"/>
      <c r="F498" s="64"/>
      <c r="G498" s="64"/>
    </row>
    <row r="499" spans="1:7" ht="14.25" customHeight="1">
      <c r="A499" s="1845" t="s">
        <v>965</v>
      </c>
      <c r="B499" s="1828"/>
      <c r="C499" s="64">
        <v>210.55</v>
      </c>
      <c r="D499" s="64"/>
      <c r="E499" s="64"/>
      <c r="F499" s="64"/>
      <c r="G499" s="64">
        <f>+C499</f>
        <v>210.55</v>
      </c>
    </row>
    <row r="500" spans="1:7" ht="14.25" hidden="1" customHeight="1">
      <c r="A500" s="1847" t="s">
        <v>699</v>
      </c>
      <c r="B500" s="1828"/>
      <c r="C500" s="64"/>
      <c r="D500" s="64"/>
      <c r="E500" s="64"/>
      <c r="F500" s="64"/>
      <c r="G500" s="64"/>
    </row>
    <row r="501" spans="1:7" ht="14.25" hidden="1" customHeight="1">
      <c r="A501" s="1845" t="s">
        <v>966</v>
      </c>
      <c r="B501" s="1828"/>
      <c r="C501" s="64">
        <v>284.64999999999998</v>
      </c>
      <c r="D501" s="64"/>
      <c r="E501" s="64"/>
      <c r="F501" s="64"/>
      <c r="G501" s="64"/>
    </row>
    <row r="502" spans="1:7" ht="14.25" customHeight="1">
      <c r="A502" s="1845"/>
      <c r="B502" s="1828"/>
      <c r="C502" s="64"/>
      <c r="D502" s="64"/>
      <c r="E502" s="64"/>
      <c r="F502" s="64"/>
      <c r="G502" s="64"/>
    </row>
    <row r="503" spans="1:7" ht="14.25" customHeight="1">
      <c r="A503" s="1845"/>
      <c r="B503" s="1828"/>
      <c r="C503" s="64"/>
      <c r="D503" s="64"/>
      <c r="E503" s="64"/>
      <c r="F503" s="64"/>
      <c r="G503" s="64"/>
    </row>
    <row r="504" spans="1:7" ht="14.25" customHeight="1">
      <c r="A504" s="1829" t="s">
        <v>227</v>
      </c>
      <c r="B504" s="1830"/>
      <c r="C504" s="1830"/>
      <c r="D504" s="1830"/>
      <c r="E504" s="1830"/>
      <c r="F504" s="1828"/>
      <c r="G504" s="191">
        <f>ROUND(SUM(G497:G503),2)</f>
        <v>210.55</v>
      </c>
    </row>
    <row r="505" spans="1:7" ht="14.25" customHeight="1">
      <c r="A505" s="1831"/>
      <c r="B505" s="1830"/>
      <c r="C505" s="1830"/>
      <c r="D505" s="1830"/>
      <c r="E505" s="1830"/>
      <c r="F505" s="1830"/>
      <c r="G505" s="1828"/>
    </row>
    <row r="506" spans="1:7" ht="14.25" customHeight="1">
      <c r="A506" s="66" t="s">
        <v>249</v>
      </c>
      <c r="B506" s="1832" t="s">
        <v>405</v>
      </c>
      <c r="C506" s="1830"/>
      <c r="D506" s="1828"/>
      <c r="E506" s="1833" t="s">
        <v>218</v>
      </c>
      <c r="F506" s="1828"/>
      <c r="G506" s="62" t="s">
        <v>228</v>
      </c>
    </row>
    <row r="507" spans="1:7" ht="30" customHeight="1">
      <c r="A507" s="66" t="s">
        <v>250</v>
      </c>
      <c r="B507" s="1840" t="s">
        <v>716</v>
      </c>
      <c r="C507" s="1830"/>
      <c r="D507" s="1830"/>
      <c r="E507" s="1830"/>
      <c r="F507" s="1830"/>
      <c r="G507" s="1828"/>
    </row>
    <row r="508" spans="1:7" ht="14.25" customHeight="1">
      <c r="A508" s="1836" t="s">
        <v>220</v>
      </c>
      <c r="B508" s="1830"/>
      <c r="C508" s="1830"/>
      <c r="D508" s="1830"/>
      <c r="E508" s="1830"/>
      <c r="F508" s="1830"/>
      <c r="G508" s="1828"/>
    </row>
    <row r="509" spans="1:7" ht="14.25" customHeight="1">
      <c r="A509" s="1829" t="s">
        <v>221</v>
      </c>
      <c r="B509" s="1828"/>
      <c r="C509" s="63" t="s">
        <v>222</v>
      </c>
      <c r="D509" s="63" t="s">
        <v>223</v>
      </c>
      <c r="E509" s="63" t="s">
        <v>248</v>
      </c>
      <c r="F509" s="63" t="s">
        <v>225</v>
      </c>
      <c r="G509" s="63" t="s">
        <v>226</v>
      </c>
    </row>
    <row r="510" spans="1:7" ht="14.25" customHeight="1">
      <c r="A510" s="1847" t="s">
        <v>737</v>
      </c>
      <c r="B510" s="1828"/>
      <c r="C510" s="64"/>
      <c r="D510" s="64"/>
      <c r="E510" s="64"/>
      <c r="F510" s="64"/>
      <c r="G510" s="64"/>
    </row>
    <row r="511" spans="1:7" ht="14.25" customHeight="1">
      <c r="A511" s="1844" t="s">
        <v>587</v>
      </c>
      <c r="B511" s="1828"/>
      <c r="C511" s="64">
        <v>1298.04</v>
      </c>
      <c r="D511" s="64"/>
      <c r="E511" s="64"/>
      <c r="F511" s="64"/>
      <c r="G511" s="64">
        <f>+C511</f>
        <v>1298.04</v>
      </c>
    </row>
    <row r="512" spans="1:7" ht="14.25" customHeight="1">
      <c r="A512" s="1845"/>
      <c r="B512" s="1828"/>
      <c r="C512" s="64"/>
      <c r="D512" s="64"/>
      <c r="E512" s="64"/>
      <c r="F512" s="64"/>
      <c r="G512" s="64"/>
    </row>
    <row r="513" spans="1:2" ht="14.25" hidden="1" customHeight="1">
      <c r="A513" s="1844"/>
      <c r="B513" s="1828"/>
    </row>
    <row r="514" spans="1:2" ht="14.25" hidden="1" customHeight="1">
      <c r="A514" s="1845"/>
      <c r="B514" s="1828"/>
    </row>
    <row r="515" spans="1:2" ht="14.25" hidden="1" customHeight="1">
      <c r="A515" s="1844"/>
      <c r="B515" s="1828"/>
    </row>
    <row r="516" spans="1:2" ht="14.25" hidden="1" customHeight="1">
      <c r="A516" s="1845"/>
      <c r="B516" s="1828"/>
    </row>
    <row r="517" spans="1:2" ht="14.25" hidden="1" customHeight="1">
      <c r="A517" s="1844"/>
      <c r="B517" s="1828"/>
    </row>
    <row r="518" spans="1:2" ht="14.25" hidden="1" customHeight="1">
      <c r="A518" s="1845"/>
      <c r="B518" s="1828"/>
    </row>
    <row r="519" spans="1:2" ht="14.25" hidden="1" customHeight="1">
      <c r="A519" s="1844"/>
      <c r="B519" s="1828"/>
    </row>
    <row r="520" spans="1:2" ht="14.25" hidden="1" customHeight="1">
      <c r="A520" s="1847"/>
      <c r="B520" s="1828"/>
    </row>
    <row r="521" spans="1:2" ht="14.25" hidden="1" customHeight="1">
      <c r="A521" s="1844"/>
      <c r="B521" s="1828"/>
    </row>
    <row r="522" spans="1:2" ht="14.25" hidden="1" customHeight="1">
      <c r="A522" s="1845"/>
      <c r="B522" s="1828"/>
    </row>
    <row r="523" spans="1:2" ht="14.25" hidden="1" customHeight="1">
      <c r="A523" s="1845"/>
      <c r="B523" s="1828"/>
    </row>
    <row r="524" spans="1:2" ht="14.25" hidden="1" customHeight="1">
      <c r="A524" s="1844"/>
      <c r="B524" s="1828"/>
    </row>
    <row r="525" spans="1:2" ht="14.25" hidden="1" customHeight="1">
      <c r="A525" s="1844"/>
      <c r="B525" s="1828"/>
    </row>
    <row r="526" spans="1:2" ht="14.25" hidden="1" customHeight="1">
      <c r="A526" s="1844"/>
      <c r="B526" s="1828"/>
    </row>
    <row r="527" spans="1:2" ht="14.25" hidden="1" customHeight="1">
      <c r="A527" s="1844"/>
      <c r="B527" s="1828"/>
    </row>
    <row r="528" spans="1:2" ht="14.25" hidden="1" customHeight="1">
      <c r="A528" s="1845"/>
      <c r="B528" s="1828"/>
    </row>
    <row r="529" spans="1:7" ht="14.25" hidden="1" customHeight="1">
      <c r="A529" s="1844"/>
      <c r="B529" s="1828"/>
      <c r="C529" s="64"/>
      <c r="D529" s="64"/>
      <c r="E529" s="64"/>
      <c r="F529" s="64"/>
      <c r="G529" s="64"/>
    </row>
    <row r="530" spans="1:7" ht="14.25" hidden="1" customHeight="1">
      <c r="A530" s="1845"/>
      <c r="B530" s="1828"/>
      <c r="C530" s="64"/>
      <c r="D530" s="64"/>
      <c r="E530" s="64"/>
      <c r="F530" s="64"/>
      <c r="G530" s="64"/>
    </row>
    <row r="531" spans="1:7" ht="14.25" hidden="1" customHeight="1">
      <c r="A531" s="1844"/>
      <c r="B531" s="1828"/>
      <c r="C531" s="64"/>
      <c r="D531" s="64"/>
      <c r="E531" s="64"/>
      <c r="F531" s="64"/>
      <c r="G531" s="64"/>
    </row>
    <row r="532" spans="1:7" ht="14.25" hidden="1" customHeight="1">
      <c r="A532" s="1845"/>
      <c r="B532" s="1828"/>
      <c r="C532" s="64"/>
      <c r="D532" s="64"/>
      <c r="E532" s="64"/>
      <c r="F532" s="64"/>
      <c r="G532" s="64"/>
    </row>
    <row r="533" spans="1:7" ht="14.25" hidden="1" customHeight="1">
      <c r="A533" s="1844"/>
      <c r="B533" s="1828"/>
      <c r="C533" s="64"/>
      <c r="D533" s="64"/>
      <c r="E533" s="64"/>
      <c r="F533" s="64"/>
      <c r="G533" s="64"/>
    </row>
    <row r="534" spans="1:7" ht="14.25" hidden="1" customHeight="1">
      <c r="A534" s="1845"/>
      <c r="B534" s="1828"/>
      <c r="C534" s="64"/>
      <c r="D534" s="64"/>
      <c r="E534" s="64"/>
      <c r="F534" s="64"/>
      <c r="G534" s="64"/>
    </row>
    <row r="535" spans="1:7" ht="14.25" hidden="1" customHeight="1">
      <c r="A535" s="1844"/>
      <c r="B535" s="1828"/>
      <c r="C535" s="64"/>
      <c r="D535" s="64"/>
      <c r="E535" s="64"/>
      <c r="F535" s="64"/>
      <c r="G535" s="64"/>
    </row>
    <row r="536" spans="1:7" ht="14.25" hidden="1" customHeight="1">
      <c r="A536" s="1847"/>
      <c r="B536" s="1828"/>
      <c r="C536" s="64"/>
      <c r="D536" s="64"/>
      <c r="E536" s="64"/>
      <c r="F536" s="64"/>
      <c r="G536" s="64"/>
    </row>
    <row r="537" spans="1:7" ht="14.25" hidden="1" customHeight="1">
      <c r="A537" s="1844"/>
      <c r="B537" s="1828"/>
      <c r="C537" s="64"/>
      <c r="D537" s="64"/>
      <c r="E537" s="64"/>
      <c r="F537" s="64"/>
      <c r="G537" s="64"/>
    </row>
    <row r="538" spans="1:7" ht="14.25" hidden="1" customHeight="1">
      <c r="A538" s="1845"/>
      <c r="B538" s="1828"/>
      <c r="C538" s="64"/>
      <c r="D538" s="64"/>
      <c r="E538" s="64"/>
      <c r="F538" s="64"/>
      <c r="G538" s="64"/>
    </row>
    <row r="539" spans="1:7" ht="14.25" hidden="1" customHeight="1">
      <c r="A539" s="1844"/>
      <c r="B539" s="1828"/>
      <c r="C539" s="64"/>
      <c r="D539" s="64"/>
      <c r="E539" s="64"/>
      <c r="F539" s="64"/>
      <c r="G539" s="64"/>
    </row>
    <row r="540" spans="1:7" ht="14.25" hidden="1" customHeight="1">
      <c r="A540" s="1845"/>
      <c r="B540" s="1828"/>
      <c r="C540" s="64"/>
      <c r="D540" s="64"/>
      <c r="E540" s="64"/>
      <c r="F540" s="64"/>
      <c r="G540" s="64"/>
    </row>
    <row r="541" spans="1:7" ht="14.25" hidden="1" customHeight="1">
      <c r="A541" s="1851"/>
      <c r="B541" s="1828"/>
      <c r="C541" s="64"/>
      <c r="D541" s="64"/>
      <c r="E541" s="64"/>
      <c r="F541" s="64"/>
      <c r="G541" s="64"/>
    </row>
    <row r="542" spans="1:7" ht="14.25" customHeight="1">
      <c r="A542" s="1844"/>
      <c r="B542" s="1828"/>
      <c r="C542" s="64"/>
      <c r="D542" s="64"/>
      <c r="E542" s="64"/>
      <c r="F542" s="64"/>
      <c r="G542" s="64"/>
    </row>
    <row r="543" spans="1:7" ht="14.25" customHeight="1">
      <c r="A543" s="1829" t="s">
        <v>227</v>
      </c>
      <c r="B543" s="1830"/>
      <c r="C543" s="1830"/>
      <c r="D543" s="1830"/>
      <c r="E543" s="1830"/>
      <c r="F543" s="1828"/>
      <c r="G543" s="65">
        <f>ROUND(SUM(G510:G542),2)</f>
        <v>1298.04</v>
      </c>
    </row>
    <row r="544" spans="1:7" ht="14.25" customHeight="1">
      <c r="A544" s="1831"/>
      <c r="B544" s="1830"/>
      <c r="C544" s="1830"/>
      <c r="D544" s="1830"/>
      <c r="E544" s="1830"/>
      <c r="F544" s="1830"/>
      <c r="G544" s="1828"/>
    </row>
    <row r="545" spans="1:7" ht="14.25" hidden="1" customHeight="1">
      <c r="A545" s="66" t="s">
        <v>249</v>
      </c>
      <c r="B545" s="1832" t="str">
        <f>+B506</f>
        <v>PISOS Y ENCHAPES</v>
      </c>
      <c r="C545" s="1830"/>
      <c r="D545" s="1828"/>
      <c r="E545" s="1833" t="s">
        <v>218</v>
      </c>
      <c r="F545" s="1828"/>
      <c r="G545" s="62" t="s">
        <v>228</v>
      </c>
    </row>
    <row r="546" spans="1:7" ht="14.25" hidden="1" customHeight="1">
      <c r="A546" s="66" t="s">
        <v>251</v>
      </c>
      <c r="B546" s="1840" t="s">
        <v>722</v>
      </c>
      <c r="C546" s="1830"/>
      <c r="D546" s="1830"/>
      <c r="E546" s="1830"/>
      <c r="F546" s="1830"/>
      <c r="G546" s="1828"/>
    </row>
    <row r="547" spans="1:7" ht="14.25" hidden="1" customHeight="1">
      <c r="A547" s="1836" t="s">
        <v>220</v>
      </c>
      <c r="B547" s="1830"/>
      <c r="C547" s="1830"/>
      <c r="D547" s="1830"/>
      <c r="E547" s="1830"/>
      <c r="F547" s="1830"/>
      <c r="G547" s="1828"/>
    </row>
    <row r="548" spans="1:7" ht="14.25" hidden="1" customHeight="1">
      <c r="A548" s="1829" t="s">
        <v>221</v>
      </c>
      <c r="B548" s="1828"/>
      <c r="C548" s="63" t="s">
        <v>222</v>
      </c>
      <c r="D548" s="63" t="s">
        <v>223</v>
      </c>
      <c r="E548" s="63" t="s">
        <v>224</v>
      </c>
      <c r="F548" s="63" t="s">
        <v>225</v>
      </c>
      <c r="G548" s="63" t="s">
        <v>226</v>
      </c>
    </row>
    <row r="549" spans="1:7" ht="14.25" hidden="1" customHeight="1">
      <c r="A549" s="1845" t="s">
        <v>723</v>
      </c>
      <c r="B549" s="1828"/>
      <c r="C549" s="64">
        <v>13.5</v>
      </c>
      <c r="D549" s="64">
        <v>4.2</v>
      </c>
      <c r="E549" s="64"/>
      <c r="F549" s="64"/>
      <c r="G549" s="64">
        <f t="shared" ref="G549:G550" si="30">+C549*D549</f>
        <v>56.7</v>
      </c>
    </row>
    <row r="550" spans="1:7" ht="14.25" hidden="1" customHeight="1">
      <c r="A550" s="1844" t="s">
        <v>724</v>
      </c>
      <c r="B550" s="1828"/>
      <c r="C550" s="64">
        <v>22.48</v>
      </c>
      <c r="D550" s="64">
        <f>74.53/C550</f>
        <v>3.3153914590747329</v>
      </c>
      <c r="E550" s="64"/>
      <c r="F550" s="64"/>
      <c r="G550" s="64">
        <f t="shared" si="30"/>
        <v>74.53</v>
      </c>
    </row>
    <row r="551" spans="1:7" ht="14.25" hidden="1" customHeight="1">
      <c r="A551" s="1844"/>
      <c r="B551" s="1828"/>
      <c r="C551" s="64"/>
      <c r="D551" s="64"/>
      <c r="E551" s="64"/>
      <c r="F551" s="64"/>
      <c r="G551" s="64"/>
    </row>
    <row r="552" spans="1:7" ht="14.25" hidden="1" customHeight="1">
      <c r="A552" s="1829" t="s">
        <v>227</v>
      </c>
      <c r="B552" s="1830"/>
      <c r="C552" s="1830"/>
      <c r="D552" s="1830"/>
      <c r="E552" s="1830"/>
      <c r="F552" s="1828"/>
      <c r="G552" s="191"/>
    </row>
    <row r="553" spans="1:7" ht="14.25" hidden="1" customHeight="1">
      <c r="A553" s="1831"/>
      <c r="B553" s="1830"/>
      <c r="C553" s="1830"/>
      <c r="D553" s="1830"/>
      <c r="E553" s="1830"/>
      <c r="F553" s="1830"/>
      <c r="G553" s="1828"/>
    </row>
    <row r="554" spans="1:7" ht="14.25" customHeight="1">
      <c r="A554" s="66" t="s">
        <v>249</v>
      </c>
      <c r="B554" s="1832" t="str">
        <f>+B545</f>
        <v>PISOS Y ENCHAPES</v>
      </c>
      <c r="C554" s="1830"/>
      <c r="D554" s="1828"/>
      <c r="E554" s="1833" t="s">
        <v>218</v>
      </c>
      <c r="F554" s="1828"/>
      <c r="G554" s="62" t="s">
        <v>228</v>
      </c>
    </row>
    <row r="555" spans="1:7" ht="14.25" customHeight="1">
      <c r="A555" s="66" t="s">
        <v>251</v>
      </c>
      <c r="B555" s="1840" t="s">
        <v>725</v>
      </c>
      <c r="C555" s="1830"/>
      <c r="D555" s="1830"/>
      <c r="E555" s="1830"/>
      <c r="F555" s="1830"/>
      <c r="G555" s="1828"/>
    </row>
    <row r="556" spans="1:7" ht="14.25" customHeight="1">
      <c r="A556" s="1836" t="s">
        <v>220</v>
      </c>
      <c r="B556" s="1830"/>
      <c r="C556" s="1830"/>
      <c r="D556" s="1830"/>
      <c r="E556" s="1830"/>
      <c r="F556" s="1830"/>
      <c r="G556" s="1828"/>
    </row>
    <row r="557" spans="1:7" ht="14.25" customHeight="1">
      <c r="A557" s="1829" t="s">
        <v>221</v>
      </c>
      <c r="B557" s="1828"/>
      <c r="C557" s="63" t="s">
        <v>222</v>
      </c>
      <c r="D557" s="63" t="s">
        <v>223</v>
      </c>
      <c r="E557" s="63" t="s">
        <v>224</v>
      </c>
      <c r="F557" s="63" t="s">
        <v>225</v>
      </c>
      <c r="G557" s="63" t="s">
        <v>226</v>
      </c>
    </row>
    <row r="558" spans="1:7" ht="14.25" customHeight="1">
      <c r="A558" s="1845" t="s">
        <v>967</v>
      </c>
      <c r="B558" s="1828"/>
      <c r="C558" s="64">
        <v>24.3</v>
      </c>
      <c r="D558" s="64"/>
      <c r="E558" s="64"/>
      <c r="F558" s="64"/>
      <c r="G558" s="64">
        <f t="shared" ref="G558:G559" si="31">+C558</f>
        <v>24.3</v>
      </c>
    </row>
    <row r="559" spans="1:7" ht="14.25" customHeight="1">
      <c r="A559" s="1845" t="s">
        <v>968</v>
      </c>
      <c r="B559" s="1828"/>
      <c r="C559" s="64">
        <v>26.45</v>
      </c>
      <c r="D559" s="64"/>
      <c r="E559" s="64"/>
      <c r="F559" s="64"/>
      <c r="G559" s="64">
        <f t="shared" si="31"/>
        <v>26.45</v>
      </c>
    </row>
    <row r="560" spans="1:7" ht="14.25" customHeight="1">
      <c r="A560" s="1845"/>
      <c r="B560" s="1828"/>
      <c r="C560" s="64"/>
      <c r="D560" s="64"/>
      <c r="E560" s="64"/>
      <c r="F560" s="64"/>
      <c r="G560" s="64"/>
    </row>
    <row r="561" spans="1:7" ht="14.25" customHeight="1">
      <c r="A561" s="1829" t="s">
        <v>227</v>
      </c>
      <c r="B561" s="1830"/>
      <c r="C561" s="1830"/>
      <c r="D561" s="1830"/>
      <c r="E561" s="1830"/>
      <c r="F561" s="1828"/>
      <c r="G561" s="65">
        <f>ROUND(SUM(G558:G560),2)</f>
        <v>50.75</v>
      </c>
    </row>
    <row r="562" spans="1:7" ht="14.25" hidden="1" customHeight="1">
      <c r="A562" s="1831"/>
      <c r="B562" s="1830"/>
      <c r="C562" s="1830"/>
      <c r="D562" s="1830"/>
      <c r="E562" s="1830"/>
      <c r="F562" s="1830"/>
      <c r="G562" s="1828"/>
    </row>
    <row r="563" spans="1:7" ht="14.25" hidden="1" customHeight="1">
      <c r="A563" s="66" t="s">
        <v>249</v>
      </c>
      <c r="B563" s="1832" t="str">
        <f>+B554</f>
        <v>PISOS Y ENCHAPES</v>
      </c>
      <c r="C563" s="1830"/>
      <c r="D563" s="1828"/>
      <c r="E563" s="1833" t="s">
        <v>218</v>
      </c>
      <c r="F563" s="1828"/>
      <c r="G563" s="62" t="s">
        <v>228</v>
      </c>
    </row>
    <row r="564" spans="1:7" ht="30.75" hidden="1" customHeight="1">
      <c r="A564" s="66" t="s">
        <v>256</v>
      </c>
      <c r="B564" s="1840" t="s">
        <v>727</v>
      </c>
      <c r="C564" s="1830"/>
      <c r="D564" s="1830"/>
      <c r="E564" s="1830"/>
      <c r="F564" s="1830"/>
      <c r="G564" s="1828"/>
    </row>
    <row r="565" spans="1:7" ht="14.25" hidden="1" customHeight="1">
      <c r="A565" s="1836" t="s">
        <v>220</v>
      </c>
      <c r="B565" s="1830"/>
      <c r="C565" s="1830"/>
      <c r="D565" s="1830"/>
      <c r="E565" s="1830"/>
      <c r="F565" s="1830"/>
      <c r="G565" s="1828"/>
    </row>
    <row r="566" spans="1:7" ht="14.25" hidden="1" customHeight="1">
      <c r="A566" s="1829" t="s">
        <v>221</v>
      </c>
      <c r="B566" s="1828"/>
      <c r="C566" s="63" t="s">
        <v>222</v>
      </c>
      <c r="D566" s="63" t="s">
        <v>223</v>
      </c>
      <c r="E566" s="63" t="s">
        <v>224</v>
      </c>
      <c r="F566" s="63" t="s">
        <v>225</v>
      </c>
      <c r="G566" s="63" t="s">
        <v>226</v>
      </c>
    </row>
    <row r="567" spans="1:7" ht="14.25" hidden="1" customHeight="1">
      <c r="A567" s="1846" t="s">
        <v>728</v>
      </c>
      <c r="B567" s="1843"/>
      <c r="C567" s="64">
        <v>28</v>
      </c>
      <c r="D567" s="64">
        <v>19</v>
      </c>
      <c r="E567" s="64"/>
      <c r="F567" s="64"/>
      <c r="G567" s="64"/>
    </row>
    <row r="568" spans="1:7" ht="14.25" hidden="1" customHeight="1">
      <c r="A568" s="1845"/>
      <c r="B568" s="1828"/>
      <c r="C568" s="64"/>
      <c r="D568" s="64"/>
      <c r="E568" s="64"/>
      <c r="F568" s="64"/>
      <c r="G568" s="64"/>
    </row>
    <row r="569" spans="1:7" ht="14.25" hidden="1" customHeight="1">
      <c r="A569" s="1829" t="s">
        <v>227</v>
      </c>
      <c r="B569" s="1830"/>
      <c r="C569" s="1830"/>
      <c r="D569" s="1830"/>
      <c r="E569" s="1830"/>
      <c r="F569" s="1828"/>
      <c r="G569" s="191">
        <f>ROUND(SUM(G567:G568),2)</f>
        <v>0</v>
      </c>
    </row>
    <row r="570" spans="1:7" ht="14.25" hidden="1" customHeight="1">
      <c r="A570" s="1831"/>
      <c r="B570" s="1830"/>
      <c r="C570" s="1830"/>
      <c r="D570" s="1830"/>
      <c r="E570" s="1830"/>
      <c r="F570" s="1830"/>
      <c r="G570" s="1828"/>
    </row>
    <row r="571" spans="1:7" ht="14.25" hidden="1" customHeight="1">
      <c r="A571" s="66" t="s">
        <v>249</v>
      </c>
      <c r="B571" s="1832" t="str">
        <f>+B563</f>
        <v>PISOS Y ENCHAPES</v>
      </c>
      <c r="C571" s="1830"/>
      <c r="D571" s="1828"/>
      <c r="E571" s="1833" t="s">
        <v>218</v>
      </c>
      <c r="F571" s="1828"/>
      <c r="G571" s="62" t="s">
        <v>228</v>
      </c>
    </row>
    <row r="572" spans="1:7" ht="24.75" hidden="1" customHeight="1">
      <c r="A572" s="66" t="s">
        <v>257</v>
      </c>
      <c r="B572" s="1840" t="s">
        <v>729</v>
      </c>
      <c r="C572" s="1830"/>
      <c r="D572" s="1830"/>
      <c r="E572" s="1830"/>
      <c r="F572" s="1830"/>
      <c r="G572" s="1828"/>
    </row>
    <row r="573" spans="1:7" ht="14.25" hidden="1" customHeight="1">
      <c r="A573" s="1836" t="s">
        <v>220</v>
      </c>
      <c r="B573" s="1830"/>
      <c r="C573" s="1830"/>
      <c r="D573" s="1830"/>
      <c r="E573" s="1830"/>
      <c r="F573" s="1830"/>
      <c r="G573" s="1828"/>
    </row>
    <row r="574" spans="1:7" ht="14.25" hidden="1" customHeight="1">
      <c r="A574" s="1829" t="s">
        <v>221</v>
      </c>
      <c r="B574" s="1828"/>
      <c r="C574" s="63" t="s">
        <v>222</v>
      </c>
      <c r="D574" s="63" t="s">
        <v>223</v>
      </c>
      <c r="E574" s="63" t="s">
        <v>224</v>
      </c>
      <c r="F574" s="63" t="s">
        <v>225</v>
      </c>
      <c r="G574" s="63" t="s">
        <v>226</v>
      </c>
    </row>
    <row r="575" spans="1:7" ht="14.25" hidden="1" customHeight="1">
      <c r="A575" s="1846" t="s">
        <v>730</v>
      </c>
      <c r="B575" s="1843"/>
      <c r="C575" s="64">
        <v>33.35</v>
      </c>
      <c r="D575" s="64">
        <v>36.57</v>
      </c>
      <c r="E575" s="64"/>
      <c r="F575" s="64"/>
      <c r="G575" s="64"/>
    </row>
    <row r="576" spans="1:7" ht="14.25" hidden="1" customHeight="1">
      <c r="A576" s="1847" t="s">
        <v>731</v>
      </c>
      <c r="B576" s="1828"/>
      <c r="C576" s="64"/>
      <c r="D576" s="64"/>
      <c r="E576" s="64"/>
      <c r="F576" s="64"/>
      <c r="G576" s="64"/>
    </row>
    <row r="577" spans="1:7" ht="14.25" hidden="1" customHeight="1">
      <c r="A577" s="1852" t="s">
        <v>732</v>
      </c>
      <c r="B577" s="1828"/>
      <c r="C577" s="193">
        <v>28.75</v>
      </c>
      <c r="D577" s="193">
        <v>4.95</v>
      </c>
      <c r="E577" s="193"/>
      <c r="F577" s="193"/>
      <c r="G577" s="193"/>
    </row>
    <row r="578" spans="1:7" ht="14.25" hidden="1" customHeight="1">
      <c r="A578" s="1852" t="s">
        <v>733</v>
      </c>
      <c r="B578" s="1828"/>
      <c r="C578" s="193">
        <v>13.7</v>
      </c>
      <c r="D578" s="193">
        <v>4.6500000000000004</v>
      </c>
      <c r="E578" s="193"/>
      <c r="F578" s="193"/>
      <c r="G578" s="193"/>
    </row>
    <row r="579" spans="1:7" ht="14.25" hidden="1" customHeight="1">
      <c r="A579" s="1852" t="s">
        <v>734</v>
      </c>
      <c r="B579" s="1828"/>
      <c r="C579" s="193"/>
      <c r="D579" s="193"/>
      <c r="E579" s="193"/>
      <c r="F579" s="193"/>
      <c r="G579" s="193"/>
    </row>
    <row r="580" spans="1:7" ht="14.25" hidden="1" customHeight="1">
      <c r="A580" s="1852" t="s">
        <v>735</v>
      </c>
      <c r="B580" s="1828"/>
      <c r="C580" s="193"/>
      <c r="D580" s="193"/>
      <c r="E580" s="193"/>
      <c r="F580" s="193"/>
      <c r="G580" s="193"/>
    </row>
    <row r="581" spans="1:7" ht="14.25" hidden="1" customHeight="1">
      <c r="A581" s="1829" t="s">
        <v>227</v>
      </c>
      <c r="B581" s="1830"/>
      <c r="C581" s="1830"/>
      <c r="D581" s="1830"/>
      <c r="E581" s="1830"/>
      <c r="F581" s="1828"/>
      <c r="G581" s="191">
        <f>ROUND((SUM(G575:G576))-(SUM(G577:G580)),2)</f>
        <v>0</v>
      </c>
    </row>
    <row r="582" spans="1:7" ht="14.25" customHeight="1">
      <c r="A582" s="1831"/>
      <c r="B582" s="1830"/>
      <c r="C582" s="1830"/>
      <c r="D582" s="1830"/>
      <c r="E582" s="1830"/>
      <c r="F582" s="1830"/>
      <c r="G582" s="1828"/>
    </row>
    <row r="583" spans="1:7" ht="14.25" customHeight="1">
      <c r="A583" s="66" t="s">
        <v>249</v>
      </c>
      <c r="B583" s="1832" t="str">
        <f>+B571</f>
        <v>PISOS Y ENCHAPES</v>
      </c>
      <c r="C583" s="1830"/>
      <c r="D583" s="1828"/>
      <c r="E583" s="1833" t="s">
        <v>218</v>
      </c>
      <c r="F583" s="1828"/>
      <c r="G583" s="62" t="s">
        <v>228</v>
      </c>
    </row>
    <row r="584" spans="1:7" ht="14.25" customHeight="1">
      <c r="A584" s="66" t="s">
        <v>253</v>
      </c>
      <c r="B584" s="1840" t="s">
        <v>736</v>
      </c>
      <c r="C584" s="1830"/>
      <c r="D584" s="1830"/>
      <c r="E584" s="1830"/>
      <c r="F584" s="1830"/>
      <c r="G584" s="1828"/>
    </row>
    <row r="585" spans="1:7" ht="14.25" customHeight="1">
      <c r="A585" s="1836" t="s">
        <v>220</v>
      </c>
      <c r="B585" s="1830"/>
      <c r="C585" s="1830"/>
      <c r="D585" s="1830"/>
      <c r="E585" s="1830"/>
      <c r="F585" s="1830"/>
      <c r="G585" s="1828"/>
    </row>
    <row r="586" spans="1:7" ht="14.25" customHeight="1">
      <c r="A586" s="1829" t="s">
        <v>221</v>
      </c>
      <c r="B586" s="1828"/>
      <c r="C586" s="63" t="s">
        <v>222</v>
      </c>
      <c r="D586" s="63" t="s">
        <v>223</v>
      </c>
      <c r="E586" s="63" t="s">
        <v>224</v>
      </c>
      <c r="F586" s="63" t="s">
        <v>225</v>
      </c>
      <c r="G586" s="63" t="s">
        <v>226</v>
      </c>
    </row>
    <row r="587" spans="1:7" ht="14.25" customHeight="1">
      <c r="A587" s="1847" t="s">
        <v>737</v>
      </c>
      <c r="B587" s="1828"/>
      <c r="C587" s="64"/>
      <c r="D587" s="64"/>
      <c r="E587" s="64"/>
      <c r="F587" s="64"/>
      <c r="G587" s="64"/>
    </row>
    <row r="588" spans="1:7" ht="14.25" customHeight="1">
      <c r="A588" s="1844" t="s">
        <v>587</v>
      </c>
      <c r="B588" s="1828"/>
      <c r="C588" s="64">
        <f>+C511*1.15</f>
        <v>1492.7459999999999</v>
      </c>
      <c r="D588" s="64"/>
      <c r="E588" s="64"/>
      <c r="F588" s="64"/>
      <c r="G588" s="64">
        <f>+C588</f>
        <v>1492.7459999999999</v>
      </c>
    </row>
    <row r="589" spans="1:7" ht="14.25" customHeight="1">
      <c r="A589" s="1845"/>
      <c r="B589" s="1828"/>
      <c r="C589" s="64"/>
      <c r="D589" s="64"/>
      <c r="E589" s="64"/>
      <c r="F589" s="64"/>
      <c r="G589" s="64"/>
    </row>
    <row r="590" spans="1:7" ht="14.25" customHeight="1">
      <c r="A590" s="1845"/>
      <c r="B590" s="1828"/>
      <c r="C590" s="64"/>
      <c r="D590" s="64"/>
      <c r="E590" s="64"/>
      <c r="F590" s="64"/>
      <c r="G590" s="64"/>
    </row>
    <row r="591" spans="1:7" ht="14.25" customHeight="1">
      <c r="A591" s="1829" t="s">
        <v>227</v>
      </c>
      <c r="B591" s="1830"/>
      <c r="C591" s="1830"/>
      <c r="D591" s="1830"/>
      <c r="E591" s="1830"/>
      <c r="F591" s="1828"/>
      <c r="G591" s="65">
        <f>ROUND(SUM(G587:G590),2)</f>
        <v>1492.75</v>
      </c>
    </row>
    <row r="592" spans="1:7" ht="14.25" customHeight="1">
      <c r="A592" s="1831"/>
      <c r="B592" s="1830"/>
      <c r="C592" s="1830"/>
      <c r="D592" s="1830"/>
      <c r="E592" s="1830"/>
      <c r="F592" s="1830"/>
      <c r="G592" s="1828"/>
    </row>
    <row r="593" spans="1:7" ht="14.25" hidden="1" customHeight="1">
      <c r="A593" s="66" t="s">
        <v>249</v>
      </c>
      <c r="B593" s="1832" t="str">
        <f>+B583</f>
        <v>PISOS Y ENCHAPES</v>
      </c>
      <c r="C593" s="1830"/>
      <c r="D593" s="1828"/>
      <c r="E593" s="1833" t="s">
        <v>218</v>
      </c>
      <c r="F593" s="1828"/>
      <c r="G593" s="62" t="s">
        <v>228</v>
      </c>
    </row>
    <row r="594" spans="1:7" ht="14.25" hidden="1" customHeight="1">
      <c r="A594" s="66" t="s">
        <v>254</v>
      </c>
      <c r="B594" s="1840" t="s">
        <v>738</v>
      </c>
      <c r="C594" s="1830"/>
      <c r="D594" s="1830"/>
      <c r="E594" s="1830"/>
      <c r="F594" s="1830"/>
      <c r="G594" s="1828"/>
    </row>
    <row r="595" spans="1:7" ht="14.25" hidden="1" customHeight="1">
      <c r="A595" s="1836" t="s">
        <v>220</v>
      </c>
      <c r="B595" s="1830"/>
      <c r="C595" s="1830"/>
      <c r="D595" s="1830"/>
      <c r="E595" s="1830"/>
      <c r="F595" s="1830"/>
      <c r="G595" s="1828"/>
    </row>
    <row r="596" spans="1:7" ht="14.25" hidden="1" customHeight="1">
      <c r="A596" s="1829" t="s">
        <v>221</v>
      </c>
      <c r="B596" s="1828"/>
      <c r="C596" s="63" t="s">
        <v>222</v>
      </c>
      <c r="D596" s="63" t="s">
        <v>223</v>
      </c>
      <c r="E596" s="63" t="s">
        <v>224</v>
      </c>
      <c r="F596" s="63" t="s">
        <v>225</v>
      </c>
      <c r="G596" s="63" t="s">
        <v>226</v>
      </c>
    </row>
    <row r="597" spans="1:7" ht="14.25" hidden="1" customHeight="1">
      <c r="A597" s="1845" t="s">
        <v>739</v>
      </c>
      <c r="B597" s="1828"/>
      <c r="C597" s="64">
        <v>48.8</v>
      </c>
      <c r="D597" s="64"/>
      <c r="E597" s="64"/>
      <c r="F597" s="64"/>
      <c r="G597" s="64">
        <f t="shared" ref="G597:G598" si="32">+C597</f>
        <v>48.8</v>
      </c>
    </row>
    <row r="598" spans="1:7" ht="14.25" hidden="1" customHeight="1">
      <c r="A598" s="1845" t="s">
        <v>740</v>
      </c>
      <c r="B598" s="1828"/>
      <c r="C598" s="64">
        <v>13.39</v>
      </c>
      <c r="D598" s="64"/>
      <c r="E598" s="64"/>
      <c r="F598" s="64"/>
      <c r="G598" s="64">
        <f t="shared" si="32"/>
        <v>13.39</v>
      </c>
    </row>
    <row r="599" spans="1:7" ht="14.25" hidden="1" customHeight="1">
      <c r="A599" s="1845"/>
      <c r="B599" s="1828"/>
      <c r="C599" s="64"/>
      <c r="D599" s="64"/>
      <c r="E599" s="64"/>
      <c r="F599" s="64"/>
      <c r="G599" s="64"/>
    </row>
    <row r="600" spans="1:7" ht="14.25" hidden="1" customHeight="1">
      <c r="A600" s="1829" t="s">
        <v>227</v>
      </c>
      <c r="B600" s="1830"/>
      <c r="C600" s="1830"/>
      <c r="D600" s="1830"/>
      <c r="E600" s="1830"/>
      <c r="F600" s="1828"/>
      <c r="G600" s="191"/>
    </row>
    <row r="601" spans="1:7" ht="14.25" hidden="1" customHeight="1">
      <c r="A601" s="1831"/>
      <c r="B601" s="1830"/>
      <c r="C601" s="1830"/>
      <c r="D601" s="1830"/>
      <c r="E601" s="1830"/>
      <c r="F601" s="1830"/>
      <c r="G601" s="1828"/>
    </row>
    <row r="602" spans="1:7" ht="14.25" customHeight="1">
      <c r="A602" s="66" t="s">
        <v>249</v>
      </c>
      <c r="B602" s="1832" t="str">
        <f>+B583</f>
        <v>PISOS Y ENCHAPES</v>
      </c>
      <c r="C602" s="1830"/>
      <c r="D602" s="1828"/>
      <c r="E602" s="1833" t="s">
        <v>218</v>
      </c>
      <c r="F602" s="1828"/>
      <c r="G602" s="62" t="s">
        <v>228</v>
      </c>
    </row>
    <row r="603" spans="1:7" ht="14.25" customHeight="1">
      <c r="A603" s="66" t="s">
        <v>256</v>
      </c>
      <c r="B603" s="1840" t="s">
        <v>741</v>
      </c>
      <c r="C603" s="1830"/>
      <c r="D603" s="1830"/>
      <c r="E603" s="1830"/>
      <c r="F603" s="1830"/>
      <c r="G603" s="1828"/>
    </row>
    <row r="604" spans="1:7" ht="14.25" customHeight="1">
      <c r="A604" s="1836" t="s">
        <v>220</v>
      </c>
      <c r="B604" s="1830"/>
      <c r="C604" s="1830"/>
      <c r="D604" s="1830"/>
      <c r="E604" s="1830"/>
      <c r="F604" s="1830"/>
      <c r="G604" s="1828"/>
    </row>
    <row r="605" spans="1:7" ht="14.25" customHeight="1">
      <c r="A605" s="1829" t="s">
        <v>221</v>
      </c>
      <c r="B605" s="1828"/>
      <c r="C605" s="63" t="s">
        <v>222</v>
      </c>
      <c r="D605" s="63" t="s">
        <v>223</v>
      </c>
      <c r="E605" s="63" t="s">
        <v>224</v>
      </c>
      <c r="F605" s="63" t="s">
        <v>225</v>
      </c>
      <c r="G605" s="63" t="s">
        <v>226</v>
      </c>
    </row>
    <row r="606" spans="1:7" ht="14.25" customHeight="1">
      <c r="A606" s="1845" t="s">
        <v>742</v>
      </c>
      <c r="B606" s="1828"/>
      <c r="C606" s="64">
        <v>254.92</v>
      </c>
      <c r="D606" s="64"/>
      <c r="E606" s="64"/>
      <c r="F606" s="64"/>
      <c r="G606" s="64">
        <f t="shared" ref="G606:G607" si="33">+C606</f>
        <v>254.92</v>
      </c>
    </row>
    <row r="607" spans="1:7" ht="14.25" customHeight="1">
      <c r="A607" s="1845" t="s">
        <v>743</v>
      </c>
      <c r="B607" s="1828"/>
      <c r="C607" s="64">
        <v>252.49</v>
      </c>
      <c r="D607" s="64"/>
      <c r="E607" s="64"/>
      <c r="F607" s="64"/>
      <c r="G607" s="64">
        <f t="shared" si="33"/>
        <v>252.49</v>
      </c>
    </row>
    <row r="608" spans="1:7" ht="14.25" customHeight="1">
      <c r="A608" s="1845" t="s">
        <v>744</v>
      </c>
      <c r="B608" s="1828"/>
      <c r="C608" s="64">
        <v>65.28</v>
      </c>
      <c r="D608" s="64"/>
      <c r="E608" s="64"/>
      <c r="F608" s="64">
        <v>8</v>
      </c>
      <c r="G608" s="64">
        <f t="shared" ref="G608:G609" si="34">+F608*C608</f>
        <v>522.24</v>
      </c>
    </row>
    <row r="609" spans="1:7" ht="14.25" customHeight="1">
      <c r="A609" s="1845" t="s">
        <v>745</v>
      </c>
      <c r="B609" s="1828"/>
      <c r="C609" s="64">
        <v>5.41</v>
      </c>
      <c r="D609" s="64"/>
      <c r="E609" s="64"/>
      <c r="F609" s="64">
        <v>10</v>
      </c>
      <c r="G609" s="64">
        <f t="shared" si="34"/>
        <v>54.1</v>
      </c>
    </row>
    <row r="610" spans="1:7" ht="14.25" customHeight="1">
      <c r="A610" s="1845"/>
      <c r="B610" s="1828"/>
      <c r="C610" s="64"/>
      <c r="D610" s="64"/>
      <c r="E610" s="64"/>
      <c r="F610" s="64"/>
      <c r="G610" s="64"/>
    </row>
    <row r="611" spans="1:7" ht="14.25" customHeight="1">
      <c r="A611" s="1829" t="s">
        <v>227</v>
      </c>
      <c r="B611" s="1830"/>
      <c r="C611" s="1830"/>
      <c r="D611" s="1830"/>
      <c r="E611" s="1830"/>
      <c r="F611" s="1828"/>
      <c r="G611" s="65">
        <f>ROUND(SUM(G606:G610),2)</f>
        <v>1083.75</v>
      </c>
    </row>
    <row r="612" spans="1:7" ht="14.25" customHeight="1">
      <c r="A612" s="1831"/>
      <c r="B612" s="1830"/>
      <c r="C612" s="1830"/>
      <c r="D612" s="1830"/>
      <c r="E612" s="1830"/>
      <c r="F612" s="1830"/>
      <c r="G612" s="1828"/>
    </row>
    <row r="613" spans="1:7" ht="14.25" customHeight="1">
      <c r="A613" s="66" t="s">
        <v>249</v>
      </c>
      <c r="B613" s="1832" t="str">
        <f>+B602</f>
        <v>PISOS Y ENCHAPES</v>
      </c>
      <c r="C613" s="1830"/>
      <c r="D613" s="1828"/>
      <c r="E613" s="1833" t="s">
        <v>218</v>
      </c>
      <c r="F613" s="1828"/>
      <c r="G613" s="62" t="s">
        <v>228</v>
      </c>
    </row>
    <row r="614" spans="1:7" ht="14.25" customHeight="1">
      <c r="A614" s="66" t="s">
        <v>257</v>
      </c>
      <c r="B614" s="1840" t="s">
        <v>746</v>
      </c>
      <c r="C614" s="1830"/>
      <c r="D614" s="1830"/>
      <c r="E614" s="1830"/>
      <c r="F614" s="1830"/>
      <c r="G614" s="1828"/>
    </row>
    <row r="615" spans="1:7" ht="14.25" customHeight="1">
      <c r="A615" s="1836" t="s">
        <v>220</v>
      </c>
      <c r="B615" s="1830"/>
      <c r="C615" s="1830"/>
      <c r="D615" s="1830"/>
      <c r="E615" s="1830"/>
      <c r="F615" s="1830"/>
      <c r="G615" s="1828"/>
    </row>
    <row r="616" spans="1:7" ht="14.25" customHeight="1">
      <c r="A616" s="1829" t="s">
        <v>221</v>
      </c>
      <c r="B616" s="1828"/>
      <c r="C616" s="63" t="s">
        <v>222</v>
      </c>
      <c r="D616" s="63" t="s">
        <v>223</v>
      </c>
      <c r="E616" s="63" t="s">
        <v>224</v>
      </c>
      <c r="F616" s="63" t="s">
        <v>225</v>
      </c>
      <c r="G616" s="63" t="s">
        <v>226</v>
      </c>
    </row>
    <row r="617" spans="1:7" ht="14.25" customHeight="1">
      <c r="A617" s="1845" t="s">
        <v>747</v>
      </c>
      <c r="B617" s="1828"/>
      <c r="C617" s="64">
        <v>28.263367611066155</v>
      </c>
      <c r="D617" s="64">
        <v>5</v>
      </c>
      <c r="E617" s="64"/>
      <c r="F617" s="64">
        <v>8</v>
      </c>
      <c r="G617" s="64">
        <f t="shared" ref="G617:G618" si="35">+F617*D617*C617</f>
        <v>1130.5347044426462</v>
      </c>
    </row>
    <row r="618" spans="1:7" ht="14.25" customHeight="1">
      <c r="A618" s="1845" t="s">
        <v>748</v>
      </c>
      <c r="B618" s="1828"/>
      <c r="C618" s="64">
        <v>32.700000000000003</v>
      </c>
      <c r="D618" s="64">
        <v>5</v>
      </c>
      <c r="E618" s="64"/>
      <c r="F618" s="64">
        <v>2</v>
      </c>
      <c r="G618" s="64">
        <f t="shared" si="35"/>
        <v>327</v>
      </c>
    </row>
    <row r="619" spans="1:7" ht="14.25" customHeight="1">
      <c r="A619" s="1829" t="s">
        <v>227</v>
      </c>
      <c r="B619" s="1830"/>
      <c r="C619" s="1830"/>
      <c r="D619" s="1830"/>
      <c r="E619" s="1830"/>
      <c r="F619" s="1828"/>
      <c r="G619" s="65">
        <f>ROUND(SUM(G617:G618),2)</f>
        <v>1457.53</v>
      </c>
    </row>
    <row r="620" spans="1:7" ht="14.25" customHeight="1">
      <c r="A620" s="1831"/>
      <c r="B620" s="1830"/>
      <c r="C620" s="1830"/>
      <c r="D620" s="1830"/>
      <c r="E620" s="1830"/>
      <c r="F620" s="1830"/>
      <c r="G620" s="1828"/>
    </row>
    <row r="621" spans="1:7" ht="14.25" customHeight="1">
      <c r="A621" s="66" t="s">
        <v>264</v>
      </c>
      <c r="B621" s="1832" t="s">
        <v>419</v>
      </c>
      <c r="C621" s="1830"/>
      <c r="D621" s="1828"/>
      <c r="E621" s="1833" t="s">
        <v>218</v>
      </c>
      <c r="F621" s="1828"/>
      <c r="G621" s="62" t="s">
        <v>228</v>
      </c>
    </row>
    <row r="622" spans="1:7" ht="14.25" customHeight="1">
      <c r="A622" s="66" t="s">
        <v>265</v>
      </c>
      <c r="B622" s="1840" t="s">
        <v>749</v>
      </c>
      <c r="C622" s="1830"/>
      <c r="D622" s="1830"/>
      <c r="E622" s="1830"/>
      <c r="F622" s="1830"/>
      <c r="G622" s="1828"/>
    </row>
    <row r="623" spans="1:7" ht="14.25" customHeight="1">
      <c r="A623" s="1836" t="s">
        <v>220</v>
      </c>
      <c r="B623" s="1830"/>
      <c r="C623" s="1830"/>
      <c r="D623" s="1830"/>
      <c r="E623" s="1830"/>
      <c r="F623" s="1830"/>
      <c r="G623" s="1828"/>
    </row>
    <row r="624" spans="1:7" ht="14.25" customHeight="1">
      <c r="A624" s="1829" t="s">
        <v>221</v>
      </c>
      <c r="B624" s="1828"/>
      <c r="C624" s="63" t="s">
        <v>222</v>
      </c>
      <c r="D624" s="63" t="s">
        <v>223</v>
      </c>
      <c r="E624" s="63" t="s">
        <v>224</v>
      </c>
      <c r="F624" s="63" t="s">
        <v>225</v>
      </c>
      <c r="G624" s="63" t="s">
        <v>226</v>
      </c>
    </row>
    <row r="625" spans="1:11" ht="14.25" customHeight="1">
      <c r="A625" s="1845" t="s">
        <v>750</v>
      </c>
      <c r="B625" s="1828"/>
      <c r="C625" s="64">
        <v>850.22</v>
      </c>
      <c r="D625" s="64"/>
      <c r="E625" s="64"/>
      <c r="F625" s="64"/>
      <c r="G625" s="64">
        <f>+C625</f>
        <v>850.22</v>
      </c>
      <c r="H625" s="59"/>
      <c r="I625" s="60"/>
      <c r="J625" s="60"/>
      <c r="K625" s="61"/>
    </row>
    <row r="626" spans="1:11" ht="14.25" customHeight="1">
      <c r="A626" s="1845" t="s">
        <v>751</v>
      </c>
      <c r="B626" s="1828"/>
      <c r="C626" s="64">
        <f>3+2.7+2.6+0.3+1.55+3.7+1.46+2.92+3.25+1.5+1.5+2.11</f>
        <v>26.590000000000003</v>
      </c>
      <c r="D626" s="64">
        <v>3.3</v>
      </c>
      <c r="E626" s="64">
        <f>-1.6*2.2</f>
        <v>-3.5200000000000005</v>
      </c>
      <c r="F626" s="64">
        <v>2</v>
      </c>
      <c r="G626" s="64">
        <f t="shared" ref="G626:G627" si="36">+((C626*D626)+E626)*F626</f>
        <v>168.45400000000001</v>
      </c>
      <c r="H626" s="59"/>
      <c r="I626" s="60"/>
      <c r="J626" s="60"/>
      <c r="K626" s="61"/>
    </row>
    <row r="627" spans="1:11" ht="19.5" customHeight="1">
      <c r="A627" s="1845" t="s">
        <v>752</v>
      </c>
      <c r="B627" s="1828"/>
      <c r="C627" s="64">
        <f>2.95+2.95+3+3.55+2.4+2.6+2.6</f>
        <v>20.05</v>
      </c>
      <c r="D627" s="64">
        <v>3.3</v>
      </c>
      <c r="E627" s="64">
        <f>-1.8*2.2</f>
        <v>-3.9600000000000004</v>
      </c>
      <c r="F627" s="64">
        <v>2</v>
      </c>
      <c r="G627" s="64">
        <f t="shared" si="36"/>
        <v>124.40999999999998</v>
      </c>
      <c r="H627" s="59"/>
      <c r="I627" s="60"/>
      <c r="J627" s="60"/>
      <c r="K627" s="61"/>
    </row>
    <row r="628" spans="1:11" ht="14.25" customHeight="1">
      <c r="A628" s="1845" t="s">
        <v>753</v>
      </c>
      <c r="B628" s="1828"/>
      <c r="C628" s="64">
        <f t="shared" ref="C628:C629" si="37">7.7+7.7+3.85+3.85</f>
        <v>23.1</v>
      </c>
      <c r="D628" s="64">
        <v>2.35</v>
      </c>
      <c r="E628" s="64"/>
      <c r="F628" s="64"/>
      <c r="G628" s="64">
        <f t="shared" ref="G628:G630" si="38">+D628*C628</f>
        <v>54.285000000000004</v>
      </c>
      <c r="H628" s="59"/>
      <c r="I628" s="60"/>
      <c r="J628" s="60"/>
      <c r="K628" s="61"/>
    </row>
    <row r="629" spans="1:11" ht="14.25" customHeight="1">
      <c r="A629" s="1845" t="s">
        <v>753</v>
      </c>
      <c r="B629" s="1828"/>
      <c r="C629" s="64">
        <f t="shared" si="37"/>
        <v>23.1</v>
      </c>
      <c r="D629" s="64">
        <v>0.6</v>
      </c>
      <c r="E629" s="64"/>
      <c r="F629" s="64"/>
      <c r="G629" s="64">
        <f t="shared" si="38"/>
        <v>13.860000000000001</v>
      </c>
      <c r="H629" s="59"/>
      <c r="I629" s="60"/>
      <c r="J629" s="60"/>
      <c r="K629" s="61"/>
    </row>
    <row r="630" spans="1:11" ht="14.25" customHeight="1">
      <c r="A630" s="1845" t="s">
        <v>754</v>
      </c>
      <c r="B630" s="1828"/>
      <c r="C630" s="64">
        <f>1.56*3</f>
        <v>4.68</v>
      </c>
      <c r="D630" s="64">
        <v>3.5</v>
      </c>
      <c r="E630" s="64"/>
      <c r="F630" s="64"/>
      <c r="G630" s="64">
        <f t="shared" si="38"/>
        <v>16.38</v>
      </c>
      <c r="H630" s="59"/>
      <c r="I630" s="60"/>
      <c r="J630" s="60"/>
      <c r="K630" s="61"/>
    </row>
    <row r="631" spans="1:11" ht="14.25" customHeight="1">
      <c r="A631" s="1829" t="s">
        <v>227</v>
      </c>
      <c r="B631" s="1830"/>
      <c r="C631" s="1830"/>
      <c r="D631" s="1830"/>
      <c r="E631" s="1830"/>
      <c r="F631" s="1828"/>
      <c r="G631" s="65">
        <f>ROUND(SUM(G625:G630),2)</f>
        <v>1227.6099999999999</v>
      </c>
      <c r="H631" s="59"/>
      <c r="I631" s="60"/>
      <c r="J631" s="60"/>
      <c r="K631" s="61"/>
    </row>
    <row r="632" spans="1:11" ht="14.25" customHeight="1">
      <c r="A632" s="179"/>
      <c r="B632" s="194"/>
      <c r="C632" s="64"/>
      <c r="D632" s="64"/>
      <c r="E632" s="64"/>
      <c r="F632" s="64"/>
      <c r="G632" s="64"/>
      <c r="H632" s="59"/>
      <c r="I632" s="60"/>
      <c r="J632" s="60"/>
      <c r="K632" s="61"/>
    </row>
    <row r="633" spans="1:11" ht="14.25" customHeight="1">
      <c r="A633" s="1831"/>
      <c r="B633" s="1830"/>
      <c r="C633" s="1830"/>
      <c r="D633" s="1830"/>
      <c r="E633" s="1830"/>
      <c r="F633" s="1830"/>
      <c r="G633" s="1828"/>
      <c r="H633" s="59"/>
      <c r="I633" s="60"/>
      <c r="J633" s="60"/>
      <c r="K633" s="61"/>
    </row>
    <row r="634" spans="1:11" ht="14.25" customHeight="1">
      <c r="A634" s="66" t="s">
        <v>264</v>
      </c>
      <c r="B634" s="1832" t="str">
        <f>+B621</f>
        <v>MAMPOSTERIA</v>
      </c>
      <c r="C634" s="1830"/>
      <c r="D634" s="1828"/>
      <c r="E634" s="1833" t="s">
        <v>218</v>
      </c>
      <c r="F634" s="1828"/>
      <c r="G634" s="62" t="s">
        <v>228</v>
      </c>
      <c r="H634" s="59"/>
      <c r="I634" s="60"/>
      <c r="J634" s="60"/>
      <c r="K634" s="61"/>
    </row>
    <row r="635" spans="1:11" ht="14.25" customHeight="1">
      <c r="A635" s="66" t="s">
        <v>755</v>
      </c>
      <c r="B635" s="1840" t="s">
        <v>756</v>
      </c>
      <c r="C635" s="1830"/>
      <c r="D635" s="1830"/>
      <c r="E635" s="1830"/>
      <c r="F635" s="1830"/>
      <c r="G635" s="1828"/>
      <c r="H635" s="59"/>
      <c r="I635" s="60"/>
      <c r="J635" s="60"/>
      <c r="K635" s="61"/>
    </row>
    <row r="636" spans="1:11" ht="14.25" customHeight="1">
      <c r="A636" s="1836" t="s">
        <v>220</v>
      </c>
      <c r="B636" s="1830"/>
      <c r="C636" s="1830"/>
      <c r="D636" s="1830"/>
      <c r="E636" s="1830"/>
      <c r="F636" s="1830"/>
      <c r="G636" s="1828"/>
      <c r="H636" s="59"/>
      <c r="I636" s="60"/>
      <c r="J636" s="60"/>
      <c r="K636" s="61"/>
    </row>
    <row r="637" spans="1:11" ht="14.25" customHeight="1">
      <c r="A637" s="1829" t="s">
        <v>221</v>
      </c>
      <c r="B637" s="1828"/>
      <c r="C637" s="63" t="s">
        <v>222</v>
      </c>
      <c r="D637" s="63" t="s">
        <v>223</v>
      </c>
      <c r="E637" s="63" t="s">
        <v>224</v>
      </c>
      <c r="F637" s="63" t="s">
        <v>225</v>
      </c>
      <c r="G637" s="63" t="s">
        <v>226</v>
      </c>
      <c r="H637" s="59"/>
      <c r="I637" s="60"/>
      <c r="J637" s="60"/>
      <c r="K637" s="61" t="s">
        <v>757</v>
      </c>
    </row>
    <row r="638" spans="1:11" ht="14.25" customHeight="1">
      <c r="A638" s="1847" t="s">
        <v>758</v>
      </c>
      <c r="B638" s="1828"/>
      <c r="C638" s="64"/>
      <c r="D638" s="64"/>
      <c r="E638" s="64"/>
      <c r="F638" s="64"/>
      <c r="G638" s="64"/>
      <c r="H638" s="59"/>
      <c r="I638" s="60"/>
      <c r="J638" s="60"/>
      <c r="K638" s="61"/>
    </row>
    <row r="639" spans="1:11" ht="14.25" customHeight="1">
      <c r="A639" s="1845" t="s">
        <v>759</v>
      </c>
      <c r="B639" s="1828"/>
      <c r="C639" s="64">
        <f>+K639</f>
        <v>140.89999999999998</v>
      </c>
      <c r="D639" s="64">
        <v>3.3</v>
      </c>
      <c r="E639" s="64"/>
      <c r="F639" s="64"/>
      <c r="G639" s="64">
        <f t="shared" ref="G639:G641" si="39">+D639*C639</f>
        <v>464.96999999999991</v>
      </c>
      <c r="H639" s="59"/>
      <c r="I639" s="60"/>
      <c r="J639" s="60"/>
      <c r="K639" s="61">
        <f>5.12+23.5+4.4+20.34+5.12+4.5+2.88+2.9+7.7+1.44+1.55+(2.35-(0.9*2.2))+5.4+(5-(1.6*2.2))+7.9+1.55+1.45+(1.8-(0.7*2.2))+3.7+5.1+(1.25-(0.7*2.2))+1.7+(1.75-(0.9*2.2))+(3.95-(1.7*2.2))+3.95+3.8+4.5+2.9+(7.9-(1*2.2))+1.85+1.1+2+1.1+1.35+4.6</f>
        <v>140.89999999999998</v>
      </c>
    </row>
    <row r="640" spans="1:11" ht="15" customHeight="1">
      <c r="A640" s="1845" t="s">
        <v>760</v>
      </c>
      <c r="B640" s="1828"/>
      <c r="C640" s="64">
        <f>+K641</f>
        <v>106.48000000000002</v>
      </c>
      <c r="D640" s="64">
        <v>3.3</v>
      </c>
      <c r="E640" s="64"/>
      <c r="F640" s="64"/>
      <c r="G640" s="64">
        <f t="shared" si="39"/>
        <v>351.38400000000001</v>
      </c>
      <c r="H640" s="59"/>
      <c r="I640" s="60"/>
      <c r="J640" s="60"/>
      <c r="K640" s="61" t="s">
        <v>61</v>
      </c>
    </row>
    <row r="641" spans="1:13" ht="14.25" customHeight="1">
      <c r="A641" s="1845" t="s">
        <v>761</v>
      </c>
      <c r="B641" s="1828"/>
      <c r="C641" s="64">
        <f>5.85+7.9+1.2+6.57+1.2+(5.27-(0.9*2.2))+4.92+1.74+1.5+3.03+(4.45-(0.8*2*2.2))+(1.35-(0.9*2.2))</f>
        <v>37.5</v>
      </c>
      <c r="D641" s="64">
        <v>3.3</v>
      </c>
      <c r="E641" s="64"/>
      <c r="F641" s="64"/>
      <c r="G641" s="64">
        <f t="shared" si="39"/>
        <v>123.75</v>
      </c>
      <c r="H641" s="59"/>
      <c r="I641" s="60"/>
      <c r="J641" s="60"/>
      <c r="K641" s="61">
        <f>5.27+16.85+1.3+0.8+3.62+(7.7-(1.6*2.2))+((3.48-(0.7*2.2))*2)+1.3+3.48+4.85+2.15+5.7+1.1+3.25+3.2+(1.3-(0.9*2.2))+1.35+2.9+1.1+1.5+(2.8-(0.7*2.2))+0.4+4.35+4.5+(3.5-(0.9*2.2))+7.7+7.9+2.9+7.05+1.8</f>
        <v>106.48000000000002</v>
      </c>
      <c r="L641" s="59"/>
      <c r="M641" s="59"/>
    </row>
    <row r="642" spans="1:13" ht="14.25" customHeight="1">
      <c r="A642" s="1845" t="s">
        <v>762</v>
      </c>
      <c r="B642" s="1828"/>
      <c r="C642" s="64">
        <f>2.6+1.55+3+1.4+1.55+1.6+5.05</f>
        <v>16.75</v>
      </c>
      <c r="D642" s="64">
        <v>3.3</v>
      </c>
      <c r="E642" s="64">
        <f>-K642-K643</f>
        <v>-3.5200000000000005</v>
      </c>
      <c r="F642" s="64"/>
      <c r="G642" s="64">
        <f t="shared" ref="G642:G645" si="40">+(C642*D642)+E642</f>
        <v>51.754999999999995</v>
      </c>
      <c r="H642" s="59"/>
      <c r="I642" s="60"/>
      <c r="J642" s="60"/>
      <c r="K642" s="61">
        <f>0.9*2.2</f>
        <v>1.9800000000000002</v>
      </c>
      <c r="L642" s="59"/>
      <c r="M642" s="59"/>
    </row>
    <row r="643" spans="1:13" ht="14.25" customHeight="1">
      <c r="A643" s="1845" t="s">
        <v>763</v>
      </c>
      <c r="B643" s="1828"/>
      <c r="C643" s="64">
        <f>2.9+1.58+1.8+4.22+4.5</f>
        <v>15</v>
      </c>
      <c r="D643" s="64">
        <v>3.3</v>
      </c>
      <c r="E643" s="64">
        <f>-J643</f>
        <v>-3.5200000000000005</v>
      </c>
      <c r="F643" s="64"/>
      <c r="G643" s="64">
        <f t="shared" si="40"/>
        <v>45.98</v>
      </c>
      <c r="H643" s="59"/>
      <c r="I643" s="60"/>
      <c r="J643" s="60">
        <f>1.6*2.2</f>
        <v>3.5200000000000005</v>
      </c>
      <c r="K643" s="61">
        <f>0.7*2.2</f>
        <v>1.54</v>
      </c>
      <c r="L643" s="59"/>
      <c r="M643" s="59"/>
    </row>
    <row r="644" spans="1:13" ht="14.25" customHeight="1">
      <c r="A644" s="1845" t="s">
        <v>764</v>
      </c>
      <c r="B644" s="1828"/>
      <c r="C644" s="64">
        <f>4.56+4.5+6.27+1.15+0.65+1.9+2.9+0.9</f>
        <v>22.829999999999991</v>
      </c>
      <c r="D644" s="64">
        <v>3.3</v>
      </c>
      <c r="E644" s="64">
        <f>-0.9*2.2</f>
        <v>-1.9800000000000002</v>
      </c>
      <c r="F644" s="64"/>
      <c r="G644" s="64">
        <f t="shared" si="40"/>
        <v>73.358999999999966</v>
      </c>
      <c r="H644" s="59"/>
      <c r="I644" s="60"/>
      <c r="J644" s="60"/>
      <c r="K644" s="61"/>
      <c r="L644" s="59"/>
      <c r="M644" s="59"/>
    </row>
    <row r="645" spans="1:13" ht="14.25" customHeight="1">
      <c r="A645" s="1845" t="s">
        <v>765</v>
      </c>
      <c r="B645" s="1828"/>
      <c r="C645" s="64">
        <f>4.05+2.45+4.05+3.1+0.5+1.9+2.07+7.9+5.22+2.07+1.2+1.9+3.1+6.57</f>
        <v>46.080000000000005</v>
      </c>
      <c r="D645" s="64">
        <v>3.3</v>
      </c>
      <c r="E645" s="64">
        <f>-1.8*2.2</f>
        <v>-3.9600000000000004</v>
      </c>
      <c r="F645" s="64"/>
      <c r="G645" s="64">
        <f t="shared" si="40"/>
        <v>148.10400000000001</v>
      </c>
      <c r="H645" s="59"/>
      <c r="I645" s="60"/>
      <c r="J645" s="60"/>
      <c r="K645" s="61"/>
      <c r="L645" s="59"/>
      <c r="M645" s="59"/>
    </row>
    <row r="646" spans="1:13" ht="14.25" customHeight="1">
      <c r="A646" s="1845" t="s">
        <v>766</v>
      </c>
      <c r="B646" s="1828"/>
      <c r="C646" s="64">
        <f>7.9+2.9+4.5+7.9+7.9+2.9+4.5+3+4.75+7.9+4.5+2.9+7.9+7.9+4.5+2.9+7.9+7.9+7.9+2.6+1.55+5.05+2.6</f>
        <v>120.25000000000001</v>
      </c>
      <c r="D646" s="64">
        <v>6.9</v>
      </c>
      <c r="E646" s="64"/>
      <c r="F646" s="64"/>
      <c r="G646" s="64">
        <f>+D646*C646</f>
        <v>829.72500000000014</v>
      </c>
      <c r="H646" s="59"/>
      <c r="I646" s="60"/>
      <c r="J646" s="60"/>
      <c r="K646" s="61"/>
      <c r="L646" s="59">
        <f>3.85*17.87*2</f>
        <v>137.59900000000002</v>
      </c>
      <c r="M646" s="59">
        <f t="shared" ref="M646:M647" si="41">+L646*2</f>
        <v>275.19800000000004</v>
      </c>
    </row>
    <row r="647" spans="1:13" ht="14.25" customHeight="1">
      <c r="A647" s="1847" t="s">
        <v>767</v>
      </c>
      <c r="B647" s="1828"/>
      <c r="C647" s="64"/>
      <c r="D647" s="64"/>
      <c r="E647" s="64"/>
      <c r="F647" s="64"/>
      <c r="G647" s="64"/>
      <c r="H647" s="59"/>
      <c r="I647" s="60"/>
      <c r="J647" s="60"/>
      <c r="K647" s="61"/>
      <c r="L647" s="59">
        <f>9.1*17.87</f>
        <v>162.61699999999999</v>
      </c>
      <c r="M647" s="59">
        <f t="shared" si="41"/>
        <v>325.23399999999998</v>
      </c>
    </row>
    <row r="648" spans="1:13" ht="14.25" customHeight="1">
      <c r="A648" s="1845" t="s">
        <v>768</v>
      </c>
      <c r="B648" s="1828"/>
      <c r="C648" s="64">
        <f>7.65+2.3+2.98</f>
        <v>12.93</v>
      </c>
      <c r="D648" s="64">
        <v>3.3</v>
      </c>
      <c r="E648" s="64"/>
      <c r="F648" s="64"/>
      <c r="G648" s="64">
        <f>+D648*C648</f>
        <v>42.668999999999997</v>
      </c>
      <c r="H648" s="59"/>
      <c r="I648" s="60"/>
      <c r="J648" s="60"/>
      <c r="K648" s="61">
        <f>5.12+23.5+4.4+20.34+5.12+4.5+2.88+2.9+7.7+1.44+1.55+(2.35-(0.9*2.2))+5.4+(5-(1.6*2.2))+7.9+1.55+1.45+(1.8-(0.7*2.2))+3.7+5.1+(1.25-(0.7*2.2))+1.7+(1.75-(0.9*2.2))+(3.95-(1.7*2.2))+3.95+3.8+4.5+2.9+(7.9-(1*2.2))+1.85+1.1+2+1.1+1.35+4.6</f>
        <v>140.89999999999998</v>
      </c>
      <c r="L648" s="59">
        <f>4.15*60.19</f>
        <v>249.7885</v>
      </c>
      <c r="M648" s="59"/>
    </row>
    <row r="649" spans="1:13" ht="15" customHeight="1">
      <c r="A649" s="1844" t="s">
        <v>769</v>
      </c>
      <c r="B649" s="1828"/>
      <c r="C649" s="64">
        <v>2.9</v>
      </c>
      <c r="D649" s="64">
        <v>3.9</v>
      </c>
      <c r="E649" s="64"/>
      <c r="F649" s="64">
        <v>2</v>
      </c>
      <c r="G649" s="64">
        <f t="shared" ref="G649:G650" si="42">+D649*C649*F649</f>
        <v>22.619999999999997</v>
      </c>
      <c r="H649" s="59"/>
      <c r="I649" s="195">
        <f>7.8/2</f>
        <v>3.9</v>
      </c>
      <c r="J649" s="60"/>
      <c r="K649" s="61" t="s">
        <v>61</v>
      </c>
      <c r="L649" s="59">
        <f>+L648+M646+M647</f>
        <v>850.2204999999999</v>
      </c>
      <c r="M649" s="59"/>
    </row>
    <row r="650" spans="1:13" ht="14.25" customHeight="1">
      <c r="A650" s="1844" t="s">
        <v>770</v>
      </c>
      <c r="B650" s="1828"/>
      <c r="C650" s="64">
        <v>2.9</v>
      </c>
      <c r="D650" s="64">
        <v>3.9</v>
      </c>
      <c r="E650" s="64"/>
      <c r="F650" s="64">
        <v>2</v>
      </c>
      <c r="G650" s="64">
        <f t="shared" si="42"/>
        <v>22.619999999999997</v>
      </c>
      <c r="H650" s="59"/>
      <c r="I650" s="60"/>
      <c r="J650" s="60"/>
      <c r="K650" s="61">
        <f>5.27+16.85+1.3+0.8+3.62+(7.7-(1.6*2.2))+((3.48-(0.7*2.2))*2)+1.3+3.48+4.85+2.15+5.7+1.1+3.25+3.2+(1.3-(0.9*2.2))+1.35+2.9+1.1+1.5+(2.8-(0.7*2.2))+0.4+4.35+4.5+(3.5-(0.9*2.2))+7.7+7.9+2.9+7.05+1.8</f>
        <v>106.48000000000002</v>
      </c>
      <c r="L650" s="59"/>
      <c r="M650" s="59"/>
    </row>
    <row r="651" spans="1:13" ht="14.25" customHeight="1">
      <c r="A651" s="1845" t="s">
        <v>771</v>
      </c>
      <c r="B651" s="1828"/>
      <c r="C651" s="64">
        <f>1.35+5.5+1.8+2.9</f>
        <v>11.55</v>
      </c>
      <c r="D651" s="64">
        <v>3.3</v>
      </c>
      <c r="E651" s="64">
        <f>+(0.7*2.2)*2</f>
        <v>3.08</v>
      </c>
      <c r="F651" s="64"/>
      <c r="G651" s="64">
        <f t="shared" ref="G651:G655" si="43">+(C651*D651)+E651</f>
        <v>41.195</v>
      </c>
      <c r="H651" s="59"/>
      <c r="I651" s="60"/>
      <c r="J651" s="60"/>
      <c r="K651" s="61">
        <f>0.9*2.2</f>
        <v>1.9800000000000002</v>
      </c>
      <c r="L651" s="59"/>
      <c r="M651" s="59"/>
    </row>
    <row r="652" spans="1:13" ht="14.25" customHeight="1">
      <c r="A652" s="1844" t="s">
        <v>772</v>
      </c>
      <c r="B652" s="1828"/>
      <c r="C652" s="64">
        <v>7.2</v>
      </c>
      <c r="D652" s="64">
        <v>3.3</v>
      </c>
      <c r="E652" s="64"/>
      <c r="F652" s="64"/>
      <c r="G652" s="64">
        <f t="shared" si="43"/>
        <v>23.759999999999998</v>
      </c>
      <c r="H652" s="59"/>
      <c r="I652" s="60"/>
      <c r="J652" s="60">
        <f>1.6*2.2</f>
        <v>3.5200000000000005</v>
      </c>
      <c r="K652" s="61">
        <f>0.7*2.2</f>
        <v>1.54</v>
      </c>
      <c r="L652" s="59"/>
      <c r="M652" s="59"/>
    </row>
    <row r="653" spans="1:13" ht="14.25" customHeight="1">
      <c r="A653" s="1845" t="s">
        <v>773</v>
      </c>
      <c r="B653" s="1828"/>
      <c r="C653" s="64">
        <f>3.7+5.05+4.95+2.55+1.55+1.82</f>
        <v>19.62</v>
      </c>
      <c r="D653" s="64">
        <v>3.3</v>
      </c>
      <c r="E653" s="64">
        <f>-((0.7+0.8+1.1)*2.2)</f>
        <v>-5.7200000000000006</v>
      </c>
      <c r="F653" s="64"/>
      <c r="G653" s="64">
        <f t="shared" si="43"/>
        <v>59.025999999999996</v>
      </c>
      <c r="H653" s="59"/>
      <c r="I653" s="60"/>
      <c r="J653" s="60"/>
      <c r="K653" s="61"/>
      <c r="L653" s="59"/>
      <c r="M653" s="59"/>
    </row>
    <row r="654" spans="1:13" ht="14.25" customHeight="1">
      <c r="A654" s="1844" t="s">
        <v>774</v>
      </c>
      <c r="B654" s="1828"/>
      <c r="C654" s="64">
        <f>7.9+2.6</f>
        <v>10.5</v>
      </c>
      <c r="D654" s="64">
        <v>3.3</v>
      </c>
      <c r="E654" s="64">
        <f>-0.9*2.2</f>
        <v>-1.9800000000000002</v>
      </c>
      <c r="F654" s="64"/>
      <c r="G654" s="64">
        <f t="shared" si="43"/>
        <v>32.67</v>
      </c>
      <c r="H654" s="59"/>
      <c r="I654" s="60"/>
      <c r="J654" s="60"/>
      <c r="K654" s="61"/>
      <c r="L654" s="59"/>
      <c r="M654" s="59"/>
    </row>
    <row r="655" spans="1:13" ht="15" customHeight="1">
      <c r="A655" s="1846" t="s">
        <v>775</v>
      </c>
      <c r="B655" s="1843"/>
      <c r="C655" s="64">
        <f>+(7.9+7.8)</f>
        <v>15.7</v>
      </c>
      <c r="D655" s="64">
        <v>3.3</v>
      </c>
      <c r="E655" s="64">
        <f>-(0.9*2.2)-(1.8*2.2*2)</f>
        <v>-9.9</v>
      </c>
      <c r="F655" s="64"/>
      <c r="G655" s="64">
        <f t="shared" si="43"/>
        <v>41.91</v>
      </c>
      <c r="H655" s="59"/>
      <c r="I655" s="60"/>
      <c r="J655" s="60"/>
      <c r="K655" s="61"/>
      <c r="L655" s="59"/>
      <c r="M655" s="59"/>
    </row>
    <row r="656" spans="1:13" ht="15" customHeight="1">
      <c r="A656" s="1620"/>
      <c r="B656" s="1622"/>
      <c r="C656" s="64">
        <v>2.9</v>
      </c>
      <c r="D656" s="64">
        <v>3.9</v>
      </c>
      <c r="E656" s="64"/>
      <c r="F656" s="64">
        <v>2</v>
      </c>
      <c r="G656" s="64">
        <f>+F656*D656*C656</f>
        <v>22.619999999999997</v>
      </c>
      <c r="H656" s="59"/>
      <c r="I656" s="60"/>
      <c r="J656" s="60"/>
      <c r="K656" s="61"/>
      <c r="L656" s="59"/>
      <c r="M656" s="59"/>
    </row>
    <row r="657" spans="1:7" ht="15" customHeight="1">
      <c r="A657" s="1844" t="s">
        <v>776</v>
      </c>
      <c r="B657" s="1828"/>
      <c r="C657" s="64">
        <f>2+1.54+1.1</f>
        <v>4.6400000000000006</v>
      </c>
      <c r="D657" s="64">
        <v>3.3</v>
      </c>
      <c r="E657" s="64"/>
      <c r="F657" s="64"/>
      <c r="G657" s="64">
        <f>+D657*C657</f>
        <v>15.312000000000001</v>
      </c>
    </row>
    <row r="658" spans="1:7" ht="15" customHeight="1">
      <c r="A658" s="1844" t="s">
        <v>320</v>
      </c>
      <c r="B658" s="1828"/>
      <c r="C658" s="64">
        <f>1.3+1.85+3.3+6.44+1.68+1.54</f>
        <v>16.11</v>
      </c>
      <c r="D658" s="64">
        <v>3.3</v>
      </c>
      <c r="E658" s="64">
        <f>-2.1*2.2</f>
        <v>-4.620000000000001</v>
      </c>
      <c r="F658" s="64"/>
      <c r="G658" s="64">
        <f>+(C658*D658)+E658</f>
        <v>48.542999999999992</v>
      </c>
    </row>
    <row r="659" spans="1:7" ht="15" customHeight="1">
      <c r="A659" s="1846" t="s">
        <v>777</v>
      </c>
      <c r="B659" s="1843"/>
      <c r="C659" s="64">
        <f>3.75+7.9+3.75</f>
        <v>15.4</v>
      </c>
      <c r="D659" s="64">
        <v>18</v>
      </c>
      <c r="E659" s="64"/>
      <c r="F659" s="64"/>
      <c r="G659" s="64">
        <f t="shared" ref="G659:G660" si="44">+D659*C659</f>
        <v>277.2</v>
      </c>
    </row>
    <row r="660" spans="1:7" ht="15" customHeight="1">
      <c r="A660" s="1620"/>
      <c r="B660" s="1622"/>
      <c r="C660" s="64">
        <f>2.63+2.7+4</f>
        <v>9.33</v>
      </c>
      <c r="D660" s="64">
        <v>14</v>
      </c>
      <c r="E660" s="64"/>
      <c r="F660" s="64"/>
      <c r="G660" s="64">
        <f t="shared" si="44"/>
        <v>130.62</v>
      </c>
    </row>
    <row r="661" spans="1:7" ht="14.25" customHeight="1">
      <c r="A661" s="1847" t="s">
        <v>71</v>
      </c>
      <c r="B661" s="1828"/>
      <c r="C661" s="64"/>
      <c r="D661" s="64"/>
      <c r="E661" s="64"/>
      <c r="F661" s="64"/>
      <c r="G661" s="64"/>
    </row>
    <row r="662" spans="1:7" ht="14.25" customHeight="1">
      <c r="A662" s="1845" t="s">
        <v>753</v>
      </c>
      <c r="B662" s="1828"/>
      <c r="C662" s="64">
        <f>7.7+0.65+0.65+0.54+1.6+1.2+2.71+3.55+0.5+2.66+1.51+2.56+0.6+1.6+2.84+1.1+7.7+0.6+2.01+1.5+1.95+0.45+2.8+1.75</f>
        <v>50.730000000000004</v>
      </c>
      <c r="D662" s="64">
        <v>3</v>
      </c>
      <c r="E662" s="64"/>
      <c r="F662" s="64"/>
      <c r="G662" s="64">
        <f t="shared" ref="G662:G663" si="45">+D662*C662</f>
        <v>152.19</v>
      </c>
    </row>
    <row r="663" spans="1:7" ht="14.25" customHeight="1">
      <c r="A663" s="1845" t="s">
        <v>753</v>
      </c>
      <c r="B663" s="1828"/>
      <c r="C663" s="64">
        <v>60.02</v>
      </c>
      <c r="D663" s="64">
        <v>1</v>
      </c>
      <c r="E663" s="64"/>
      <c r="F663" s="64"/>
      <c r="G663" s="64">
        <f t="shared" si="45"/>
        <v>60.02</v>
      </c>
    </row>
    <row r="664" spans="1:7" ht="14.25" customHeight="1">
      <c r="A664" s="1845" t="s">
        <v>778</v>
      </c>
      <c r="B664" s="1828"/>
      <c r="C664" s="64">
        <v>161.22999999999999</v>
      </c>
      <c r="D664" s="64"/>
      <c r="E664" s="64"/>
      <c r="F664" s="64">
        <v>2</v>
      </c>
      <c r="G664" s="64">
        <f>+F664*C664</f>
        <v>322.45999999999998</v>
      </c>
    </row>
    <row r="665" spans="1:7" ht="14.25" customHeight="1">
      <c r="A665" s="1851" t="s">
        <v>754</v>
      </c>
      <c r="B665" s="1828"/>
      <c r="C665" s="64"/>
      <c r="D665" s="64"/>
      <c r="E665" s="64"/>
      <c r="F665" s="64"/>
      <c r="G665" s="64"/>
    </row>
    <row r="666" spans="1:7" ht="14.25" customHeight="1">
      <c r="A666" s="1844" t="s">
        <v>779</v>
      </c>
      <c r="B666" s="1828"/>
      <c r="C666" s="64">
        <f>0.85+0.35+2.18+3.17+54.52+2.1+1+1.51+2.2+7+2.78+11.23+9.64+9.39</f>
        <v>107.92000000000002</v>
      </c>
      <c r="D666" s="64">
        <v>3.5</v>
      </c>
      <c r="E666" s="64"/>
      <c r="F666" s="64">
        <f>-(7.5*3.5)-(6*3)</f>
        <v>-44.25</v>
      </c>
      <c r="G666" s="64">
        <f>+(C666*D666)+F666</f>
        <v>333.47</v>
      </c>
    </row>
    <row r="667" spans="1:7" ht="14.25" customHeight="1">
      <c r="A667" s="1829" t="s">
        <v>227</v>
      </c>
      <c r="B667" s="1830"/>
      <c r="C667" s="1830"/>
      <c r="D667" s="1830"/>
      <c r="E667" s="1830"/>
      <c r="F667" s="1828"/>
      <c r="G667" s="65">
        <f>ROUND(SUM(G639:G666),2)</f>
        <v>3737.93</v>
      </c>
    </row>
    <row r="668" spans="1:7" ht="14.25" customHeight="1">
      <c r="A668" s="1831"/>
      <c r="B668" s="1830"/>
      <c r="C668" s="1830"/>
      <c r="D668" s="1830"/>
      <c r="E668" s="1830"/>
      <c r="F668" s="1830"/>
      <c r="G668" s="1828"/>
    </row>
    <row r="669" spans="1:7" ht="14.25" customHeight="1">
      <c r="A669" s="66" t="s">
        <v>264</v>
      </c>
      <c r="B669" s="1832" t="str">
        <f>+B634</f>
        <v>MAMPOSTERIA</v>
      </c>
      <c r="C669" s="1830"/>
      <c r="D669" s="1828"/>
      <c r="E669" s="1833" t="s">
        <v>218</v>
      </c>
      <c r="F669" s="1828"/>
      <c r="G669" s="62" t="str">
        <f>+G634</f>
        <v>M2</v>
      </c>
    </row>
    <row r="670" spans="1:7" ht="14.25" customHeight="1">
      <c r="A670" s="66" t="s">
        <v>780</v>
      </c>
      <c r="B670" s="1840" t="s">
        <v>781</v>
      </c>
      <c r="C670" s="1830"/>
      <c r="D670" s="1830"/>
      <c r="E670" s="1830"/>
      <c r="F670" s="1830"/>
      <c r="G670" s="1828"/>
    </row>
    <row r="671" spans="1:7" ht="14.25" customHeight="1">
      <c r="A671" s="1836" t="s">
        <v>220</v>
      </c>
      <c r="B671" s="1830"/>
      <c r="C671" s="1830"/>
      <c r="D671" s="1830"/>
      <c r="E671" s="1830"/>
      <c r="F671" s="1830"/>
      <c r="G671" s="1828"/>
    </row>
    <row r="672" spans="1:7" ht="14.25" customHeight="1">
      <c r="A672" s="1829" t="s">
        <v>221</v>
      </c>
      <c r="B672" s="1828"/>
      <c r="C672" s="63" t="s">
        <v>222</v>
      </c>
      <c r="D672" s="63" t="s">
        <v>223</v>
      </c>
      <c r="E672" s="63" t="s">
        <v>224</v>
      </c>
      <c r="F672" s="63" t="s">
        <v>225</v>
      </c>
      <c r="G672" s="63" t="s">
        <v>226</v>
      </c>
    </row>
    <row r="673" spans="1:7" ht="14.25" customHeight="1">
      <c r="A673" s="1845" t="s">
        <v>782</v>
      </c>
      <c r="B673" s="1828"/>
      <c r="C673" s="64">
        <f>+C625</f>
        <v>850.22</v>
      </c>
      <c r="D673" s="64"/>
      <c r="E673" s="64"/>
      <c r="F673" s="64">
        <v>2</v>
      </c>
      <c r="G673" s="64">
        <f>+C673*F673</f>
        <v>1700.44</v>
      </c>
    </row>
    <row r="674" spans="1:7" ht="14.25" customHeight="1">
      <c r="A674" s="1845" t="s">
        <v>783</v>
      </c>
      <c r="B674" s="1828"/>
      <c r="C674" s="64">
        <f>+C628</f>
        <v>23.1</v>
      </c>
      <c r="D674" s="64">
        <v>4.0999999999999996</v>
      </c>
      <c r="E674" s="64"/>
      <c r="F674" s="64">
        <v>2</v>
      </c>
      <c r="G674" s="64">
        <f>+C674*D674*F674</f>
        <v>189.42</v>
      </c>
    </row>
    <row r="675" spans="1:7" ht="14.25" customHeight="1">
      <c r="A675" s="1845" t="s">
        <v>784</v>
      </c>
      <c r="B675" s="1828"/>
      <c r="C675" s="64">
        <f>+G627+G626</f>
        <v>292.86399999999998</v>
      </c>
      <c r="D675" s="64"/>
      <c r="E675" s="64"/>
      <c r="F675" s="64">
        <v>2</v>
      </c>
      <c r="G675" s="64">
        <f t="shared" ref="G675:G676" si="46">+F675*C675</f>
        <v>585.72799999999995</v>
      </c>
    </row>
    <row r="676" spans="1:7" ht="14.25" customHeight="1">
      <c r="A676" s="1845" t="s">
        <v>785</v>
      </c>
      <c r="B676" s="1828"/>
      <c r="C676" s="64">
        <f>+G630</f>
        <v>16.38</v>
      </c>
      <c r="D676" s="64"/>
      <c r="E676" s="64"/>
      <c r="F676" s="64">
        <v>2</v>
      </c>
      <c r="G676" s="64">
        <f t="shared" si="46"/>
        <v>32.76</v>
      </c>
    </row>
    <row r="677" spans="1:7" ht="14.25" customHeight="1">
      <c r="A677" s="1845" t="s">
        <v>785</v>
      </c>
      <c r="B677" s="1828"/>
      <c r="C677" s="64">
        <f>+G666</f>
        <v>333.47</v>
      </c>
      <c r="D677" s="64"/>
      <c r="E677" s="64"/>
      <c r="F677" s="64"/>
      <c r="G677" s="64">
        <f>+C677</f>
        <v>333.47</v>
      </c>
    </row>
    <row r="678" spans="1:7" ht="14.25" customHeight="1">
      <c r="A678" s="1829" t="s">
        <v>227</v>
      </c>
      <c r="B678" s="1830"/>
      <c r="C678" s="1830"/>
      <c r="D678" s="1830"/>
      <c r="E678" s="1830"/>
      <c r="F678" s="1828"/>
      <c r="G678" s="65">
        <f>SUM(G673:G677)</f>
        <v>2841.8180000000002</v>
      </c>
    </row>
    <row r="679" spans="1:7" ht="14.25" customHeight="1">
      <c r="A679" s="1831"/>
      <c r="B679" s="1830"/>
      <c r="C679" s="1830"/>
      <c r="D679" s="1830"/>
      <c r="E679" s="1830"/>
      <c r="F679" s="1830"/>
      <c r="G679" s="1828"/>
    </row>
    <row r="680" spans="1:7" ht="14.25" customHeight="1">
      <c r="A680" s="66" t="s">
        <v>268</v>
      </c>
      <c r="B680" s="1832" t="s">
        <v>423</v>
      </c>
      <c r="C680" s="1830"/>
      <c r="D680" s="1828"/>
      <c r="E680" s="1833" t="s">
        <v>218</v>
      </c>
      <c r="F680" s="1828"/>
      <c r="G680" s="62" t="str">
        <f>+G669</f>
        <v>M2</v>
      </c>
    </row>
    <row r="681" spans="1:7" ht="14.25" customHeight="1">
      <c r="A681" s="66" t="s">
        <v>786</v>
      </c>
      <c r="B681" s="1840" t="s">
        <v>424</v>
      </c>
      <c r="C681" s="1830"/>
      <c r="D681" s="1830"/>
      <c r="E681" s="1830"/>
      <c r="F681" s="1830"/>
      <c r="G681" s="1828"/>
    </row>
    <row r="682" spans="1:7" ht="14.25" customHeight="1">
      <c r="A682" s="1836" t="s">
        <v>220</v>
      </c>
      <c r="B682" s="1830"/>
      <c r="C682" s="1830"/>
      <c r="D682" s="1830"/>
      <c r="E682" s="1830"/>
      <c r="F682" s="1830"/>
      <c r="G682" s="1828"/>
    </row>
    <row r="683" spans="1:7" ht="14.25" customHeight="1">
      <c r="A683" s="1829" t="s">
        <v>221</v>
      </c>
      <c r="B683" s="1828"/>
      <c r="C683" s="63" t="s">
        <v>222</v>
      </c>
      <c r="D683" s="63" t="s">
        <v>223</v>
      </c>
      <c r="E683" s="63" t="s">
        <v>224</v>
      </c>
      <c r="F683" s="63" t="s">
        <v>225</v>
      </c>
      <c r="G683" s="63" t="s">
        <v>226</v>
      </c>
    </row>
    <row r="684" spans="1:7" ht="14.25" customHeight="1">
      <c r="A684" s="1845" t="s">
        <v>787</v>
      </c>
      <c r="B684" s="1828"/>
      <c r="C684" s="64">
        <v>610.83999999999992</v>
      </c>
      <c r="D684" s="64"/>
      <c r="E684" s="64">
        <f>-G627</f>
        <v>-124.40999999999998</v>
      </c>
      <c r="F684" s="64"/>
      <c r="G684" s="64">
        <f>+C684+E684</f>
        <v>486.42999999999995</v>
      </c>
    </row>
    <row r="685" spans="1:7" ht="14.25" customHeight="1">
      <c r="A685" s="1845" t="s">
        <v>788</v>
      </c>
      <c r="B685" s="1828"/>
      <c r="C685" s="64">
        <f t="shared" ref="C685:D685" si="47">+C674</f>
        <v>23.1</v>
      </c>
      <c r="D685" s="64">
        <f t="shared" si="47"/>
        <v>4.0999999999999996</v>
      </c>
      <c r="E685" s="64"/>
      <c r="F685" s="64"/>
      <c r="G685" s="64">
        <f>+C685*D685</f>
        <v>94.71</v>
      </c>
    </row>
    <row r="686" spans="1:7" ht="14.25" customHeight="1">
      <c r="A686" s="1845" t="s">
        <v>789</v>
      </c>
      <c r="B686" s="1828"/>
      <c r="C686" s="64">
        <f>+G676+G677</f>
        <v>366.23</v>
      </c>
      <c r="D686" s="64"/>
      <c r="E686" s="64"/>
      <c r="F686" s="64"/>
      <c r="G686" s="64">
        <f>+C686</f>
        <v>366.23</v>
      </c>
    </row>
    <row r="687" spans="1:7" ht="14.25" customHeight="1">
      <c r="A687" s="1829" t="s">
        <v>227</v>
      </c>
      <c r="B687" s="1830"/>
      <c r="C687" s="1830"/>
      <c r="D687" s="1830"/>
      <c r="E687" s="1830"/>
      <c r="F687" s="1828"/>
      <c r="G687" s="65">
        <f>SUM(G684:G686)</f>
        <v>947.37</v>
      </c>
    </row>
    <row r="688" spans="1:7" ht="14.25" customHeight="1">
      <c r="A688" s="1831"/>
      <c r="B688" s="1830"/>
      <c r="C688" s="1830"/>
      <c r="D688" s="1830"/>
      <c r="E688" s="1830"/>
      <c r="F688" s="1830"/>
      <c r="G688" s="1828"/>
    </row>
    <row r="689" spans="1:7" ht="14.25" customHeight="1">
      <c r="A689" s="66" t="str">
        <f t="shared" ref="A689:B689" si="48">+A680</f>
        <v>CAPITULO 6:</v>
      </c>
      <c r="B689" s="1832" t="str">
        <f t="shared" si="48"/>
        <v>ACABADOS</v>
      </c>
      <c r="C689" s="1830"/>
      <c r="D689" s="1828"/>
      <c r="E689" s="1833" t="s">
        <v>218</v>
      </c>
      <c r="F689" s="1828"/>
      <c r="G689" s="62" t="str">
        <f>+G680</f>
        <v>M2</v>
      </c>
    </row>
    <row r="690" spans="1:7" ht="14.25" customHeight="1">
      <c r="A690" s="66" t="s">
        <v>790</v>
      </c>
      <c r="B690" s="1840" t="s">
        <v>425</v>
      </c>
      <c r="C690" s="1830"/>
      <c r="D690" s="1830"/>
      <c r="E690" s="1830"/>
      <c r="F690" s="1830"/>
      <c r="G690" s="1828"/>
    </row>
    <row r="691" spans="1:7" ht="14.25" customHeight="1">
      <c r="A691" s="1836" t="s">
        <v>220</v>
      </c>
      <c r="B691" s="1830"/>
      <c r="C691" s="1830"/>
      <c r="D691" s="1830"/>
      <c r="E691" s="1830"/>
      <c r="F691" s="1830"/>
      <c r="G691" s="1828"/>
    </row>
    <row r="692" spans="1:7" ht="14.25" customHeight="1">
      <c r="A692" s="1829" t="s">
        <v>221</v>
      </c>
      <c r="B692" s="1828"/>
      <c r="C692" s="63" t="s">
        <v>222</v>
      </c>
      <c r="D692" s="63" t="s">
        <v>223</v>
      </c>
      <c r="E692" s="63" t="s">
        <v>224</v>
      </c>
      <c r="F692" s="63" t="s">
        <v>225</v>
      </c>
      <c r="G692" s="63" t="s">
        <v>226</v>
      </c>
    </row>
    <row r="693" spans="1:7" ht="14.25" customHeight="1">
      <c r="A693" s="1845" t="s">
        <v>791</v>
      </c>
      <c r="B693" s="1828"/>
      <c r="C693" s="64">
        <f>+C673+G685</f>
        <v>944.93000000000006</v>
      </c>
      <c r="D693" s="64"/>
      <c r="E693" s="64"/>
      <c r="F693" s="64">
        <v>1</v>
      </c>
      <c r="G693" s="64">
        <f>+C693*F693</f>
        <v>944.93000000000006</v>
      </c>
    </row>
    <row r="694" spans="1:7" ht="14.25" customHeight="1">
      <c r="A694" s="1845"/>
      <c r="B694" s="1828"/>
      <c r="C694" s="64"/>
      <c r="D694" s="64"/>
      <c r="E694" s="64"/>
      <c r="F694" s="64"/>
      <c r="G694" s="64"/>
    </row>
    <row r="695" spans="1:7" ht="14.25" customHeight="1">
      <c r="A695" s="1845"/>
      <c r="B695" s="1828"/>
      <c r="C695" s="64"/>
      <c r="D695" s="64"/>
      <c r="E695" s="64"/>
      <c r="F695" s="64"/>
      <c r="G695" s="64"/>
    </row>
    <row r="696" spans="1:7" ht="14.25" customHeight="1">
      <c r="A696" s="1829" t="s">
        <v>227</v>
      </c>
      <c r="B696" s="1830"/>
      <c r="C696" s="1830"/>
      <c r="D696" s="1830"/>
      <c r="E696" s="1830"/>
      <c r="F696" s="1828"/>
      <c r="G696" s="65">
        <f>SUM(G693:G695)</f>
        <v>944.93000000000006</v>
      </c>
    </row>
    <row r="697" spans="1:7" ht="14.25" customHeight="1">
      <c r="A697" s="1831"/>
      <c r="B697" s="1830"/>
      <c r="C697" s="1830"/>
      <c r="D697" s="1830"/>
      <c r="E697" s="1830"/>
      <c r="F697" s="1830"/>
      <c r="G697" s="1828"/>
    </row>
    <row r="698" spans="1:7" ht="14.25" hidden="1" customHeight="1">
      <c r="A698" s="66" t="str">
        <f t="shared" ref="A698:B698" si="49">+A689</f>
        <v>CAPITULO 6:</v>
      </c>
      <c r="B698" s="1832" t="str">
        <f t="shared" si="49"/>
        <v>ACABADOS</v>
      </c>
      <c r="C698" s="1830"/>
      <c r="D698" s="1828"/>
      <c r="E698" s="1833" t="s">
        <v>218</v>
      </c>
      <c r="F698" s="1828"/>
      <c r="G698" s="62" t="str">
        <f>+G689</f>
        <v>M2</v>
      </c>
    </row>
    <row r="699" spans="1:7" ht="14.25" hidden="1" customHeight="1">
      <c r="A699" s="66" t="s">
        <v>792</v>
      </c>
      <c r="B699" s="1840" t="s">
        <v>426</v>
      </c>
      <c r="C699" s="1830"/>
      <c r="D699" s="1830"/>
      <c r="E699" s="1830"/>
      <c r="F699" s="1830"/>
      <c r="G699" s="1828"/>
    </row>
    <row r="700" spans="1:7" ht="14.25" hidden="1" customHeight="1">
      <c r="A700" s="1836" t="s">
        <v>220</v>
      </c>
      <c r="B700" s="1830"/>
      <c r="C700" s="1830"/>
      <c r="D700" s="1830"/>
      <c r="E700" s="1830"/>
      <c r="F700" s="1830"/>
      <c r="G700" s="1828"/>
    </row>
    <row r="701" spans="1:7" ht="14.25" hidden="1" customHeight="1">
      <c r="A701" s="1829" t="s">
        <v>221</v>
      </c>
      <c r="B701" s="1828"/>
      <c r="C701" s="63" t="s">
        <v>222</v>
      </c>
      <c r="D701" s="63" t="s">
        <v>223</v>
      </c>
      <c r="E701" s="63" t="s">
        <v>224</v>
      </c>
      <c r="F701" s="63" t="s">
        <v>225</v>
      </c>
      <c r="G701" s="63" t="s">
        <v>226</v>
      </c>
    </row>
    <row r="702" spans="1:7" ht="14.25" hidden="1" customHeight="1">
      <c r="A702" s="1827" t="s">
        <v>793</v>
      </c>
      <c r="B702" s="1828"/>
      <c r="C702" s="64">
        <v>331.97</v>
      </c>
      <c r="D702" s="64"/>
      <c r="E702" s="64"/>
      <c r="F702" s="64">
        <v>1</v>
      </c>
      <c r="G702" s="64"/>
    </row>
    <row r="703" spans="1:7" ht="14.25" hidden="1" customHeight="1">
      <c r="A703" s="1845" t="s">
        <v>794</v>
      </c>
      <c r="B703" s="1828"/>
      <c r="C703" s="64">
        <f>+C268</f>
        <v>209.4</v>
      </c>
      <c r="D703" s="64"/>
      <c r="E703" s="64"/>
      <c r="F703" s="64"/>
      <c r="G703" s="64"/>
    </row>
    <row r="704" spans="1:7" ht="14.25" hidden="1" customHeight="1">
      <c r="A704" s="1829" t="s">
        <v>227</v>
      </c>
      <c r="B704" s="1830"/>
      <c r="C704" s="1830"/>
      <c r="D704" s="1830"/>
      <c r="E704" s="1830"/>
      <c r="F704" s="1828"/>
      <c r="G704" s="191"/>
    </row>
    <row r="705" spans="1:7" ht="14.25" hidden="1" customHeight="1">
      <c r="A705" s="1831"/>
      <c r="B705" s="1830"/>
      <c r="C705" s="1830"/>
      <c r="D705" s="1830"/>
      <c r="E705" s="1830"/>
      <c r="F705" s="1830"/>
      <c r="G705" s="1828"/>
    </row>
    <row r="706" spans="1:7" ht="14.25" customHeight="1">
      <c r="A706" s="66" t="str">
        <f t="shared" ref="A706:B706" si="50">+A698</f>
        <v>CAPITULO 6:</v>
      </c>
      <c r="B706" s="1832" t="str">
        <f t="shared" si="50"/>
        <v>ACABADOS</v>
      </c>
      <c r="C706" s="1830"/>
      <c r="D706" s="1828"/>
      <c r="E706" s="1833" t="s">
        <v>218</v>
      </c>
      <c r="F706" s="1828"/>
      <c r="G706" s="62" t="str">
        <f>+G698</f>
        <v>M2</v>
      </c>
    </row>
    <row r="707" spans="1:7" ht="27.75" customHeight="1">
      <c r="A707" s="66" t="s">
        <v>792</v>
      </c>
      <c r="B707" s="1840" t="s">
        <v>795</v>
      </c>
      <c r="C707" s="1830"/>
      <c r="D707" s="1830"/>
      <c r="E707" s="1830"/>
      <c r="F707" s="1830"/>
      <c r="G707" s="1828"/>
    </row>
    <row r="708" spans="1:7" ht="14.25" customHeight="1">
      <c r="A708" s="1836" t="s">
        <v>220</v>
      </c>
      <c r="B708" s="1830"/>
      <c r="C708" s="1830"/>
      <c r="D708" s="1830"/>
      <c r="E708" s="1830"/>
      <c r="F708" s="1830"/>
      <c r="G708" s="1828"/>
    </row>
    <row r="709" spans="1:7" ht="14.25" customHeight="1">
      <c r="A709" s="1848" t="s">
        <v>221</v>
      </c>
      <c r="B709" s="1843"/>
      <c r="C709" s="63" t="s">
        <v>222</v>
      </c>
      <c r="D709" s="63" t="s">
        <v>223</v>
      </c>
      <c r="E709" s="63" t="s">
        <v>252</v>
      </c>
      <c r="F709" s="63" t="s">
        <v>225</v>
      </c>
      <c r="G709" s="63" t="s">
        <v>226</v>
      </c>
    </row>
    <row r="710" spans="1:7" ht="14.25" customHeight="1">
      <c r="A710" s="1847" t="s">
        <v>758</v>
      </c>
      <c r="B710" s="1828"/>
      <c r="C710" s="64"/>
      <c r="D710" s="64"/>
      <c r="E710" s="64"/>
      <c r="F710" s="64"/>
      <c r="G710" s="64"/>
    </row>
    <row r="711" spans="1:7" ht="14.25" customHeight="1">
      <c r="A711" s="1846" t="s">
        <v>59</v>
      </c>
      <c r="B711" s="1843"/>
      <c r="C711" s="64"/>
      <c r="D711" s="64">
        <v>1.05</v>
      </c>
      <c r="E711" s="64">
        <v>2.2000000000000002</v>
      </c>
      <c r="F711" s="64">
        <v>2</v>
      </c>
      <c r="G711" s="64">
        <f t="shared" ref="G711:G731" si="51">+D711*E711*F711</f>
        <v>4.620000000000001</v>
      </c>
    </row>
    <row r="712" spans="1:7" ht="14.25" customHeight="1">
      <c r="A712" s="1618"/>
      <c r="B712" s="1619"/>
      <c r="C712" s="64"/>
      <c r="D712" s="64">
        <v>1</v>
      </c>
      <c r="E712" s="64">
        <v>2.2000000000000002</v>
      </c>
      <c r="F712" s="64">
        <v>1</v>
      </c>
      <c r="G712" s="64">
        <f t="shared" si="51"/>
        <v>2.2000000000000002</v>
      </c>
    </row>
    <row r="713" spans="1:7" ht="14.25" customHeight="1">
      <c r="A713" s="1618"/>
      <c r="B713" s="1619"/>
      <c r="C713" s="64"/>
      <c r="D713" s="64">
        <v>0.9</v>
      </c>
      <c r="E713" s="64">
        <v>2.2000000000000002</v>
      </c>
      <c r="F713" s="64">
        <v>4</v>
      </c>
      <c r="G713" s="64">
        <f t="shared" si="51"/>
        <v>7.9200000000000008</v>
      </c>
    </row>
    <row r="714" spans="1:7" ht="14.25" customHeight="1">
      <c r="A714" s="1618"/>
      <c r="B714" s="1619"/>
      <c r="C714" s="64"/>
      <c r="D714" s="64">
        <v>0.8</v>
      </c>
      <c r="E714" s="64">
        <v>2.2000000000000002</v>
      </c>
      <c r="F714" s="64">
        <v>1</v>
      </c>
      <c r="G714" s="64">
        <f t="shared" si="51"/>
        <v>1.7600000000000002</v>
      </c>
    </row>
    <row r="715" spans="1:7" ht="14.25" customHeight="1">
      <c r="A715" s="1618"/>
      <c r="B715" s="1619"/>
      <c r="C715" s="64"/>
      <c r="D715" s="64">
        <v>0.7</v>
      </c>
      <c r="E715" s="64">
        <v>2.2000000000000002</v>
      </c>
      <c r="F715" s="64">
        <v>3</v>
      </c>
      <c r="G715" s="64">
        <f t="shared" si="51"/>
        <v>4.62</v>
      </c>
    </row>
    <row r="716" spans="1:7" ht="14.25" customHeight="1">
      <c r="A716" s="1620"/>
      <c r="B716" s="1622"/>
      <c r="C716" s="64"/>
      <c r="D716" s="64">
        <v>2</v>
      </c>
      <c r="E716" s="64">
        <v>2.2000000000000002</v>
      </c>
      <c r="F716" s="64">
        <v>1</v>
      </c>
      <c r="G716" s="64">
        <f t="shared" si="51"/>
        <v>4.4000000000000004</v>
      </c>
    </row>
    <row r="717" spans="1:7" ht="14.25" customHeight="1">
      <c r="A717" s="1846" t="s">
        <v>796</v>
      </c>
      <c r="B717" s="1843"/>
      <c r="C717" s="64"/>
      <c r="D717" s="64">
        <v>0.9</v>
      </c>
      <c r="E717" s="64">
        <v>2.2000000000000002</v>
      </c>
      <c r="F717" s="64">
        <v>2</v>
      </c>
      <c r="G717" s="64">
        <f t="shared" si="51"/>
        <v>3.9600000000000004</v>
      </c>
    </row>
    <row r="718" spans="1:7" ht="14.25" customHeight="1">
      <c r="A718" s="1620"/>
      <c r="B718" s="1622"/>
      <c r="C718" s="64"/>
      <c r="D718" s="64">
        <v>0.8</v>
      </c>
      <c r="E718" s="64">
        <v>2.2000000000000002</v>
      </c>
      <c r="F718" s="64">
        <v>2</v>
      </c>
      <c r="G718" s="64">
        <f t="shared" si="51"/>
        <v>3.5200000000000005</v>
      </c>
    </row>
    <row r="719" spans="1:7" ht="14.25" customHeight="1">
      <c r="A719" s="1846" t="s">
        <v>762</v>
      </c>
      <c r="B719" s="1843"/>
      <c r="C719" s="64"/>
      <c r="D719" s="64">
        <v>0.9</v>
      </c>
      <c r="E719" s="64">
        <v>2.2000000000000002</v>
      </c>
      <c r="F719" s="64">
        <v>1</v>
      </c>
      <c r="G719" s="64">
        <f t="shared" si="51"/>
        <v>1.9800000000000002</v>
      </c>
    </row>
    <row r="720" spans="1:7" ht="14.25" customHeight="1">
      <c r="A720" s="1620"/>
      <c r="B720" s="1622"/>
      <c r="C720" s="64"/>
      <c r="D720" s="64">
        <v>0.7</v>
      </c>
      <c r="E720" s="64">
        <v>2.2000000000000002</v>
      </c>
      <c r="F720" s="64">
        <v>1</v>
      </c>
      <c r="G720" s="64">
        <f t="shared" si="51"/>
        <v>1.54</v>
      </c>
    </row>
    <row r="721" spans="1:7" ht="15.75" customHeight="1">
      <c r="A721" s="1845" t="s">
        <v>797</v>
      </c>
      <c r="B721" s="1828"/>
      <c r="C721" s="64"/>
      <c r="D721" s="64">
        <v>1.2</v>
      </c>
      <c r="E721" s="64">
        <v>2.2000000000000002</v>
      </c>
      <c r="F721" s="64">
        <v>1</v>
      </c>
      <c r="G721" s="64">
        <f t="shared" si="51"/>
        <v>2.64</v>
      </c>
    </row>
    <row r="722" spans="1:7" ht="14.25" customHeight="1">
      <c r="A722" s="1846" t="s">
        <v>61</v>
      </c>
      <c r="B722" s="1843"/>
      <c r="C722" s="64"/>
      <c r="D722" s="64">
        <v>1.05</v>
      </c>
      <c r="E722" s="64">
        <v>2.2000000000000002</v>
      </c>
      <c r="F722" s="64">
        <v>2</v>
      </c>
      <c r="G722" s="64">
        <f t="shared" si="51"/>
        <v>4.620000000000001</v>
      </c>
    </row>
    <row r="723" spans="1:7" ht="14.25" customHeight="1">
      <c r="A723" s="1618"/>
      <c r="B723" s="1619"/>
      <c r="C723" s="64"/>
      <c r="D723" s="64">
        <v>1</v>
      </c>
      <c r="E723" s="64">
        <v>2.2000000000000002</v>
      </c>
      <c r="F723" s="64">
        <v>1</v>
      </c>
      <c r="G723" s="64">
        <f t="shared" si="51"/>
        <v>2.2000000000000002</v>
      </c>
    </row>
    <row r="724" spans="1:7" ht="14.25" customHeight="1">
      <c r="A724" s="1618"/>
      <c r="B724" s="1619"/>
      <c r="C724" s="64"/>
      <c r="D724" s="64">
        <v>0.9</v>
      </c>
      <c r="E724" s="64">
        <v>2.2000000000000002</v>
      </c>
      <c r="F724" s="64">
        <v>3</v>
      </c>
      <c r="G724" s="64">
        <f t="shared" si="51"/>
        <v>5.94</v>
      </c>
    </row>
    <row r="725" spans="1:7" ht="14.25" customHeight="1">
      <c r="A725" s="1618"/>
      <c r="B725" s="1619"/>
      <c r="C725" s="64"/>
      <c r="D725" s="64">
        <v>0.8</v>
      </c>
      <c r="E725" s="64">
        <v>2.2000000000000002</v>
      </c>
      <c r="F725" s="64">
        <v>2</v>
      </c>
      <c r="G725" s="64">
        <f t="shared" si="51"/>
        <v>3.5200000000000005</v>
      </c>
    </row>
    <row r="726" spans="1:7" ht="14.25" customHeight="1">
      <c r="A726" s="1618"/>
      <c r="B726" s="1619"/>
      <c r="C726" s="64"/>
      <c r="D726" s="64">
        <v>0.7</v>
      </c>
      <c r="E726" s="64">
        <v>2.2000000000000002</v>
      </c>
      <c r="F726" s="64">
        <v>3</v>
      </c>
      <c r="G726" s="64">
        <f t="shared" si="51"/>
        <v>4.62</v>
      </c>
    </row>
    <row r="727" spans="1:7" ht="14.25" customHeight="1">
      <c r="A727" s="1620"/>
      <c r="B727" s="1622"/>
      <c r="C727" s="64"/>
      <c r="D727" s="64">
        <v>2</v>
      </c>
      <c r="E727" s="64">
        <v>2.2000000000000002</v>
      </c>
      <c r="F727" s="64">
        <v>1</v>
      </c>
      <c r="G727" s="64">
        <f t="shared" si="51"/>
        <v>4.4000000000000004</v>
      </c>
    </row>
    <row r="728" spans="1:7" ht="14.25" customHeight="1">
      <c r="A728" s="1846" t="s">
        <v>763</v>
      </c>
      <c r="B728" s="1843"/>
      <c r="C728" s="64"/>
      <c r="D728" s="64">
        <v>0.9</v>
      </c>
      <c r="E728" s="64">
        <v>2.2000000000000002</v>
      </c>
      <c r="F728" s="64">
        <v>1</v>
      </c>
      <c r="G728" s="64">
        <f t="shared" si="51"/>
        <v>1.9800000000000002</v>
      </c>
    </row>
    <row r="729" spans="1:7" ht="14.25" customHeight="1">
      <c r="A729" s="1620"/>
      <c r="B729" s="1622"/>
      <c r="C729" s="64"/>
      <c r="D729" s="64">
        <v>0.7</v>
      </c>
      <c r="E729" s="64">
        <v>2.2000000000000002</v>
      </c>
      <c r="F729" s="64">
        <v>1</v>
      </c>
      <c r="G729" s="64">
        <f t="shared" si="51"/>
        <v>1.54</v>
      </c>
    </row>
    <row r="730" spans="1:7" ht="14.25" customHeight="1">
      <c r="A730" s="1844" t="s">
        <v>764</v>
      </c>
      <c r="B730" s="1828"/>
      <c r="C730" s="64"/>
      <c r="D730" s="64">
        <v>0.9</v>
      </c>
      <c r="E730" s="64">
        <v>2.2000000000000002</v>
      </c>
      <c r="F730" s="64">
        <v>1</v>
      </c>
      <c r="G730" s="64">
        <f t="shared" si="51"/>
        <v>1.9800000000000002</v>
      </c>
    </row>
    <row r="731" spans="1:7" ht="14.25" customHeight="1">
      <c r="A731" s="1845" t="s">
        <v>765</v>
      </c>
      <c r="B731" s="1828"/>
      <c r="C731" s="64"/>
      <c r="D731" s="64">
        <v>0.9</v>
      </c>
      <c r="E731" s="64">
        <v>2.2000000000000002</v>
      </c>
      <c r="F731" s="64">
        <v>2</v>
      </c>
      <c r="G731" s="64">
        <f t="shared" si="51"/>
        <v>3.9600000000000004</v>
      </c>
    </row>
    <row r="732" spans="1:7" ht="14.25" customHeight="1">
      <c r="A732" s="1847" t="s">
        <v>767</v>
      </c>
      <c r="B732" s="1828"/>
      <c r="C732" s="64"/>
      <c r="D732" s="64"/>
      <c r="E732" s="64"/>
      <c r="F732" s="64"/>
      <c r="G732" s="64"/>
    </row>
    <row r="733" spans="1:7" ht="14.25" customHeight="1">
      <c r="A733" s="1844" t="s">
        <v>798</v>
      </c>
      <c r="B733" s="1828"/>
      <c r="C733" s="64"/>
      <c r="D733" s="64">
        <v>1.4</v>
      </c>
      <c r="E733" s="64">
        <v>2.2000000000000002</v>
      </c>
      <c r="F733" s="64">
        <v>1</v>
      </c>
      <c r="G733" s="64">
        <f t="shared" ref="G733:G750" si="52">+D733*E733*F733</f>
        <v>3.08</v>
      </c>
    </row>
    <row r="734" spans="1:7" ht="14.25" customHeight="1">
      <c r="A734" s="1845" t="s">
        <v>799</v>
      </c>
      <c r="B734" s="1828"/>
      <c r="C734" s="64"/>
      <c r="D734" s="64">
        <v>0.9</v>
      </c>
      <c r="E734" s="64">
        <v>2.2000000000000002</v>
      </c>
      <c r="F734" s="64">
        <v>1</v>
      </c>
      <c r="G734" s="64">
        <f t="shared" si="52"/>
        <v>1.9800000000000002</v>
      </c>
    </row>
    <row r="735" spans="1:7" ht="14.25" customHeight="1">
      <c r="A735" s="1845" t="s">
        <v>800</v>
      </c>
      <c r="B735" s="1828"/>
      <c r="C735" s="64"/>
      <c r="D735" s="64">
        <v>0.9</v>
      </c>
      <c r="E735" s="64">
        <v>2.2000000000000002</v>
      </c>
      <c r="F735" s="64">
        <v>1</v>
      </c>
      <c r="G735" s="64">
        <f t="shared" si="52"/>
        <v>1.9800000000000002</v>
      </c>
    </row>
    <row r="736" spans="1:7" ht="14.25" customHeight="1">
      <c r="A736" s="1846" t="s">
        <v>751</v>
      </c>
      <c r="B736" s="1843"/>
      <c r="C736" s="64"/>
      <c r="D736" s="64">
        <v>1.2</v>
      </c>
      <c r="E736" s="64">
        <v>2.2000000000000002</v>
      </c>
      <c r="F736" s="64">
        <v>2</v>
      </c>
      <c r="G736" s="64">
        <f t="shared" si="52"/>
        <v>5.28</v>
      </c>
    </row>
    <row r="737" spans="1:7" ht="14.25" customHeight="1">
      <c r="A737" s="1618"/>
      <c r="B737" s="1619"/>
      <c r="C737" s="64"/>
      <c r="D737" s="64">
        <v>0.9</v>
      </c>
      <c r="E737" s="64">
        <v>2.2000000000000002</v>
      </c>
      <c r="F737" s="64">
        <v>2</v>
      </c>
      <c r="G737" s="64">
        <f t="shared" si="52"/>
        <v>3.9600000000000004</v>
      </c>
    </row>
    <row r="738" spans="1:7" ht="14.25" customHeight="1">
      <c r="A738" s="1620"/>
      <c r="B738" s="1622"/>
      <c r="C738" s="64"/>
      <c r="D738" s="64">
        <v>0.7</v>
      </c>
      <c r="E738" s="64">
        <v>2.2000000000000002</v>
      </c>
      <c r="F738" s="64">
        <v>2</v>
      </c>
      <c r="G738" s="64">
        <f t="shared" si="52"/>
        <v>3.08</v>
      </c>
    </row>
    <row r="739" spans="1:7" ht="14.25" customHeight="1">
      <c r="A739" s="1844" t="s">
        <v>752</v>
      </c>
      <c r="B739" s="1828"/>
      <c r="C739" s="64"/>
      <c r="D739" s="64">
        <v>0.9</v>
      </c>
      <c r="E739" s="64">
        <v>2.2000000000000002</v>
      </c>
      <c r="F739" s="64">
        <v>4</v>
      </c>
      <c r="G739" s="64">
        <f t="shared" si="52"/>
        <v>7.9200000000000008</v>
      </c>
    </row>
    <row r="740" spans="1:7" ht="14.25" customHeight="1">
      <c r="A740" s="1844" t="s">
        <v>769</v>
      </c>
      <c r="B740" s="1828"/>
      <c r="C740" s="64"/>
      <c r="D740" s="64">
        <v>0.7</v>
      </c>
      <c r="E740" s="64">
        <v>2.2000000000000002</v>
      </c>
      <c r="F740" s="64">
        <v>2</v>
      </c>
      <c r="G740" s="64">
        <f t="shared" si="52"/>
        <v>3.08</v>
      </c>
    </row>
    <row r="741" spans="1:7" ht="14.25" customHeight="1">
      <c r="A741" s="1845" t="s">
        <v>771</v>
      </c>
      <c r="B741" s="1828"/>
      <c r="C741" s="64"/>
      <c r="D741" s="64">
        <v>0.7</v>
      </c>
      <c r="E741" s="64">
        <v>2.2000000000000002</v>
      </c>
      <c r="F741" s="64">
        <v>2</v>
      </c>
      <c r="G741" s="64">
        <f t="shared" si="52"/>
        <v>3.08</v>
      </c>
    </row>
    <row r="742" spans="1:7" ht="14.25" customHeight="1">
      <c r="A742" s="1844" t="s">
        <v>772</v>
      </c>
      <c r="B742" s="1828"/>
      <c r="C742" s="64"/>
      <c r="D742" s="64">
        <v>1.4</v>
      </c>
      <c r="E742" s="64">
        <v>2.2000000000000002</v>
      </c>
      <c r="F742" s="64">
        <v>1</v>
      </c>
      <c r="G742" s="64">
        <f t="shared" si="52"/>
        <v>3.08</v>
      </c>
    </row>
    <row r="743" spans="1:7" ht="14.25" customHeight="1">
      <c r="A743" s="1846" t="s">
        <v>773</v>
      </c>
      <c r="B743" s="1843"/>
      <c r="C743" s="64"/>
      <c r="D743" s="64">
        <v>1.1000000000000001</v>
      </c>
      <c r="E743" s="64">
        <v>2.2000000000000002</v>
      </c>
      <c r="F743" s="64">
        <v>1</v>
      </c>
      <c r="G743" s="64">
        <f t="shared" si="52"/>
        <v>2.4200000000000004</v>
      </c>
    </row>
    <row r="744" spans="1:7" ht="14.25" customHeight="1">
      <c r="A744" s="1618"/>
      <c r="B744" s="1619"/>
      <c r="C744" s="64"/>
      <c r="D744" s="64">
        <v>0.8</v>
      </c>
      <c r="E744" s="64">
        <v>2.2000000000000002</v>
      </c>
      <c r="F744" s="64">
        <v>1</v>
      </c>
      <c r="G744" s="64">
        <f t="shared" si="52"/>
        <v>1.7600000000000002</v>
      </c>
    </row>
    <row r="745" spans="1:7" ht="14.25" customHeight="1">
      <c r="A745" s="1620"/>
      <c r="B745" s="1622"/>
      <c r="C745" s="64"/>
      <c r="D745" s="64">
        <v>0.7</v>
      </c>
      <c r="E745" s="64">
        <v>2.2000000000000002</v>
      </c>
      <c r="F745" s="64">
        <v>1</v>
      </c>
      <c r="G745" s="64">
        <f t="shared" si="52"/>
        <v>1.54</v>
      </c>
    </row>
    <row r="746" spans="1:7" ht="14.25" customHeight="1">
      <c r="A746" s="1844" t="s">
        <v>776</v>
      </c>
      <c r="B746" s="1828"/>
      <c r="C746" s="64"/>
      <c r="D746" s="64">
        <v>1.1000000000000001</v>
      </c>
      <c r="E746" s="64">
        <v>2.2000000000000002</v>
      </c>
      <c r="F746" s="64">
        <v>1</v>
      </c>
      <c r="G746" s="64">
        <f t="shared" si="52"/>
        <v>2.4200000000000004</v>
      </c>
    </row>
    <row r="747" spans="1:7" ht="14.25" customHeight="1">
      <c r="A747" s="1846" t="s">
        <v>775</v>
      </c>
      <c r="B747" s="1843"/>
      <c r="C747" s="64"/>
      <c r="D747" s="64">
        <v>1.8</v>
      </c>
      <c r="E747" s="64">
        <v>2.2000000000000002</v>
      </c>
      <c r="F747" s="64">
        <v>2</v>
      </c>
      <c r="G747" s="64">
        <f t="shared" si="52"/>
        <v>7.9200000000000008</v>
      </c>
    </row>
    <row r="748" spans="1:7" ht="14.25" customHeight="1">
      <c r="A748" s="1620"/>
      <c r="B748" s="1622"/>
      <c r="C748" s="64"/>
      <c r="D748" s="64">
        <v>0.9</v>
      </c>
      <c r="E748" s="64">
        <v>2.2000000000000002</v>
      </c>
      <c r="F748" s="64">
        <v>1</v>
      </c>
      <c r="G748" s="64">
        <f t="shared" si="52"/>
        <v>1.9800000000000002</v>
      </c>
    </row>
    <row r="749" spans="1:7" ht="14.25" customHeight="1">
      <c r="A749" s="1846" t="s">
        <v>801</v>
      </c>
      <c r="B749" s="1843"/>
      <c r="C749" s="64"/>
      <c r="D749" s="64">
        <v>1.4</v>
      </c>
      <c r="E749" s="64">
        <v>2.2000000000000002</v>
      </c>
      <c r="F749" s="64">
        <v>1</v>
      </c>
      <c r="G749" s="64">
        <f t="shared" si="52"/>
        <v>3.08</v>
      </c>
    </row>
    <row r="750" spans="1:7" ht="14.25" customHeight="1">
      <c r="A750" s="1620"/>
      <c r="B750" s="1622"/>
      <c r="C750" s="64"/>
      <c r="D750" s="64">
        <v>0.7</v>
      </c>
      <c r="E750" s="64">
        <v>2.2000000000000002</v>
      </c>
      <c r="F750" s="64">
        <v>1</v>
      </c>
      <c r="G750" s="64">
        <f t="shared" si="52"/>
        <v>1.54</v>
      </c>
    </row>
    <row r="751" spans="1:7" ht="14.25" customHeight="1">
      <c r="A751" s="1847" t="s">
        <v>802</v>
      </c>
      <c r="B751" s="1828"/>
      <c r="C751" s="64"/>
      <c r="D751" s="64"/>
      <c r="E751" s="64"/>
      <c r="F751" s="64"/>
      <c r="G751" s="64"/>
    </row>
    <row r="752" spans="1:7" ht="15" customHeight="1">
      <c r="A752" s="1846" t="s">
        <v>803</v>
      </c>
      <c r="B752" s="1843"/>
      <c r="C752" s="64"/>
      <c r="D752" s="64">
        <v>1.5</v>
      </c>
      <c r="E752" s="64">
        <v>2.2000000000000002</v>
      </c>
      <c r="F752" s="64">
        <v>2</v>
      </c>
      <c r="G752" s="64">
        <f t="shared" ref="G752:G757" si="53">+D752*E752*F752</f>
        <v>6.6000000000000005</v>
      </c>
    </row>
    <row r="753" spans="1:7" ht="14.25" customHeight="1">
      <c r="A753" s="1618"/>
      <c r="B753" s="1619"/>
      <c r="C753" s="64"/>
      <c r="D753" s="64">
        <v>1.2</v>
      </c>
      <c r="E753" s="64">
        <v>2.2000000000000002</v>
      </c>
      <c r="F753" s="64">
        <v>2</v>
      </c>
      <c r="G753" s="64">
        <f t="shared" si="53"/>
        <v>5.28</v>
      </c>
    </row>
    <row r="754" spans="1:7" ht="14.25" customHeight="1">
      <c r="A754" s="1618"/>
      <c r="B754" s="1619"/>
      <c r="C754" s="64"/>
      <c r="D754" s="64">
        <v>1.4</v>
      </c>
      <c r="E754" s="64">
        <v>2.2000000000000002</v>
      </c>
      <c r="F754" s="64">
        <v>2</v>
      </c>
      <c r="G754" s="64">
        <f t="shared" si="53"/>
        <v>6.16</v>
      </c>
    </row>
    <row r="755" spans="1:7" ht="14.25" customHeight="1">
      <c r="A755" s="1620"/>
      <c r="B755" s="1622"/>
      <c r="C755" s="64"/>
      <c r="D755" s="64">
        <v>0.9</v>
      </c>
      <c r="E755" s="64">
        <v>2.2000000000000002</v>
      </c>
      <c r="F755" s="64">
        <v>1</v>
      </c>
      <c r="G755" s="64">
        <f t="shared" si="53"/>
        <v>1.9800000000000002</v>
      </c>
    </row>
    <row r="756" spans="1:7" ht="14.25" customHeight="1">
      <c r="A756" s="1845" t="s">
        <v>804</v>
      </c>
      <c r="B756" s="1828"/>
      <c r="C756" s="64"/>
      <c r="D756" s="64">
        <v>1.2</v>
      </c>
      <c r="E756" s="64">
        <v>2.2000000000000002</v>
      </c>
      <c r="F756" s="64">
        <v>1</v>
      </c>
      <c r="G756" s="64">
        <f t="shared" si="53"/>
        <v>2.64</v>
      </c>
    </row>
    <row r="757" spans="1:7" ht="14.25" customHeight="1">
      <c r="A757" s="1844" t="s">
        <v>805</v>
      </c>
      <c r="B757" s="1828"/>
      <c r="C757" s="64"/>
      <c r="D757" s="64">
        <v>1.1000000000000001</v>
      </c>
      <c r="E757" s="64">
        <v>2.2000000000000002</v>
      </c>
      <c r="F757" s="64">
        <v>4</v>
      </c>
      <c r="G757" s="64">
        <f t="shared" si="53"/>
        <v>9.6800000000000015</v>
      </c>
    </row>
    <row r="758" spans="1:7" ht="14.25" customHeight="1">
      <c r="A758" s="1847" t="s">
        <v>806</v>
      </c>
      <c r="B758" s="1828"/>
      <c r="C758" s="64"/>
      <c r="D758" s="64"/>
      <c r="E758" s="64"/>
      <c r="F758" s="64"/>
      <c r="G758" s="64"/>
    </row>
    <row r="759" spans="1:7" ht="15" customHeight="1">
      <c r="A759" s="1846" t="s">
        <v>806</v>
      </c>
      <c r="B759" s="1843"/>
      <c r="C759" s="64"/>
      <c r="D759" s="64">
        <v>1.2</v>
      </c>
      <c r="E759" s="64">
        <v>2.2000000000000002</v>
      </c>
      <c r="F759" s="64">
        <v>4</v>
      </c>
      <c r="G759" s="64">
        <f t="shared" ref="G759:G762" si="54">+D759*E759*F759</f>
        <v>10.56</v>
      </c>
    </row>
    <row r="760" spans="1:7" ht="14.25" customHeight="1">
      <c r="A760" s="1618"/>
      <c r="B760" s="1619"/>
      <c r="C760" s="64"/>
      <c r="D760" s="64">
        <v>0.7</v>
      </c>
      <c r="E760" s="64">
        <v>2.2000000000000002</v>
      </c>
      <c r="F760" s="64">
        <v>2</v>
      </c>
      <c r="G760" s="64">
        <f t="shared" si="54"/>
        <v>3.08</v>
      </c>
    </row>
    <row r="761" spans="1:7" ht="14.25" customHeight="1">
      <c r="A761" s="1618"/>
      <c r="B761" s="1619"/>
      <c r="C761" s="64"/>
      <c r="D761" s="64">
        <v>0.8</v>
      </c>
      <c r="E761" s="64">
        <v>2.2000000000000002</v>
      </c>
      <c r="F761" s="64">
        <v>1</v>
      </c>
      <c r="G761" s="64">
        <f t="shared" si="54"/>
        <v>1.7600000000000002</v>
      </c>
    </row>
    <row r="762" spans="1:7" ht="14.25" customHeight="1">
      <c r="A762" s="1620"/>
      <c r="B762" s="1622"/>
      <c r="C762" s="64"/>
      <c r="D762" s="64"/>
      <c r="E762" s="64"/>
      <c r="F762" s="64"/>
      <c r="G762" s="64">
        <f t="shared" si="54"/>
        <v>0</v>
      </c>
    </row>
    <row r="763" spans="1:7" ht="14.25" customHeight="1">
      <c r="A763" s="1849" t="s">
        <v>227</v>
      </c>
      <c r="B763" s="1621"/>
      <c r="C763" s="1621"/>
      <c r="D763" s="1621"/>
      <c r="E763" s="1621"/>
      <c r="F763" s="1622"/>
      <c r="G763" s="65">
        <f>SUM(G711:G762)</f>
        <v>180.84</v>
      </c>
    </row>
    <row r="764" spans="1:7" ht="14.25" customHeight="1">
      <c r="A764" s="1831"/>
      <c r="B764" s="1830"/>
      <c r="C764" s="1830"/>
      <c r="D764" s="1830"/>
      <c r="E764" s="1830"/>
      <c r="F764" s="1830"/>
      <c r="G764" s="1828"/>
    </row>
    <row r="765" spans="1:7" ht="14.25" customHeight="1">
      <c r="A765" s="66" t="str">
        <f t="shared" ref="A765:B765" si="55">+A706</f>
        <v>CAPITULO 6:</v>
      </c>
      <c r="B765" s="1832" t="str">
        <f t="shared" si="55"/>
        <v>ACABADOS</v>
      </c>
      <c r="C765" s="1830"/>
      <c r="D765" s="1828"/>
      <c r="E765" s="1833" t="s">
        <v>218</v>
      </c>
      <c r="F765" s="1828"/>
      <c r="G765" s="62" t="str">
        <f>+G706</f>
        <v>M2</v>
      </c>
    </row>
    <row r="766" spans="1:7" ht="14.25" customHeight="1">
      <c r="A766" s="66" t="s">
        <v>807</v>
      </c>
      <c r="B766" s="1840" t="s">
        <v>808</v>
      </c>
      <c r="C766" s="1830"/>
      <c r="D766" s="1830"/>
      <c r="E766" s="1830"/>
      <c r="F766" s="1830"/>
      <c r="G766" s="1828"/>
    </row>
    <row r="767" spans="1:7" ht="14.25" customHeight="1">
      <c r="A767" s="1836" t="s">
        <v>220</v>
      </c>
      <c r="B767" s="1830"/>
      <c r="C767" s="1830"/>
      <c r="D767" s="1830"/>
      <c r="E767" s="1830"/>
      <c r="F767" s="1830"/>
      <c r="G767" s="1828"/>
    </row>
    <row r="768" spans="1:7" ht="14.25" customHeight="1">
      <c r="A768" s="1829" t="s">
        <v>221</v>
      </c>
      <c r="B768" s="1828"/>
      <c r="C768" s="63" t="s">
        <v>222</v>
      </c>
      <c r="D768" s="63" t="s">
        <v>223</v>
      </c>
      <c r="E768" s="63" t="s">
        <v>252</v>
      </c>
      <c r="F768" s="63" t="s">
        <v>225</v>
      </c>
      <c r="G768" s="63" t="s">
        <v>226</v>
      </c>
    </row>
    <row r="769" spans="1:256" ht="14.25" customHeight="1">
      <c r="A769" s="1847" t="s">
        <v>758</v>
      </c>
      <c r="B769" s="1828"/>
      <c r="C769" s="64"/>
      <c r="D769" s="64"/>
      <c r="E769" s="64"/>
      <c r="F769" s="64"/>
      <c r="G769" s="64"/>
      <c r="H769" s="59"/>
      <c r="I769" s="60"/>
      <c r="J769" s="60"/>
      <c r="K769" s="61"/>
      <c r="L769" s="59"/>
      <c r="M769" s="59"/>
      <c r="N769" s="59"/>
      <c r="O769" s="59"/>
      <c r="P769" s="59"/>
      <c r="Q769" s="59"/>
      <c r="R769" s="59"/>
      <c r="S769" s="59"/>
      <c r="T769" s="59"/>
      <c r="U769" s="59"/>
      <c r="V769" s="59"/>
      <c r="W769" s="59"/>
      <c r="X769" s="59"/>
      <c r="Y769" s="59"/>
      <c r="Z769" s="59"/>
      <c r="AA769" s="59"/>
      <c r="AB769" s="59"/>
      <c r="AC769" s="59"/>
      <c r="AD769" s="59"/>
      <c r="AE769" s="59"/>
      <c r="AF769" s="59"/>
      <c r="AG769" s="59"/>
      <c r="AH769" s="59"/>
      <c r="AI769" s="59"/>
      <c r="AJ769" s="59"/>
      <c r="AK769" s="59"/>
      <c r="AL769" s="59"/>
      <c r="AM769" s="59"/>
      <c r="AN769" s="59"/>
      <c r="AO769" s="59"/>
      <c r="AP769" s="59"/>
      <c r="AQ769" s="59"/>
      <c r="AR769" s="59"/>
      <c r="AS769" s="59"/>
      <c r="AT769" s="59"/>
      <c r="AU769" s="59"/>
      <c r="AV769" s="59"/>
      <c r="AW769" s="59"/>
      <c r="AX769" s="59"/>
      <c r="AY769" s="59"/>
      <c r="AZ769" s="59"/>
      <c r="BA769" s="59"/>
      <c r="BB769" s="59"/>
      <c r="BC769" s="59"/>
      <c r="BD769" s="59"/>
      <c r="BE769" s="59"/>
      <c r="BF769" s="59"/>
      <c r="BG769" s="59"/>
      <c r="BH769" s="59"/>
      <c r="BI769" s="59"/>
      <c r="BJ769" s="59"/>
      <c r="BK769" s="59"/>
      <c r="BL769" s="59"/>
      <c r="BM769" s="59"/>
      <c r="BN769" s="59"/>
      <c r="BO769" s="59"/>
      <c r="BP769" s="59"/>
      <c r="BQ769" s="59"/>
      <c r="BR769" s="59"/>
      <c r="BS769" s="59"/>
      <c r="BT769" s="59"/>
      <c r="BU769" s="59"/>
      <c r="BV769" s="59"/>
      <c r="BW769" s="59"/>
      <c r="BX769" s="59"/>
      <c r="BY769" s="59"/>
      <c r="BZ769" s="59"/>
      <c r="CA769" s="59"/>
      <c r="CB769" s="59"/>
      <c r="CC769" s="59"/>
      <c r="CD769" s="59"/>
      <c r="CE769" s="59"/>
      <c r="CF769" s="59"/>
      <c r="CG769" s="59"/>
      <c r="CH769" s="59"/>
      <c r="CI769" s="59"/>
      <c r="CJ769" s="59"/>
      <c r="CK769" s="59"/>
      <c r="CL769" s="59"/>
      <c r="CM769" s="59"/>
      <c r="CN769" s="59"/>
      <c r="CO769" s="59"/>
      <c r="CP769" s="59"/>
      <c r="CQ769" s="59"/>
      <c r="CR769" s="59"/>
      <c r="CS769" s="59"/>
      <c r="CT769" s="59"/>
      <c r="CU769" s="59"/>
      <c r="CV769" s="59"/>
      <c r="CW769" s="59"/>
      <c r="CX769" s="59"/>
      <c r="CY769" s="59"/>
      <c r="CZ769" s="59"/>
      <c r="DA769" s="59"/>
      <c r="DB769" s="59"/>
      <c r="DC769" s="59"/>
      <c r="DD769" s="59"/>
      <c r="DE769" s="59"/>
      <c r="DF769" s="59"/>
      <c r="DG769" s="59"/>
      <c r="DH769" s="59"/>
      <c r="DI769" s="59"/>
      <c r="DJ769" s="59"/>
      <c r="DK769" s="59"/>
      <c r="DL769" s="59"/>
      <c r="DM769" s="59"/>
      <c r="DN769" s="59"/>
      <c r="DO769" s="59"/>
      <c r="DP769" s="59"/>
      <c r="DQ769" s="59"/>
      <c r="DR769" s="59"/>
      <c r="DS769" s="59"/>
      <c r="DT769" s="59"/>
      <c r="DU769" s="59"/>
      <c r="DV769" s="59"/>
      <c r="DW769" s="59"/>
      <c r="DX769" s="59"/>
      <c r="DY769" s="59"/>
      <c r="DZ769" s="59"/>
      <c r="EA769" s="59"/>
      <c r="EB769" s="59"/>
      <c r="EC769" s="59"/>
      <c r="ED769" s="59"/>
      <c r="EE769" s="59"/>
      <c r="EF769" s="59"/>
      <c r="EG769" s="59"/>
      <c r="EH769" s="59"/>
      <c r="EI769" s="59"/>
      <c r="EJ769" s="59"/>
      <c r="EK769" s="59"/>
      <c r="EL769" s="59"/>
      <c r="EM769" s="59"/>
      <c r="EN769" s="59"/>
      <c r="EO769" s="59"/>
      <c r="EP769" s="59"/>
      <c r="EQ769" s="59"/>
      <c r="ER769" s="59"/>
      <c r="ES769" s="59"/>
      <c r="ET769" s="59"/>
      <c r="EU769" s="59"/>
      <c r="EV769" s="59"/>
      <c r="EW769" s="59"/>
      <c r="EX769" s="59"/>
      <c r="EY769" s="59"/>
      <c r="EZ769" s="59"/>
      <c r="FA769" s="59"/>
      <c r="FB769" s="59"/>
      <c r="FC769" s="59"/>
      <c r="FD769" s="59"/>
      <c r="FE769" s="59"/>
      <c r="FF769" s="59"/>
      <c r="FG769" s="59"/>
      <c r="FH769" s="59"/>
      <c r="FI769" s="59"/>
      <c r="FJ769" s="59"/>
      <c r="FK769" s="59"/>
      <c r="FL769" s="59"/>
      <c r="FM769" s="59"/>
      <c r="FN769" s="59"/>
      <c r="FO769" s="59"/>
      <c r="FP769" s="59"/>
      <c r="FQ769" s="59"/>
      <c r="FR769" s="59"/>
      <c r="FS769" s="59"/>
      <c r="FT769" s="59"/>
      <c r="FU769" s="59"/>
      <c r="FV769" s="59"/>
      <c r="FW769" s="59"/>
      <c r="FX769" s="59"/>
      <c r="FY769" s="59"/>
      <c r="FZ769" s="59"/>
      <c r="GA769" s="59"/>
      <c r="GB769" s="59"/>
      <c r="GC769" s="59"/>
      <c r="GD769" s="59"/>
      <c r="GE769" s="59"/>
      <c r="GF769" s="59"/>
      <c r="GG769" s="59"/>
      <c r="GH769" s="59"/>
      <c r="GI769" s="59"/>
      <c r="GJ769" s="59"/>
      <c r="GK769" s="59"/>
      <c r="GL769" s="59"/>
      <c r="GM769" s="59"/>
      <c r="GN769" s="59"/>
      <c r="GO769" s="59"/>
      <c r="GP769" s="59"/>
      <c r="GQ769" s="59"/>
      <c r="GR769" s="59"/>
      <c r="GS769" s="59"/>
      <c r="GT769" s="59"/>
      <c r="GU769" s="59"/>
      <c r="GV769" s="59"/>
      <c r="GW769" s="59"/>
      <c r="GX769" s="59"/>
      <c r="GY769" s="59"/>
      <c r="GZ769" s="59"/>
      <c r="HA769" s="59"/>
      <c r="HB769" s="59"/>
      <c r="HC769" s="59"/>
      <c r="HD769" s="59"/>
      <c r="HE769" s="59"/>
      <c r="HF769" s="59"/>
      <c r="HG769" s="59"/>
      <c r="HH769" s="59"/>
      <c r="HI769" s="59"/>
      <c r="HJ769" s="59"/>
      <c r="HK769" s="59"/>
      <c r="HL769" s="59"/>
      <c r="HM769" s="59"/>
      <c r="HN769" s="59"/>
      <c r="HO769" s="59"/>
      <c r="HP769" s="59"/>
      <c r="HQ769" s="59"/>
      <c r="HR769" s="59"/>
      <c r="HS769" s="59"/>
      <c r="HT769" s="59"/>
      <c r="HU769" s="59"/>
      <c r="HV769" s="59"/>
      <c r="HW769" s="59"/>
      <c r="HX769" s="59"/>
      <c r="HY769" s="59"/>
      <c r="HZ769" s="59"/>
      <c r="IA769" s="59"/>
      <c r="IB769" s="59"/>
      <c r="IC769" s="59"/>
      <c r="ID769" s="59"/>
      <c r="IE769" s="59"/>
      <c r="IF769" s="59"/>
      <c r="IG769" s="59"/>
      <c r="IH769" s="59"/>
      <c r="II769" s="59"/>
      <c r="IJ769" s="59"/>
      <c r="IK769" s="59"/>
      <c r="IL769" s="59"/>
      <c r="IM769" s="59"/>
      <c r="IN769" s="59"/>
      <c r="IO769" s="59"/>
      <c r="IP769" s="59"/>
      <c r="IQ769" s="59"/>
      <c r="IR769" s="59"/>
      <c r="IS769" s="59"/>
      <c r="IT769" s="59"/>
      <c r="IU769" s="59"/>
      <c r="IV769" s="59"/>
    </row>
    <row r="770" spans="1:256" ht="14.25" customHeight="1">
      <c r="A770" s="1845" t="s">
        <v>796</v>
      </c>
      <c r="B770" s="1828"/>
      <c r="C770" s="64"/>
      <c r="D770" s="64">
        <f>1+1.74+1.34</f>
        <v>4.08</v>
      </c>
      <c r="E770" s="64">
        <v>2.2000000000000002</v>
      </c>
      <c r="F770" s="64">
        <v>1</v>
      </c>
      <c r="G770" s="64">
        <f t="shared" ref="G770:G774" si="56">+D770*E770*F770</f>
        <v>8.9760000000000009</v>
      </c>
      <c r="H770" s="59"/>
      <c r="I770" s="60"/>
      <c r="J770" s="60"/>
      <c r="K770" s="61"/>
      <c r="L770" s="59"/>
      <c r="M770" s="59"/>
      <c r="N770" s="59"/>
      <c r="O770" s="59"/>
      <c r="P770" s="59"/>
      <c r="Q770" s="59"/>
      <c r="R770" s="59"/>
      <c r="S770" s="59"/>
      <c r="T770" s="59"/>
      <c r="U770" s="59"/>
      <c r="V770" s="59"/>
      <c r="W770" s="59"/>
      <c r="X770" s="59"/>
      <c r="Y770" s="59"/>
      <c r="Z770" s="59"/>
      <c r="AA770" s="59"/>
      <c r="AB770" s="59"/>
      <c r="AC770" s="59"/>
      <c r="AD770" s="59"/>
      <c r="AE770" s="59"/>
      <c r="AF770" s="59"/>
      <c r="AG770" s="59"/>
      <c r="AH770" s="59"/>
      <c r="AI770" s="59"/>
      <c r="AJ770" s="59"/>
      <c r="AK770" s="59"/>
      <c r="AL770" s="59"/>
      <c r="AM770" s="59"/>
      <c r="AN770" s="59"/>
      <c r="AO770" s="59"/>
      <c r="AP770" s="59"/>
      <c r="AQ770" s="59"/>
      <c r="AR770" s="59"/>
      <c r="AS770" s="59"/>
      <c r="AT770" s="59"/>
      <c r="AU770" s="59"/>
      <c r="AV770" s="59"/>
      <c r="AW770" s="59"/>
      <c r="AX770" s="59"/>
      <c r="AY770" s="59"/>
      <c r="AZ770" s="59"/>
      <c r="BA770" s="59"/>
      <c r="BB770" s="59"/>
      <c r="BC770" s="59"/>
      <c r="BD770" s="59"/>
      <c r="BE770" s="59"/>
      <c r="BF770" s="59"/>
      <c r="BG770" s="59"/>
      <c r="BH770" s="59"/>
      <c r="BI770" s="59"/>
      <c r="BJ770" s="59"/>
      <c r="BK770" s="59"/>
      <c r="BL770" s="59"/>
      <c r="BM770" s="59"/>
      <c r="BN770" s="59"/>
      <c r="BO770" s="59"/>
      <c r="BP770" s="59"/>
      <c r="BQ770" s="59"/>
      <c r="BR770" s="59"/>
      <c r="BS770" s="59"/>
      <c r="BT770" s="59"/>
      <c r="BU770" s="59"/>
      <c r="BV770" s="59"/>
      <c r="BW770" s="59"/>
      <c r="BX770" s="59"/>
      <c r="BY770" s="59"/>
      <c r="BZ770" s="59"/>
      <c r="CA770" s="59"/>
      <c r="CB770" s="59"/>
      <c r="CC770" s="59"/>
      <c r="CD770" s="59"/>
      <c r="CE770" s="59"/>
      <c r="CF770" s="59"/>
      <c r="CG770" s="59"/>
      <c r="CH770" s="59"/>
      <c r="CI770" s="59"/>
      <c r="CJ770" s="59"/>
      <c r="CK770" s="59"/>
      <c r="CL770" s="59"/>
      <c r="CM770" s="59"/>
      <c r="CN770" s="59"/>
      <c r="CO770" s="59"/>
      <c r="CP770" s="59"/>
      <c r="CQ770" s="59"/>
      <c r="CR770" s="59"/>
      <c r="CS770" s="59"/>
      <c r="CT770" s="59"/>
      <c r="CU770" s="59"/>
      <c r="CV770" s="59"/>
      <c r="CW770" s="59"/>
      <c r="CX770" s="59"/>
      <c r="CY770" s="59"/>
      <c r="CZ770" s="59"/>
      <c r="DA770" s="59"/>
      <c r="DB770" s="59"/>
      <c r="DC770" s="59"/>
      <c r="DD770" s="59"/>
      <c r="DE770" s="59"/>
      <c r="DF770" s="59"/>
      <c r="DG770" s="59"/>
      <c r="DH770" s="59"/>
      <c r="DI770" s="59"/>
      <c r="DJ770" s="59"/>
      <c r="DK770" s="59"/>
      <c r="DL770" s="59"/>
      <c r="DM770" s="59"/>
      <c r="DN770" s="59"/>
      <c r="DO770" s="59"/>
      <c r="DP770" s="59"/>
      <c r="DQ770" s="59"/>
      <c r="DR770" s="59"/>
      <c r="DS770" s="59"/>
      <c r="DT770" s="59"/>
      <c r="DU770" s="59"/>
      <c r="DV770" s="59"/>
      <c r="DW770" s="59"/>
      <c r="DX770" s="59"/>
      <c r="DY770" s="59"/>
      <c r="DZ770" s="59"/>
      <c r="EA770" s="59"/>
      <c r="EB770" s="59"/>
      <c r="EC770" s="59"/>
      <c r="ED770" s="59"/>
      <c r="EE770" s="59"/>
      <c r="EF770" s="59"/>
      <c r="EG770" s="59"/>
      <c r="EH770" s="59"/>
      <c r="EI770" s="59"/>
      <c r="EJ770" s="59"/>
      <c r="EK770" s="59"/>
      <c r="EL770" s="59"/>
      <c r="EM770" s="59"/>
      <c r="EN770" s="59"/>
      <c r="EO770" s="59"/>
      <c r="EP770" s="59"/>
      <c r="EQ770" s="59"/>
      <c r="ER770" s="59"/>
      <c r="ES770" s="59"/>
      <c r="ET770" s="59"/>
      <c r="EU770" s="59"/>
      <c r="EV770" s="59"/>
      <c r="EW770" s="59"/>
      <c r="EX770" s="59"/>
      <c r="EY770" s="59"/>
      <c r="EZ770" s="59"/>
      <c r="FA770" s="59"/>
      <c r="FB770" s="59"/>
      <c r="FC770" s="59"/>
      <c r="FD770" s="59"/>
      <c r="FE770" s="59"/>
      <c r="FF770" s="59"/>
      <c r="FG770" s="59"/>
      <c r="FH770" s="59"/>
      <c r="FI770" s="59"/>
      <c r="FJ770" s="59"/>
      <c r="FK770" s="59"/>
      <c r="FL770" s="59"/>
      <c r="FM770" s="59"/>
      <c r="FN770" s="59"/>
      <c r="FO770" s="59"/>
      <c r="FP770" s="59"/>
      <c r="FQ770" s="59"/>
      <c r="FR770" s="59"/>
      <c r="FS770" s="59"/>
      <c r="FT770" s="59"/>
      <c r="FU770" s="59"/>
      <c r="FV770" s="59"/>
      <c r="FW770" s="59"/>
      <c r="FX770" s="59"/>
      <c r="FY770" s="59"/>
      <c r="FZ770" s="59"/>
      <c r="GA770" s="59"/>
      <c r="GB770" s="59"/>
      <c r="GC770" s="59"/>
      <c r="GD770" s="59"/>
      <c r="GE770" s="59"/>
      <c r="GF770" s="59"/>
      <c r="GG770" s="59"/>
      <c r="GH770" s="59"/>
      <c r="GI770" s="59"/>
      <c r="GJ770" s="59"/>
      <c r="GK770" s="59"/>
      <c r="GL770" s="59"/>
      <c r="GM770" s="59"/>
      <c r="GN770" s="59"/>
      <c r="GO770" s="59"/>
      <c r="GP770" s="59"/>
      <c r="GQ770" s="59"/>
      <c r="GR770" s="59"/>
      <c r="GS770" s="59"/>
      <c r="GT770" s="59"/>
      <c r="GU770" s="59"/>
      <c r="GV770" s="59"/>
      <c r="GW770" s="59"/>
      <c r="GX770" s="59"/>
      <c r="GY770" s="59"/>
      <c r="GZ770" s="59"/>
      <c r="HA770" s="59"/>
      <c r="HB770" s="59"/>
      <c r="HC770" s="59"/>
      <c r="HD770" s="59"/>
      <c r="HE770" s="59"/>
      <c r="HF770" s="59"/>
      <c r="HG770" s="59"/>
      <c r="HH770" s="59"/>
      <c r="HI770" s="59"/>
      <c r="HJ770" s="59"/>
      <c r="HK770" s="59"/>
      <c r="HL770" s="59"/>
      <c r="HM770" s="59"/>
      <c r="HN770" s="59"/>
      <c r="HO770" s="59"/>
      <c r="HP770" s="59"/>
      <c r="HQ770" s="59"/>
      <c r="HR770" s="59"/>
      <c r="HS770" s="59"/>
      <c r="HT770" s="59"/>
      <c r="HU770" s="59"/>
      <c r="HV770" s="59"/>
      <c r="HW770" s="59"/>
      <c r="HX770" s="59"/>
      <c r="HY770" s="59"/>
      <c r="HZ770" s="59"/>
      <c r="IA770" s="59"/>
      <c r="IB770" s="59"/>
      <c r="IC770" s="59"/>
      <c r="ID770" s="59"/>
      <c r="IE770" s="59"/>
      <c r="IF770" s="59"/>
      <c r="IG770" s="59"/>
      <c r="IH770" s="59"/>
      <c r="II770" s="59"/>
      <c r="IJ770" s="59"/>
      <c r="IK770" s="59"/>
      <c r="IL770" s="59"/>
      <c r="IM770" s="59"/>
      <c r="IN770" s="59"/>
      <c r="IO770" s="59"/>
      <c r="IP770" s="59"/>
      <c r="IQ770" s="59"/>
      <c r="IR770" s="59"/>
      <c r="IS770" s="59"/>
      <c r="IT770" s="59"/>
      <c r="IU770" s="59"/>
      <c r="IV770" s="59"/>
    </row>
    <row r="771" spans="1:256" ht="14.25" customHeight="1">
      <c r="A771" s="1845" t="s">
        <v>764</v>
      </c>
      <c r="B771" s="1828"/>
      <c r="C771" s="64"/>
      <c r="D771" s="64">
        <f>1.3+0.6</f>
        <v>1.9</v>
      </c>
      <c r="E771" s="64">
        <v>2.2000000000000002</v>
      </c>
      <c r="F771" s="64">
        <v>1</v>
      </c>
      <c r="G771" s="64">
        <f t="shared" si="56"/>
        <v>4.18</v>
      </c>
      <c r="H771" s="59"/>
      <c r="I771" s="60"/>
      <c r="J771" s="60"/>
      <c r="K771" s="61"/>
      <c r="L771" s="59"/>
      <c r="M771" s="59"/>
      <c r="N771" s="59"/>
      <c r="O771" s="59"/>
      <c r="P771" s="59"/>
      <c r="Q771" s="59"/>
      <c r="R771" s="59"/>
      <c r="S771" s="59"/>
      <c r="T771" s="59"/>
      <c r="U771" s="59"/>
      <c r="V771" s="59"/>
      <c r="W771" s="59"/>
      <c r="X771" s="59"/>
      <c r="Y771" s="59"/>
      <c r="Z771" s="59"/>
      <c r="AA771" s="59"/>
      <c r="AB771" s="59"/>
      <c r="AC771" s="59"/>
      <c r="AD771" s="59"/>
      <c r="AE771" s="59"/>
      <c r="AF771" s="59"/>
      <c r="AG771" s="59"/>
      <c r="AH771" s="59"/>
      <c r="AI771" s="59"/>
      <c r="AJ771" s="59"/>
      <c r="AK771" s="59"/>
      <c r="AL771" s="59"/>
      <c r="AM771" s="59"/>
      <c r="AN771" s="59"/>
      <c r="AO771" s="59"/>
      <c r="AP771" s="59"/>
      <c r="AQ771" s="59"/>
      <c r="AR771" s="59"/>
      <c r="AS771" s="59"/>
      <c r="AT771" s="59"/>
      <c r="AU771" s="59"/>
      <c r="AV771" s="59"/>
      <c r="AW771" s="59"/>
      <c r="AX771" s="59"/>
      <c r="AY771" s="59"/>
      <c r="AZ771" s="59"/>
      <c r="BA771" s="59"/>
      <c r="BB771" s="59"/>
      <c r="BC771" s="59"/>
      <c r="BD771" s="59"/>
      <c r="BE771" s="59"/>
      <c r="BF771" s="59"/>
      <c r="BG771" s="59"/>
      <c r="BH771" s="59"/>
      <c r="BI771" s="59"/>
      <c r="BJ771" s="59"/>
      <c r="BK771" s="59"/>
      <c r="BL771" s="59"/>
      <c r="BM771" s="59"/>
      <c r="BN771" s="59"/>
      <c r="BO771" s="59"/>
      <c r="BP771" s="59"/>
      <c r="BQ771" s="59"/>
      <c r="BR771" s="59"/>
      <c r="BS771" s="59"/>
      <c r="BT771" s="59"/>
      <c r="BU771" s="59"/>
      <c r="BV771" s="59"/>
      <c r="BW771" s="59"/>
      <c r="BX771" s="59"/>
      <c r="BY771" s="59"/>
      <c r="BZ771" s="59"/>
      <c r="CA771" s="59"/>
      <c r="CB771" s="59"/>
      <c r="CC771" s="59"/>
      <c r="CD771" s="59"/>
      <c r="CE771" s="59"/>
      <c r="CF771" s="59"/>
      <c r="CG771" s="59"/>
      <c r="CH771" s="59"/>
      <c r="CI771" s="59"/>
      <c r="CJ771" s="59"/>
      <c r="CK771" s="59"/>
      <c r="CL771" s="59"/>
      <c r="CM771" s="59"/>
      <c r="CN771" s="59"/>
      <c r="CO771" s="59"/>
      <c r="CP771" s="59"/>
      <c r="CQ771" s="59"/>
      <c r="CR771" s="59"/>
      <c r="CS771" s="59"/>
      <c r="CT771" s="59"/>
      <c r="CU771" s="59"/>
      <c r="CV771" s="59"/>
      <c r="CW771" s="59"/>
      <c r="CX771" s="59"/>
      <c r="CY771" s="59"/>
      <c r="CZ771" s="59"/>
      <c r="DA771" s="59"/>
      <c r="DB771" s="59"/>
      <c r="DC771" s="59"/>
      <c r="DD771" s="59"/>
      <c r="DE771" s="59"/>
      <c r="DF771" s="59"/>
      <c r="DG771" s="59"/>
      <c r="DH771" s="59"/>
      <c r="DI771" s="59"/>
      <c r="DJ771" s="59"/>
      <c r="DK771" s="59"/>
      <c r="DL771" s="59"/>
      <c r="DM771" s="59"/>
      <c r="DN771" s="59"/>
      <c r="DO771" s="59"/>
      <c r="DP771" s="59"/>
      <c r="DQ771" s="59"/>
      <c r="DR771" s="59"/>
      <c r="DS771" s="59"/>
      <c r="DT771" s="59"/>
      <c r="DU771" s="59"/>
      <c r="DV771" s="59"/>
      <c r="DW771" s="59"/>
      <c r="DX771" s="59"/>
      <c r="DY771" s="59"/>
      <c r="DZ771" s="59"/>
      <c r="EA771" s="59"/>
      <c r="EB771" s="59"/>
      <c r="EC771" s="59"/>
      <c r="ED771" s="59"/>
      <c r="EE771" s="59"/>
      <c r="EF771" s="59"/>
      <c r="EG771" s="59"/>
      <c r="EH771" s="59"/>
      <c r="EI771" s="59"/>
      <c r="EJ771" s="59"/>
      <c r="EK771" s="59"/>
      <c r="EL771" s="59"/>
      <c r="EM771" s="59"/>
      <c r="EN771" s="59"/>
      <c r="EO771" s="59"/>
      <c r="EP771" s="59"/>
      <c r="EQ771" s="59"/>
      <c r="ER771" s="59"/>
      <c r="ES771" s="59"/>
      <c r="ET771" s="59"/>
      <c r="EU771" s="59"/>
      <c r="EV771" s="59"/>
      <c r="EW771" s="59"/>
      <c r="EX771" s="59"/>
      <c r="EY771" s="59"/>
      <c r="EZ771" s="59"/>
      <c r="FA771" s="59"/>
      <c r="FB771" s="59"/>
      <c r="FC771" s="59"/>
      <c r="FD771" s="59"/>
      <c r="FE771" s="59"/>
      <c r="FF771" s="59"/>
      <c r="FG771" s="59"/>
      <c r="FH771" s="59"/>
      <c r="FI771" s="59"/>
      <c r="FJ771" s="59"/>
      <c r="FK771" s="59"/>
      <c r="FL771" s="59"/>
      <c r="FM771" s="59"/>
      <c r="FN771" s="59"/>
      <c r="FO771" s="59"/>
      <c r="FP771" s="59"/>
      <c r="FQ771" s="59"/>
      <c r="FR771" s="59"/>
      <c r="FS771" s="59"/>
      <c r="FT771" s="59"/>
      <c r="FU771" s="59"/>
      <c r="FV771" s="59"/>
      <c r="FW771" s="59"/>
      <c r="FX771" s="59"/>
      <c r="FY771" s="59"/>
      <c r="FZ771" s="59"/>
      <c r="GA771" s="59"/>
      <c r="GB771" s="59"/>
      <c r="GC771" s="59"/>
      <c r="GD771" s="59"/>
      <c r="GE771" s="59"/>
      <c r="GF771" s="59"/>
      <c r="GG771" s="59"/>
      <c r="GH771" s="59"/>
      <c r="GI771" s="59"/>
      <c r="GJ771" s="59"/>
      <c r="GK771" s="59"/>
      <c r="GL771" s="59"/>
      <c r="GM771" s="59"/>
      <c r="GN771" s="59"/>
      <c r="GO771" s="59"/>
      <c r="GP771" s="59"/>
      <c r="GQ771" s="59"/>
      <c r="GR771" s="59"/>
      <c r="GS771" s="59"/>
      <c r="GT771" s="59"/>
      <c r="GU771" s="59"/>
      <c r="GV771" s="59"/>
      <c r="GW771" s="59"/>
      <c r="GX771" s="59"/>
      <c r="GY771" s="59"/>
      <c r="GZ771" s="59"/>
      <c r="HA771" s="59"/>
      <c r="HB771" s="59"/>
      <c r="HC771" s="59"/>
      <c r="HD771" s="59"/>
      <c r="HE771" s="59"/>
      <c r="HF771" s="59"/>
      <c r="HG771" s="59"/>
      <c r="HH771" s="59"/>
      <c r="HI771" s="59"/>
      <c r="HJ771" s="59"/>
      <c r="HK771" s="59"/>
      <c r="HL771" s="59"/>
      <c r="HM771" s="59"/>
      <c r="HN771" s="59"/>
      <c r="HO771" s="59"/>
      <c r="HP771" s="59"/>
      <c r="HQ771" s="59"/>
      <c r="HR771" s="59"/>
      <c r="HS771" s="59"/>
      <c r="HT771" s="59"/>
      <c r="HU771" s="59"/>
      <c r="HV771" s="59"/>
      <c r="HW771" s="59"/>
      <c r="HX771" s="59"/>
      <c r="HY771" s="59"/>
      <c r="HZ771" s="59"/>
      <c r="IA771" s="59"/>
      <c r="IB771" s="59"/>
      <c r="IC771" s="59"/>
      <c r="ID771" s="59"/>
      <c r="IE771" s="59"/>
      <c r="IF771" s="59"/>
      <c r="IG771" s="59"/>
      <c r="IH771" s="59"/>
      <c r="II771" s="59"/>
      <c r="IJ771" s="59"/>
      <c r="IK771" s="59"/>
      <c r="IL771" s="59"/>
      <c r="IM771" s="59"/>
      <c r="IN771" s="59"/>
      <c r="IO771" s="59"/>
      <c r="IP771" s="59"/>
      <c r="IQ771" s="59"/>
      <c r="IR771" s="59"/>
      <c r="IS771" s="59"/>
      <c r="IT771" s="59"/>
      <c r="IU771" s="59"/>
      <c r="IV771" s="59"/>
    </row>
    <row r="772" spans="1:256" ht="14.25" customHeight="1">
      <c r="A772" s="1845" t="s">
        <v>765</v>
      </c>
      <c r="B772" s="1828"/>
      <c r="C772" s="64"/>
      <c r="D772" s="64">
        <f>1.2+0.8+0.8</f>
        <v>2.8</v>
      </c>
      <c r="E772" s="64">
        <v>2.2000000000000002</v>
      </c>
      <c r="F772" s="64">
        <v>2</v>
      </c>
      <c r="G772" s="64">
        <f t="shared" si="56"/>
        <v>12.32</v>
      </c>
      <c r="H772" s="59"/>
      <c r="I772" s="60"/>
      <c r="J772" s="60"/>
      <c r="K772" s="61"/>
      <c r="L772" s="59"/>
      <c r="M772" s="59"/>
      <c r="N772" s="59"/>
      <c r="O772" s="59"/>
      <c r="P772" s="59"/>
      <c r="Q772" s="59"/>
      <c r="R772" s="59"/>
      <c r="S772" s="59"/>
      <c r="T772" s="59"/>
      <c r="U772" s="59"/>
      <c r="V772" s="59"/>
      <c r="W772" s="59"/>
      <c r="X772" s="59"/>
      <c r="Y772" s="59"/>
      <c r="Z772" s="59"/>
      <c r="AA772" s="59"/>
      <c r="AB772" s="59"/>
      <c r="AC772" s="59"/>
      <c r="AD772" s="59"/>
      <c r="AE772" s="59"/>
      <c r="AF772" s="59"/>
      <c r="AG772" s="59"/>
      <c r="AH772" s="59"/>
      <c r="AI772" s="59"/>
      <c r="AJ772" s="59"/>
      <c r="AK772" s="59"/>
      <c r="AL772" s="59"/>
      <c r="AM772" s="59"/>
      <c r="AN772" s="59"/>
      <c r="AO772" s="59"/>
      <c r="AP772" s="59"/>
      <c r="AQ772" s="59"/>
      <c r="AR772" s="59"/>
      <c r="AS772" s="59"/>
      <c r="AT772" s="59"/>
      <c r="AU772" s="59"/>
      <c r="AV772" s="59"/>
      <c r="AW772" s="59"/>
      <c r="AX772" s="59"/>
      <c r="AY772" s="59"/>
      <c r="AZ772" s="59"/>
      <c r="BA772" s="59"/>
      <c r="BB772" s="59"/>
      <c r="BC772" s="59"/>
      <c r="BD772" s="59"/>
      <c r="BE772" s="59"/>
      <c r="BF772" s="59"/>
      <c r="BG772" s="59"/>
      <c r="BH772" s="59"/>
      <c r="BI772" s="59"/>
      <c r="BJ772" s="59"/>
      <c r="BK772" s="59"/>
      <c r="BL772" s="59"/>
      <c r="BM772" s="59"/>
      <c r="BN772" s="59"/>
      <c r="BO772" s="59"/>
      <c r="BP772" s="59"/>
      <c r="BQ772" s="59"/>
      <c r="BR772" s="59"/>
      <c r="BS772" s="59"/>
      <c r="BT772" s="59"/>
      <c r="BU772" s="59"/>
      <c r="BV772" s="59"/>
      <c r="BW772" s="59"/>
      <c r="BX772" s="59"/>
      <c r="BY772" s="59"/>
      <c r="BZ772" s="59"/>
      <c r="CA772" s="59"/>
      <c r="CB772" s="59"/>
      <c r="CC772" s="59"/>
      <c r="CD772" s="59"/>
      <c r="CE772" s="59"/>
      <c r="CF772" s="59"/>
      <c r="CG772" s="59"/>
      <c r="CH772" s="59"/>
      <c r="CI772" s="59"/>
      <c r="CJ772" s="59"/>
      <c r="CK772" s="59"/>
      <c r="CL772" s="59"/>
      <c r="CM772" s="59"/>
      <c r="CN772" s="59"/>
      <c r="CO772" s="59"/>
      <c r="CP772" s="59"/>
      <c r="CQ772" s="59"/>
      <c r="CR772" s="59"/>
      <c r="CS772" s="59"/>
      <c r="CT772" s="59"/>
      <c r="CU772" s="59"/>
      <c r="CV772" s="59"/>
      <c r="CW772" s="59"/>
      <c r="CX772" s="59"/>
      <c r="CY772" s="59"/>
      <c r="CZ772" s="59"/>
      <c r="DA772" s="59"/>
      <c r="DB772" s="59"/>
      <c r="DC772" s="59"/>
      <c r="DD772" s="59"/>
      <c r="DE772" s="59"/>
      <c r="DF772" s="59"/>
      <c r="DG772" s="59"/>
      <c r="DH772" s="59"/>
      <c r="DI772" s="59"/>
      <c r="DJ772" s="59"/>
      <c r="DK772" s="59"/>
      <c r="DL772" s="59"/>
      <c r="DM772" s="59"/>
      <c r="DN772" s="59"/>
      <c r="DO772" s="59"/>
      <c r="DP772" s="59"/>
      <c r="DQ772" s="59"/>
      <c r="DR772" s="59"/>
      <c r="DS772" s="59"/>
      <c r="DT772" s="59"/>
      <c r="DU772" s="59"/>
      <c r="DV772" s="59"/>
      <c r="DW772" s="59"/>
      <c r="DX772" s="59"/>
      <c r="DY772" s="59"/>
      <c r="DZ772" s="59"/>
      <c r="EA772" s="59"/>
      <c r="EB772" s="59"/>
      <c r="EC772" s="59"/>
      <c r="ED772" s="59"/>
      <c r="EE772" s="59"/>
      <c r="EF772" s="59"/>
      <c r="EG772" s="59"/>
      <c r="EH772" s="59"/>
      <c r="EI772" s="59"/>
      <c r="EJ772" s="59"/>
      <c r="EK772" s="59"/>
      <c r="EL772" s="59"/>
      <c r="EM772" s="59"/>
      <c r="EN772" s="59"/>
      <c r="EO772" s="59"/>
      <c r="EP772" s="59"/>
      <c r="EQ772" s="59"/>
      <c r="ER772" s="59"/>
      <c r="ES772" s="59"/>
      <c r="ET772" s="59"/>
      <c r="EU772" s="59"/>
      <c r="EV772" s="59"/>
      <c r="EW772" s="59"/>
      <c r="EX772" s="59"/>
      <c r="EY772" s="59"/>
      <c r="EZ772" s="59"/>
      <c r="FA772" s="59"/>
      <c r="FB772" s="59"/>
      <c r="FC772" s="59"/>
      <c r="FD772" s="59"/>
      <c r="FE772" s="59"/>
      <c r="FF772" s="59"/>
      <c r="FG772" s="59"/>
      <c r="FH772" s="59"/>
      <c r="FI772" s="59"/>
      <c r="FJ772" s="59"/>
      <c r="FK772" s="59"/>
      <c r="FL772" s="59"/>
      <c r="FM772" s="59"/>
      <c r="FN772" s="59"/>
      <c r="FO772" s="59"/>
      <c r="FP772" s="59"/>
      <c r="FQ772" s="59"/>
      <c r="FR772" s="59"/>
      <c r="FS772" s="59"/>
      <c r="FT772" s="59"/>
      <c r="FU772" s="59"/>
      <c r="FV772" s="59"/>
      <c r="FW772" s="59"/>
      <c r="FX772" s="59"/>
      <c r="FY772" s="59"/>
      <c r="FZ772" s="59"/>
      <c r="GA772" s="59"/>
      <c r="GB772" s="59"/>
      <c r="GC772" s="59"/>
      <c r="GD772" s="59"/>
      <c r="GE772" s="59"/>
      <c r="GF772" s="59"/>
      <c r="GG772" s="59"/>
      <c r="GH772" s="59"/>
      <c r="GI772" s="59"/>
      <c r="GJ772" s="59"/>
      <c r="GK772" s="59"/>
      <c r="GL772" s="59"/>
      <c r="GM772" s="59"/>
      <c r="GN772" s="59"/>
      <c r="GO772" s="59"/>
      <c r="GP772" s="59"/>
      <c r="GQ772" s="59"/>
      <c r="GR772" s="59"/>
      <c r="GS772" s="59"/>
      <c r="GT772" s="59"/>
      <c r="GU772" s="59"/>
      <c r="GV772" s="59"/>
      <c r="GW772" s="59"/>
      <c r="GX772" s="59"/>
      <c r="GY772" s="59"/>
      <c r="GZ772" s="59"/>
      <c r="HA772" s="59"/>
      <c r="HB772" s="59"/>
      <c r="HC772" s="59"/>
      <c r="HD772" s="59"/>
      <c r="HE772" s="59"/>
      <c r="HF772" s="59"/>
      <c r="HG772" s="59"/>
      <c r="HH772" s="59"/>
      <c r="HI772" s="59"/>
      <c r="HJ772" s="59"/>
      <c r="HK772" s="59"/>
      <c r="HL772" s="59"/>
      <c r="HM772" s="59"/>
      <c r="HN772" s="59"/>
      <c r="HO772" s="59"/>
      <c r="HP772" s="59"/>
      <c r="HQ772" s="59"/>
      <c r="HR772" s="59"/>
      <c r="HS772" s="59"/>
      <c r="HT772" s="59"/>
      <c r="HU772" s="59"/>
      <c r="HV772" s="59"/>
      <c r="HW772" s="59"/>
      <c r="HX772" s="59"/>
      <c r="HY772" s="59"/>
      <c r="HZ772" s="59"/>
      <c r="IA772" s="59"/>
      <c r="IB772" s="59"/>
      <c r="IC772" s="59"/>
      <c r="ID772" s="59"/>
      <c r="IE772" s="59"/>
      <c r="IF772" s="59"/>
      <c r="IG772" s="59"/>
      <c r="IH772" s="59"/>
      <c r="II772" s="59"/>
      <c r="IJ772" s="59"/>
      <c r="IK772" s="59"/>
      <c r="IL772" s="59"/>
      <c r="IM772" s="59"/>
      <c r="IN772" s="59"/>
      <c r="IO772" s="59"/>
      <c r="IP772" s="59"/>
      <c r="IQ772" s="59"/>
      <c r="IR772" s="59"/>
      <c r="IS772" s="59"/>
      <c r="IT772" s="59"/>
      <c r="IU772" s="59"/>
      <c r="IV772" s="59"/>
    </row>
    <row r="773" spans="1:256" ht="14.25" customHeight="1">
      <c r="A773" s="1846" t="s">
        <v>751</v>
      </c>
      <c r="B773" s="1843"/>
      <c r="C773" s="64"/>
      <c r="D773" s="64">
        <f>3.5+4.2</f>
        <v>7.7</v>
      </c>
      <c r="E773" s="64">
        <v>2.2000000000000002</v>
      </c>
      <c r="F773" s="64">
        <v>2</v>
      </c>
      <c r="G773" s="64">
        <f t="shared" si="56"/>
        <v>33.880000000000003</v>
      </c>
      <c r="H773" s="59"/>
      <c r="I773" s="60"/>
      <c r="J773" s="60"/>
      <c r="K773" s="61"/>
      <c r="L773" s="59"/>
      <c r="M773" s="59"/>
      <c r="N773" s="59"/>
      <c r="O773" s="59"/>
      <c r="P773" s="59"/>
      <c r="Q773" s="59"/>
      <c r="R773" s="59"/>
      <c r="S773" s="59"/>
      <c r="T773" s="59"/>
      <c r="U773" s="59"/>
      <c r="V773" s="59"/>
      <c r="W773" s="59"/>
      <c r="X773" s="59"/>
      <c r="Y773" s="59"/>
      <c r="Z773" s="59"/>
      <c r="AA773" s="59"/>
      <c r="AB773" s="59"/>
      <c r="AC773" s="59"/>
      <c r="AD773" s="59"/>
      <c r="AE773" s="59"/>
      <c r="AF773" s="59"/>
      <c r="AG773" s="59"/>
      <c r="AH773" s="59"/>
      <c r="AI773" s="59"/>
      <c r="AJ773" s="59"/>
      <c r="AK773" s="59"/>
      <c r="AL773" s="59"/>
      <c r="AM773" s="59"/>
      <c r="AN773" s="59"/>
      <c r="AO773" s="59"/>
      <c r="AP773" s="59"/>
      <c r="AQ773" s="59"/>
      <c r="AR773" s="59"/>
      <c r="AS773" s="59"/>
      <c r="AT773" s="59"/>
      <c r="AU773" s="59"/>
      <c r="AV773" s="59"/>
      <c r="AW773" s="59"/>
      <c r="AX773" s="59"/>
      <c r="AY773" s="59"/>
      <c r="AZ773" s="59"/>
      <c r="BA773" s="59"/>
      <c r="BB773" s="59"/>
      <c r="BC773" s="59"/>
      <c r="BD773" s="59"/>
      <c r="BE773" s="59"/>
      <c r="BF773" s="59"/>
      <c r="BG773" s="59"/>
      <c r="BH773" s="59"/>
      <c r="BI773" s="59"/>
      <c r="BJ773" s="59"/>
      <c r="BK773" s="59"/>
      <c r="BL773" s="59"/>
      <c r="BM773" s="59"/>
      <c r="BN773" s="59"/>
      <c r="BO773" s="59"/>
      <c r="BP773" s="59"/>
      <c r="BQ773" s="59"/>
      <c r="BR773" s="59"/>
      <c r="BS773" s="59"/>
      <c r="BT773" s="59"/>
      <c r="BU773" s="59"/>
      <c r="BV773" s="59"/>
      <c r="BW773" s="59"/>
      <c r="BX773" s="59"/>
      <c r="BY773" s="59"/>
      <c r="BZ773" s="59"/>
      <c r="CA773" s="59"/>
      <c r="CB773" s="59"/>
      <c r="CC773" s="59"/>
      <c r="CD773" s="59"/>
      <c r="CE773" s="59"/>
      <c r="CF773" s="59"/>
      <c r="CG773" s="59"/>
      <c r="CH773" s="59"/>
      <c r="CI773" s="59"/>
      <c r="CJ773" s="59"/>
      <c r="CK773" s="59"/>
      <c r="CL773" s="59"/>
      <c r="CM773" s="59"/>
      <c r="CN773" s="59"/>
      <c r="CO773" s="59"/>
      <c r="CP773" s="59"/>
      <c r="CQ773" s="59"/>
      <c r="CR773" s="59"/>
      <c r="CS773" s="59"/>
      <c r="CT773" s="59"/>
      <c r="CU773" s="59"/>
      <c r="CV773" s="59"/>
      <c r="CW773" s="59"/>
      <c r="CX773" s="59"/>
      <c r="CY773" s="59"/>
      <c r="CZ773" s="59"/>
      <c r="DA773" s="59"/>
      <c r="DB773" s="59"/>
      <c r="DC773" s="59"/>
      <c r="DD773" s="59"/>
      <c r="DE773" s="59"/>
      <c r="DF773" s="59"/>
      <c r="DG773" s="59"/>
      <c r="DH773" s="59"/>
      <c r="DI773" s="59"/>
      <c r="DJ773" s="59"/>
      <c r="DK773" s="59"/>
      <c r="DL773" s="59"/>
      <c r="DM773" s="59"/>
      <c r="DN773" s="59"/>
      <c r="DO773" s="59"/>
      <c r="DP773" s="59"/>
      <c r="DQ773" s="59"/>
      <c r="DR773" s="59"/>
      <c r="DS773" s="59"/>
      <c r="DT773" s="59"/>
      <c r="DU773" s="59"/>
      <c r="DV773" s="59"/>
      <c r="DW773" s="59"/>
      <c r="DX773" s="59"/>
      <c r="DY773" s="59"/>
      <c r="DZ773" s="59"/>
      <c r="EA773" s="59"/>
      <c r="EB773" s="59"/>
      <c r="EC773" s="59"/>
      <c r="ED773" s="59"/>
      <c r="EE773" s="59"/>
      <c r="EF773" s="59"/>
      <c r="EG773" s="59"/>
      <c r="EH773" s="59"/>
      <c r="EI773" s="59"/>
      <c r="EJ773" s="59"/>
      <c r="EK773" s="59"/>
      <c r="EL773" s="59"/>
      <c r="EM773" s="59"/>
      <c r="EN773" s="59"/>
      <c r="EO773" s="59"/>
      <c r="EP773" s="59"/>
      <c r="EQ773" s="59"/>
      <c r="ER773" s="59"/>
      <c r="ES773" s="59"/>
      <c r="ET773" s="59"/>
      <c r="EU773" s="59"/>
      <c r="EV773" s="59"/>
      <c r="EW773" s="59"/>
      <c r="EX773" s="59"/>
      <c r="EY773" s="59"/>
      <c r="EZ773" s="59"/>
      <c r="FA773" s="59"/>
      <c r="FB773" s="59"/>
      <c r="FC773" s="59"/>
      <c r="FD773" s="59"/>
      <c r="FE773" s="59"/>
      <c r="FF773" s="59"/>
      <c r="FG773" s="59"/>
      <c r="FH773" s="59"/>
      <c r="FI773" s="59"/>
      <c r="FJ773" s="59"/>
      <c r="FK773" s="59"/>
      <c r="FL773" s="59"/>
      <c r="FM773" s="59"/>
      <c r="FN773" s="59"/>
      <c r="FO773" s="59"/>
      <c r="FP773" s="59"/>
      <c r="FQ773" s="59"/>
      <c r="FR773" s="59"/>
      <c r="FS773" s="59"/>
      <c r="FT773" s="59"/>
      <c r="FU773" s="59"/>
      <c r="FV773" s="59"/>
      <c r="FW773" s="59"/>
      <c r="FX773" s="59"/>
      <c r="FY773" s="59"/>
      <c r="FZ773" s="59"/>
      <c r="GA773" s="59"/>
      <c r="GB773" s="59"/>
      <c r="GC773" s="59"/>
      <c r="GD773" s="59"/>
      <c r="GE773" s="59"/>
      <c r="GF773" s="59"/>
      <c r="GG773" s="59"/>
      <c r="GH773" s="59"/>
      <c r="GI773" s="59"/>
      <c r="GJ773" s="59"/>
      <c r="GK773" s="59"/>
      <c r="GL773" s="59"/>
      <c r="GM773" s="59"/>
      <c r="GN773" s="59"/>
      <c r="GO773" s="59"/>
      <c r="GP773" s="59"/>
      <c r="GQ773" s="59"/>
      <c r="GR773" s="59"/>
      <c r="GS773" s="59"/>
      <c r="GT773" s="59"/>
      <c r="GU773" s="59"/>
      <c r="GV773" s="59"/>
      <c r="GW773" s="59"/>
      <c r="GX773" s="59"/>
      <c r="GY773" s="59"/>
      <c r="GZ773" s="59"/>
      <c r="HA773" s="59"/>
      <c r="HB773" s="59"/>
      <c r="HC773" s="59"/>
      <c r="HD773" s="59"/>
      <c r="HE773" s="59"/>
      <c r="HF773" s="59"/>
      <c r="HG773" s="59"/>
      <c r="HH773" s="59"/>
      <c r="HI773" s="59"/>
      <c r="HJ773" s="59"/>
      <c r="HK773" s="59"/>
      <c r="HL773" s="59"/>
      <c r="HM773" s="59"/>
      <c r="HN773" s="59"/>
      <c r="HO773" s="59"/>
      <c r="HP773" s="59"/>
      <c r="HQ773" s="59"/>
      <c r="HR773" s="59"/>
      <c r="HS773" s="59"/>
      <c r="HT773" s="59"/>
      <c r="HU773" s="59"/>
      <c r="HV773" s="59"/>
      <c r="HW773" s="59"/>
      <c r="HX773" s="59"/>
      <c r="HY773" s="59"/>
      <c r="HZ773" s="59"/>
      <c r="IA773" s="59"/>
      <c r="IB773" s="59"/>
      <c r="IC773" s="59"/>
      <c r="ID773" s="59"/>
      <c r="IE773" s="59"/>
      <c r="IF773" s="59"/>
      <c r="IG773" s="59"/>
      <c r="IH773" s="59"/>
      <c r="II773" s="59"/>
      <c r="IJ773" s="59"/>
      <c r="IK773" s="59"/>
      <c r="IL773" s="59"/>
      <c r="IM773" s="59"/>
      <c r="IN773" s="59"/>
      <c r="IO773" s="59"/>
      <c r="IP773" s="59"/>
      <c r="IQ773" s="59"/>
      <c r="IR773" s="59"/>
      <c r="IS773" s="59"/>
      <c r="IT773" s="59"/>
      <c r="IU773" s="59"/>
      <c r="IV773" s="59"/>
    </row>
    <row r="774" spans="1:256" ht="14.25" customHeight="1">
      <c r="A774" s="1844" t="s">
        <v>752</v>
      </c>
      <c r="B774" s="1828"/>
      <c r="C774" s="64"/>
      <c r="D774" s="64">
        <f>+((3.55*2)+(1.44*6))</f>
        <v>15.74</v>
      </c>
      <c r="E774" s="64">
        <v>2.2000000000000002</v>
      </c>
      <c r="F774" s="64">
        <v>2</v>
      </c>
      <c r="G774" s="64">
        <f t="shared" si="56"/>
        <v>69.256</v>
      </c>
      <c r="H774" s="59"/>
      <c r="I774" s="60"/>
      <c r="J774" s="60"/>
      <c r="K774" s="61"/>
      <c r="L774" s="59"/>
      <c r="M774" s="59"/>
      <c r="N774" s="59"/>
      <c r="O774" s="59"/>
      <c r="P774" s="59"/>
      <c r="Q774" s="59"/>
      <c r="R774" s="59"/>
      <c r="S774" s="59"/>
      <c r="T774" s="59"/>
      <c r="U774" s="59"/>
      <c r="V774" s="59"/>
      <c r="W774" s="59"/>
      <c r="X774" s="59"/>
      <c r="Y774" s="59"/>
      <c r="Z774" s="59"/>
      <c r="AA774" s="59"/>
      <c r="AB774" s="59"/>
      <c r="AC774" s="59"/>
      <c r="AD774" s="59"/>
      <c r="AE774" s="59"/>
      <c r="AF774" s="59"/>
      <c r="AG774" s="59"/>
      <c r="AH774" s="59"/>
      <c r="AI774" s="59"/>
      <c r="AJ774" s="59"/>
      <c r="AK774" s="59"/>
      <c r="AL774" s="59"/>
      <c r="AM774" s="59"/>
      <c r="AN774" s="59"/>
      <c r="AO774" s="59"/>
      <c r="AP774" s="59"/>
      <c r="AQ774" s="59"/>
      <c r="AR774" s="59"/>
      <c r="AS774" s="59"/>
      <c r="AT774" s="59"/>
      <c r="AU774" s="59"/>
      <c r="AV774" s="59"/>
      <c r="AW774" s="59"/>
      <c r="AX774" s="59"/>
      <c r="AY774" s="59"/>
      <c r="AZ774" s="59"/>
      <c r="BA774" s="59"/>
      <c r="BB774" s="59"/>
      <c r="BC774" s="59"/>
      <c r="BD774" s="59"/>
      <c r="BE774" s="59"/>
      <c r="BF774" s="59"/>
      <c r="BG774" s="59"/>
      <c r="BH774" s="59"/>
      <c r="BI774" s="59"/>
      <c r="BJ774" s="59"/>
      <c r="BK774" s="59"/>
      <c r="BL774" s="59"/>
      <c r="BM774" s="59"/>
      <c r="BN774" s="59"/>
      <c r="BO774" s="59"/>
      <c r="BP774" s="59"/>
      <c r="BQ774" s="59"/>
      <c r="BR774" s="59"/>
      <c r="BS774" s="59"/>
      <c r="BT774" s="59"/>
      <c r="BU774" s="59"/>
      <c r="BV774" s="59"/>
      <c r="BW774" s="59"/>
      <c r="BX774" s="59"/>
      <c r="BY774" s="59"/>
      <c r="BZ774" s="59"/>
      <c r="CA774" s="59"/>
      <c r="CB774" s="59"/>
      <c r="CC774" s="59"/>
      <c r="CD774" s="59"/>
      <c r="CE774" s="59"/>
      <c r="CF774" s="59"/>
      <c r="CG774" s="59"/>
      <c r="CH774" s="59"/>
      <c r="CI774" s="59"/>
      <c r="CJ774" s="59"/>
      <c r="CK774" s="59"/>
      <c r="CL774" s="59"/>
      <c r="CM774" s="59"/>
      <c r="CN774" s="59"/>
      <c r="CO774" s="59"/>
      <c r="CP774" s="59"/>
      <c r="CQ774" s="59"/>
      <c r="CR774" s="59"/>
      <c r="CS774" s="59"/>
      <c r="CT774" s="59"/>
      <c r="CU774" s="59"/>
      <c r="CV774" s="59"/>
      <c r="CW774" s="59"/>
      <c r="CX774" s="59"/>
      <c r="CY774" s="59"/>
      <c r="CZ774" s="59"/>
      <c r="DA774" s="59"/>
      <c r="DB774" s="59"/>
      <c r="DC774" s="59"/>
      <c r="DD774" s="59"/>
      <c r="DE774" s="59"/>
      <c r="DF774" s="59"/>
      <c r="DG774" s="59"/>
      <c r="DH774" s="59"/>
      <c r="DI774" s="59"/>
      <c r="DJ774" s="59"/>
      <c r="DK774" s="59"/>
      <c r="DL774" s="59"/>
      <c r="DM774" s="59"/>
      <c r="DN774" s="59"/>
      <c r="DO774" s="59"/>
      <c r="DP774" s="59"/>
      <c r="DQ774" s="59"/>
      <c r="DR774" s="59"/>
      <c r="DS774" s="59"/>
      <c r="DT774" s="59"/>
      <c r="DU774" s="59"/>
      <c r="DV774" s="59"/>
      <c r="DW774" s="59"/>
      <c r="DX774" s="59"/>
      <c r="DY774" s="59"/>
      <c r="DZ774" s="59"/>
      <c r="EA774" s="59"/>
      <c r="EB774" s="59"/>
      <c r="EC774" s="59"/>
      <c r="ED774" s="59"/>
      <c r="EE774" s="59"/>
      <c r="EF774" s="59"/>
      <c r="EG774" s="59"/>
      <c r="EH774" s="59"/>
      <c r="EI774" s="59"/>
      <c r="EJ774" s="59"/>
      <c r="EK774" s="59"/>
      <c r="EL774" s="59"/>
      <c r="EM774" s="59"/>
      <c r="EN774" s="59"/>
      <c r="EO774" s="59"/>
      <c r="EP774" s="59"/>
      <c r="EQ774" s="59"/>
      <c r="ER774" s="59"/>
      <c r="ES774" s="59"/>
      <c r="ET774" s="59"/>
      <c r="EU774" s="59"/>
      <c r="EV774" s="59"/>
      <c r="EW774" s="59"/>
      <c r="EX774" s="59"/>
      <c r="EY774" s="59"/>
      <c r="EZ774" s="59"/>
      <c r="FA774" s="59"/>
      <c r="FB774" s="59"/>
      <c r="FC774" s="59"/>
      <c r="FD774" s="59"/>
      <c r="FE774" s="59"/>
      <c r="FF774" s="59"/>
      <c r="FG774" s="59"/>
      <c r="FH774" s="59"/>
      <c r="FI774" s="59"/>
      <c r="FJ774" s="59"/>
      <c r="FK774" s="59"/>
      <c r="FL774" s="59"/>
      <c r="FM774" s="59"/>
      <c r="FN774" s="59"/>
      <c r="FO774" s="59"/>
      <c r="FP774" s="59"/>
      <c r="FQ774" s="59"/>
      <c r="FR774" s="59"/>
      <c r="FS774" s="59"/>
      <c r="FT774" s="59"/>
      <c r="FU774" s="59"/>
      <c r="FV774" s="59"/>
      <c r="FW774" s="59"/>
      <c r="FX774" s="59"/>
      <c r="FY774" s="59"/>
      <c r="FZ774" s="59"/>
      <c r="GA774" s="59"/>
      <c r="GB774" s="59"/>
      <c r="GC774" s="59"/>
      <c r="GD774" s="59"/>
      <c r="GE774" s="59"/>
      <c r="GF774" s="59"/>
      <c r="GG774" s="59"/>
      <c r="GH774" s="59"/>
      <c r="GI774" s="59"/>
      <c r="GJ774" s="59"/>
      <c r="GK774" s="59"/>
      <c r="GL774" s="59"/>
      <c r="GM774" s="59"/>
      <c r="GN774" s="59"/>
      <c r="GO774" s="59"/>
      <c r="GP774" s="59"/>
      <c r="GQ774" s="59"/>
      <c r="GR774" s="59"/>
      <c r="GS774" s="59"/>
      <c r="GT774" s="59"/>
      <c r="GU774" s="59"/>
      <c r="GV774" s="59"/>
      <c r="GW774" s="59"/>
      <c r="GX774" s="59"/>
      <c r="GY774" s="59"/>
      <c r="GZ774" s="59"/>
      <c r="HA774" s="59"/>
      <c r="HB774" s="59"/>
      <c r="HC774" s="59"/>
      <c r="HD774" s="59"/>
      <c r="HE774" s="59"/>
      <c r="HF774" s="59"/>
      <c r="HG774" s="59"/>
      <c r="HH774" s="59"/>
      <c r="HI774" s="59"/>
      <c r="HJ774" s="59"/>
      <c r="HK774" s="59"/>
      <c r="HL774" s="59"/>
      <c r="HM774" s="59"/>
      <c r="HN774" s="59"/>
      <c r="HO774" s="59"/>
      <c r="HP774" s="59"/>
      <c r="HQ774" s="59"/>
      <c r="HR774" s="59"/>
      <c r="HS774" s="59"/>
      <c r="HT774" s="59"/>
      <c r="HU774" s="59"/>
      <c r="HV774" s="59"/>
      <c r="HW774" s="59"/>
      <c r="HX774" s="59"/>
      <c r="HY774" s="59"/>
      <c r="HZ774" s="59"/>
      <c r="IA774" s="59"/>
      <c r="IB774" s="59"/>
      <c r="IC774" s="59"/>
      <c r="ID774" s="59"/>
      <c r="IE774" s="59"/>
      <c r="IF774" s="59"/>
      <c r="IG774" s="59"/>
      <c r="IH774" s="59"/>
      <c r="II774" s="59"/>
      <c r="IJ774" s="59"/>
      <c r="IK774" s="59"/>
      <c r="IL774" s="59"/>
      <c r="IM774" s="59"/>
      <c r="IN774" s="59"/>
      <c r="IO774" s="59"/>
      <c r="IP774" s="59"/>
      <c r="IQ774" s="59"/>
      <c r="IR774" s="59"/>
      <c r="IS774" s="59"/>
      <c r="IT774" s="59"/>
      <c r="IU774" s="59"/>
      <c r="IV774" s="59"/>
    </row>
    <row r="775" spans="1:256" ht="14.25" customHeight="1">
      <c r="A775" s="1829" t="s">
        <v>227</v>
      </c>
      <c r="B775" s="1830"/>
      <c r="C775" s="1830"/>
      <c r="D775" s="1830"/>
      <c r="E775" s="1830"/>
      <c r="F775" s="1828"/>
      <c r="G775" s="65">
        <f>SUM(G770:G774)</f>
        <v>128.61199999999999</v>
      </c>
      <c r="H775" s="59"/>
      <c r="I775" s="60"/>
      <c r="J775" s="60"/>
      <c r="K775" s="61"/>
      <c r="L775" s="59"/>
      <c r="M775" s="59"/>
      <c r="N775" s="59"/>
      <c r="O775" s="59"/>
      <c r="P775" s="59"/>
      <c r="Q775" s="59"/>
      <c r="R775" s="59"/>
      <c r="S775" s="59"/>
      <c r="T775" s="59"/>
      <c r="U775" s="59"/>
      <c r="V775" s="59"/>
      <c r="W775" s="59"/>
      <c r="X775" s="59"/>
      <c r="Y775" s="59"/>
      <c r="Z775" s="59"/>
      <c r="AA775" s="59"/>
      <c r="AB775" s="59"/>
      <c r="AC775" s="59"/>
      <c r="AD775" s="59"/>
      <c r="AE775" s="59"/>
      <c r="AF775" s="59"/>
      <c r="AG775" s="59"/>
      <c r="AH775" s="59"/>
      <c r="AI775" s="59"/>
      <c r="AJ775" s="59"/>
      <c r="AK775" s="59"/>
      <c r="AL775" s="59"/>
      <c r="AM775" s="59"/>
      <c r="AN775" s="59"/>
      <c r="AO775" s="59"/>
      <c r="AP775" s="59"/>
      <c r="AQ775" s="59"/>
      <c r="AR775" s="59"/>
      <c r="AS775" s="59"/>
      <c r="AT775" s="59"/>
      <c r="AU775" s="59"/>
      <c r="AV775" s="59"/>
      <c r="AW775" s="59"/>
      <c r="AX775" s="59"/>
      <c r="AY775" s="59"/>
      <c r="AZ775" s="59"/>
      <c r="BA775" s="59"/>
      <c r="BB775" s="59"/>
      <c r="BC775" s="59"/>
      <c r="BD775" s="59"/>
      <c r="BE775" s="59"/>
      <c r="BF775" s="59"/>
      <c r="BG775" s="59"/>
      <c r="BH775" s="59"/>
      <c r="BI775" s="59"/>
      <c r="BJ775" s="59"/>
      <c r="BK775" s="59"/>
      <c r="BL775" s="59"/>
      <c r="BM775" s="59"/>
      <c r="BN775" s="59"/>
      <c r="BO775" s="59"/>
      <c r="BP775" s="59"/>
      <c r="BQ775" s="59"/>
      <c r="BR775" s="59"/>
      <c r="BS775" s="59"/>
      <c r="BT775" s="59"/>
      <c r="BU775" s="59"/>
      <c r="BV775" s="59"/>
      <c r="BW775" s="59"/>
      <c r="BX775" s="59"/>
      <c r="BY775" s="59"/>
      <c r="BZ775" s="59"/>
      <c r="CA775" s="59"/>
      <c r="CB775" s="59"/>
      <c r="CC775" s="59"/>
      <c r="CD775" s="59"/>
      <c r="CE775" s="59"/>
      <c r="CF775" s="59"/>
      <c r="CG775" s="59"/>
      <c r="CH775" s="59"/>
      <c r="CI775" s="59"/>
      <c r="CJ775" s="59"/>
      <c r="CK775" s="59"/>
      <c r="CL775" s="59"/>
      <c r="CM775" s="59"/>
      <c r="CN775" s="59"/>
      <c r="CO775" s="59"/>
      <c r="CP775" s="59"/>
      <c r="CQ775" s="59"/>
      <c r="CR775" s="59"/>
      <c r="CS775" s="59"/>
      <c r="CT775" s="59"/>
      <c r="CU775" s="59"/>
      <c r="CV775" s="59"/>
      <c r="CW775" s="59"/>
      <c r="CX775" s="59"/>
      <c r="CY775" s="59"/>
      <c r="CZ775" s="59"/>
      <c r="DA775" s="59"/>
      <c r="DB775" s="59"/>
      <c r="DC775" s="59"/>
      <c r="DD775" s="59"/>
      <c r="DE775" s="59"/>
      <c r="DF775" s="59"/>
      <c r="DG775" s="59"/>
      <c r="DH775" s="59"/>
      <c r="DI775" s="59"/>
      <c r="DJ775" s="59"/>
      <c r="DK775" s="59"/>
      <c r="DL775" s="59"/>
      <c r="DM775" s="59"/>
      <c r="DN775" s="59"/>
      <c r="DO775" s="59"/>
      <c r="DP775" s="59"/>
      <c r="DQ775" s="59"/>
      <c r="DR775" s="59"/>
      <c r="DS775" s="59"/>
      <c r="DT775" s="59"/>
      <c r="DU775" s="59"/>
      <c r="DV775" s="59"/>
      <c r="DW775" s="59"/>
      <c r="DX775" s="59"/>
      <c r="DY775" s="59"/>
      <c r="DZ775" s="59"/>
      <c r="EA775" s="59"/>
      <c r="EB775" s="59"/>
      <c r="EC775" s="59"/>
      <c r="ED775" s="59"/>
      <c r="EE775" s="59"/>
      <c r="EF775" s="59"/>
      <c r="EG775" s="59"/>
      <c r="EH775" s="59"/>
      <c r="EI775" s="59"/>
      <c r="EJ775" s="59"/>
      <c r="EK775" s="59"/>
      <c r="EL775" s="59"/>
      <c r="EM775" s="59"/>
      <c r="EN775" s="59"/>
      <c r="EO775" s="59"/>
      <c r="EP775" s="59"/>
      <c r="EQ775" s="59"/>
      <c r="ER775" s="59"/>
      <c r="ES775" s="59"/>
      <c r="ET775" s="59"/>
      <c r="EU775" s="59"/>
      <c r="EV775" s="59"/>
      <c r="EW775" s="59"/>
      <c r="EX775" s="59"/>
      <c r="EY775" s="59"/>
      <c r="EZ775" s="59"/>
      <c r="FA775" s="59"/>
      <c r="FB775" s="59"/>
      <c r="FC775" s="59"/>
      <c r="FD775" s="59"/>
      <c r="FE775" s="59"/>
      <c r="FF775" s="59"/>
      <c r="FG775" s="59"/>
      <c r="FH775" s="59"/>
      <c r="FI775" s="59"/>
      <c r="FJ775" s="59"/>
      <c r="FK775" s="59"/>
      <c r="FL775" s="59"/>
      <c r="FM775" s="59"/>
      <c r="FN775" s="59"/>
      <c r="FO775" s="59"/>
      <c r="FP775" s="59"/>
      <c r="FQ775" s="59"/>
      <c r="FR775" s="59"/>
      <c r="FS775" s="59"/>
      <c r="FT775" s="59"/>
      <c r="FU775" s="59"/>
      <c r="FV775" s="59"/>
      <c r="FW775" s="59"/>
      <c r="FX775" s="59"/>
      <c r="FY775" s="59"/>
      <c r="FZ775" s="59"/>
      <c r="GA775" s="59"/>
      <c r="GB775" s="59"/>
      <c r="GC775" s="59"/>
      <c r="GD775" s="59"/>
      <c r="GE775" s="59"/>
      <c r="GF775" s="59"/>
      <c r="GG775" s="59"/>
      <c r="GH775" s="59"/>
      <c r="GI775" s="59"/>
      <c r="GJ775" s="59"/>
      <c r="GK775" s="59"/>
      <c r="GL775" s="59"/>
      <c r="GM775" s="59"/>
      <c r="GN775" s="59"/>
      <c r="GO775" s="59"/>
      <c r="GP775" s="59"/>
      <c r="GQ775" s="59"/>
      <c r="GR775" s="59"/>
      <c r="GS775" s="59"/>
      <c r="GT775" s="59"/>
      <c r="GU775" s="59"/>
      <c r="GV775" s="59"/>
      <c r="GW775" s="59"/>
      <c r="GX775" s="59"/>
      <c r="GY775" s="59"/>
      <c r="GZ775" s="59"/>
      <c r="HA775" s="59"/>
      <c r="HB775" s="59"/>
      <c r="HC775" s="59"/>
      <c r="HD775" s="59"/>
      <c r="HE775" s="59"/>
      <c r="HF775" s="59"/>
      <c r="HG775" s="59"/>
      <c r="HH775" s="59"/>
      <c r="HI775" s="59"/>
      <c r="HJ775" s="59"/>
      <c r="HK775" s="59"/>
      <c r="HL775" s="59"/>
      <c r="HM775" s="59"/>
      <c r="HN775" s="59"/>
      <c r="HO775" s="59"/>
      <c r="HP775" s="59"/>
      <c r="HQ775" s="59"/>
      <c r="HR775" s="59"/>
      <c r="HS775" s="59"/>
      <c r="HT775" s="59"/>
      <c r="HU775" s="59"/>
      <c r="HV775" s="59"/>
      <c r="HW775" s="59"/>
      <c r="HX775" s="59"/>
      <c r="HY775" s="59"/>
      <c r="HZ775" s="59"/>
      <c r="IA775" s="59"/>
      <c r="IB775" s="59"/>
      <c r="IC775" s="59"/>
      <c r="ID775" s="59"/>
      <c r="IE775" s="59"/>
      <c r="IF775" s="59"/>
      <c r="IG775" s="59"/>
      <c r="IH775" s="59"/>
      <c r="II775" s="59"/>
      <c r="IJ775" s="59"/>
      <c r="IK775" s="59"/>
      <c r="IL775" s="59"/>
      <c r="IM775" s="59"/>
      <c r="IN775" s="59"/>
      <c r="IO775" s="59"/>
      <c r="IP775" s="59"/>
      <c r="IQ775" s="59"/>
      <c r="IR775" s="59"/>
      <c r="IS775" s="59"/>
      <c r="IT775" s="59"/>
      <c r="IU775" s="59"/>
      <c r="IV775" s="69">
        <f>SUM(G775:IU775)</f>
        <v>128.61199999999999</v>
      </c>
    </row>
    <row r="776" spans="1:256" ht="14.25" customHeight="1">
      <c r="A776" s="1831"/>
      <c r="B776" s="1830"/>
      <c r="C776" s="1830"/>
      <c r="D776" s="1830"/>
      <c r="E776" s="1830"/>
      <c r="F776" s="1830"/>
      <c r="G776" s="1828"/>
      <c r="H776" s="59"/>
      <c r="I776" s="60"/>
      <c r="J776" s="60"/>
      <c r="K776" s="61"/>
      <c r="L776" s="59"/>
      <c r="M776" s="59"/>
      <c r="N776" s="59"/>
      <c r="O776" s="59"/>
      <c r="P776" s="59"/>
      <c r="Q776" s="59"/>
      <c r="R776" s="59"/>
      <c r="S776" s="59"/>
      <c r="T776" s="59"/>
      <c r="U776" s="59"/>
      <c r="V776" s="59"/>
      <c r="W776" s="59"/>
      <c r="X776" s="59"/>
      <c r="Y776" s="59"/>
      <c r="Z776" s="59"/>
      <c r="AA776" s="59"/>
      <c r="AB776" s="59"/>
      <c r="AC776" s="59"/>
      <c r="AD776" s="59"/>
      <c r="AE776" s="59"/>
      <c r="AF776" s="59"/>
      <c r="AG776" s="59"/>
      <c r="AH776" s="59"/>
      <c r="AI776" s="59"/>
      <c r="AJ776" s="59"/>
      <c r="AK776" s="59"/>
      <c r="AL776" s="59"/>
      <c r="AM776" s="59"/>
      <c r="AN776" s="59"/>
      <c r="AO776" s="59"/>
      <c r="AP776" s="59"/>
      <c r="AQ776" s="59"/>
      <c r="AR776" s="59"/>
      <c r="AS776" s="59"/>
      <c r="AT776" s="59"/>
      <c r="AU776" s="59"/>
      <c r="AV776" s="59"/>
      <c r="AW776" s="59"/>
      <c r="AX776" s="59"/>
      <c r="AY776" s="59"/>
      <c r="AZ776" s="59"/>
      <c r="BA776" s="59"/>
      <c r="BB776" s="59"/>
      <c r="BC776" s="59"/>
      <c r="BD776" s="59"/>
      <c r="BE776" s="59"/>
      <c r="BF776" s="59"/>
      <c r="BG776" s="59"/>
      <c r="BH776" s="59"/>
      <c r="BI776" s="59"/>
      <c r="BJ776" s="59"/>
      <c r="BK776" s="59"/>
      <c r="BL776" s="59"/>
      <c r="BM776" s="59"/>
      <c r="BN776" s="59"/>
      <c r="BO776" s="59"/>
      <c r="BP776" s="59"/>
      <c r="BQ776" s="59"/>
      <c r="BR776" s="59"/>
      <c r="BS776" s="59"/>
      <c r="BT776" s="59"/>
      <c r="BU776" s="59"/>
      <c r="BV776" s="59"/>
      <c r="BW776" s="59"/>
      <c r="BX776" s="59"/>
      <c r="BY776" s="59"/>
      <c r="BZ776" s="59"/>
      <c r="CA776" s="59"/>
      <c r="CB776" s="59"/>
      <c r="CC776" s="59"/>
      <c r="CD776" s="59"/>
      <c r="CE776" s="59"/>
      <c r="CF776" s="59"/>
      <c r="CG776" s="59"/>
      <c r="CH776" s="59"/>
      <c r="CI776" s="59"/>
      <c r="CJ776" s="59"/>
      <c r="CK776" s="59"/>
      <c r="CL776" s="59"/>
      <c r="CM776" s="59"/>
      <c r="CN776" s="59"/>
      <c r="CO776" s="59"/>
      <c r="CP776" s="59"/>
      <c r="CQ776" s="59"/>
      <c r="CR776" s="59"/>
      <c r="CS776" s="59"/>
      <c r="CT776" s="59"/>
      <c r="CU776" s="59"/>
      <c r="CV776" s="59"/>
      <c r="CW776" s="59"/>
      <c r="CX776" s="59"/>
      <c r="CY776" s="59"/>
      <c r="CZ776" s="59"/>
      <c r="DA776" s="59"/>
      <c r="DB776" s="59"/>
      <c r="DC776" s="59"/>
      <c r="DD776" s="59"/>
      <c r="DE776" s="59"/>
      <c r="DF776" s="59"/>
      <c r="DG776" s="59"/>
      <c r="DH776" s="59"/>
      <c r="DI776" s="59"/>
      <c r="DJ776" s="59"/>
      <c r="DK776" s="59"/>
      <c r="DL776" s="59"/>
      <c r="DM776" s="59"/>
      <c r="DN776" s="59"/>
      <c r="DO776" s="59"/>
      <c r="DP776" s="59"/>
      <c r="DQ776" s="59"/>
      <c r="DR776" s="59"/>
      <c r="DS776" s="59"/>
      <c r="DT776" s="59"/>
      <c r="DU776" s="59"/>
      <c r="DV776" s="59"/>
      <c r="DW776" s="59"/>
      <c r="DX776" s="59"/>
      <c r="DY776" s="59"/>
      <c r="DZ776" s="59"/>
      <c r="EA776" s="59"/>
      <c r="EB776" s="59"/>
      <c r="EC776" s="59"/>
      <c r="ED776" s="59"/>
      <c r="EE776" s="59"/>
      <c r="EF776" s="59"/>
      <c r="EG776" s="59"/>
      <c r="EH776" s="59"/>
      <c r="EI776" s="59"/>
      <c r="EJ776" s="59"/>
      <c r="EK776" s="59"/>
      <c r="EL776" s="59"/>
      <c r="EM776" s="59"/>
      <c r="EN776" s="59"/>
      <c r="EO776" s="59"/>
      <c r="EP776" s="59"/>
      <c r="EQ776" s="59"/>
      <c r="ER776" s="59"/>
      <c r="ES776" s="59"/>
      <c r="ET776" s="59"/>
      <c r="EU776" s="59"/>
      <c r="EV776" s="59"/>
      <c r="EW776" s="59"/>
      <c r="EX776" s="59"/>
      <c r="EY776" s="59"/>
      <c r="EZ776" s="59"/>
      <c r="FA776" s="59"/>
      <c r="FB776" s="59"/>
      <c r="FC776" s="59"/>
      <c r="FD776" s="59"/>
      <c r="FE776" s="59"/>
      <c r="FF776" s="59"/>
      <c r="FG776" s="59"/>
      <c r="FH776" s="59"/>
      <c r="FI776" s="59"/>
      <c r="FJ776" s="59"/>
      <c r="FK776" s="59"/>
      <c r="FL776" s="59"/>
      <c r="FM776" s="59"/>
      <c r="FN776" s="59"/>
      <c r="FO776" s="59"/>
      <c r="FP776" s="59"/>
      <c r="FQ776" s="59"/>
      <c r="FR776" s="59"/>
      <c r="FS776" s="59"/>
      <c r="FT776" s="59"/>
      <c r="FU776" s="59"/>
      <c r="FV776" s="59"/>
      <c r="FW776" s="59"/>
      <c r="FX776" s="59"/>
      <c r="FY776" s="59"/>
      <c r="FZ776" s="59"/>
      <c r="GA776" s="59"/>
      <c r="GB776" s="59"/>
      <c r="GC776" s="59"/>
      <c r="GD776" s="59"/>
      <c r="GE776" s="59"/>
      <c r="GF776" s="59"/>
      <c r="GG776" s="59"/>
      <c r="GH776" s="59"/>
      <c r="GI776" s="59"/>
      <c r="GJ776" s="59"/>
      <c r="GK776" s="59"/>
      <c r="GL776" s="59"/>
      <c r="GM776" s="59"/>
      <c r="GN776" s="59"/>
      <c r="GO776" s="59"/>
      <c r="GP776" s="59"/>
      <c r="GQ776" s="59"/>
      <c r="GR776" s="59"/>
      <c r="GS776" s="59"/>
      <c r="GT776" s="59"/>
      <c r="GU776" s="59"/>
      <c r="GV776" s="59"/>
      <c r="GW776" s="59"/>
      <c r="GX776" s="59"/>
      <c r="GY776" s="59"/>
      <c r="GZ776" s="59"/>
      <c r="HA776" s="59"/>
      <c r="HB776" s="59"/>
      <c r="HC776" s="59"/>
      <c r="HD776" s="59"/>
      <c r="HE776" s="59"/>
      <c r="HF776" s="59"/>
      <c r="HG776" s="59"/>
      <c r="HH776" s="59"/>
      <c r="HI776" s="59"/>
      <c r="HJ776" s="59"/>
      <c r="HK776" s="59"/>
      <c r="HL776" s="59"/>
      <c r="HM776" s="59"/>
      <c r="HN776" s="59"/>
      <c r="HO776" s="59"/>
      <c r="HP776" s="59"/>
      <c r="HQ776" s="59"/>
      <c r="HR776" s="59"/>
      <c r="HS776" s="59"/>
      <c r="HT776" s="59"/>
      <c r="HU776" s="59"/>
      <c r="HV776" s="59"/>
      <c r="HW776" s="59"/>
      <c r="HX776" s="59"/>
      <c r="HY776" s="59"/>
      <c r="HZ776" s="59"/>
      <c r="IA776" s="59"/>
      <c r="IB776" s="59"/>
      <c r="IC776" s="59"/>
      <c r="ID776" s="59"/>
      <c r="IE776" s="59"/>
      <c r="IF776" s="59"/>
      <c r="IG776" s="59"/>
      <c r="IH776" s="59"/>
      <c r="II776" s="59"/>
      <c r="IJ776" s="59"/>
      <c r="IK776" s="59"/>
      <c r="IL776" s="59"/>
      <c r="IM776" s="59"/>
      <c r="IN776" s="59"/>
      <c r="IO776" s="59"/>
      <c r="IP776" s="59"/>
      <c r="IQ776" s="59"/>
      <c r="IR776" s="59"/>
      <c r="IS776" s="59"/>
      <c r="IT776" s="59"/>
      <c r="IU776" s="59"/>
      <c r="IV776" s="59"/>
    </row>
    <row r="777" spans="1:256" ht="14.25" customHeight="1">
      <c r="A777" s="66" t="s">
        <v>268</v>
      </c>
      <c r="B777" s="1832" t="str">
        <f>+B765</f>
        <v>ACABADOS</v>
      </c>
      <c r="C777" s="1830"/>
      <c r="D777" s="1828"/>
      <c r="E777" s="1833" t="s">
        <v>218</v>
      </c>
      <c r="F777" s="1828"/>
      <c r="G777" s="62" t="s">
        <v>228</v>
      </c>
      <c r="H777" s="59"/>
      <c r="I777" s="60"/>
      <c r="J777" s="60"/>
      <c r="K777" s="61"/>
      <c r="L777" s="59"/>
      <c r="M777" s="59"/>
      <c r="N777" s="59"/>
      <c r="O777" s="59"/>
      <c r="P777" s="59"/>
      <c r="Q777" s="59"/>
      <c r="R777" s="59"/>
      <c r="S777" s="59"/>
      <c r="T777" s="59"/>
      <c r="U777" s="59"/>
      <c r="V777" s="59"/>
      <c r="W777" s="59"/>
      <c r="X777" s="59"/>
      <c r="Y777" s="59"/>
      <c r="Z777" s="59"/>
      <c r="AA777" s="59"/>
      <c r="AB777" s="59"/>
      <c r="AC777" s="59"/>
      <c r="AD777" s="59"/>
      <c r="AE777" s="59"/>
      <c r="AF777" s="59"/>
      <c r="AG777" s="59"/>
      <c r="AH777" s="59"/>
      <c r="AI777" s="59"/>
      <c r="AJ777" s="59"/>
      <c r="AK777" s="59"/>
      <c r="AL777" s="59"/>
      <c r="AM777" s="59"/>
      <c r="AN777" s="59"/>
      <c r="AO777" s="59"/>
      <c r="AP777" s="59"/>
      <c r="AQ777" s="59"/>
      <c r="AR777" s="59"/>
      <c r="AS777" s="59"/>
      <c r="AT777" s="59"/>
      <c r="AU777" s="59"/>
      <c r="AV777" s="59"/>
      <c r="AW777" s="59"/>
      <c r="AX777" s="59"/>
      <c r="AY777" s="59"/>
      <c r="AZ777" s="59"/>
      <c r="BA777" s="59"/>
      <c r="BB777" s="59"/>
      <c r="BC777" s="59"/>
      <c r="BD777" s="59"/>
      <c r="BE777" s="59"/>
      <c r="BF777" s="59"/>
      <c r="BG777" s="59"/>
      <c r="BH777" s="59"/>
      <c r="BI777" s="59"/>
      <c r="BJ777" s="59"/>
      <c r="BK777" s="59"/>
      <c r="BL777" s="59"/>
      <c r="BM777" s="59"/>
      <c r="BN777" s="59"/>
      <c r="BO777" s="59"/>
      <c r="BP777" s="59"/>
      <c r="BQ777" s="59"/>
      <c r="BR777" s="59"/>
      <c r="BS777" s="59"/>
      <c r="BT777" s="59"/>
      <c r="BU777" s="59"/>
      <c r="BV777" s="59"/>
      <c r="BW777" s="59"/>
      <c r="BX777" s="59"/>
      <c r="BY777" s="59"/>
      <c r="BZ777" s="59"/>
      <c r="CA777" s="59"/>
      <c r="CB777" s="59"/>
      <c r="CC777" s="59"/>
      <c r="CD777" s="59"/>
      <c r="CE777" s="59"/>
      <c r="CF777" s="59"/>
      <c r="CG777" s="59"/>
      <c r="CH777" s="59"/>
      <c r="CI777" s="59"/>
      <c r="CJ777" s="59"/>
      <c r="CK777" s="59"/>
      <c r="CL777" s="59"/>
      <c r="CM777" s="59"/>
      <c r="CN777" s="59"/>
      <c r="CO777" s="59"/>
      <c r="CP777" s="59"/>
      <c r="CQ777" s="59"/>
      <c r="CR777" s="59"/>
      <c r="CS777" s="59"/>
      <c r="CT777" s="59"/>
      <c r="CU777" s="59"/>
      <c r="CV777" s="59"/>
      <c r="CW777" s="59"/>
      <c r="CX777" s="59"/>
      <c r="CY777" s="59"/>
      <c r="CZ777" s="59"/>
      <c r="DA777" s="59"/>
      <c r="DB777" s="59"/>
      <c r="DC777" s="59"/>
      <c r="DD777" s="59"/>
      <c r="DE777" s="59"/>
      <c r="DF777" s="59"/>
      <c r="DG777" s="59"/>
      <c r="DH777" s="59"/>
      <c r="DI777" s="59"/>
      <c r="DJ777" s="59"/>
      <c r="DK777" s="59"/>
      <c r="DL777" s="59"/>
      <c r="DM777" s="59"/>
      <c r="DN777" s="59"/>
      <c r="DO777" s="59"/>
      <c r="DP777" s="59"/>
      <c r="DQ777" s="59"/>
      <c r="DR777" s="59"/>
      <c r="DS777" s="59"/>
      <c r="DT777" s="59"/>
      <c r="DU777" s="59"/>
      <c r="DV777" s="59"/>
      <c r="DW777" s="59"/>
      <c r="DX777" s="59"/>
      <c r="DY777" s="59"/>
      <c r="DZ777" s="59"/>
      <c r="EA777" s="59"/>
      <c r="EB777" s="59"/>
      <c r="EC777" s="59"/>
      <c r="ED777" s="59"/>
      <c r="EE777" s="59"/>
      <c r="EF777" s="59"/>
      <c r="EG777" s="59"/>
      <c r="EH777" s="59"/>
      <c r="EI777" s="59"/>
      <c r="EJ777" s="59"/>
      <c r="EK777" s="59"/>
      <c r="EL777" s="59"/>
      <c r="EM777" s="59"/>
      <c r="EN777" s="59"/>
      <c r="EO777" s="59"/>
      <c r="EP777" s="59"/>
      <c r="EQ777" s="59"/>
      <c r="ER777" s="59"/>
      <c r="ES777" s="59"/>
      <c r="ET777" s="59"/>
      <c r="EU777" s="59"/>
      <c r="EV777" s="59"/>
      <c r="EW777" s="59"/>
      <c r="EX777" s="59"/>
      <c r="EY777" s="59"/>
      <c r="EZ777" s="59"/>
      <c r="FA777" s="59"/>
      <c r="FB777" s="59"/>
      <c r="FC777" s="59"/>
      <c r="FD777" s="59"/>
      <c r="FE777" s="59"/>
      <c r="FF777" s="59"/>
      <c r="FG777" s="59"/>
      <c r="FH777" s="59"/>
      <c r="FI777" s="59"/>
      <c r="FJ777" s="59"/>
      <c r="FK777" s="59"/>
      <c r="FL777" s="59"/>
      <c r="FM777" s="59"/>
      <c r="FN777" s="59"/>
      <c r="FO777" s="59"/>
      <c r="FP777" s="59"/>
      <c r="FQ777" s="59"/>
      <c r="FR777" s="59"/>
      <c r="FS777" s="59"/>
      <c r="FT777" s="59"/>
      <c r="FU777" s="59"/>
      <c r="FV777" s="59"/>
      <c r="FW777" s="59"/>
      <c r="FX777" s="59"/>
      <c r="FY777" s="59"/>
      <c r="FZ777" s="59"/>
      <c r="GA777" s="59"/>
      <c r="GB777" s="59"/>
      <c r="GC777" s="59"/>
      <c r="GD777" s="59"/>
      <c r="GE777" s="59"/>
      <c r="GF777" s="59"/>
      <c r="GG777" s="59"/>
      <c r="GH777" s="59"/>
      <c r="GI777" s="59"/>
      <c r="GJ777" s="59"/>
      <c r="GK777" s="59"/>
      <c r="GL777" s="59"/>
      <c r="GM777" s="59"/>
      <c r="GN777" s="59"/>
      <c r="GO777" s="59"/>
      <c r="GP777" s="59"/>
      <c r="GQ777" s="59"/>
      <c r="GR777" s="59"/>
      <c r="GS777" s="59"/>
      <c r="GT777" s="59"/>
      <c r="GU777" s="59"/>
      <c r="GV777" s="59"/>
      <c r="GW777" s="59"/>
      <c r="GX777" s="59"/>
      <c r="GY777" s="59"/>
      <c r="GZ777" s="59"/>
      <c r="HA777" s="59"/>
      <c r="HB777" s="59"/>
      <c r="HC777" s="59"/>
      <c r="HD777" s="59"/>
      <c r="HE777" s="59"/>
      <c r="HF777" s="59"/>
      <c r="HG777" s="59"/>
      <c r="HH777" s="59"/>
      <c r="HI777" s="59"/>
      <c r="HJ777" s="59"/>
      <c r="HK777" s="59"/>
      <c r="HL777" s="59"/>
      <c r="HM777" s="59"/>
      <c r="HN777" s="59"/>
      <c r="HO777" s="59"/>
      <c r="HP777" s="59"/>
      <c r="HQ777" s="59"/>
      <c r="HR777" s="59"/>
      <c r="HS777" s="59"/>
      <c r="HT777" s="59"/>
      <c r="HU777" s="59"/>
      <c r="HV777" s="59"/>
      <c r="HW777" s="59"/>
      <c r="HX777" s="59"/>
      <c r="HY777" s="59"/>
      <c r="HZ777" s="59"/>
      <c r="IA777" s="59"/>
      <c r="IB777" s="59"/>
      <c r="IC777" s="59"/>
      <c r="ID777" s="59"/>
      <c r="IE777" s="59"/>
      <c r="IF777" s="59"/>
      <c r="IG777" s="59"/>
      <c r="IH777" s="59"/>
      <c r="II777" s="59"/>
      <c r="IJ777" s="59"/>
      <c r="IK777" s="59"/>
      <c r="IL777" s="59"/>
      <c r="IM777" s="59"/>
      <c r="IN777" s="59"/>
      <c r="IO777" s="59"/>
      <c r="IP777" s="59"/>
      <c r="IQ777" s="59"/>
      <c r="IR777" s="59"/>
      <c r="IS777" s="59"/>
      <c r="IT777" s="59"/>
      <c r="IU777" s="59"/>
      <c r="IV777" s="59"/>
    </row>
    <row r="778" spans="1:256" ht="28.5" customHeight="1">
      <c r="A778" s="66" t="s">
        <v>267</v>
      </c>
      <c r="B778" s="1840" t="s">
        <v>809</v>
      </c>
      <c r="C778" s="1830"/>
      <c r="D778" s="1830"/>
      <c r="E778" s="1830"/>
      <c r="F778" s="1830"/>
      <c r="G778" s="1828"/>
      <c r="H778" s="59"/>
      <c r="I778" s="60"/>
      <c r="J778" s="60"/>
      <c r="K778" s="61"/>
      <c r="L778" s="59"/>
      <c r="M778" s="59"/>
      <c r="N778" s="59"/>
      <c r="O778" s="59"/>
      <c r="P778" s="59"/>
      <c r="Q778" s="59"/>
      <c r="R778" s="59"/>
      <c r="S778" s="59"/>
      <c r="T778" s="59"/>
      <c r="U778" s="59"/>
      <c r="V778" s="59"/>
      <c r="W778" s="59"/>
      <c r="X778" s="59"/>
      <c r="Y778" s="59"/>
      <c r="Z778" s="59"/>
      <c r="AA778" s="59"/>
      <c r="AB778" s="59"/>
      <c r="AC778" s="59"/>
      <c r="AD778" s="59"/>
      <c r="AE778" s="59"/>
      <c r="AF778" s="59"/>
      <c r="AG778" s="59"/>
      <c r="AH778" s="59"/>
      <c r="AI778" s="59"/>
      <c r="AJ778" s="59"/>
      <c r="AK778" s="59"/>
      <c r="AL778" s="59"/>
      <c r="AM778" s="59"/>
      <c r="AN778" s="59"/>
      <c r="AO778" s="59"/>
      <c r="AP778" s="59"/>
      <c r="AQ778" s="59"/>
      <c r="AR778" s="59"/>
      <c r="AS778" s="59"/>
      <c r="AT778" s="59"/>
      <c r="AU778" s="59"/>
      <c r="AV778" s="59"/>
      <c r="AW778" s="59"/>
      <c r="AX778" s="59"/>
      <c r="AY778" s="59"/>
      <c r="AZ778" s="59"/>
      <c r="BA778" s="59"/>
      <c r="BB778" s="59"/>
      <c r="BC778" s="59"/>
      <c r="BD778" s="59"/>
      <c r="BE778" s="59"/>
      <c r="BF778" s="59"/>
      <c r="BG778" s="59"/>
      <c r="BH778" s="59"/>
      <c r="BI778" s="59"/>
      <c r="BJ778" s="59"/>
      <c r="BK778" s="59"/>
      <c r="BL778" s="59"/>
      <c r="BM778" s="59"/>
      <c r="BN778" s="59"/>
      <c r="BO778" s="59"/>
      <c r="BP778" s="59"/>
      <c r="BQ778" s="59"/>
      <c r="BR778" s="59"/>
      <c r="BS778" s="59"/>
      <c r="BT778" s="59"/>
      <c r="BU778" s="59"/>
      <c r="BV778" s="59"/>
      <c r="BW778" s="59"/>
      <c r="BX778" s="59"/>
      <c r="BY778" s="59"/>
      <c r="BZ778" s="59"/>
      <c r="CA778" s="59"/>
      <c r="CB778" s="59"/>
      <c r="CC778" s="59"/>
      <c r="CD778" s="59"/>
      <c r="CE778" s="59"/>
      <c r="CF778" s="59"/>
      <c r="CG778" s="59"/>
      <c r="CH778" s="59"/>
      <c r="CI778" s="59"/>
      <c r="CJ778" s="59"/>
      <c r="CK778" s="59"/>
      <c r="CL778" s="59"/>
      <c r="CM778" s="59"/>
      <c r="CN778" s="59"/>
      <c r="CO778" s="59"/>
      <c r="CP778" s="59"/>
      <c r="CQ778" s="59"/>
      <c r="CR778" s="59"/>
      <c r="CS778" s="59"/>
      <c r="CT778" s="59"/>
      <c r="CU778" s="59"/>
      <c r="CV778" s="59"/>
      <c r="CW778" s="59"/>
      <c r="CX778" s="59"/>
      <c r="CY778" s="59"/>
      <c r="CZ778" s="59"/>
      <c r="DA778" s="59"/>
      <c r="DB778" s="59"/>
      <c r="DC778" s="59"/>
      <c r="DD778" s="59"/>
      <c r="DE778" s="59"/>
      <c r="DF778" s="59"/>
      <c r="DG778" s="59"/>
      <c r="DH778" s="59"/>
      <c r="DI778" s="59"/>
      <c r="DJ778" s="59"/>
      <c r="DK778" s="59"/>
      <c r="DL778" s="59"/>
      <c r="DM778" s="59"/>
      <c r="DN778" s="59"/>
      <c r="DO778" s="59"/>
      <c r="DP778" s="59"/>
      <c r="DQ778" s="59"/>
      <c r="DR778" s="59"/>
      <c r="DS778" s="59"/>
      <c r="DT778" s="59"/>
      <c r="DU778" s="59"/>
      <c r="DV778" s="59"/>
      <c r="DW778" s="59"/>
      <c r="DX778" s="59"/>
      <c r="DY778" s="59"/>
      <c r="DZ778" s="59"/>
      <c r="EA778" s="59"/>
      <c r="EB778" s="59"/>
      <c r="EC778" s="59"/>
      <c r="ED778" s="59"/>
      <c r="EE778" s="59"/>
      <c r="EF778" s="59"/>
      <c r="EG778" s="59"/>
      <c r="EH778" s="59"/>
      <c r="EI778" s="59"/>
      <c r="EJ778" s="59"/>
      <c r="EK778" s="59"/>
      <c r="EL778" s="59"/>
      <c r="EM778" s="59"/>
      <c r="EN778" s="59"/>
      <c r="EO778" s="59"/>
      <c r="EP778" s="59"/>
      <c r="EQ778" s="59"/>
      <c r="ER778" s="59"/>
      <c r="ES778" s="59"/>
      <c r="ET778" s="59"/>
      <c r="EU778" s="59"/>
      <c r="EV778" s="59"/>
      <c r="EW778" s="59"/>
      <c r="EX778" s="59"/>
      <c r="EY778" s="59"/>
      <c r="EZ778" s="59"/>
      <c r="FA778" s="59"/>
      <c r="FB778" s="59"/>
      <c r="FC778" s="59"/>
      <c r="FD778" s="59"/>
      <c r="FE778" s="59"/>
      <c r="FF778" s="59"/>
      <c r="FG778" s="59"/>
      <c r="FH778" s="59"/>
      <c r="FI778" s="59"/>
      <c r="FJ778" s="59"/>
      <c r="FK778" s="59"/>
      <c r="FL778" s="59"/>
      <c r="FM778" s="59"/>
      <c r="FN778" s="59"/>
      <c r="FO778" s="59"/>
      <c r="FP778" s="59"/>
      <c r="FQ778" s="59"/>
      <c r="FR778" s="59"/>
      <c r="FS778" s="59"/>
      <c r="FT778" s="59"/>
      <c r="FU778" s="59"/>
      <c r="FV778" s="59"/>
      <c r="FW778" s="59"/>
      <c r="FX778" s="59"/>
      <c r="FY778" s="59"/>
      <c r="FZ778" s="59"/>
      <c r="GA778" s="59"/>
      <c r="GB778" s="59"/>
      <c r="GC778" s="59"/>
      <c r="GD778" s="59"/>
      <c r="GE778" s="59"/>
      <c r="GF778" s="59"/>
      <c r="GG778" s="59"/>
      <c r="GH778" s="59"/>
      <c r="GI778" s="59"/>
      <c r="GJ778" s="59"/>
      <c r="GK778" s="59"/>
      <c r="GL778" s="59"/>
      <c r="GM778" s="59"/>
      <c r="GN778" s="59"/>
      <c r="GO778" s="59"/>
      <c r="GP778" s="59"/>
      <c r="GQ778" s="59"/>
      <c r="GR778" s="59"/>
      <c r="GS778" s="59"/>
      <c r="GT778" s="59"/>
      <c r="GU778" s="59"/>
      <c r="GV778" s="59"/>
      <c r="GW778" s="59"/>
      <c r="GX778" s="59"/>
      <c r="GY778" s="59"/>
      <c r="GZ778" s="59"/>
      <c r="HA778" s="59"/>
      <c r="HB778" s="59"/>
      <c r="HC778" s="59"/>
      <c r="HD778" s="59"/>
      <c r="HE778" s="59"/>
      <c r="HF778" s="59"/>
      <c r="HG778" s="59"/>
      <c r="HH778" s="59"/>
      <c r="HI778" s="59"/>
      <c r="HJ778" s="59"/>
      <c r="HK778" s="59"/>
      <c r="HL778" s="59"/>
      <c r="HM778" s="59"/>
      <c r="HN778" s="59"/>
      <c r="HO778" s="59"/>
      <c r="HP778" s="59"/>
      <c r="HQ778" s="59"/>
      <c r="HR778" s="59"/>
      <c r="HS778" s="59"/>
      <c r="HT778" s="59"/>
      <c r="HU778" s="59"/>
      <c r="HV778" s="59"/>
      <c r="HW778" s="59"/>
      <c r="HX778" s="59"/>
      <c r="HY778" s="59"/>
      <c r="HZ778" s="59"/>
      <c r="IA778" s="59"/>
      <c r="IB778" s="59"/>
      <c r="IC778" s="59"/>
      <c r="ID778" s="59"/>
      <c r="IE778" s="59"/>
      <c r="IF778" s="59"/>
      <c r="IG778" s="59"/>
      <c r="IH778" s="59"/>
      <c r="II778" s="59"/>
      <c r="IJ778" s="59"/>
      <c r="IK778" s="59"/>
      <c r="IL778" s="59"/>
      <c r="IM778" s="59"/>
      <c r="IN778" s="59"/>
      <c r="IO778" s="59"/>
      <c r="IP778" s="59"/>
      <c r="IQ778" s="59"/>
      <c r="IR778" s="59"/>
      <c r="IS778" s="59"/>
      <c r="IT778" s="59"/>
      <c r="IU778" s="59"/>
      <c r="IV778" s="59"/>
    </row>
    <row r="779" spans="1:256" ht="14.25" customHeight="1">
      <c r="A779" s="1836" t="s">
        <v>220</v>
      </c>
      <c r="B779" s="1830"/>
      <c r="C779" s="1830"/>
      <c r="D779" s="1830"/>
      <c r="E779" s="1830"/>
      <c r="F779" s="1830"/>
      <c r="G779" s="1828"/>
      <c r="H779" s="59"/>
      <c r="I779" s="60"/>
      <c r="J779" s="60"/>
      <c r="K779" s="61"/>
      <c r="L779" s="59"/>
      <c r="M779" s="59"/>
      <c r="N779" s="59"/>
      <c r="O779" s="59"/>
      <c r="P779" s="59"/>
      <c r="Q779" s="59"/>
      <c r="R779" s="59"/>
      <c r="S779" s="59"/>
      <c r="T779" s="59"/>
      <c r="U779" s="59"/>
      <c r="V779" s="59"/>
      <c r="W779" s="59"/>
      <c r="X779" s="59"/>
      <c r="Y779" s="59"/>
      <c r="Z779" s="59"/>
      <c r="AA779" s="59"/>
      <c r="AB779" s="59"/>
      <c r="AC779" s="59"/>
      <c r="AD779" s="59"/>
      <c r="AE779" s="59"/>
      <c r="AF779" s="59"/>
      <c r="AG779" s="59"/>
      <c r="AH779" s="59"/>
      <c r="AI779" s="59"/>
      <c r="AJ779" s="59"/>
      <c r="AK779" s="59"/>
      <c r="AL779" s="59"/>
      <c r="AM779" s="59"/>
      <c r="AN779" s="59"/>
      <c r="AO779" s="59"/>
      <c r="AP779" s="59"/>
      <c r="AQ779" s="59"/>
      <c r="AR779" s="59"/>
      <c r="AS779" s="59"/>
      <c r="AT779" s="59"/>
      <c r="AU779" s="59"/>
      <c r="AV779" s="59"/>
      <c r="AW779" s="59"/>
      <c r="AX779" s="59"/>
      <c r="AY779" s="59"/>
      <c r="AZ779" s="59"/>
      <c r="BA779" s="59"/>
      <c r="BB779" s="59"/>
      <c r="BC779" s="59"/>
      <c r="BD779" s="59"/>
      <c r="BE779" s="59"/>
      <c r="BF779" s="59"/>
      <c r="BG779" s="59"/>
      <c r="BH779" s="59"/>
      <c r="BI779" s="59"/>
      <c r="BJ779" s="59"/>
      <c r="BK779" s="59"/>
      <c r="BL779" s="59"/>
      <c r="BM779" s="59"/>
      <c r="BN779" s="59"/>
      <c r="BO779" s="59"/>
      <c r="BP779" s="59"/>
      <c r="BQ779" s="59"/>
      <c r="BR779" s="59"/>
      <c r="BS779" s="59"/>
      <c r="BT779" s="59"/>
      <c r="BU779" s="59"/>
      <c r="BV779" s="59"/>
      <c r="BW779" s="59"/>
      <c r="BX779" s="59"/>
      <c r="BY779" s="59"/>
      <c r="BZ779" s="59"/>
      <c r="CA779" s="59"/>
      <c r="CB779" s="59"/>
      <c r="CC779" s="59"/>
      <c r="CD779" s="59"/>
      <c r="CE779" s="59"/>
      <c r="CF779" s="59"/>
      <c r="CG779" s="59"/>
      <c r="CH779" s="59"/>
      <c r="CI779" s="59"/>
      <c r="CJ779" s="59"/>
      <c r="CK779" s="59"/>
      <c r="CL779" s="59"/>
      <c r="CM779" s="59"/>
      <c r="CN779" s="59"/>
      <c r="CO779" s="59"/>
      <c r="CP779" s="59"/>
      <c r="CQ779" s="59"/>
      <c r="CR779" s="59"/>
      <c r="CS779" s="59"/>
      <c r="CT779" s="59"/>
      <c r="CU779" s="59"/>
      <c r="CV779" s="59"/>
      <c r="CW779" s="59"/>
      <c r="CX779" s="59"/>
      <c r="CY779" s="59"/>
      <c r="CZ779" s="59"/>
      <c r="DA779" s="59"/>
      <c r="DB779" s="59"/>
      <c r="DC779" s="59"/>
      <c r="DD779" s="59"/>
      <c r="DE779" s="59"/>
      <c r="DF779" s="59"/>
      <c r="DG779" s="59"/>
      <c r="DH779" s="59"/>
      <c r="DI779" s="59"/>
      <c r="DJ779" s="59"/>
      <c r="DK779" s="59"/>
      <c r="DL779" s="59"/>
      <c r="DM779" s="59"/>
      <c r="DN779" s="59"/>
      <c r="DO779" s="59"/>
      <c r="DP779" s="59"/>
      <c r="DQ779" s="59"/>
      <c r="DR779" s="59"/>
      <c r="DS779" s="59"/>
      <c r="DT779" s="59"/>
      <c r="DU779" s="59"/>
      <c r="DV779" s="59"/>
      <c r="DW779" s="59"/>
      <c r="DX779" s="59"/>
      <c r="DY779" s="59"/>
      <c r="DZ779" s="59"/>
      <c r="EA779" s="59"/>
      <c r="EB779" s="59"/>
      <c r="EC779" s="59"/>
      <c r="ED779" s="59"/>
      <c r="EE779" s="59"/>
      <c r="EF779" s="59"/>
      <c r="EG779" s="59"/>
      <c r="EH779" s="59"/>
      <c r="EI779" s="59"/>
      <c r="EJ779" s="59"/>
      <c r="EK779" s="59"/>
      <c r="EL779" s="59"/>
      <c r="EM779" s="59"/>
      <c r="EN779" s="59"/>
      <c r="EO779" s="59"/>
      <c r="EP779" s="59"/>
      <c r="EQ779" s="59"/>
      <c r="ER779" s="59"/>
      <c r="ES779" s="59"/>
      <c r="ET779" s="59"/>
      <c r="EU779" s="59"/>
      <c r="EV779" s="59"/>
      <c r="EW779" s="59"/>
      <c r="EX779" s="59"/>
      <c r="EY779" s="59"/>
      <c r="EZ779" s="59"/>
      <c r="FA779" s="59"/>
      <c r="FB779" s="59"/>
      <c r="FC779" s="59"/>
      <c r="FD779" s="59"/>
      <c r="FE779" s="59"/>
      <c r="FF779" s="59"/>
      <c r="FG779" s="59"/>
      <c r="FH779" s="59"/>
      <c r="FI779" s="59"/>
      <c r="FJ779" s="59"/>
      <c r="FK779" s="59"/>
      <c r="FL779" s="59"/>
      <c r="FM779" s="59"/>
      <c r="FN779" s="59"/>
      <c r="FO779" s="59"/>
      <c r="FP779" s="59"/>
      <c r="FQ779" s="59"/>
      <c r="FR779" s="59"/>
      <c r="FS779" s="59"/>
      <c r="FT779" s="59"/>
      <c r="FU779" s="59"/>
      <c r="FV779" s="59"/>
      <c r="FW779" s="59"/>
      <c r="FX779" s="59"/>
      <c r="FY779" s="59"/>
      <c r="FZ779" s="59"/>
      <c r="GA779" s="59"/>
      <c r="GB779" s="59"/>
      <c r="GC779" s="59"/>
      <c r="GD779" s="59"/>
      <c r="GE779" s="59"/>
      <c r="GF779" s="59"/>
      <c r="GG779" s="59"/>
      <c r="GH779" s="59"/>
      <c r="GI779" s="59"/>
      <c r="GJ779" s="59"/>
      <c r="GK779" s="59"/>
      <c r="GL779" s="59"/>
      <c r="GM779" s="59"/>
      <c r="GN779" s="59"/>
      <c r="GO779" s="59"/>
      <c r="GP779" s="59"/>
      <c r="GQ779" s="59"/>
      <c r="GR779" s="59"/>
      <c r="GS779" s="59"/>
      <c r="GT779" s="59"/>
      <c r="GU779" s="59"/>
      <c r="GV779" s="59"/>
      <c r="GW779" s="59"/>
      <c r="GX779" s="59"/>
      <c r="GY779" s="59"/>
      <c r="GZ779" s="59"/>
      <c r="HA779" s="59"/>
      <c r="HB779" s="59"/>
      <c r="HC779" s="59"/>
      <c r="HD779" s="59"/>
      <c r="HE779" s="59"/>
      <c r="HF779" s="59"/>
      <c r="HG779" s="59"/>
      <c r="HH779" s="59"/>
      <c r="HI779" s="59"/>
      <c r="HJ779" s="59"/>
      <c r="HK779" s="59"/>
      <c r="HL779" s="59"/>
      <c r="HM779" s="59"/>
      <c r="HN779" s="59"/>
      <c r="HO779" s="59"/>
      <c r="HP779" s="59"/>
      <c r="HQ779" s="59"/>
      <c r="HR779" s="59"/>
      <c r="HS779" s="59"/>
      <c r="HT779" s="59"/>
      <c r="HU779" s="59"/>
      <c r="HV779" s="59"/>
      <c r="HW779" s="59"/>
      <c r="HX779" s="59"/>
      <c r="HY779" s="59"/>
      <c r="HZ779" s="59"/>
      <c r="IA779" s="59"/>
      <c r="IB779" s="59"/>
      <c r="IC779" s="59"/>
      <c r="ID779" s="59"/>
      <c r="IE779" s="59"/>
      <c r="IF779" s="59"/>
      <c r="IG779" s="59"/>
      <c r="IH779" s="59"/>
      <c r="II779" s="59"/>
      <c r="IJ779" s="59"/>
      <c r="IK779" s="59"/>
      <c r="IL779" s="59"/>
      <c r="IM779" s="59"/>
      <c r="IN779" s="59"/>
      <c r="IO779" s="59"/>
      <c r="IP779" s="59"/>
      <c r="IQ779" s="59"/>
      <c r="IR779" s="59"/>
      <c r="IS779" s="59"/>
      <c r="IT779" s="59"/>
      <c r="IU779" s="59"/>
      <c r="IV779" s="59"/>
    </row>
    <row r="780" spans="1:256" ht="14.25" customHeight="1">
      <c r="A780" s="1829" t="s">
        <v>221</v>
      </c>
      <c r="B780" s="1828"/>
      <c r="C780" s="63" t="s">
        <v>222</v>
      </c>
      <c r="D780" s="63" t="s">
        <v>223</v>
      </c>
      <c r="E780" s="63" t="s">
        <v>224</v>
      </c>
      <c r="F780" s="63" t="s">
        <v>225</v>
      </c>
      <c r="G780" s="63" t="s">
        <v>226</v>
      </c>
      <c r="H780" s="59"/>
      <c r="I780" s="60"/>
      <c r="J780" s="60"/>
      <c r="K780" s="61"/>
      <c r="L780" s="59"/>
      <c r="M780" s="59"/>
      <c r="N780" s="59"/>
      <c r="O780" s="59"/>
      <c r="P780" s="59"/>
      <c r="Q780" s="59"/>
      <c r="R780" s="59"/>
      <c r="S780" s="59"/>
      <c r="T780" s="59"/>
      <c r="U780" s="59"/>
      <c r="V780" s="59"/>
      <c r="W780" s="59"/>
      <c r="X780" s="59"/>
      <c r="Y780" s="59"/>
      <c r="Z780" s="59"/>
      <c r="AA780" s="59"/>
      <c r="AB780" s="59"/>
      <c r="AC780" s="59"/>
      <c r="AD780" s="59"/>
      <c r="AE780" s="59"/>
      <c r="AF780" s="59"/>
      <c r="AG780" s="59"/>
      <c r="AH780" s="59"/>
      <c r="AI780" s="59"/>
      <c r="AJ780" s="59"/>
      <c r="AK780" s="59"/>
      <c r="AL780" s="59"/>
      <c r="AM780" s="59"/>
      <c r="AN780" s="59"/>
      <c r="AO780" s="59"/>
      <c r="AP780" s="59"/>
      <c r="AQ780" s="59"/>
      <c r="AR780" s="59"/>
      <c r="AS780" s="59"/>
      <c r="AT780" s="59"/>
      <c r="AU780" s="59"/>
      <c r="AV780" s="59"/>
      <c r="AW780" s="59"/>
      <c r="AX780" s="59"/>
      <c r="AY780" s="59"/>
      <c r="AZ780" s="59"/>
      <c r="BA780" s="59"/>
      <c r="BB780" s="59"/>
      <c r="BC780" s="59"/>
      <c r="BD780" s="59"/>
      <c r="BE780" s="59"/>
      <c r="BF780" s="59"/>
      <c r="BG780" s="59"/>
      <c r="BH780" s="59"/>
      <c r="BI780" s="59"/>
      <c r="BJ780" s="59"/>
      <c r="BK780" s="59"/>
      <c r="BL780" s="59"/>
      <c r="BM780" s="59"/>
      <c r="BN780" s="59"/>
      <c r="BO780" s="59"/>
      <c r="BP780" s="59"/>
      <c r="BQ780" s="59"/>
      <c r="BR780" s="59"/>
      <c r="BS780" s="59"/>
      <c r="BT780" s="59"/>
      <c r="BU780" s="59"/>
      <c r="BV780" s="59"/>
      <c r="BW780" s="59"/>
      <c r="BX780" s="59"/>
      <c r="BY780" s="59"/>
      <c r="BZ780" s="59"/>
      <c r="CA780" s="59"/>
      <c r="CB780" s="59"/>
      <c r="CC780" s="59"/>
      <c r="CD780" s="59"/>
      <c r="CE780" s="59"/>
      <c r="CF780" s="59"/>
      <c r="CG780" s="59"/>
      <c r="CH780" s="59"/>
      <c r="CI780" s="59"/>
      <c r="CJ780" s="59"/>
      <c r="CK780" s="59"/>
      <c r="CL780" s="59"/>
      <c r="CM780" s="59"/>
      <c r="CN780" s="59"/>
      <c r="CO780" s="59"/>
      <c r="CP780" s="59"/>
      <c r="CQ780" s="59"/>
      <c r="CR780" s="59"/>
      <c r="CS780" s="59"/>
      <c r="CT780" s="59"/>
      <c r="CU780" s="59"/>
      <c r="CV780" s="59"/>
      <c r="CW780" s="59"/>
      <c r="CX780" s="59"/>
      <c r="CY780" s="59"/>
      <c r="CZ780" s="59"/>
      <c r="DA780" s="59"/>
      <c r="DB780" s="59"/>
      <c r="DC780" s="59"/>
      <c r="DD780" s="59"/>
      <c r="DE780" s="59"/>
      <c r="DF780" s="59"/>
      <c r="DG780" s="59"/>
      <c r="DH780" s="59"/>
      <c r="DI780" s="59"/>
      <c r="DJ780" s="59"/>
      <c r="DK780" s="59"/>
      <c r="DL780" s="59"/>
      <c r="DM780" s="59"/>
      <c r="DN780" s="59"/>
      <c r="DO780" s="59"/>
      <c r="DP780" s="59"/>
      <c r="DQ780" s="59"/>
      <c r="DR780" s="59"/>
      <c r="DS780" s="59"/>
      <c r="DT780" s="59"/>
      <c r="DU780" s="59"/>
      <c r="DV780" s="59"/>
      <c r="DW780" s="59"/>
      <c r="DX780" s="59"/>
      <c r="DY780" s="59"/>
      <c r="DZ780" s="59"/>
      <c r="EA780" s="59"/>
      <c r="EB780" s="59"/>
      <c r="EC780" s="59"/>
      <c r="ED780" s="59"/>
      <c r="EE780" s="59"/>
      <c r="EF780" s="59"/>
      <c r="EG780" s="59"/>
      <c r="EH780" s="59"/>
      <c r="EI780" s="59"/>
      <c r="EJ780" s="59"/>
      <c r="EK780" s="59"/>
      <c r="EL780" s="59"/>
      <c r="EM780" s="59"/>
      <c r="EN780" s="59"/>
      <c r="EO780" s="59"/>
      <c r="EP780" s="59"/>
      <c r="EQ780" s="59"/>
      <c r="ER780" s="59"/>
      <c r="ES780" s="59"/>
      <c r="ET780" s="59"/>
      <c r="EU780" s="59"/>
      <c r="EV780" s="59"/>
      <c r="EW780" s="59"/>
      <c r="EX780" s="59"/>
      <c r="EY780" s="59"/>
      <c r="EZ780" s="59"/>
      <c r="FA780" s="59"/>
      <c r="FB780" s="59"/>
      <c r="FC780" s="59"/>
      <c r="FD780" s="59"/>
      <c r="FE780" s="59"/>
      <c r="FF780" s="59"/>
      <c r="FG780" s="59"/>
      <c r="FH780" s="59"/>
      <c r="FI780" s="59"/>
      <c r="FJ780" s="59"/>
      <c r="FK780" s="59"/>
      <c r="FL780" s="59"/>
      <c r="FM780" s="59"/>
      <c r="FN780" s="59"/>
      <c r="FO780" s="59"/>
      <c r="FP780" s="59"/>
      <c r="FQ780" s="59"/>
      <c r="FR780" s="59"/>
      <c r="FS780" s="59"/>
      <c r="FT780" s="59"/>
      <c r="FU780" s="59"/>
      <c r="FV780" s="59"/>
      <c r="FW780" s="59"/>
      <c r="FX780" s="59"/>
      <c r="FY780" s="59"/>
      <c r="FZ780" s="59"/>
      <c r="GA780" s="59"/>
      <c r="GB780" s="59"/>
      <c r="GC780" s="59"/>
      <c r="GD780" s="59"/>
      <c r="GE780" s="59"/>
      <c r="GF780" s="59"/>
      <c r="GG780" s="59"/>
      <c r="GH780" s="59"/>
      <c r="GI780" s="59"/>
      <c r="GJ780" s="59"/>
      <c r="GK780" s="59"/>
      <c r="GL780" s="59"/>
      <c r="GM780" s="59"/>
      <c r="GN780" s="59"/>
      <c r="GO780" s="59"/>
      <c r="GP780" s="59"/>
      <c r="GQ780" s="59"/>
      <c r="GR780" s="59"/>
      <c r="GS780" s="59"/>
      <c r="GT780" s="59"/>
      <c r="GU780" s="59"/>
      <c r="GV780" s="59"/>
      <c r="GW780" s="59"/>
      <c r="GX780" s="59"/>
      <c r="GY780" s="59"/>
      <c r="GZ780" s="59"/>
      <c r="HA780" s="59"/>
      <c r="HB780" s="59"/>
      <c r="HC780" s="59"/>
      <c r="HD780" s="59"/>
      <c r="HE780" s="59"/>
      <c r="HF780" s="59"/>
      <c r="HG780" s="59"/>
      <c r="HH780" s="59"/>
      <c r="HI780" s="59"/>
      <c r="HJ780" s="59"/>
      <c r="HK780" s="59"/>
      <c r="HL780" s="59"/>
      <c r="HM780" s="59"/>
      <c r="HN780" s="59"/>
      <c r="HO780" s="59"/>
      <c r="HP780" s="59"/>
      <c r="HQ780" s="59"/>
      <c r="HR780" s="59"/>
      <c r="HS780" s="59"/>
      <c r="HT780" s="59"/>
      <c r="HU780" s="59"/>
      <c r="HV780" s="59"/>
      <c r="HW780" s="59"/>
      <c r="HX780" s="59"/>
      <c r="HY780" s="59"/>
      <c r="HZ780" s="59"/>
      <c r="IA780" s="59"/>
      <c r="IB780" s="59"/>
      <c r="IC780" s="59"/>
      <c r="ID780" s="59"/>
      <c r="IE780" s="59"/>
      <c r="IF780" s="59"/>
      <c r="IG780" s="59"/>
      <c r="IH780" s="59"/>
      <c r="II780" s="59"/>
      <c r="IJ780" s="59"/>
      <c r="IK780" s="59"/>
      <c r="IL780" s="59"/>
      <c r="IM780" s="59"/>
      <c r="IN780" s="59"/>
      <c r="IO780" s="59"/>
      <c r="IP780" s="59"/>
      <c r="IQ780" s="59"/>
      <c r="IR780" s="59"/>
      <c r="IS780" s="59"/>
      <c r="IT780" s="59"/>
      <c r="IU780" s="59"/>
      <c r="IV780" s="59"/>
    </row>
    <row r="781" spans="1:256" ht="14.25" customHeight="1">
      <c r="A781" s="1827" t="s">
        <v>810</v>
      </c>
      <c r="B781" s="1828"/>
      <c r="C781" s="64">
        <f>+C663</f>
        <v>60.02</v>
      </c>
      <c r="D781" s="64">
        <v>1.98</v>
      </c>
      <c r="E781" s="64"/>
      <c r="F781" s="64"/>
      <c r="G781" s="64">
        <f>+D781*C781</f>
        <v>118.8396</v>
      </c>
      <c r="H781" s="59"/>
      <c r="I781" s="60"/>
      <c r="J781" s="60"/>
      <c r="K781" s="61"/>
      <c r="L781" s="59"/>
      <c r="M781" s="59"/>
      <c r="N781" s="59"/>
      <c r="O781" s="59"/>
      <c r="P781" s="59"/>
      <c r="Q781" s="59"/>
      <c r="R781" s="59"/>
      <c r="S781" s="59"/>
      <c r="T781" s="59"/>
      <c r="U781" s="59"/>
      <c r="V781" s="59"/>
      <c r="W781" s="59"/>
      <c r="X781" s="59"/>
      <c r="Y781" s="59"/>
      <c r="Z781" s="59"/>
      <c r="AA781" s="59"/>
      <c r="AB781" s="59"/>
      <c r="AC781" s="59"/>
      <c r="AD781" s="59"/>
      <c r="AE781" s="59"/>
      <c r="AF781" s="59"/>
      <c r="AG781" s="59"/>
      <c r="AH781" s="59"/>
      <c r="AI781" s="59"/>
      <c r="AJ781" s="59"/>
      <c r="AK781" s="59"/>
      <c r="AL781" s="59"/>
      <c r="AM781" s="59"/>
      <c r="AN781" s="59"/>
      <c r="AO781" s="59"/>
      <c r="AP781" s="59"/>
      <c r="AQ781" s="59"/>
      <c r="AR781" s="59"/>
      <c r="AS781" s="59"/>
      <c r="AT781" s="59"/>
      <c r="AU781" s="59"/>
      <c r="AV781" s="59"/>
      <c r="AW781" s="59"/>
      <c r="AX781" s="59"/>
      <c r="AY781" s="59"/>
      <c r="AZ781" s="59"/>
      <c r="BA781" s="59"/>
      <c r="BB781" s="59"/>
      <c r="BC781" s="59"/>
      <c r="BD781" s="59"/>
      <c r="BE781" s="59"/>
      <c r="BF781" s="59"/>
      <c r="BG781" s="59"/>
      <c r="BH781" s="59"/>
      <c r="BI781" s="59"/>
      <c r="BJ781" s="59"/>
      <c r="BK781" s="59"/>
      <c r="BL781" s="59"/>
      <c r="BM781" s="59"/>
      <c r="BN781" s="59"/>
      <c r="BO781" s="59"/>
      <c r="BP781" s="59"/>
      <c r="BQ781" s="59"/>
      <c r="BR781" s="59"/>
      <c r="BS781" s="59"/>
      <c r="BT781" s="59"/>
      <c r="BU781" s="59"/>
      <c r="BV781" s="59"/>
      <c r="BW781" s="59"/>
      <c r="BX781" s="59"/>
      <c r="BY781" s="59"/>
      <c r="BZ781" s="59"/>
      <c r="CA781" s="59"/>
      <c r="CB781" s="59"/>
      <c r="CC781" s="59"/>
      <c r="CD781" s="59"/>
      <c r="CE781" s="59"/>
      <c r="CF781" s="59"/>
      <c r="CG781" s="59"/>
      <c r="CH781" s="59"/>
      <c r="CI781" s="59"/>
      <c r="CJ781" s="59"/>
      <c r="CK781" s="59"/>
      <c r="CL781" s="59"/>
      <c r="CM781" s="59"/>
      <c r="CN781" s="59"/>
      <c r="CO781" s="59"/>
      <c r="CP781" s="59"/>
      <c r="CQ781" s="59"/>
      <c r="CR781" s="59"/>
      <c r="CS781" s="59"/>
      <c r="CT781" s="59"/>
      <c r="CU781" s="59"/>
      <c r="CV781" s="59"/>
      <c r="CW781" s="59"/>
      <c r="CX781" s="59"/>
      <c r="CY781" s="59"/>
      <c r="CZ781" s="59"/>
      <c r="DA781" s="59"/>
      <c r="DB781" s="59"/>
      <c r="DC781" s="59"/>
      <c r="DD781" s="59"/>
      <c r="DE781" s="59"/>
      <c r="DF781" s="59"/>
      <c r="DG781" s="59"/>
      <c r="DH781" s="59"/>
      <c r="DI781" s="59"/>
      <c r="DJ781" s="59"/>
      <c r="DK781" s="59"/>
      <c r="DL781" s="59"/>
      <c r="DM781" s="59"/>
      <c r="DN781" s="59"/>
      <c r="DO781" s="59"/>
      <c r="DP781" s="59"/>
      <c r="DQ781" s="59"/>
      <c r="DR781" s="59"/>
      <c r="DS781" s="59"/>
      <c r="DT781" s="59"/>
      <c r="DU781" s="59"/>
      <c r="DV781" s="59"/>
      <c r="DW781" s="59"/>
      <c r="DX781" s="59"/>
      <c r="DY781" s="59"/>
      <c r="DZ781" s="59"/>
      <c r="EA781" s="59"/>
      <c r="EB781" s="59"/>
      <c r="EC781" s="59"/>
      <c r="ED781" s="59"/>
      <c r="EE781" s="59"/>
      <c r="EF781" s="59"/>
      <c r="EG781" s="59"/>
      <c r="EH781" s="59"/>
      <c r="EI781" s="59"/>
      <c r="EJ781" s="59"/>
      <c r="EK781" s="59"/>
      <c r="EL781" s="59"/>
      <c r="EM781" s="59"/>
      <c r="EN781" s="59"/>
      <c r="EO781" s="59"/>
      <c r="EP781" s="59"/>
      <c r="EQ781" s="59"/>
      <c r="ER781" s="59"/>
      <c r="ES781" s="59"/>
      <c r="ET781" s="59"/>
      <c r="EU781" s="59"/>
      <c r="EV781" s="59"/>
      <c r="EW781" s="59"/>
      <c r="EX781" s="59"/>
      <c r="EY781" s="59"/>
      <c r="EZ781" s="59"/>
      <c r="FA781" s="59"/>
      <c r="FB781" s="59"/>
      <c r="FC781" s="59"/>
      <c r="FD781" s="59"/>
      <c r="FE781" s="59"/>
      <c r="FF781" s="59"/>
      <c r="FG781" s="59"/>
      <c r="FH781" s="59"/>
      <c r="FI781" s="59"/>
      <c r="FJ781" s="59"/>
      <c r="FK781" s="59"/>
      <c r="FL781" s="59"/>
      <c r="FM781" s="59"/>
      <c r="FN781" s="59"/>
      <c r="FO781" s="59"/>
      <c r="FP781" s="59"/>
      <c r="FQ781" s="59"/>
      <c r="FR781" s="59"/>
      <c r="FS781" s="59"/>
      <c r="FT781" s="59"/>
      <c r="FU781" s="59"/>
      <c r="FV781" s="59"/>
      <c r="FW781" s="59"/>
      <c r="FX781" s="59"/>
      <c r="FY781" s="59"/>
      <c r="FZ781" s="59"/>
      <c r="GA781" s="59"/>
      <c r="GB781" s="59"/>
      <c r="GC781" s="59"/>
      <c r="GD781" s="59"/>
      <c r="GE781" s="59"/>
      <c r="GF781" s="59"/>
      <c r="GG781" s="59"/>
      <c r="GH781" s="59"/>
      <c r="GI781" s="59"/>
      <c r="GJ781" s="59"/>
      <c r="GK781" s="59"/>
      <c r="GL781" s="59"/>
      <c r="GM781" s="59"/>
      <c r="GN781" s="59"/>
      <c r="GO781" s="59"/>
      <c r="GP781" s="59"/>
      <c r="GQ781" s="59"/>
      <c r="GR781" s="59"/>
      <c r="GS781" s="59"/>
      <c r="GT781" s="59"/>
      <c r="GU781" s="59"/>
      <c r="GV781" s="59"/>
      <c r="GW781" s="59"/>
      <c r="GX781" s="59"/>
      <c r="GY781" s="59"/>
      <c r="GZ781" s="59"/>
      <c r="HA781" s="59"/>
      <c r="HB781" s="59"/>
      <c r="HC781" s="59"/>
      <c r="HD781" s="59"/>
      <c r="HE781" s="59"/>
      <c r="HF781" s="59"/>
      <c r="HG781" s="59"/>
      <c r="HH781" s="59"/>
      <c r="HI781" s="59"/>
      <c r="HJ781" s="59"/>
      <c r="HK781" s="59"/>
      <c r="HL781" s="59"/>
      <c r="HM781" s="59"/>
      <c r="HN781" s="59"/>
      <c r="HO781" s="59"/>
      <c r="HP781" s="59"/>
      <c r="HQ781" s="59"/>
      <c r="HR781" s="59"/>
      <c r="HS781" s="59"/>
      <c r="HT781" s="59"/>
      <c r="HU781" s="59"/>
      <c r="HV781" s="59"/>
      <c r="HW781" s="59"/>
      <c r="HX781" s="59"/>
      <c r="HY781" s="59"/>
      <c r="HZ781" s="59"/>
      <c r="IA781" s="59"/>
      <c r="IB781" s="59"/>
      <c r="IC781" s="59"/>
      <c r="ID781" s="59"/>
      <c r="IE781" s="59"/>
      <c r="IF781" s="59"/>
      <c r="IG781" s="59"/>
      <c r="IH781" s="59"/>
      <c r="II781" s="59"/>
      <c r="IJ781" s="59"/>
      <c r="IK781" s="59"/>
      <c r="IL781" s="59"/>
      <c r="IM781" s="59"/>
      <c r="IN781" s="59"/>
      <c r="IO781" s="59"/>
      <c r="IP781" s="59"/>
      <c r="IQ781" s="59"/>
      <c r="IR781" s="59"/>
      <c r="IS781" s="59"/>
      <c r="IT781" s="59"/>
      <c r="IU781" s="59"/>
      <c r="IV781" s="59"/>
    </row>
    <row r="782" spans="1:256" ht="14.25" customHeight="1">
      <c r="A782" s="1827"/>
      <c r="B782" s="1828"/>
      <c r="C782" s="64"/>
      <c r="D782" s="64"/>
      <c r="E782" s="64"/>
      <c r="F782" s="64"/>
      <c r="G782" s="64"/>
      <c r="H782" s="59"/>
      <c r="I782" s="60"/>
      <c r="J782" s="60"/>
      <c r="K782" s="61"/>
      <c r="L782" s="59"/>
      <c r="M782" s="59"/>
      <c r="N782" s="59"/>
      <c r="O782" s="59"/>
      <c r="P782" s="59"/>
      <c r="Q782" s="59"/>
      <c r="R782" s="59"/>
      <c r="S782" s="59"/>
      <c r="T782" s="59"/>
      <c r="U782" s="59"/>
      <c r="V782" s="59"/>
      <c r="W782" s="59"/>
      <c r="X782" s="59"/>
      <c r="Y782" s="59"/>
      <c r="Z782" s="59"/>
      <c r="AA782" s="59"/>
      <c r="AB782" s="59"/>
      <c r="AC782" s="59"/>
      <c r="AD782" s="59"/>
      <c r="AE782" s="59"/>
      <c r="AF782" s="59"/>
      <c r="AG782" s="59"/>
      <c r="AH782" s="59"/>
      <c r="AI782" s="59"/>
      <c r="AJ782" s="59"/>
      <c r="AK782" s="59"/>
      <c r="AL782" s="59"/>
      <c r="AM782" s="59"/>
      <c r="AN782" s="59"/>
      <c r="AO782" s="59"/>
      <c r="AP782" s="59"/>
      <c r="AQ782" s="59"/>
      <c r="AR782" s="59"/>
      <c r="AS782" s="59"/>
      <c r="AT782" s="59"/>
      <c r="AU782" s="59"/>
      <c r="AV782" s="59"/>
      <c r="AW782" s="59"/>
      <c r="AX782" s="59"/>
      <c r="AY782" s="59"/>
      <c r="AZ782" s="59"/>
      <c r="BA782" s="59"/>
      <c r="BB782" s="59"/>
      <c r="BC782" s="59"/>
      <c r="BD782" s="59"/>
      <c r="BE782" s="59"/>
      <c r="BF782" s="59"/>
      <c r="BG782" s="59"/>
      <c r="BH782" s="59"/>
      <c r="BI782" s="59"/>
      <c r="BJ782" s="59"/>
      <c r="BK782" s="59"/>
      <c r="BL782" s="59"/>
      <c r="BM782" s="59"/>
      <c r="BN782" s="59"/>
      <c r="BO782" s="59"/>
      <c r="BP782" s="59"/>
      <c r="BQ782" s="59"/>
      <c r="BR782" s="59"/>
      <c r="BS782" s="59"/>
      <c r="BT782" s="59"/>
      <c r="BU782" s="59"/>
      <c r="BV782" s="59"/>
      <c r="BW782" s="59"/>
      <c r="BX782" s="59"/>
      <c r="BY782" s="59"/>
      <c r="BZ782" s="59"/>
      <c r="CA782" s="59"/>
      <c r="CB782" s="59"/>
      <c r="CC782" s="59"/>
      <c r="CD782" s="59"/>
      <c r="CE782" s="59"/>
      <c r="CF782" s="59"/>
      <c r="CG782" s="59"/>
      <c r="CH782" s="59"/>
      <c r="CI782" s="59"/>
      <c r="CJ782" s="59"/>
      <c r="CK782" s="59"/>
      <c r="CL782" s="59"/>
      <c r="CM782" s="59"/>
      <c r="CN782" s="59"/>
      <c r="CO782" s="59"/>
      <c r="CP782" s="59"/>
      <c r="CQ782" s="59"/>
      <c r="CR782" s="59"/>
      <c r="CS782" s="59"/>
      <c r="CT782" s="59"/>
      <c r="CU782" s="59"/>
      <c r="CV782" s="59"/>
      <c r="CW782" s="59"/>
      <c r="CX782" s="59"/>
      <c r="CY782" s="59"/>
      <c r="CZ782" s="59"/>
      <c r="DA782" s="59"/>
      <c r="DB782" s="59"/>
      <c r="DC782" s="59"/>
      <c r="DD782" s="59"/>
      <c r="DE782" s="59"/>
      <c r="DF782" s="59"/>
      <c r="DG782" s="59"/>
      <c r="DH782" s="59"/>
      <c r="DI782" s="59"/>
      <c r="DJ782" s="59"/>
      <c r="DK782" s="59"/>
      <c r="DL782" s="59"/>
      <c r="DM782" s="59"/>
      <c r="DN782" s="59"/>
      <c r="DO782" s="59"/>
      <c r="DP782" s="59"/>
      <c r="DQ782" s="59"/>
      <c r="DR782" s="59"/>
      <c r="DS782" s="59"/>
      <c r="DT782" s="59"/>
      <c r="DU782" s="59"/>
      <c r="DV782" s="59"/>
      <c r="DW782" s="59"/>
      <c r="DX782" s="59"/>
      <c r="DY782" s="59"/>
      <c r="DZ782" s="59"/>
      <c r="EA782" s="59"/>
      <c r="EB782" s="59"/>
      <c r="EC782" s="59"/>
      <c r="ED782" s="59"/>
      <c r="EE782" s="59"/>
      <c r="EF782" s="59"/>
      <c r="EG782" s="59"/>
      <c r="EH782" s="59"/>
      <c r="EI782" s="59"/>
      <c r="EJ782" s="59"/>
      <c r="EK782" s="59"/>
      <c r="EL782" s="59"/>
      <c r="EM782" s="59"/>
      <c r="EN782" s="59"/>
      <c r="EO782" s="59"/>
      <c r="EP782" s="59"/>
      <c r="EQ782" s="59"/>
      <c r="ER782" s="59"/>
      <c r="ES782" s="59"/>
      <c r="ET782" s="59"/>
      <c r="EU782" s="59"/>
      <c r="EV782" s="59"/>
      <c r="EW782" s="59"/>
      <c r="EX782" s="59"/>
      <c r="EY782" s="59"/>
      <c r="EZ782" s="59"/>
      <c r="FA782" s="59"/>
      <c r="FB782" s="59"/>
      <c r="FC782" s="59"/>
      <c r="FD782" s="59"/>
      <c r="FE782" s="59"/>
      <c r="FF782" s="59"/>
      <c r="FG782" s="59"/>
      <c r="FH782" s="59"/>
      <c r="FI782" s="59"/>
      <c r="FJ782" s="59"/>
      <c r="FK782" s="59"/>
      <c r="FL782" s="59"/>
      <c r="FM782" s="59"/>
      <c r="FN782" s="59"/>
      <c r="FO782" s="59"/>
      <c r="FP782" s="59"/>
      <c r="FQ782" s="59"/>
      <c r="FR782" s="59"/>
      <c r="FS782" s="59"/>
      <c r="FT782" s="59"/>
      <c r="FU782" s="59"/>
      <c r="FV782" s="59"/>
      <c r="FW782" s="59"/>
      <c r="FX782" s="59"/>
      <c r="FY782" s="59"/>
      <c r="FZ782" s="59"/>
      <c r="GA782" s="59"/>
      <c r="GB782" s="59"/>
      <c r="GC782" s="59"/>
      <c r="GD782" s="59"/>
      <c r="GE782" s="59"/>
      <c r="GF782" s="59"/>
      <c r="GG782" s="59"/>
      <c r="GH782" s="59"/>
      <c r="GI782" s="59"/>
      <c r="GJ782" s="59"/>
      <c r="GK782" s="59"/>
      <c r="GL782" s="59"/>
      <c r="GM782" s="59"/>
      <c r="GN782" s="59"/>
      <c r="GO782" s="59"/>
      <c r="GP782" s="59"/>
      <c r="GQ782" s="59"/>
      <c r="GR782" s="59"/>
      <c r="GS782" s="59"/>
      <c r="GT782" s="59"/>
      <c r="GU782" s="59"/>
      <c r="GV782" s="59"/>
      <c r="GW782" s="59"/>
      <c r="GX782" s="59"/>
      <c r="GY782" s="59"/>
      <c r="GZ782" s="59"/>
      <c r="HA782" s="59"/>
      <c r="HB782" s="59"/>
      <c r="HC782" s="59"/>
      <c r="HD782" s="59"/>
      <c r="HE782" s="59"/>
      <c r="HF782" s="59"/>
      <c r="HG782" s="59"/>
      <c r="HH782" s="59"/>
      <c r="HI782" s="59"/>
      <c r="HJ782" s="59"/>
      <c r="HK782" s="59"/>
      <c r="HL782" s="59"/>
      <c r="HM782" s="59"/>
      <c r="HN782" s="59"/>
      <c r="HO782" s="59"/>
      <c r="HP782" s="59"/>
      <c r="HQ782" s="59"/>
      <c r="HR782" s="59"/>
      <c r="HS782" s="59"/>
      <c r="HT782" s="59"/>
      <c r="HU782" s="59"/>
      <c r="HV782" s="59"/>
      <c r="HW782" s="59"/>
      <c r="HX782" s="59"/>
      <c r="HY782" s="59"/>
      <c r="HZ782" s="59"/>
      <c r="IA782" s="59"/>
      <c r="IB782" s="59"/>
      <c r="IC782" s="59"/>
      <c r="ID782" s="59"/>
      <c r="IE782" s="59"/>
      <c r="IF782" s="59"/>
      <c r="IG782" s="59"/>
      <c r="IH782" s="59"/>
      <c r="II782" s="59"/>
      <c r="IJ782" s="59"/>
      <c r="IK782" s="59"/>
      <c r="IL782" s="59"/>
      <c r="IM782" s="59"/>
      <c r="IN782" s="59"/>
      <c r="IO782" s="59"/>
      <c r="IP782" s="59"/>
      <c r="IQ782" s="59"/>
      <c r="IR782" s="59"/>
      <c r="IS782" s="59"/>
      <c r="IT782" s="59"/>
      <c r="IU782" s="59"/>
      <c r="IV782" s="59"/>
    </row>
    <row r="783" spans="1:256" ht="14.25" customHeight="1">
      <c r="A783" s="1829" t="s">
        <v>227</v>
      </c>
      <c r="B783" s="1830"/>
      <c r="C783" s="1830"/>
      <c r="D783" s="1830"/>
      <c r="E783" s="1830"/>
      <c r="F783" s="1828"/>
      <c r="G783" s="65">
        <f>SUM(G781:G782)</f>
        <v>118.8396</v>
      </c>
      <c r="H783" s="59"/>
      <c r="I783" s="60"/>
      <c r="J783" s="60"/>
      <c r="K783" s="61"/>
      <c r="L783" s="59"/>
      <c r="M783" s="59"/>
      <c r="N783" s="59"/>
      <c r="O783" s="59"/>
      <c r="P783" s="59"/>
      <c r="Q783" s="59"/>
      <c r="R783" s="59"/>
      <c r="S783" s="59"/>
      <c r="T783" s="59"/>
      <c r="U783" s="59"/>
      <c r="V783" s="59"/>
      <c r="W783" s="59"/>
      <c r="X783" s="59"/>
      <c r="Y783" s="59"/>
      <c r="Z783" s="59"/>
      <c r="AA783" s="59"/>
      <c r="AB783" s="59"/>
      <c r="AC783" s="59"/>
      <c r="AD783" s="59"/>
      <c r="AE783" s="59"/>
      <c r="AF783" s="59"/>
      <c r="AG783" s="59"/>
      <c r="AH783" s="59"/>
      <c r="AI783" s="59"/>
      <c r="AJ783" s="59"/>
      <c r="AK783" s="59"/>
      <c r="AL783" s="59"/>
      <c r="AM783" s="59"/>
      <c r="AN783" s="59"/>
      <c r="AO783" s="59"/>
      <c r="AP783" s="59"/>
      <c r="AQ783" s="59"/>
      <c r="AR783" s="59"/>
      <c r="AS783" s="59"/>
      <c r="AT783" s="59"/>
      <c r="AU783" s="59"/>
      <c r="AV783" s="59"/>
      <c r="AW783" s="59"/>
      <c r="AX783" s="59"/>
      <c r="AY783" s="59"/>
      <c r="AZ783" s="59"/>
      <c r="BA783" s="59"/>
      <c r="BB783" s="59"/>
      <c r="BC783" s="59"/>
      <c r="BD783" s="59"/>
      <c r="BE783" s="59"/>
      <c r="BF783" s="59"/>
      <c r="BG783" s="59"/>
      <c r="BH783" s="59"/>
      <c r="BI783" s="59"/>
      <c r="BJ783" s="59"/>
      <c r="BK783" s="59"/>
      <c r="BL783" s="59"/>
      <c r="BM783" s="59"/>
      <c r="BN783" s="59"/>
      <c r="BO783" s="59"/>
      <c r="BP783" s="59"/>
      <c r="BQ783" s="59"/>
      <c r="BR783" s="59"/>
      <c r="BS783" s="59"/>
      <c r="BT783" s="59"/>
      <c r="BU783" s="59"/>
      <c r="BV783" s="59"/>
      <c r="BW783" s="59"/>
      <c r="BX783" s="59"/>
      <c r="BY783" s="59"/>
      <c r="BZ783" s="59"/>
      <c r="CA783" s="59"/>
      <c r="CB783" s="59"/>
      <c r="CC783" s="59"/>
      <c r="CD783" s="59"/>
      <c r="CE783" s="59"/>
      <c r="CF783" s="59"/>
      <c r="CG783" s="59"/>
      <c r="CH783" s="59"/>
      <c r="CI783" s="59"/>
      <c r="CJ783" s="59"/>
      <c r="CK783" s="59"/>
      <c r="CL783" s="59"/>
      <c r="CM783" s="59"/>
      <c r="CN783" s="59"/>
      <c r="CO783" s="59"/>
      <c r="CP783" s="59"/>
      <c r="CQ783" s="59"/>
      <c r="CR783" s="59"/>
      <c r="CS783" s="59"/>
      <c r="CT783" s="59"/>
      <c r="CU783" s="59"/>
      <c r="CV783" s="59"/>
      <c r="CW783" s="59"/>
      <c r="CX783" s="59"/>
      <c r="CY783" s="59"/>
      <c r="CZ783" s="59"/>
      <c r="DA783" s="59"/>
      <c r="DB783" s="59"/>
      <c r="DC783" s="59"/>
      <c r="DD783" s="59"/>
      <c r="DE783" s="59"/>
      <c r="DF783" s="59"/>
      <c r="DG783" s="59"/>
      <c r="DH783" s="59"/>
      <c r="DI783" s="59"/>
      <c r="DJ783" s="59"/>
      <c r="DK783" s="59"/>
      <c r="DL783" s="59"/>
      <c r="DM783" s="59"/>
      <c r="DN783" s="59"/>
      <c r="DO783" s="59"/>
      <c r="DP783" s="59"/>
      <c r="DQ783" s="59"/>
      <c r="DR783" s="59"/>
      <c r="DS783" s="59"/>
      <c r="DT783" s="59"/>
      <c r="DU783" s="59"/>
      <c r="DV783" s="59"/>
      <c r="DW783" s="59"/>
      <c r="DX783" s="59"/>
      <c r="DY783" s="59"/>
      <c r="DZ783" s="59"/>
      <c r="EA783" s="59"/>
      <c r="EB783" s="59"/>
      <c r="EC783" s="59"/>
      <c r="ED783" s="59"/>
      <c r="EE783" s="59"/>
      <c r="EF783" s="59"/>
      <c r="EG783" s="59"/>
      <c r="EH783" s="59"/>
      <c r="EI783" s="59"/>
      <c r="EJ783" s="59"/>
      <c r="EK783" s="59"/>
      <c r="EL783" s="59"/>
      <c r="EM783" s="59"/>
      <c r="EN783" s="59"/>
      <c r="EO783" s="59"/>
      <c r="EP783" s="59"/>
      <c r="EQ783" s="59"/>
      <c r="ER783" s="59"/>
      <c r="ES783" s="59"/>
      <c r="ET783" s="59"/>
      <c r="EU783" s="59"/>
      <c r="EV783" s="59"/>
      <c r="EW783" s="59"/>
      <c r="EX783" s="59"/>
      <c r="EY783" s="59"/>
      <c r="EZ783" s="59"/>
      <c r="FA783" s="59"/>
      <c r="FB783" s="59"/>
      <c r="FC783" s="59"/>
      <c r="FD783" s="59"/>
      <c r="FE783" s="59"/>
      <c r="FF783" s="59"/>
      <c r="FG783" s="59"/>
      <c r="FH783" s="59"/>
      <c r="FI783" s="59"/>
      <c r="FJ783" s="59"/>
      <c r="FK783" s="59"/>
      <c r="FL783" s="59"/>
      <c r="FM783" s="59"/>
      <c r="FN783" s="59"/>
      <c r="FO783" s="59"/>
      <c r="FP783" s="59"/>
      <c r="FQ783" s="59"/>
      <c r="FR783" s="59"/>
      <c r="FS783" s="59"/>
      <c r="FT783" s="59"/>
      <c r="FU783" s="59"/>
      <c r="FV783" s="59"/>
      <c r="FW783" s="59"/>
      <c r="FX783" s="59"/>
      <c r="FY783" s="59"/>
      <c r="FZ783" s="59"/>
      <c r="GA783" s="59"/>
      <c r="GB783" s="59"/>
      <c r="GC783" s="59"/>
      <c r="GD783" s="59"/>
      <c r="GE783" s="59"/>
      <c r="GF783" s="59"/>
      <c r="GG783" s="59"/>
      <c r="GH783" s="59"/>
      <c r="GI783" s="59"/>
      <c r="GJ783" s="59"/>
      <c r="GK783" s="59"/>
      <c r="GL783" s="59"/>
      <c r="GM783" s="59"/>
      <c r="GN783" s="59"/>
      <c r="GO783" s="59"/>
      <c r="GP783" s="59"/>
      <c r="GQ783" s="59"/>
      <c r="GR783" s="59"/>
      <c r="GS783" s="59"/>
      <c r="GT783" s="59"/>
      <c r="GU783" s="59"/>
      <c r="GV783" s="59"/>
      <c r="GW783" s="59"/>
      <c r="GX783" s="59"/>
      <c r="GY783" s="59"/>
      <c r="GZ783" s="59"/>
      <c r="HA783" s="59"/>
      <c r="HB783" s="59"/>
      <c r="HC783" s="59"/>
      <c r="HD783" s="59"/>
      <c r="HE783" s="59"/>
      <c r="HF783" s="59"/>
      <c r="HG783" s="59"/>
      <c r="HH783" s="59"/>
      <c r="HI783" s="59"/>
      <c r="HJ783" s="59"/>
      <c r="HK783" s="59"/>
      <c r="HL783" s="59"/>
      <c r="HM783" s="59"/>
      <c r="HN783" s="59"/>
      <c r="HO783" s="59"/>
      <c r="HP783" s="59"/>
      <c r="HQ783" s="59"/>
      <c r="HR783" s="59"/>
      <c r="HS783" s="59"/>
      <c r="HT783" s="59"/>
      <c r="HU783" s="59"/>
      <c r="HV783" s="59"/>
      <c r="HW783" s="59"/>
      <c r="HX783" s="59"/>
      <c r="HY783" s="59"/>
      <c r="HZ783" s="59"/>
      <c r="IA783" s="59"/>
      <c r="IB783" s="59"/>
      <c r="IC783" s="59"/>
      <c r="ID783" s="59"/>
      <c r="IE783" s="59"/>
      <c r="IF783" s="59"/>
      <c r="IG783" s="59"/>
      <c r="IH783" s="59"/>
      <c r="II783" s="59"/>
      <c r="IJ783" s="59"/>
      <c r="IK783" s="59"/>
      <c r="IL783" s="59"/>
      <c r="IM783" s="59"/>
      <c r="IN783" s="59"/>
      <c r="IO783" s="59"/>
      <c r="IP783" s="59"/>
      <c r="IQ783" s="59"/>
      <c r="IR783" s="59"/>
      <c r="IS783" s="59"/>
      <c r="IT783" s="59"/>
      <c r="IU783" s="59"/>
      <c r="IV783" s="59"/>
    </row>
    <row r="784" spans="1:256" ht="14.25" customHeight="1">
      <c r="A784" s="1831"/>
      <c r="B784" s="1830"/>
      <c r="C784" s="1830"/>
      <c r="D784" s="1830"/>
      <c r="E784" s="1830"/>
      <c r="F784" s="1830"/>
      <c r="G784" s="1828"/>
      <c r="H784" s="59"/>
      <c r="I784" s="60"/>
      <c r="J784" s="60"/>
      <c r="K784" s="61"/>
      <c r="L784" s="59"/>
      <c r="M784" s="59"/>
      <c r="N784" s="59"/>
      <c r="O784" s="59"/>
      <c r="P784" s="59"/>
      <c r="Q784" s="59"/>
      <c r="R784" s="59"/>
      <c r="S784" s="59"/>
      <c r="T784" s="59"/>
      <c r="U784" s="59"/>
      <c r="V784" s="59"/>
      <c r="W784" s="59"/>
      <c r="X784" s="59"/>
      <c r="Y784" s="59"/>
      <c r="Z784" s="59"/>
      <c r="AA784" s="59"/>
      <c r="AB784" s="59"/>
      <c r="AC784" s="59"/>
      <c r="AD784" s="59"/>
      <c r="AE784" s="59"/>
      <c r="AF784" s="59"/>
      <c r="AG784" s="59"/>
      <c r="AH784" s="59"/>
      <c r="AI784" s="59"/>
      <c r="AJ784" s="59"/>
      <c r="AK784" s="59"/>
      <c r="AL784" s="59"/>
      <c r="AM784" s="59"/>
      <c r="AN784" s="59"/>
      <c r="AO784" s="59"/>
      <c r="AP784" s="59"/>
      <c r="AQ784" s="59"/>
      <c r="AR784" s="59"/>
      <c r="AS784" s="59"/>
      <c r="AT784" s="59"/>
      <c r="AU784" s="59"/>
      <c r="AV784" s="59"/>
      <c r="AW784" s="59"/>
      <c r="AX784" s="59"/>
      <c r="AY784" s="59"/>
      <c r="AZ784" s="59"/>
      <c r="BA784" s="59"/>
      <c r="BB784" s="59"/>
      <c r="BC784" s="59"/>
      <c r="BD784" s="59"/>
      <c r="BE784" s="59"/>
      <c r="BF784" s="59"/>
      <c r="BG784" s="59"/>
      <c r="BH784" s="59"/>
      <c r="BI784" s="59"/>
      <c r="BJ784" s="59"/>
      <c r="BK784" s="59"/>
      <c r="BL784" s="59"/>
      <c r="BM784" s="59"/>
      <c r="BN784" s="59"/>
      <c r="BO784" s="59"/>
      <c r="BP784" s="59"/>
      <c r="BQ784" s="59"/>
      <c r="BR784" s="59"/>
      <c r="BS784" s="59"/>
      <c r="BT784" s="59"/>
      <c r="BU784" s="59"/>
      <c r="BV784" s="59"/>
      <c r="BW784" s="59"/>
      <c r="BX784" s="59"/>
      <c r="BY784" s="59"/>
      <c r="BZ784" s="59"/>
      <c r="CA784" s="59"/>
      <c r="CB784" s="59"/>
      <c r="CC784" s="59"/>
      <c r="CD784" s="59"/>
      <c r="CE784" s="59"/>
      <c r="CF784" s="59"/>
      <c r="CG784" s="59"/>
      <c r="CH784" s="59"/>
      <c r="CI784" s="59"/>
      <c r="CJ784" s="59"/>
      <c r="CK784" s="59"/>
      <c r="CL784" s="59"/>
      <c r="CM784" s="59"/>
      <c r="CN784" s="59"/>
      <c r="CO784" s="59"/>
      <c r="CP784" s="59"/>
      <c r="CQ784" s="59"/>
      <c r="CR784" s="59"/>
      <c r="CS784" s="59"/>
      <c r="CT784" s="59"/>
      <c r="CU784" s="59"/>
      <c r="CV784" s="59"/>
      <c r="CW784" s="59"/>
      <c r="CX784" s="59"/>
      <c r="CY784" s="59"/>
      <c r="CZ784" s="59"/>
      <c r="DA784" s="59"/>
      <c r="DB784" s="59"/>
      <c r="DC784" s="59"/>
      <c r="DD784" s="59"/>
      <c r="DE784" s="59"/>
      <c r="DF784" s="59"/>
      <c r="DG784" s="59"/>
      <c r="DH784" s="59"/>
      <c r="DI784" s="59"/>
      <c r="DJ784" s="59"/>
      <c r="DK784" s="59"/>
      <c r="DL784" s="59"/>
      <c r="DM784" s="59"/>
      <c r="DN784" s="59"/>
      <c r="DO784" s="59"/>
      <c r="DP784" s="59"/>
      <c r="DQ784" s="59"/>
      <c r="DR784" s="59"/>
      <c r="DS784" s="59"/>
      <c r="DT784" s="59"/>
      <c r="DU784" s="59"/>
      <c r="DV784" s="59"/>
      <c r="DW784" s="59"/>
      <c r="DX784" s="59"/>
      <c r="DY784" s="59"/>
      <c r="DZ784" s="59"/>
      <c r="EA784" s="59"/>
      <c r="EB784" s="59"/>
      <c r="EC784" s="59"/>
      <c r="ED784" s="59"/>
      <c r="EE784" s="59"/>
      <c r="EF784" s="59"/>
      <c r="EG784" s="59"/>
      <c r="EH784" s="59"/>
      <c r="EI784" s="59"/>
      <c r="EJ784" s="59"/>
      <c r="EK784" s="59"/>
      <c r="EL784" s="59"/>
      <c r="EM784" s="59"/>
      <c r="EN784" s="59"/>
      <c r="EO784" s="59"/>
      <c r="EP784" s="59"/>
      <c r="EQ784" s="59"/>
      <c r="ER784" s="59"/>
      <c r="ES784" s="59"/>
      <c r="ET784" s="59"/>
      <c r="EU784" s="59"/>
      <c r="EV784" s="59"/>
      <c r="EW784" s="59"/>
      <c r="EX784" s="59"/>
      <c r="EY784" s="59"/>
      <c r="EZ784" s="59"/>
      <c r="FA784" s="59"/>
      <c r="FB784" s="59"/>
      <c r="FC784" s="59"/>
      <c r="FD784" s="59"/>
      <c r="FE784" s="59"/>
      <c r="FF784" s="59"/>
      <c r="FG784" s="59"/>
      <c r="FH784" s="59"/>
      <c r="FI784" s="59"/>
      <c r="FJ784" s="59"/>
      <c r="FK784" s="59"/>
      <c r="FL784" s="59"/>
      <c r="FM784" s="59"/>
      <c r="FN784" s="59"/>
      <c r="FO784" s="59"/>
      <c r="FP784" s="59"/>
      <c r="FQ784" s="59"/>
      <c r="FR784" s="59"/>
      <c r="FS784" s="59"/>
      <c r="FT784" s="59"/>
      <c r="FU784" s="59"/>
      <c r="FV784" s="59"/>
      <c r="FW784" s="59"/>
      <c r="FX784" s="59"/>
      <c r="FY784" s="59"/>
      <c r="FZ784" s="59"/>
      <c r="GA784" s="59"/>
      <c r="GB784" s="59"/>
      <c r="GC784" s="59"/>
      <c r="GD784" s="59"/>
      <c r="GE784" s="59"/>
      <c r="GF784" s="59"/>
      <c r="GG784" s="59"/>
      <c r="GH784" s="59"/>
      <c r="GI784" s="59"/>
      <c r="GJ784" s="59"/>
      <c r="GK784" s="59"/>
      <c r="GL784" s="59"/>
      <c r="GM784" s="59"/>
      <c r="GN784" s="59"/>
      <c r="GO784" s="59"/>
      <c r="GP784" s="59"/>
      <c r="GQ784" s="59"/>
      <c r="GR784" s="59"/>
      <c r="GS784" s="59"/>
      <c r="GT784" s="59"/>
      <c r="GU784" s="59"/>
      <c r="GV784" s="59"/>
      <c r="GW784" s="59"/>
      <c r="GX784" s="59"/>
      <c r="GY784" s="59"/>
      <c r="GZ784" s="59"/>
      <c r="HA784" s="59"/>
      <c r="HB784" s="59"/>
      <c r="HC784" s="59"/>
      <c r="HD784" s="59"/>
      <c r="HE784" s="59"/>
      <c r="HF784" s="59"/>
      <c r="HG784" s="59"/>
      <c r="HH784" s="59"/>
      <c r="HI784" s="59"/>
      <c r="HJ784" s="59"/>
      <c r="HK784" s="59"/>
      <c r="HL784" s="59"/>
      <c r="HM784" s="59"/>
      <c r="HN784" s="59"/>
      <c r="HO784" s="59"/>
      <c r="HP784" s="59"/>
      <c r="HQ784" s="59"/>
      <c r="HR784" s="59"/>
      <c r="HS784" s="59"/>
      <c r="HT784" s="59"/>
      <c r="HU784" s="59"/>
      <c r="HV784" s="59"/>
      <c r="HW784" s="59"/>
      <c r="HX784" s="59"/>
      <c r="HY784" s="59"/>
      <c r="HZ784" s="59"/>
      <c r="IA784" s="59"/>
      <c r="IB784" s="59"/>
      <c r="IC784" s="59"/>
      <c r="ID784" s="59"/>
      <c r="IE784" s="59"/>
      <c r="IF784" s="59"/>
      <c r="IG784" s="59"/>
      <c r="IH784" s="59"/>
      <c r="II784" s="59"/>
      <c r="IJ784" s="59"/>
      <c r="IK784" s="59"/>
      <c r="IL784" s="59"/>
      <c r="IM784" s="59"/>
      <c r="IN784" s="59"/>
      <c r="IO784" s="59"/>
      <c r="IP784" s="59"/>
      <c r="IQ784" s="59"/>
      <c r="IR784" s="59"/>
      <c r="IS784" s="59"/>
      <c r="IT784" s="59"/>
      <c r="IU784" s="59"/>
      <c r="IV784" s="59"/>
    </row>
    <row r="785" spans="1:11" ht="14.25" customHeight="1">
      <c r="A785" s="66" t="s">
        <v>268</v>
      </c>
      <c r="B785" s="1832" t="str">
        <f>+B777</f>
        <v>ACABADOS</v>
      </c>
      <c r="C785" s="1830"/>
      <c r="D785" s="1828"/>
      <c r="E785" s="1833" t="s">
        <v>218</v>
      </c>
      <c r="F785" s="1828"/>
      <c r="G785" s="62" t="s">
        <v>120</v>
      </c>
      <c r="H785" s="59"/>
      <c r="I785" s="60"/>
      <c r="J785" s="60"/>
      <c r="K785" s="61"/>
    </row>
    <row r="786" spans="1:11" ht="33" customHeight="1">
      <c r="A786" s="66" t="s">
        <v>269</v>
      </c>
      <c r="B786" s="1840" t="s">
        <v>811</v>
      </c>
      <c r="C786" s="1830"/>
      <c r="D786" s="1830"/>
      <c r="E786" s="1830"/>
      <c r="F786" s="1830"/>
      <c r="G786" s="1828"/>
      <c r="H786" s="59"/>
      <c r="I786" s="60"/>
      <c r="J786" s="60"/>
      <c r="K786" s="61"/>
    </row>
    <row r="787" spans="1:11" ht="14.25" customHeight="1">
      <c r="A787" s="1836" t="s">
        <v>220</v>
      </c>
      <c r="B787" s="1830"/>
      <c r="C787" s="1830"/>
      <c r="D787" s="1830"/>
      <c r="E787" s="1830"/>
      <c r="F787" s="1830"/>
      <c r="G787" s="1828"/>
      <c r="H787" s="59"/>
      <c r="I787" s="60"/>
      <c r="J787" s="60"/>
      <c r="K787" s="61"/>
    </row>
    <row r="788" spans="1:11" ht="14.25" customHeight="1">
      <c r="A788" s="1829" t="s">
        <v>221</v>
      </c>
      <c r="B788" s="1828"/>
      <c r="C788" s="63" t="s">
        <v>222</v>
      </c>
      <c r="D788" s="63" t="s">
        <v>223</v>
      </c>
      <c r="E788" s="63" t="s">
        <v>224</v>
      </c>
      <c r="F788" s="63" t="s">
        <v>225</v>
      </c>
      <c r="G788" s="63" t="s">
        <v>226</v>
      </c>
      <c r="H788" s="59"/>
      <c r="I788" s="60"/>
      <c r="J788" s="60"/>
      <c r="K788" s="61"/>
    </row>
    <row r="789" spans="1:11" ht="14.25" customHeight="1">
      <c r="A789" s="1845" t="s">
        <v>59</v>
      </c>
      <c r="B789" s="1828"/>
      <c r="C789" s="64">
        <v>6.75</v>
      </c>
      <c r="D789" s="64"/>
      <c r="E789" s="64"/>
      <c r="F789" s="64"/>
      <c r="G789" s="64">
        <f t="shared" ref="G789:G791" si="57">+C789</f>
        <v>6.75</v>
      </c>
      <c r="H789" s="59"/>
      <c r="I789" s="60"/>
      <c r="J789" s="60"/>
      <c r="K789" s="61">
        <f>5.12+23.5+4.4+20.34+5.12+4.5+2.88+2.9+7.7+1.44+1.55+(2.35-(0.9*2.2))+5.4+(5-(1.6*2.2))+7.9+1.55+1.45+(1.8-(0.7*2.2))+3.7+5.1+(1.25-(0.7*2.2))+1.7+(1.75-(0.9*2.2))+(3.95-(1.7*2.2))+3.95+3.8+4.5+2.9+(7.9-(1*2.2))+1.85+1.1+2+1.1+1.35+4.6</f>
        <v>140.89999999999998</v>
      </c>
    </row>
    <row r="790" spans="1:11" ht="15" customHeight="1">
      <c r="A790" s="1845" t="s">
        <v>61</v>
      </c>
      <c r="B790" s="1828"/>
      <c r="C790" s="64">
        <v>6.75</v>
      </c>
      <c r="D790" s="64"/>
      <c r="E790" s="64"/>
      <c r="F790" s="64"/>
      <c r="G790" s="64">
        <f t="shared" si="57"/>
        <v>6.75</v>
      </c>
      <c r="H790" s="59"/>
      <c r="I790" s="60"/>
      <c r="J790" s="60"/>
      <c r="K790" s="61" t="s">
        <v>61</v>
      </c>
    </row>
    <row r="791" spans="1:11" ht="15" customHeight="1">
      <c r="A791" s="1845" t="s">
        <v>812</v>
      </c>
      <c r="B791" s="1828"/>
      <c r="C791" s="64">
        <f>3.03+2.47</f>
        <v>5.5</v>
      </c>
      <c r="D791" s="64"/>
      <c r="E791" s="64"/>
      <c r="F791" s="64"/>
      <c r="G791" s="64">
        <f t="shared" si="57"/>
        <v>5.5</v>
      </c>
      <c r="H791" s="59"/>
      <c r="I791" s="60"/>
      <c r="J791" s="60"/>
      <c r="K791" s="61" t="s">
        <v>61</v>
      </c>
    </row>
    <row r="792" spans="1:11" ht="15" customHeight="1">
      <c r="A792" s="1845" t="s">
        <v>813</v>
      </c>
      <c r="B792" s="1828"/>
      <c r="C792" s="64">
        <f>1.75+1.92</f>
        <v>3.67</v>
      </c>
      <c r="D792" s="64"/>
      <c r="E792" s="64"/>
      <c r="F792" s="64">
        <v>2</v>
      </c>
      <c r="G792" s="64">
        <f>+F792*C792</f>
        <v>7.34</v>
      </c>
      <c r="H792" s="59"/>
      <c r="I792" s="60"/>
      <c r="J792" s="60"/>
      <c r="K792" s="61" t="s">
        <v>61</v>
      </c>
    </row>
    <row r="793" spans="1:11" ht="14.25" customHeight="1">
      <c r="A793" s="1846" t="s">
        <v>798</v>
      </c>
      <c r="B793" s="1843"/>
      <c r="C793" s="64">
        <v>2.4500000000000002</v>
      </c>
      <c r="D793" s="64"/>
      <c r="E793" s="64"/>
      <c r="F793" s="64"/>
      <c r="G793" s="64">
        <f>+C793</f>
        <v>2.4500000000000002</v>
      </c>
      <c r="H793" s="59"/>
      <c r="I793" s="60"/>
      <c r="J793" s="60"/>
      <c r="K793" s="61"/>
    </row>
    <row r="794" spans="1:11" ht="14.25" customHeight="1">
      <c r="A794" s="1846" t="s">
        <v>751</v>
      </c>
      <c r="B794" s="1843"/>
      <c r="C794" s="64">
        <v>2.4700000000000002</v>
      </c>
      <c r="D794" s="64"/>
      <c r="E794" s="64"/>
      <c r="F794" s="64">
        <v>2</v>
      </c>
      <c r="G794" s="64">
        <f t="shared" ref="G794:G796" si="58">+F794*C794</f>
        <v>4.9400000000000004</v>
      </c>
      <c r="H794" s="59"/>
      <c r="I794" s="60"/>
      <c r="J794" s="60"/>
      <c r="K794" s="61"/>
    </row>
    <row r="795" spans="1:11" ht="14.25" customHeight="1">
      <c r="A795" s="1844" t="s">
        <v>752</v>
      </c>
      <c r="B795" s="1828"/>
      <c r="C795" s="64">
        <f>4.9+2.5</f>
        <v>7.4</v>
      </c>
      <c r="D795" s="64"/>
      <c r="E795" s="64"/>
      <c r="F795" s="64">
        <v>4</v>
      </c>
      <c r="G795" s="64">
        <f t="shared" si="58"/>
        <v>29.6</v>
      </c>
      <c r="H795" s="59"/>
      <c r="I795" s="60"/>
      <c r="J795" s="60"/>
      <c r="K795" s="61"/>
    </row>
    <row r="796" spans="1:11" ht="15" customHeight="1">
      <c r="A796" s="1844" t="s">
        <v>769</v>
      </c>
      <c r="B796" s="1828"/>
      <c r="C796" s="64">
        <f>1.93+3.24</f>
        <v>5.17</v>
      </c>
      <c r="D796" s="64"/>
      <c r="E796" s="64"/>
      <c r="F796" s="64">
        <v>2</v>
      </c>
      <c r="G796" s="64">
        <f t="shared" si="58"/>
        <v>10.34</v>
      </c>
      <c r="H796" s="59"/>
      <c r="I796" s="195">
        <f>7.8/2</f>
        <v>3.9</v>
      </c>
      <c r="J796" s="60"/>
      <c r="K796" s="61" t="s">
        <v>61</v>
      </c>
    </row>
    <row r="797" spans="1:11" ht="14.25" customHeight="1">
      <c r="A797" s="1844" t="s">
        <v>770</v>
      </c>
      <c r="B797" s="1828"/>
      <c r="C797" s="64">
        <f>3.25+1.93</f>
        <v>5.18</v>
      </c>
      <c r="D797" s="64"/>
      <c r="E797" s="64"/>
      <c r="F797" s="64"/>
      <c r="G797" s="64">
        <f t="shared" ref="G797:G799" si="59">+C797</f>
        <v>5.18</v>
      </c>
      <c r="H797" s="59"/>
      <c r="I797" s="60"/>
      <c r="J797" s="60"/>
      <c r="K797" s="61">
        <f>5.27+16.85+1.3+0.8+3.62+(7.7-(1.6*2.2))+((3.48-(0.7*2.2))*2)+1.3+3.48+4.85+2.15+5.7+1.1+3.25+3.2+(1.3-(0.9*2.2))+1.35+2.9+1.1+1.5+(2.8-(0.7*2.2))+0.4+4.35+4.5+(3.5-(0.9*2.2))+7.7+7.9+2.9+7.05+1.8</f>
        <v>106.48000000000002</v>
      </c>
    </row>
    <row r="798" spans="1:11" ht="14.25" customHeight="1">
      <c r="A798" s="1845" t="s">
        <v>771</v>
      </c>
      <c r="B798" s="1828"/>
      <c r="C798" s="64">
        <f>2.6+5.58+6.55</f>
        <v>14.73</v>
      </c>
      <c r="D798" s="64"/>
      <c r="E798" s="64"/>
      <c r="F798" s="64"/>
      <c r="G798" s="64">
        <f t="shared" si="59"/>
        <v>14.73</v>
      </c>
      <c r="H798" s="59"/>
      <c r="I798" s="60"/>
      <c r="J798" s="60"/>
      <c r="K798" s="61">
        <f>0.9*2.2</f>
        <v>1.9800000000000002</v>
      </c>
    </row>
    <row r="799" spans="1:11" ht="14.25" customHeight="1">
      <c r="A799" s="67" t="s">
        <v>806</v>
      </c>
      <c r="B799" s="196"/>
      <c r="C799" s="64">
        <v>4.68</v>
      </c>
      <c r="D799" s="64"/>
      <c r="E799" s="64"/>
      <c r="F799" s="64"/>
      <c r="G799" s="64">
        <f t="shared" si="59"/>
        <v>4.68</v>
      </c>
      <c r="H799" s="59"/>
      <c r="I799" s="60"/>
      <c r="J799" s="60"/>
      <c r="K799" s="61"/>
    </row>
    <row r="800" spans="1:11" ht="14.25" customHeight="1">
      <c r="A800" s="1829" t="s">
        <v>227</v>
      </c>
      <c r="B800" s="1830"/>
      <c r="C800" s="1830"/>
      <c r="D800" s="1830"/>
      <c r="E800" s="1830"/>
      <c r="F800" s="1828"/>
      <c r="G800" s="65">
        <f>SUM(G789:G799)</f>
        <v>98.259999999999991</v>
      </c>
      <c r="H800" s="59"/>
      <c r="I800" s="60"/>
      <c r="J800" s="60"/>
      <c r="K800" s="61"/>
    </row>
    <row r="801" spans="1:7" ht="14.25" customHeight="1">
      <c r="A801" s="1831"/>
      <c r="B801" s="1830"/>
      <c r="C801" s="1830"/>
      <c r="D801" s="1830"/>
      <c r="E801" s="1830"/>
      <c r="F801" s="1830"/>
      <c r="G801" s="1828"/>
    </row>
    <row r="802" spans="1:7" ht="14.25" customHeight="1">
      <c r="A802" s="66" t="s">
        <v>268</v>
      </c>
      <c r="B802" s="1832" t="str">
        <f>+B777</f>
        <v>ACABADOS</v>
      </c>
      <c r="C802" s="1830"/>
      <c r="D802" s="1828"/>
      <c r="E802" s="1833" t="s">
        <v>218</v>
      </c>
      <c r="F802" s="1828"/>
      <c r="G802" s="62" t="s">
        <v>228</v>
      </c>
    </row>
    <row r="803" spans="1:7" ht="14.25" customHeight="1">
      <c r="A803" s="66" t="s">
        <v>270</v>
      </c>
      <c r="B803" s="1840" t="s">
        <v>814</v>
      </c>
      <c r="C803" s="1830"/>
      <c r="D803" s="1830"/>
      <c r="E803" s="1830"/>
      <c r="F803" s="1830"/>
      <c r="G803" s="1828"/>
    </row>
    <row r="804" spans="1:7" ht="14.25" customHeight="1">
      <c r="A804" s="1836" t="s">
        <v>220</v>
      </c>
      <c r="B804" s="1830"/>
      <c r="C804" s="1830"/>
      <c r="D804" s="1830"/>
      <c r="E804" s="1830"/>
      <c r="F804" s="1830"/>
      <c r="G804" s="1828"/>
    </row>
    <row r="805" spans="1:7" ht="14.25" customHeight="1">
      <c r="A805" s="1829" t="s">
        <v>221</v>
      </c>
      <c r="B805" s="1828"/>
      <c r="C805" s="63" t="s">
        <v>222</v>
      </c>
      <c r="D805" s="63" t="s">
        <v>223</v>
      </c>
      <c r="E805" s="63" t="s">
        <v>224</v>
      </c>
      <c r="F805" s="63" t="s">
        <v>225</v>
      </c>
      <c r="G805" s="63" t="s">
        <v>226</v>
      </c>
    </row>
    <row r="806" spans="1:7" ht="14.25" customHeight="1">
      <c r="A806" s="1827" t="s">
        <v>59</v>
      </c>
      <c r="B806" s="1828"/>
      <c r="C806" s="64">
        <v>49.56</v>
      </c>
      <c r="D806" s="64"/>
      <c r="E806" s="64"/>
      <c r="F806" s="64">
        <v>1</v>
      </c>
      <c r="G806" s="64">
        <f t="shared" ref="G806:G807" si="60">+C806*F806</f>
        <v>49.56</v>
      </c>
    </row>
    <row r="807" spans="1:7" ht="14.25" customHeight="1">
      <c r="A807" s="1827" t="s">
        <v>61</v>
      </c>
      <c r="B807" s="1828"/>
      <c r="C807" s="64">
        <v>57.63</v>
      </c>
      <c r="D807" s="64"/>
      <c r="E807" s="64"/>
      <c r="F807" s="64">
        <v>1</v>
      </c>
      <c r="G807" s="64">
        <f t="shared" si="60"/>
        <v>57.63</v>
      </c>
    </row>
    <row r="808" spans="1:7" ht="14.25" customHeight="1">
      <c r="A808" s="1827"/>
      <c r="B808" s="1828"/>
      <c r="C808" s="64"/>
      <c r="D808" s="64"/>
      <c r="E808" s="64"/>
      <c r="F808" s="64"/>
      <c r="G808" s="64"/>
    </row>
    <row r="809" spans="1:7" ht="14.25" customHeight="1">
      <c r="A809" s="1829" t="s">
        <v>227</v>
      </c>
      <c r="B809" s="1830"/>
      <c r="C809" s="1830"/>
      <c r="D809" s="1830"/>
      <c r="E809" s="1830"/>
      <c r="F809" s="1828"/>
      <c r="G809" s="65">
        <f>SUM(G806:G808)</f>
        <v>107.19</v>
      </c>
    </row>
    <row r="810" spans="1:7" ht="14.25" hidden="1" customHeight="1">
      <c r="A810" s="1831"/>
      <c r="B810" s="1830"/>
      <c r="C810" s="1830"/>
      <c r="D810" s="1830"/>
      <c r="E810" s="1830"/>
      <c r="F810" s="1830"/>
      <c r="G810" s="1828"/>
    </row>
    <row r="811" spans="1:7" ht="14.25" hidden="1" customHeight="1">
      <c r="A811" s="66" t="s">
        <v>268</v>
      </c>
      <c r="B811" s="1832" t="str">
        <f>+B802</f>
        <v>ACABADOS</v>
      </c>
      <c r="C811" s="1830"/>
      <c r="D811" s="1828"/>
      <c r="E811" s="1833" t="s">
        <v>218</v>
      </c>
      <c r="F811" s="1828"/>
      <c r="G811" s="62" t="s">
        <v>151</v>
      </c>
    </row>
    <row r="812" spans="1:7" ht="69.75" hidden="1" customHeight="1">
      <c r="A812" s="66" t="s">
        <v>815</v>
      </c>
      <c r="B812" s="1832" t="s">
        <v>442</v>
      </c>
      <c r="C812" s="1830"/>
      <c r="D812" s="1830"/>
      <c r="E812" s="1830"/>
      <c r="F812" s="1830"/>
      <c r="G812" s="1828"/>
    </row>
    <row r="813" spans="1:7" ht="14.25" hidden="1" customHeight="1">
      <c r="A813" s="1836" t="s">
        <v>220</v>
      </c>
      <c r="B813" s="1830"/>
      <c r="C813" s="1830"/>
      <c r="D813" s="1830"/>
      <c r="E813" s="1830"/>
      <c r="F813" s="1830"/>
      <c r="G813" s="1828"/>
    </row>
    <row r="814" spans="1:7" ht="14.25" hidden="1" customHeight="1">
      <c r="A814" s="1829" t="s">
        <v>221</v>
      </c>
      <c r="B814" s="1828"/>
      <c r="C814" s="63" t="s">
        <v>222</v>
      </c>
      <c r="D814" s="63" t="s">
        <v>223</v>
      </c>
      <c r="E814" s="63" t="s">
        <v>224</v>
      </c>
      <c r="F814" s="63" t="s">
        <v>225</v>
      </c>
      <c r="G814" s="63" t="s">
        <v>226</v>
      </c>
    </row>
    <row r="815" spans="1:7" ht="14.25" hidden="1" customHeight="1">
      <c r="A815" s="1842" t="s">
        <v>816</v>
      </c>
      <c r="B815" s="1843"/>
      <c r="C815" s="64"/>
      <c r="D815" s="64"/>
      <c r="E815" s="64"/>
      <c r="F815" s="64">
        <v>2</v>
      </c>
      <c r="G815" s="64"/>
    </row>
    <row r="816" spans="1:7" ht="14.25" hidden="1" customHeight="1">
      <c r="A816" s="1829" t="s">
        <v>227</v>
      </c>
      <c r="B816" s="1830"/>
      <c r="C816" s="1830"/>
      <c r="D816" s="1830"/>
      <c r="E816" s="1830"/>
      <c r="F816" s="1828"/>
      <c r="G816" s="191">
        <f>+G815</f>
        <v>0</v>
      </c>
    </row>
    <row r="817" spans="1:7" ht="14.25" hidden="1" customHeight="1">
      <c r="A817" s="1831"/>
      <c r="B817" s="1830"/>
      <c r="C817" s="1830"/>
      <c r="D817" s="1830"/>
      <c r="E817" s="1830"/>
      <c r="F817" s="1830"/>
      <c r="G817" s="1828"/>
    </row>
    <row r="818" spans="1:7" ht="14.25" hidden="1" customHeight="1">
      <c r="A818" s="66" t="s">
        <v>817</v>
      </c>
      <c r="B818" s="1832" t="s">
        <v>818</v>
      </c>
      <c r="C818" s="1830"/>
      <c r="D818" s="1828"/>
      <c r="E818" s="1833" t="s">
        <v>218</v>
      </c>
      <c r="F818" s="1828"/>
      <c r="G818" s="62" t="s">
        <v>151</v>
      </c>
    </row>
    <row r="819" spans="1:7" ht="14.25" hidden="1" customHeight="1">
      <c r="A819" s="66" t="s">
        <v>819</v>
      </c>
      <c r="B819" s="1840" t="s">
        <v>820</v>
      </c>
      <c r="C819" s="1830"/>
      <c r="D819" s="1830"/>
      <c r="E819" s="1830"/>
      <c r="F819" s="1830"/>
      <c r="G819" s="1828"/>
    </row>
    <row r="820" spans="1:7" ht="14.25" hidden="1" customHeight="1">
      <c r="A820" s="1836" t="s">
        <v>220</v>
      </c>
      <c r="B820" s="1830"/>
      <c r="C820" s="1830"/>
      <c r="D820" s="1830"/>
      <c r="E820" s="1830"/>
      <c r="F820" s="1830"/>
      <c r="G820" s="1828"/>
    </row>
    <row r="821" spans="1:7" ht="14.25" hidden="1" customHeight="1">
      <c r="A821" s="1829" t="s">
        <v>221</v>
      </c>
      <c r="B821" s="1828"/>
      <c r="C821" s="63" t="s">
        <v>222</v>
      </c>
      <c r="D821" s="63" t="s">
        <v>223</v>
      </c>
      <c r="E821" s="63" t="s">
        <v>224</v>
      </c>
      <c r="F821" s="63" t="s">
        <v>225</v>
      </c>
      <c r="G821" s="63" t="s">
        <v>226</v>
      </c>
    </row>
    <row r="822" spans="1:7" ht="14.25" hidden="1" customHeight="1">
      <c r="A822" s="1827" t="s">
        <v>821</v>
      </c>
      <c r="B822" s="1828"/>
      <c r="C822" s="64"/>
      <c r="D822" s="64"/>
      <c r="E822" s="64"/>
      <c r="F822" s="64">
        <v>16</v>
      </c>
      <c r="G822" s="64">
        <f>+F822</f>
        <v>16</v>
      </c>
    </row>
    <row r="823" spans="1:7" ht="14.25" hidden="1" customHeight="1">
      <c r="A823" s="1827"/>
      <c r="B823" s="1828"/>
      <c r="C823" s="64"/>
      <c r="D823" s="64"/>
      <c r="E823" s="64"/>
      <c r="F823" s="64"/>
      <c r="G823" s="64"/>
    </row>
    <row r="824" spans="1:7" ht="14.25" hidden="1" customHeight="1">
      <c r="A824" s="1829" t="s">
        <v>227</v>
      </c>
      <c r="B824" s="1830"/>
      <c r="C824" s="1830"/>
      <c r="D824" s="1830"/>
      <c r="E824" s="1830"/>
      <c r="F824" s="1828"/>
      <c r="G824" s="65">
        <f>ROUND(SUM(G822:G823),2)</f>
        <v>16</v>
      </c>
    </row>
    <row r="825" spans="1:7" ht="14.25" hidden="1" customHeight="1">
      <c r="A825" s="1831"/>
      <c r="B825" s="1830"/>
      <c r="C825" s="1830"/>
      <c r="D825" s="1830"/>
      <c r="E825" s="1830"/>
      <c r="F825" s="1830"/>
      <c r="G825" s="1828"/>
    </row>
    <row r="826" spans="1:7" ht="14.25" hidden="1" customHeight="1">
      <c r="A826" s="66" t="s">
        <v>817</v>
      </c>
      <c r="B826" s="1832" t="str">
        <f>+B818</f>
        <v xml:space="preserve">INSTALACIONES HIDROSANITARIAS                  </v>
      </c>
      <c r="C826" s="1830"/>
      <c r="D826" s="1828"/>
      <c r="E826" s="1833" t="s">
        <v>218</v>
      </c>
      <c r="F826" s="1828"/>
      <c r="G826" s="62" t="s">
        <v>151</v>
      </c>
    </row>
    <row r="827" spans="1:7" ht="14.25" hidden="1" customHeight="1">
      <c r="A827" s="66" t="s">
        <v>822</v>
      </c>
      <c r="B827" s="1840" t="s">
        <v>823</v>
      </c>
      <c r="C827" s="1830"/>
      <c r="D827" s="1830"/>
      <c r="E827" s="1830"/>
      <c r="F827" s="1830"/>
      <c r="G827" s="1828"/>
    </row>
    <row r="828" spans="1:7" ht="14.25" hidden="1" customHeight="1">
      <c r="A828" s="1836" t="s">
        <v>220</v>
      </c>
      <c r="B828" s="1830"/>
      <c r="C828" s="1830"/>
      <c r="D828" s="1830"/>
      <c r="E828" s="1830"/>
      <c r="F828" s="1830"/>
      <c r="G828" s="1828"/>
    </row>
    <row r="829" spans="1:7" ht="14.25" hidden="1" customHeight="1">
      <c r="A829" s="1829" t="s">
        <v>221</v>
      </c>
      <c r="B829" s="1828"/>
      <c r="C829" s="63" t="s">
        <v>222</v>
      </c>
      <c r="D829" s="63" t="s">
        <v>223</v>
      </c>
      <c r="E829" s="63" t="s">
        <v>224</v>
      </c>
      <c r="F829" s="63" t="s">
        <v>225</v>
      </c>
      <c r="G829" s="63" t="s">
        <v>226</v>
      </c>
    </row>
    <row r="830" spans="1:7" ht="14.25" hidden="1" customHeight="1">
      <c r="A830" s="1841" t="s">
        <v>824</v>
      </c>
      <c r="B830" s="1622"/>
      <c r="C830" s="64"/>
      <c r="D830" s="64"/>
      <c r="E830" s="64"/>
      <c r="F830" s="64">
        <v>4</v>
      </c>
      <c r="G830" s="64">
        <f>+F830</f>
        <v>4</v>
      </c>
    </row>
    <row r="831" spans="1:7" ht="14.25" hidden="1" customHeight="1">
      <c r="A831" s="1827"/>
      <c r="B831" s="1828"/>
      <c r="C831" s="64"/>
      <c r="D831" s="64"/>
      <c r="E831" s="64"/>
      <c r="F831" s="64"/>
      <c r="G831" s="64"/>
    </row>
    <row r="832" spans="1:7" ht="14.25" hidden="1" customHeight="1">
      <c r="A832" s="1829" t="s">
        <v>227</v>
      </c>
      <c r="B832" s="1830"/>
      <c r="C832" s="1830"/>
      <c r="D832" s="1830"/>
      <c r="E832" s="1830"/>
      <c r="F832" s="1828"/>
      <c r="G832" s="65">
        <f>SUM(G830)</f>
        <v>4</v>
      </c>
    </row>
    <row r="833" spans="1:7" ht="14.25" hidden="1" customHeight="1">
      <c r="A833" s="1831"/>
      <c r="B833" s="1830"/>
      <c r="C833" s="1830"/>
      <c r="D833" s="1830"/>
      <c r="E833" s="1830"/>
      <c r="F833" s="1830"/>
      <c r="G833" s="1828"/>
    </row>
    <row r="834" spans="1:7" ht="14.25" hidden="1" customHeight="1">
      <c r="A834" s="66" t="s">
        <v>817</v>
      </c>
      <c r="B834" s="1832" t="str">
        <f>+B826</f>
        <v xml:space="preserve">INSTALACIONES HIDROSANITARIAS                  </v>
      </c>
      <c r="C834" s="1830"/>
      <c r="D834" s="1828"/>
      <c r="E834" s="1833" t="s">
        <v>218</v>
      </c>
      <c r="F834" s="1828"/>
      <c r="G834" s="62" t="s">
        <v>151</v>
      </c>
    </row>
    <row r="835" spans="1:7" ht="14.25" hidden="1" customHeight="1">
      <c r="A835" s="66" t="s">
        <v>825</v>
      </c>
      <c r="B835" s="1840" t="s">
        <v>826</v>
      </c>
      <c r="C835" s="1830"/>
      <c r="D835" s="1830"/>
      <c r="E835" s="1830"/>
      <c r="F835" s="1830"/>
      <c r="G835" s="1828"/>
    </row>
    <row r="836" spans="1:7" ht="14.25" hidden="1" customHeight="1">
      <c r="A836" s="1836" t="s">
        <v>220</v>
      </c>
      <c r="B836" s="1830"/>
      <c r="C836" s="1830"/>
      <c r="D836" s="1830"/>
      <c r="E836" s="1830"/>
      <c r="F836" s="1830"/>
      <c r="G836" s="1828"/>
    </row>
    <row r="837" spans="1:7" ht="14.25" hidden="1" customHeight="1">
      <c r="A837" s="1829" t="s">
        <v>221</v>
      </c>
      <c r="B837" s="1828"/>
      <c r="C837" s="63" t="s">
        <v>222</v>
      </c>
      <c r="D837" s="63" t="s">
        <v>223</v>
      </c>
      <c r="E837" s="63" t="s">
        <v>224</v>
      </c>
      <c r="F837" s="63" t="s">
        <v>225</v>
      </c>
      <c r="G837" s="63" t="s">
        <v>226</v>
      </c>
    </row>
    <row r="838" spans="1:7" ht="14.25" hidden="1" customHeight="1">
      <c r="A838" s="1827" t="s">
        <v>827</v>
      </c>
      <c r="B838" s="1828"/>
      <c r="C838" s="64"/>
      <c r="D838" s="64"/>
      <c r="E838" s="64"/>
      <c r="F838" s="64">
        <v>56</v>
      </c>
      <c r="G838" s="64">
        <f>+F838</f>
        <v>56</v>
      </c>
    </row>
    <row r="839" spans="1:7" ht="14.25" hidden="1" customHeight="1">
      <c r="A839" s="1829" t="s">
        <v>227</v>
      </c>
      <c r="B839" s="1830"/>
      <c r="C839" s="1830"/>
      <c r="D839" s="1830"/>
      <c r="E839" s="1830"/>
      <c r="F839" s="1828"/>
      <c r="G839" s="65">
        <f>SUM(G838)</f>
        <v>56</v>
      </c>
    </row>
    <row r="840" spans="1:7" ht="14.25" hidden="1" customHeight="1">
      <c r="A840" s="1831"/>
      <c r="B840" s="1830"/>
      <c r="C840" s="1830"/>
      <c r="D840" s="1830"/>
      <c r="E840" s="1830"/>
      <c r="F840" s="1830"/>
      <c r="G840" s="1828"/>
    </row>
    <row r="841" spans="1:7" ht="14.25" hidden="1" customHeight="1">
      <c r="A841" s="66" t="s">
        <v>817</v>
      </c>
      <c r="B841" s="1832" t="str">
        <f>+B834</f>
        <v xml:space="preserve">INSTALACIONES HIDROSANITARIAS                  </v>
      </c>
      <c r="C841" s="1830"/>
      <c r="D841" s="1828"/>
      <c r="E841" s="1833" t="s">
        <v>218</v>
      </c>
      <c r="F841" s="1828"/>
      <c r="G841" s="62" t="s">
        <v>151</v>
      </c>
    </row>
    <row r="842" spans="1:7" ht="14.25" hidden="1" customHeight="1">
      <c r="A842" s="66" t="s">
        <v>828</v>
      </c>
      <c r="B842" s="1840" t="s">
        <v>829</v>
      </c>
      <c r="C842" s="1830"/>
      <c r="D842" s="1830"/>
      <c r="E842" s="1830"/>
      <c r="F842" s="1830"/>
      <c r="G842" s="1828"/>
    </row>
    <row r="843" spans="1:7" ht="14.25" hidden="1" customHeight="1">
      <c r="A843" s="1836" t="s">
        <v>220</v>
      </c>
      <c r="B843" s="1830"/>
      <c r="C843" s="1830"/>
      <c r="D843" s="1830"/>
      <c r="E843" s="1830"/>
      <c r="F843" s="1830"/>
      <c r="G843" s="1828"/>
    </row>
    <row r="844" spans="1:7" ht="14.25" hidden="1" customHeight="1">
      <c r="A844" s="1829" t="s">
        <v>221</v>
      </c>
      <c r="B844" s="1828"/>
      <c r="C844" s="63" t="s">
        <v>222</v>
      </c>
      <c r="D844" s="63" t="s">
        <v>223</v>
      </c>
      <c r="E844" s="63" t="s">
        <v>224</v>
      </c>
      <c r="F844" s="63" t="s">
        <v>225</v>
      </c>
      <c r="G844" s="63" t="s">
        <v>226</v>
      </c>
    </row>
    <row r="845" spans="1:7" ht="14.25" hidden="1" customHeight="1">
      <c r="A845" s="1827" t="s">
        <v>827</v>
      </c>
      <c r="B845" s="1828"/>
      <c r="C845" s="64"/>
      <c r="D845" s="64"/>
      <c r="E845" s="64"/>
      <c r="F845" s="64">
        <v>105</v>
      </c>
      <c r="G845" s="64">
        <f>+F845</f>
        <v>105</v>
      </c>
    </row>
    <row r="846" spans="1:7" ht="14.25" hidden="1" customHeight="1">
      <c r="A846" s="1829" t="s">
        <v>227</v>
      </c>
      <c r="B846" s="1830"/>
      <c r="C846" s="1830"/>
      <c r="D846" s="1830"/>
      <c r="E846" s="1830"/>
      <c r="F846" s="1828"/>
      <c r="G846" s="65">
        <f>SUM(G845)</f>
        <v>105</v>
      </c>
    </row>
    <row r="847" spans="1:7" ht="14.25" hidden="1" customHeight="1">
      <c r="A847" s="1831"/>
      <c r="B847" s="1830"/>
      <c r="C847" s="1830"/>
      <c r="D847" s="1830"/>
      <c r="E847" s="1830"/>
      <c r="F847" s="1830"/>
      <c r="G847" s="1828"/>
    </row>
    <row r="848" spans="1:7" ht="14.25" hidden="1" customHeight="1">
      <c r="A848" s="66" t="s">
        <v>817</v>
      </c>
      <c r="B848" s="1832" t="str">
        <f>+B841</f>
        <v xml:space="preserve">INSTALACIONES HIDROSANITARIAS                  </v>
      </c>
      <c r="C848" s="1830"/>
      <c r="D848" s="1828"/>
      <c r="E848" s="1833" t="s">
        <v>218</v>
      </c>
      <c r="F848" s="1828"/>
      <c r="G848" s="62" t="s">
        <v>151</v>
      </c>
    </row>
    <row r="849" spans="1:7" ht="14.25" hidden="1" customHeight="1">
      <c r="A849" s="66" t="s">
        <v>830</v>
      </c>
      <c r="B849" s="1840" t="s">
        <v>831</v>
      </c>
      <c r="C849" s="1830"/>
      <c r="D849" s="1830"/>
      <c r="E849" s="1830"/>
      <c r="F849" s="1830"/>
      <c r="G849" s="1828"/>
    </row>
    <row r="850" spans="1:7" ht="14.25" hidden="1" customHeight="1">
      <c r="A850" s="1836" t="s">
        <v>220</v>
      </c>
      <c r="B850" s="1830"/>
      <c r="C850" s="1830"/>
      <c r="D850" s="1830"/>
      <c r="E850" s="1830"/>
      <c r="F850" s="1830"/>
      <c r="G850" s="1828"/>
    </row>
    <row r="851" spans="1:7" ht="14.25" hidden="1" customHeight="1">
      <c r="A851" s="1829" t="s">
        <v>221</v>
      </c>
      <c r="B851" s="1828"/>
      <c r="C851" s="63" t="s">
        <v>222</v>
      </c>
      <c r="D851" s="63" t="s">
        <v>223</v>
      </c>
      <c r="E851" s="63" t="s">
        <v>224</v>
      </c>
      <c r="F851" s="63" t="s">
        <v>225</v>
      </c>
      <c r="G851" s="63" t="s">
        <v>226</v>
      </c>
    </row>
    <row r="852" spans="1:7" ht="14.25" hidden="1" customHeight="1">
      <c r="A852" s="1827" t="s">
        <v>827</v>
      </c>
      <c r="B852" s="1828"/>
      <c r="C852" s="64"/>
      <c r="D852" s="64"/>
      <c r="E852" s="64"/>
      <c r="F852" s="64">
        <v>24</v>
      </c>
      <c r="G852" s="64">
        <f>+F852</f>
        <v>24</v>
      </c>
    </row>
    <row r="853" spans="1:7" ht="14.25" hidden="1" customHeight="1">
      <c r="A853" s="1829" t="s">
        <v>227</v>
      </c>
      <c r="B853" s="1830"/>
      <c r="C853" s="1830"/>
      <c r="D853" s="1830"/>
      <c r="E853" s="1830"/>
      <c r="F853" s="1828"/>
      <c r="G853" s="65">
        <f>SUM(G852)</f>
        <v>24</v>
      </c>
    </row>
    <row r="854" spans="1:7" ht="14.25" hidden="1" customHeight="1">
      <c r="A854" s="1831"/>
      <c r="B854" s="1830"/>
      <c r="C854" s="1830"/>
      <c r="D854" s="1830"/>
      <c r="E854" s="1830"/>
      <c r="F854" s="1830"/>
      <c r="G854" s="1828"/>
    </row>
    <row r="855" spans="1:7" ht="14.25" hidden="1" customHeight="1">
      <c r="A855" s="66" t="s">
        <v>817</v>
      </c>
      <c r="B855" s="1832" t="str">
        <f>+B848</f>
        <v xml:space="preserve">INSTALACIONES HIDROSANITARIAS                  </v>
      </c>
      <c r="C855" s="1830"/>
      <c r="D855" s="1828"/>
      <c r="E855" s="1833" t="s">
        <v>218</v>
      </c>
      <c r="F855" s="1828"/>
      <c r="G855" s="62" t="s">
        <v>151</v>
      </c>
    </row>
    <row r="856" spans="1:7" ht="14.25" hidden="1" customHeight="1">
      <c r="A856" s="66" t="s">
        <v>832</v>
      </c>
      <c r="B856" s="1840" t="s">
        <v>833</v>
      </c>
      <c r="C856" s="1830"/>
      <c r="D856" s="1830"/>
      <c r="E856" s="1830"/>
      <c r="F856" s="1830"/>
      <c r="G856" s="1828"/>
    </row>
    <row r="857" spans="1:7" ht="14.25" hidden="1" customHeight="1">
      <c r="A857" s="1836" t="s">
        <v>220</v>
      </c>
      <c r="B857" s="1830"/>
      <c r="C857" s="1830"/>
      <c r="D857" s="1830"/>
      <c r="E857" s="1830"/>
      <c r="F857" s="1830"/>
      <c r="G857" s="1828"/>
    </row>
    <row r="858" spans="1:7" ht="14.25" hidden="1" customHeight="1">
      <c r="A858" s="1829" t="s">
        <v>221</v>
      </c>
      <c r="B858" s="1828"/>
      <c r="C858" s="63" t="s">
        <v>222</v>
      </c>
      <c r="D858" s="63" t="s">
        <v>223</v>
      </c>
      <c r="E858" s="63" t="s">
        <v>224</v>
      </c>
      <c r="F858" s="63" t="s">
        <v>225</v>
      </c>
      <c r="G858" s="63" t="s">
        <v>226</v>
      </c>
    </row>
    <row r="859" spans="1:7" ht="14.25" hidden="1" customHeight="1">
      <c r="A859" s="1827" t="s">
        <v>827</v>
      </c>
      <c r="B859" s="1828"/>
      <c r="C859" s="64"/>
      <c r="D859" s="64"/>
      <c r="E859" s="64"/>
      <c r="F859" s="64">
        <v>105</v>
      </c>
      <c r="G859" s="64">
        <f>+F859</f>
        <v>105</v>
      </c>
    </row>
    <row r="860" spans="1:7" ht="14.25" hidden="1" customHeight="1">
      <c r="A860" s="1829" t="s">
        <v>227</v>
      </c>
      <c r="B860" s="1830"/>
      <c r="C860" s="1830"/>
      <c r="D860" s="1830"/>
      <c r="E860" s="1830"/>
      <c r="F860" s="1828"/>
      <c r="G860" s="65">
        <f>SUM(G859)</f>
        <v>105</v>
      </c>
    </row>
    <row r="861" spans="1:7" ht="14.25" hidden="1" customHeight="1">
      <c r="A861" s="1831"/>
      <c r="B861" s="1830"/>
      <c r="C861" s="1830"/>
      <c r="D861" s="1830"/>
      <c r="E861" s="1830"/>
      <c r="F861" s="1830"/>
      <c r="G861" s="1828"/>
    </row>
    <row r="862" spans="1:7" ht="14.25" hidden="1" customHeight="1">
      <c r="A862" s="66" t="s">
        <v>817</v>
      </c>
      <c r="B862" s="1832" t="str">
        <f>+B855</f>
        <v xml:space="preserve">INSTALACIONES HIDROSANITARIAS                  </v>
      </c>
      <c r="C862" s="1830"/>
      <c r="D862" s="1828"/>
      <c r="E862" s="1833" t="s">
        <v>218</v>
      </c>
      <c r="F862" s="1828"/>
      <c r="G862" s="62" t="str">
        <f>+G855</f>
        <v>Und</v>
      </c>
    </row>
    <row r="863" spans="1:7" ht="14.25" hidden="1" customHeight="1">
      <c r="A863" s="66" t="s">
        <v>834</v>
      </c>
      <c r="B863" s="1840" t="s">
        <v>835</v>
      </c>
      <c r="C863" s="1830"/>
      <c r="D863" s="1830"/>
      <c r="E863" s="1830"/>
      <c r="F863" s="1830"/>
      <c r="G863" s="1828"/>
    </row>
    <row r="864" spans="1:7" ht="14.25" hidden="1" customHeight="1">
      <c r="A864" s="1836" t="s">
        <v>220</v>
      </c>
      <c r="B864" s="1830"/>
      <c r="C864" s="1830"/>
      <c r="D864" s="1830"/>
      <c r="E864" s="1830"/>
      <c r="F864" s="1830"/>
      <c r="G864" s="1828"/>
    </row>
    <row r="865" spans="1:7" ht="14.25" hidden="1" customHeight="1">
      <c r="A865" s="1829" t="s">
        <v>221</v>
      </c>
      <c r="B865" s="1828"/>
      <c r="C865" s="63" t="s">
        <v>222</v>
      </c>
      <c r="D865" s="63" t="s">
        <v>223</v>
      </c>
      <c r="E865" s="63" t="s">
        <v>224</v>
      </c>
      <c r="F865" s="63" t="s">
        <v>225</v>
      </c>
      <c r="G865" s="63" t="s">
        <v>226</v>
      </c>
    </row>
    <row r="866" spans="1:7" ht="14.25" hidden="1" customHeight="1">
      <c r="A866" s="1827" t="s">
        <v>827</v>
      </c>
      <c r="B866" s="1828"/>
      <c r="C866" s="64"/>
      <c r="D866" s="64"/>
      <c r="E866" s="64"/>
      <c r="F866" s="64">
        <v>56</v>
      </c>
      <c r="G866" s="64">
        <f>+F866</f>
        <v>56</v>
      </c>
    </row>
    <row r="867" spans="1:7" ht="14.25" hidden="1" customHeight="1">
      <c r="A867" s="1829" t="s">
        <v>227</v>
      </c>
      <c r="B867" s="1830"/>
      <c r="C867" s="1830"/>
      <c r="D867" s="1830"/>
      <c r="E867" s="1830"/>
      <c r="F867" s="1828"/>
      <c r="G867" s="65">
        <f>SUM(G866)</f>
        <v>56</v>
      </c>
    </row>
    <row r="868" spans="1:7" ht="14.25" hidden="1" customHeight="1">
      <c r="A868" s="1831"/>
      <c r="B868" s="1830"/>
      <c r="C868" s="1830"/>
      <c r="D868" s="1830"/>
      <c r="E868" s="1830"/>
      <c r="F868" s="1830"/>
      <c r="G868" s="1828"/>
    </row>
    <row r="869" spans="1:7" ht="14.25" hidden="1" customHeight="1">
      <c r="A869" s="66" t="str">
        <f t="shared" ref="A869:B869" si="61">+A862</f>
        <v>CAPITULO 7:</v>
      </c>
      <c r="B869" s="1832" t="str">
        <f t="shared" si="61"/>
        <v xml:space="preserve">INSTALACIONES HIDROSANITARIAS                  </v>
      </c>
      <c r="C869" s="1830"/>
      <c r="D869" s="1828"/>
      <c r="E869" s="1833" t="s">
        <v>218</v>
      </c>
      <c r="F869" s="1828"/>
      <c r="G869" s="62" t="str">
        <f>+G862</f>
        <v>Und</v>
      </c>
    </row>
    <row r="870" spans="1:7" ht="14.25" hidden="1" customHeight="1">
      <c r="A870" s="66" t="s">
        <v>836</v>
      </c>
      <c r="B870" s="1840" t="s">
        <v>837</v>
      </c>
      <c r="C870" s="1830"/>
      <c r="D870" s="1830"/>
      <c r="E870" s="1830"/>
      <c r="F870" s="1830"/>
      <c r="G870" s="1828"/>
    </row>
    <row r="871" spans="1:7" ht="14.25" hidden="1" customHeight="1">
      <c r="A871" s="1836" t="s">
        <v>220</v>
      </c>
      <c r="B871" s="1830"/>
      <c r="C871" s="1830"/>
      <c r="D871" s="1830"/>
      <c r="E871" s="1830"/>
      <c r="F871" s="1830"/>
      <c r="G871" s="1828"/>
    </row>
    <row r="872" spans="1:7" ht="14.25" hidden="1" customHeight="1">
      <c r="A872" s="1829" t="s">
        <v>221</v>
      </c>
      <c r="B872" s="1828"/>
      <c r="C872" s="63" t="s">
        <v>222</v>
      </c>
      <c r="D872" s="63" t="s">
        <v>223</v>
      </c>
      <c r="E872" s="63" t="s">
        <v>224</v>
      </c>
      <c r="F872" s="63" t="s">
        <v>225</v>
      </c>
      <c r="G872" s="63" t="s">
        <v>226</v>
      </c>
    </row>
    <row r="873" spans="1:7" ht="14.25" hidden="1" customHeight="1">
      <c r="A873" s="1827" t="s">
        <v>827</v>
      </c>
      <c r="B873" s="1828"/>
      <c r="C873" s="64"/>
      <c r="D873" s="64"/>
      <c r="E873" s="64"/>
      <c r="F873" s="64">
        <v>45</v>
      </c>
      <c r="G873" s="64">
        <f>+F873</f>
        <v>45</v>
      </c>
    </row>
    <row r="874" spans="1:7" ht="14.25" hidden="1" customHeight="1">
      <c r="A874" s="1829" t="s">
        <v>227</v>
      </c>
      <c r="B874" s="1830"/>
      <c r="C874" s="1830"/>
      <c r="D874" s="1830"/>
      <c r="E874" s="1830"/>
      <c r="F874" s="1828"/>
      <c r="G874" s="191">
        <f>SUM(G873)</f>
        <v>45</v>
      </c>
    </row>
    <row r="875" spans="1:7" ht="14.25" hidden="1" customHeight="1">
      <c r="A875" s="1831"/>
      <c r="B875" s="1830"/>
      <c r="C875" s="1830"/>
      <c r="D875" s="1830"/>
      <c r="E875" s="1830"/>
      <c r="F875" s="1830"/>
      <c r="G875" s="1828"/>
    </row>
    <row r="876" spans="1:7" ht="14.25" hidden="1" customHeight="1">
      <c r="A876" s="66" t="str">
        <f t="shared" ref="A876:B876" si="62">+A869</f>
        <v>CAPITULO 7:</v>
      </c>
      <c r="B876" s="1832" t="str">
        <f t="shared" si="62"/>
        <v xml:space="preserve">INSTALACIONES HIDROSANITARIAS                  </v>
      </c>
      <c r="C876" s="1830"/>
      <c r="D876" s="1828"/>
      <c r="E876" s="1833" t="s">
        <v>218</v>
      </c>
      <c r="F876" s="1828"/>
      <c r="G876" s="197" t="s">
        <v>127</v>
      </c>
    </row>
    <row r="877" spans="1:7" ht="14.25" hidden="1" customHeight="1">
      <c r="A877" s="66" t="s">
        <v>838</v>
      </c>
      <c r="B877" s="1840" t="s">
        <v>839</v>
      </c>
      <c r="C877" s="1830"/>
      <c r="D877" s="1830"/>
      <c r="E877" s="1830"/>
      <c r="F877" s="1830"/>
      <c r="G877" s="1828"/>
    </row>
    <row r="878" spans="1:7" ht="14.25" hidden="1" customHeight="1">
      <c r="A878" s="1836" t="s">
        <v>220</v>
      </c>
      <c r="B878" s="1830"/>
      <c r="C878" s="1830"/>
      <c r="D878" s="1830"/>
      <c r="E878" s="1830"/>
      <c r="F878" s="1830"/>
      <c r="G878" s="1828"/>
    </row>
    <row r="879" spans="1:7" ht="14.25" hidden="1" customHeight="1">
      <c r="A879" s="1829" t="s">
        <v>221</v>
      </c>
      <c r="B879" s="1828"/>
      <c r="C879" s="63" t="s">
        <v>222</v>
      </c>
      <c r="D879" s="63" t="s">
        <v>223</v>
      </c>
      <c r="E879" s="63" t="s">
        <v>224</v>
      </c>
      <c r="F879" s="63" t="s">
        <v>225</v>
      </c>
      <c r="G879" s="63" t="s">
        <v>226</v>
      </c>
    </row>
    <row r="880" spans="1:7" ht="14.25" hidden="1" customHeight="1">
      <c r="A880" s="1827" t="s">
        <v>827</v>
      </c>
      <c r="B880" s="1828"/>
      <c r="C880" s="64"/>
      <c r="D880" s="64"/>
      <c r="E880" s="64"/>
      <c r="F880" s="64">
        <v>38</v>
      </c>
      <c r="G880" s="64">
        <f>+F880</f>
        <v>38</v>
      </c>
    </row>
    <row r="881" spans="1:7" ht="14.25" hidden="1" customHeight="1">
      <c r="A881" s="1829" t="s">
        <v>227</v>
      </c>
      <c r="B881" s="1830"/>
      <c r="C881" s="1830"/>
      <c r="D881" s="1830"/>
      <c r="E881" s="1830"/>
      <c r="F881" s="1828"/>
      <c r="G881" s="191">
        <f>SUM(G880)</f>
        <v>38</v>
      </c>
    </row>
    <row r="882" spans="1:7" ht="14.25" hidden="1" customHeight="1">
      <c r="A882" s="1831"/>
      <c r="B882" s="1830"/>
      <c r="C882" s="1830"/>
      <c r="D882" s="1830"/>
      <c r="E882" s="1830"/>
      <c r="F882" s="1830"/>
      <c r="G882" s="1828"/>
    </row>
    <row r="883" spans="1:7" ht="14.25" hidden="1" customHeight="1">
      <c r="A883" s="66" t="str">
        <f t="shared" ref="A883:B883" si="63">+A876</f>
        <v>CAPITULO 7:</v>
      </c>
      <c r="B883" s="1832" t="str">
        <f t="shared" si="63"/>
        <v xml:space="preserve">INSTALACIONES HIDROSANITARIAS                  </v>
      </c>
      <c r="C883" s="1830"/>
      <c r="D883" s="1828"/>
      <c r="E883" s="1833" t="s">
        <v>218</v>
      </c>
      <c r="F883" s="1828"/>
      <c r="G883" s="197" t="s">
        <v>127</v>
      </c>
    </row>
    <row r="884" spans="1:7" ht="14.25" hidden="1" customHeight="1">
      <c r="A884" s="66" t="s">
        <v>840</v>
      </c>
      <c r="B884" s="1840" t="s">
        <v>841</v>
      </c>
      <c r="C884" s="1830"/>
      <c r="D884" s="1830"/>
      <c r="E884" s="1830"/>
      <c r="F884" s="1830"/>
      <c r="G884" s="1828"/>
    </row>
    <row r="885" spans="1:7" ht="14.25" hidden="1" customHeight="1">
      <c r="A885" s="1836" t="s">
        <v>220</v>
      </c>
      <c r="B885" s="1830"/>
      <c r="C885" s="1830"/>
      <c r="D885" s="1830"/>
      <c r="E885" s="1830"/>
      <c r="F885" s="1830"/>
      <c r="G885" s="1828"/>
    </row>
    <row r="886" spans="1:7" ht="14.25" hidden="1" customHeight="1">
      <c r="A886" s="1829" t="s">
        <v>221</v>
      </c>
      <c r="B886" s="1828"/>
      <c r="C886" s="63" t="s">
        <v>222</v>
      </c>
      <c r="D886" s="63" t="s">
        <v>223</v>
      </c>
      <c r="E886" s="63" t="s">
        <v>224</v>
      </c>
      <c r="F886" s="63" t="s">
        <v>225</v>
      </c>
      <c r="G886" s="63" t="s">
        <v>226</v>
      </c>
    </row>
    <row r="887" spans="1:7" ht="14.25" hidden="1" customHeight="1">
      <c r="A887" s="1827" t="s">
        <v>827</v>
      </c>
      <c r="B887" s="1828"/>
      <c r="C887" s="64"/>
      <c r="D887" s="64"/>
      <c r="E887" s="64"/>
      <c r="F887" s="64">
        <f>12+37+27</f>
        <v>76</v>
      </c>
      <c r="G887" s="64">
        <f>+F887</f>
        <v>76</v>
      </c>
    </row>
    <row r="888" spans="1:7" ht="14.25" hidden="1" customHeight="1">
      <c r="A888" s="1829" t="s">
        <v>227</v>
      </c>
      <c r="B888" s="1830"/>
      <c r="C888" s="1830"/>
      <c r="D888" s="1830"/>
      <c r="E888" s="1830"/>
      <c r="F888" s="1828"/>
      <c r="G888" s="191">
        <f>SUM(G887)</f>
        <v>76</v>
      </c>
    </row>
    <row r="889" spans="1:7" ht="14.25" hidden="1" customHeight="1">
      <c r="A889" s="1831"/>
      <c r="B889" s="1830"/>
      <c r="C889" s="1830"/>
      <c r="D889" s="1830"/>
      <c r="E889" s="1830"/>
      <c r="F889" s="1830"/>
      <c r="G889" s="1828"/>
    </row>
    <row r="890" spans="1:7" ht="14.25" hidden="1" customHeight="1">
      <c r="A890" s="66" t="str">
        <f t="shared" ref="A890:B890" si="64">+A883</f>
        <v>CAPITULO 7:</v>
      </c>
      <c r="B890" s="1832" t="str">
        <f t="shared" si="64"/>
        <v xml:space="preserve">INSTALACIONES HIDROSANITARIAS                  </v>
      </c>
      <c r="C890" s="1830"/>
      <c r="D890" s="1828"/>
      <c r="E890" s="1833" t="s">
        <v>218</v>
      </c>
      <c r="F890" s="1828"/>
      <c r="G890" s="197" t="s">
        <v>120</v>
      </c>
    </row>
    <row r="891" spans="1:7" ht="14.25" hidden="1" customHeight="1">
      <c r="A891" s="66" t="s">
        <v>842</v>
      </c>
      <c r="B891" s="1840" t="s">
        <v>843</v>
      </c>
      <c r="C891" s="1830"/>
      <c r="D891" s="1830"/>
      <c r="E891" s="1830"/>
      <c r="F891" s="1830"/>
      <c r="G891" s="1828"/>
    </row>
    <row r="892" spans="1:7" ht="14.25" hidden="1" customHeight="1">
      <c r="A892" s="1836" t="s">
        <v>220</v>
      </c>
      <c r="B892" s="1830"/>
      <c r="C892" s="1830"/>
      <c r="D892" s="1830"/>
      <c r="E892" s="1830"/>
      <c r="F892" s="1830"/>
      <c r="G892" s="1828"/>
    </row>
    <row r="893" spans="1:7" ht="14.25" hidden="1" customHeight="1">
      <c r="A893" s="1829" t="s">
        <v>221</v>
      </c>
      <c r="B893" s="1828"/>
      <c r="C893" s="63" t="s">
        <v>222</v>
      </c>
      <c r="D893" s="63" t="s">
        <v>223</v>
      </c>
      <c r="E893" s="63" t="s">
        <v>224</v>
      </c>
      <c r="F893" s="63" t="s">
        <v>225</v>
      </c>
      <c r="G893" s="63" t="s">
        <v>226</v>
      </c>
    </row>
    <row r="894" spans="1:7" ht="14.25" hidden="1" customHeight="1">
      <c r="A894" s="1827" t="s">
        <v>827</v>
      </c>
      <c r="B894" s="1828"/>
      <c r="C894" s="64">
        <v>445.6</v>
      </c>
      <c r="D894" s="64"/>
      <c r="E894" s="64"/>
      <c r="F894" s="64"/>
      <c r="G894" s="64">
        <f>+C894</f>
        <v>445.6</v>
      </c>
    </row>
    <row r="895" spans="1:7" ht="14.25" hidden="1" customHeight="1">
      <c r="A895" s="1829" t="s">
        <v>227</v>
      </c>
      <c r="B895" s="1830"/>
      <c r="C895" s="1830"/>
      <c r="D895" s="1830"/>
      <c r="E895" s="1830"/>
      <c r="F895" s="1828"/>
      <c r="G895" s="191">
        <f>SUM(G894)</f>
        <v>445.6</v>
      </c>
    </row>
    <row r="896" spans="1:7" ht="14.25" hidden="1" customHeight="1">
      <c r="A896" s="1831"/>
      <c r="B896" s="1830"/>
      <c r="C896" s="1830"/>
      <c r="D896" s="1830"/>
      <c r="E896" s="1830"/>
      <c r="F896" s="1830"/>
      <c r="G896" s="1828"/>
    </row>
    <row r="897" spans="1:7" ht="14.25" hidden="1" customHeight="1">
      <c r="A897" s="66" t="str">
        <f t="shared" ref="A897:B897" si="65">+A890</f>
        <v>CAPITULO 7:</v>
      </c>
      <c r="B897" s="1832" t="str">
        <f t="shared" si="65"/>
        <v xml:space="preserve">INSTALACIONES HIDROSANITARIAS                  </v>
      </c>
      <c r="C897" s="1830"/>
      <c r="D897" s="1828"/>
      <c r="E897" s="1833" t="s">
        <v>218</v>
      </c>
      <c r="F897" s="1828"/>
      <c r="G897" s="197" t="str">
        <f>+G890</f>
        <v>ML</v>
      </c>
    </row>
    <row r="898" spans="1:7" ht="14.25" hidden="1" customHeight="1">
      <c r="A898" s="66" t="s">
        <v>844</v>
      </c>
      <c r="B898" s="1840" t="s">
        <v>845</v>
      </c>
      <c r="C898" s="1830"/>
      <c r="D898" s="1830"/>
      <c r="E898" s="1830"/>
      <c r="F898" s="1830"/>
      <c r="G898" s="1828"/>
    </row>
    <row r="899" spans="1:7" ht="14.25" hidden="1" customHeight="1">
      <c r="A899" s="1836" t="s">
        <v>220</v>
      </c>
      <c r="B899" s="1830"/>
      <c r="C899" s="1830"/>
      <c r="D899" s="1830"/>
      <c r="E899" s="1830"/>
      <c r="F899" s="1830"/>
      <c r="G899" s="1828"/>
    </row>
    <row r="900" spans="1:7" ht="14.25" hidden="1" customHeight="1">
      <c r="A900" s="1829" t="s">
        <v>221</v>
      </c>
      <c r="B900" s="1828"/>
      <c r="C900" s="63" t="s">
        <v>222</v>
      </c>
      <c r="D900" s="63" t="s">
        <v>223</v>
      </c>
      <c r="E900" s="63" t="s">
        <v>224</v>
      </c>
      <c r="F900" s="63" t="s">
        <v>225</v>
      </c>
      <c r="G900" s="63" t="s">
        <v>226</v>
      </c>
    </row>
    <row r="901" spans="1:7" ht="14.25" hidden="1" customHeight="1">
      <c r="A901" s="1827" t="s">
        <v>827</v>
      </c>
      <c r="B901" s="1828"/>
      <c r="C901" s="64">
        <f>103*4.5</f>
        <v>463.5</v>
      </c>
      <c r="D901" s="64"/>
      <c r="E901" s="64"/>
      <c r="F901" s="64"/>
      <c r="G901" s="64">
        <f>+C901</f>
        <v>463.5</v>
      </c>
    </row>
    <row r="902" spans="1:7" ht="14.25" hidden="1" customHeight="1">
      <c r="A902" s="1829" t="s">
        <v>227</v>
      </c>
      <c r="B902" s="1830"/>
      <c r="C902" s="1830"/>
      <c r="D902" s="1830"/>
      <c r="E902" s="1830"/>
      <c r="F902" s="1828"/>
      <c r="G902" s="191">
        <f>SUM(G901)</f>
        <v>463.5</v>
      </c>
    </row>
    <row r="903" spans="1:7" ht="14.25" hidden="1" customHeight="1">
      <c r="A903" s="1831"/>
      <c r="B903" s="1830"/>
      <c r="C903" s="1830"/>
      <c r="D903" s="1830"/>
      <c r="E903" s="1830"/>
      <c r="F903" s="1830"/>
      <c r="G903" s="1828"/>
    </row>
    <row r="904" spans="1:7" ht="14.25" hidden="1" customHeight="1">
      <c r="A904" s="66" t="str">
        <f t="shared" ref="A904:B904" si="66">+A897</f>
        <v>CAPITULO 7:</v>
      </c>
      <c r="B904" s="1832" t="str">
        <f t="shared" si="66"/>
        <v xml:space="preserve">INSTALACIONES HIDROSANITARIAS                  </v>
      </c>
      <c r="C904" s="1830"/>
      <c r="D904" s="1828"/>
      <c r="E904" s="1833" t="s">
        <v>218</v>
      </c>
      <c r="F904" s="1828"/>
      <c r="G904" s="197" t="s">
        <v>120</v>
      </c>
    </row>
    <row r="905" spans="1:7" ht="14.25" hidden="1" customHeight="1">
      <c r="A905" s="66" t="s">
        <v>846</v>
      </c>
      <c r="B905" s="1840" t="s">
        <v>847</v>
      </c>
      <c r="C905" s="1830"/>
      <c r="D905" s="1830"/>
      <c r="E905" s="1830"/>
      <c r="F905" s="1830"/>
      <c r="G905" s="1828"/>
    </row>
    <row r="906" spans="1:7" ht="14.25" hidden="1" customHeight="1">
      <c r="A906" s="1836" t="s">
        <v>220</v>
      </c>
      <c r="B906" s="1830"/>
      <c r="C906" s="1830"/>
      <c r="D906" s="1830"/>
      <c r="E906" s="1830"/>
      <c r="F906" s="1830"/>
      <c r="G906" s="1828"/>
    </row>
    <row r="907" spans="1:7" ht="14.25" hidden="1" customHeight="1">
      <c r="A907" s="1829" t="s">
        <v>221</v>
      </c>
      <c r="B907" s="1828"/>
      <c r="C907" s="63" t="s">
        <v>222</v>
      </c>
      <c r="D907" s="63" t="s">
        <v>252</v>
      </c>
      <c r="E907" s="63" t="s">
        <v>224</v>
      </c>
      <c r="F907" s="63" t="s">
        <v>225</v>
      </c>
      <c r="G907" s="63" t="s">
        <v>226</v>
      </c>
    </row>
    <row r="908" spans="1:7" ht="14.25" hidden="1" customHeight="1">
      <c r="A908" s="1827" t="s">
        <v>827</v>
      </c>
      <c r="B908" s="1828"/>
      <c r="C908" s="64">
        <f>52*6</f>
        <v>312</v>
      </c>
      <c r="D908" s="64"/>
      <c r="E908" s="64"/>
      <c r="F908" s="64"/>
      <c r="G908" s="64">
        <f>+C908</f>
        <v>312</v>
      </c>
    </row>
    <row r="909" spans="1:7" ht="14.25" hidden="1" customHeight="1">
      <c r="A909" s="1829" t="s">
        <v>227</v>
      </c>
      <c r="B909" s="1830"/>
      <c r="C909" s="1830"/>
      <c r="D909" s="1830"/>
      <c r="E909" s="1830"/>
      <c r="F909" s="1828"/>
      <c r="G909" s="191">
        <f>SUM(G908)</f>
        <v>312</v>
      </c>
    </row>
    <row r="910" spans="1:7" ht="14.25" hidden="1" customHeight="1">
      <c r="A910" s="1831"/>
      <c r="B910" s="1830"/>
      <c r="C910" s="1830"/>
      <c r="D910" s="1830"/>
      <c r="E910" s="1830"/>
      <c r="F910" s="1830"/>
      <c r="G910" s="1828"/>
    </row>
    <row r="911" spans="1:7" ht="14.25" hidden="1" customHeight="1">
      <c r="A911" s="66" t="str">
        <f t="shared" ref="A911:B911" si="67">+A904</f>
        <v>CAPITULO 7:</v>
      </c>
      <c r="B911" s="1832" t="str">
        <f t="shared" si="67"/>
        <v xml:space="preserve">INSTALACIONES HIDROSANITARIAS                  </v>
      </c>
      <c r="C911" s="1830"/>
      <c r="D911" s="1828"/>
      <c r="E911" s="1833" t="s">
        <v>218</v>
      </c>
      <c r="F911" s="1828"/>
      <c r="G911" s="197" t="s">
        <v>127</v>
      </c>
    </row>
    <row r="912" spans="1:7" ht="14.25" hidden="1" customHeight="1">
      <c r="A912" s="66" t="s">
        <v>848</v>
      </c>
      <c r="B912" s="1840" t="s">
        <v>849</v>
      </c>
      <c r="C912" s="1830"/>
      <c r="D912" s="1830"/>
      <c r="E912" s="1830"/>
      <c r="F912" s="1830"/>
      <c r="G912" s="1828"/>
    </row>
    <row r="913" spans="1:7" ht="14.25" hidden="1" customHeight="1">
      <c r="A913" s="1836" t="s">
        <v>220</v>
      </c>
      <c r="B913" s="1830"/>
      <c r="C913" s="1830"/>
      <c r="D913" s="1830"/>
      <c r="E913" s="1830"/>
      <c r="F913" s="1830"/>
      <c r="G913" s="1828"/>
    </row>
    <row r="914" spans="1:7" ht="14.25" hidden="1" customHeight="1">
      <c r="A914" s="1829" t="s">
        <v>221</v>
      </c>
      <c r="B914" s="1828"/>
      <c r="C914" s="63" t="s">
        <v>222</v>
      </c>
      <c r="D914" s="63" t="s">
        <v>252</v>
      </c>
      <c r="E914" s="63" t="s">
        <v>224</v>
      </c>
      <c r="F914" s="63" t="s">
        <v>225</v>
      </c>
      <c r="G914" s="63" t="s">
        <v>226</v>
      </c>
    </row>
    <row r="915" spans="1:7" ht="14.25" hidden="1" customHeight="1">
      <c r="A915" s="1827" t="s">
        <v>827</v>
      </c>
      <c r="B915" s="1828"/>
      <c r="C915" s="64"/>
      <c r="D915" s="64"/>
      <c r="E915" s="64"/>
      <c r="F915" s="64">
        <v>14</v>
      </c>
      <c r="G915" s="64">
        <f>+F915</f>
        <v>14</v>
      </c>
    </row>
    <row r="916" spans="1:7" ht="14.25" hidden="1" customHeight="1">
      <c r="A916" s="1829" t="s">
        <v>227</v>
      </c>
      <c r="B916" s="1830"/>
      <c r="C916" s="1830"/>
      <c r="D916" s="1830"/>
      <c r="E916" s="1830"/>
      <c r="F916" s="1828"/>
      <c r="G916" s="191">
        <f>SUM(G915)</f>
        <v>14</v>
      </c>
    </row>
    <row r="917" spans="1:7" ht="14.25" hidden="1" customHeight="1">
      <c r="A917" s="1837"/>
      <c r="B917" s="1838"/>
      <c r="C917" s="1838"/>
      <c r="D917" s="1838"/>
      <c r="E917" s="1838"/>
      <c r="F917" s="1838"/>
      <c r="G917" s="1839"/>
    </row>
    <row r="918" spans="1:7" ht="14.25" hidden="1" customHeight="1">
      <c r="A918" s="66" t="str">
        <f t="shared" ref="A918:B918" si="68">+A911</f>
        <v>CAPITULO 7:</v>
      </c>
      <c r="B918" s="1832" t="str">
        <f t="shared" si="68"/>
        <v xml:space="preserve">INSTALACIONES HIDROSANITARIAS                  </v>
      </c>
      <c r="C918" s="1830"/>
      <c r="D918" s="1828"/>
      <c r="E918" s="1833" t="s">
        <v>218</v>
      </c>
      <c r="F918" s="1828"/>
      <c r="G918" s="197" t="s">
        <v>127</v>
      </c>
    </row>
    <row r="919" spans="1:7" ht="14.25" hidden="1" customHeight="1">
      <c r="A919" s="66" t="s">
        <v>850</v>
      </c>
      <c r="B919" s="1840" t="s">
        <v>851</v>
      </c>
      <c r="C919" s="1830"/>
      <c r="D919" s="1830"/>
      <c r="E919" s="1830"/>
      <c r="F919" s="1830"/>
      <c r="G919" s="1828"/>
    </row>
    <row r="920" spans="1:7" ht="14.25" hidden="1" customHeight="1">
      <c r="A920" s="1836" t="s">
        <v>220</v>
      </c>
      <c r="B920" s="1830"/>
      <c r="C920" s="1830"/>
      <c r="D920" s="1830"/>
      <c r="E920" s="1830"/>
      <c r="F920" s="1830"/>
      <c r="G920" s="1828"/>
    </row>
    <row r="921" spans="1:7" ht="14.25" hidden="1" customHeight="1">
      <c r="A921" s="1829" t="s">
        <v>221</v>
      </c>
      <c r="B921" s="1828"/>
      <c r="C921" s="63" t="s">
        <v>222</v>
      </c>
      <c r="D921" s="63" t="s">
        <v>252</v>
      </c>
      <c r="E921" s="63" t="s">
        <v>224</v>
      </c>
      <c r="F921" s="63" t="s">
        <v>225</v>
      </c>
      <c r="G921" s="63" t="s">
        <v>226</v>
      </c>
    </row>
    <row r="922" spans="1:7" ht="14.25" hidden="1" customHeight="1">
      <c r="A922" s="1827" t="s">
        <v>827</v>
      </c>
      <c r="B922" s="1828"/>
      <c r="C922" s="64"/>
      <c r="D922" s="64"/>
      <c r="E922" s="64"/>
      <c r="F922" s="64">
        <v>32</v>
      </c>
      <c r="G922" s="64">
        <f>+F922</f>
        <v>32</v>
      </c>
    </row>
    <row r="923" spans="1:7" ht="14.25" hidden="1" customHeight="1">
      <c r="A923" s="1829" t="s">
        <v>227</v>
      </c>
      <c r="B923" s="1830"/>
      <c r="C923" s="1830"/>
      <c r="D923" s="1830"/>
      <c r="E923" s="1830"/>
      <c r="F923" s="1828"/>
      <c r="G923" s="191">
        <f>SUM(G922)</f>
        <v>32</v>
      </c>
    </row>
    <row r="924" spans="1:7" ht="14.25" hidden="1" customHeight="1">
      <c r="A924" s="1837"/>
      <c r="B924" s="1838"/>
      <c r="C924" s="1838"/>
      <c r="D924" s="1838"/>
      <c r="E924" s="1838"/>
      <c r="F924" s="1838"/>
      <c r="G924" s="1839"/>
    </row>
    <row r="925" spans="1:7" ht="14.25" hidden="1" customHeight="1">
      <c r="A925" s="66" t="str">
        <f t="shared" ref="A925:B925" si="69">+A911</f>
        <v>CAPITULO 7:</v>
      </c>
      <c r="B925" s="1832" t="str">
        <f t="shared" si="69"/>
        <v xml:space="preserve">INSTALACIONES HIDROSANITARIAS                  </v>
      </c>
      <c r="C925" s="1830"/>
      <c r="D925" s="1828"/>
      <c r="E925" s="1833" t="s">
        <v>218</v>
      </c>
      <c r="F925" s="1834"/>
      <c r="G925" s="197" t="s">
        <v>127</v>
      </c>
    </row>
    <row r="926" spans="1:7" ht="14.25" hidden="1" customHeight="1">
      <c r="A926" s="66" t="s">
        <v>852</v>
      </c>
      <c r="B926" s="1835" t="s">
        <v>853</v>
      </c>
      <c r="C926" s="1621"/>
      <c r="D926" s="1621"/>
      <c r="E926" s="1621"/>
      <c r="F926" s="1621"/>
      <c r="G926" s="1622"/>
    </row>
    <row r="927" spans="1:7" ht="14.25" hidden="1" customHeight="1">
      <c r="A927" s="1836" t="s">
        <v>220</v>
      </c>
      <c r="B927" s="1830"/>
      <c r="C927" s="1830"/>
      <c r="D927" s="1830"/>
      <c r="E927" s="1830"/>
      <c r="F927" s="1830"/>
      <c r="G927" s="1828"/>
    </row>
    <row r="928" spans="1:7" ht="14.25" hidden="1" customHeight="1">
      <c r="A928" s="1829" t="s">
        <v>221</v>
      </c>
      <c r="B928" s="1828"/>
      <c r="C928" s="63" t="s">
        <v>222</v>
      </c>
      <c r="D928" s="63" t="s">
        <v>252</v>
      </c>
      <c r="E928" s="63" t="s">
        <v>224</v>
      </c>
      <c r="F928" s="63" t="s">
        <v>225</v>
      </c>
      <c r="G928" s="63" t="s">
        <v>226</v>
      </c>
    </row>
    <row r="929" spans="1:7" ht="14.25" hidden="1" customHeight="1">
      <c r="A929" s="1827" t="s">
        <v>827</v>
      </c>
      <c r="B929" s="1828"/>
      <c r="C929" s="64"/>
      <c r="D929" s="64"/>
      <c r="E929" s="64"/>
      <c r="F929" s="64">
        <v>27</v>
      </c>
      <c r="G929" s="64">
        <f>+F929</f>
        <v>27</v>
      </c>
    </row>
    <row r="930" spans="1:7" ht="14.25" hidden="1" customHeight="1">
      <c r="A930" s="1850"/>
      <c r="B930" s="1828"/>
      <c r="C930" s="64"/>
      <c r="D930" s="64"/>
      <c r="E930" s="64"/>
      <c r="F930" s="64"/>
      <c r="G930" s="64"/>
    </row>
    <row r="931" spans="1:7" ht="14.25" hidden="1" customHeight="1">
      <c r="A931" s="1829" t="s">
        <v>227</v>
      </c>
      <c r="B931" s="1830"/>
      <c r="C931" s="1830"/>
      <c r="D931" s="1830"/>
      <c r="E931" s="1830"/>
      <c r="F931" s="1828"/>
      <c r="G931" s="191">
        <f>SUM(G929:G930)</f>
        <v>27</v>
      </c>
    </row>
    <row r="932" spans="1:7" ht="14.25" hidden="1" customHeight="1">
      <c r="A932" s="1837"/>
      <c r="B932" s="1838"/>
      <c r="C932" s="1838"/>
      <c r="D932" s="1838"/>
      <c r="E932" s="1838"/>
      <c r="F932" s="1838"/>
      <c r="G932" s="1839"/>
    </row>
    <row r="933" spans="1:7" ht="14.25" hidden="1" customHeight="1">
      <c r="A933" s="66" t="str">
        <f t="shared" ref="A933:B933" si="70">+A925</f>
        <v>CAPITULO 7:</v>
      </c>
      <c r="B933" s="1832" t="str">
        <f t="shared" si="70"/>
        <v xml:space="preserve">INSTALACIONES HIDROSANITARIAS                  </v>
      </c>
      <c r="C933" s="1830"/>
      <c r="D933" s="1828"/>
      <c r="E933" s="1833" t="s">
        <v>218</v>
      </c>
      <c r="F933" s="1834"/>
      <c r="G933" s="197" t="s">
        <v>120</v>
      </c>
    </row>
    <row r="934" spans="1:7" ht="32.25" hidden="1" customHeight="1">
      <c r="A934" s="66" t="s">
        <v>854</v>
      </c>
      <c r="B934" s="1835" t="s">
        <v>855</v>
      </c>
      <c r="C934" s="1621"/>
      <c r="D934" s="1621"/>
      <c r="E934" s="1621"/>
      <c r="F934" s="1621"/>
      <c r="G934" s="1622"/>
    </row>
    <row r="935" spans="1:7" ht="14.25" hidden="1" customHeight="1">
      <c r="A935" s="1836" t="s">
        <v>220</v>
      </c>
      <c r="B935" s="1830"/>
      <c r="C935" s="1830"/>
      <c r="D935" s="1830"/>
      <c r="E935" s="1830"/>
      <c r="F935" s="1830"/>
      <c r="G935" s="1828"/>
    </row>
    <row r="936" spans="1:7" ht="14.25" hidden="1" customHeight="1">
      <c r="A936" s="1829" t="s">
        <v>221</v>
      </c>
      <c r="B936" s="1828"/>
      <c r="C936" s="63" t="s">
        <v>222</v>
      </c>
      <c r="D936" s="63" t="s">
        <v>252</v>
      </c>
      <c r="E936" s="63" t="s">
        <v>224</v>
      </c>
      <c r="F936" s="63" t="s">
        <v>225</v>
      </c>
      <c r="G936" s="63" t="s">
        <v>226</v>
      </c>
    </row>
    <row r="937" spans="1:7" ht="14.25" hidden="1" customHeight="1">
      <c r="A937" s="1827" t="s">
        <v>856</v>
      </c>
      <c r="B937" s="1828"/>
      <c r="C937" s="64">
        <v>12.45</v>
      </c>
      <c r="D937" s="64"/>
      <c r="E937" s="64"/>
      <c r="F937" s="64"/>
      <c r="G937" s="64">
        <f>+C937</f>
        <v>12.45</v>
      </c>
    </row>
    <row r="938" spans="1:7" ht="14.25" hidden="1" customHeight="1">
      <c r="A938" s="1827"/>
      <c r="B938" s="1828"/>
      <c r="C938" s="64"/>
      <c r="D938" s="64"/>
      <c r="E938" s="64"/>
      <c r="F938" s="64"/>
      <c r="G938" s="64"/>
    </row>
    <row r="939" spans="1:7" ht="14.25" hidden="1" customHeight="1">
      <c r="A939" s="1829" t="s">
        <v>227</v>
      </c>
      <c r="B939" s="1830"/>
      <c r="C939" s="1830"/>
      <c r="D939" s="1830"/>
      <c r="E939" s="1830"/>
      <c r="F939" s="1828"/>
      <c r="G939" s="191">
        <f>SUM(G937:G938)</f>
        <v>12.45</v>
      </c>
    </row>
    <row r="940" spans="1:7" ht="14.25" hidden="1" customHeight="1">
      <c r="A940" s="1837"/>
      <c r="B940" s="1838"/>
      <c r="C940" s="1838"/>
      <c r="D940" s="1838"/>
      <c r="E940" s="1838"/>
      <c r="F940" s="1838"/>
      <c r="G940" s="1839"/>
    </row>
    <row r="941" spans="1:7" ht="14.25" hidden="1" customHeight="1">
      <c r="A941" s="66" t="str">
        <f>+A933</f>
        <v>CAPITULO 7:</v>
      </c>
      <c r="B941" s="1832" t="s">
        <v>255</v>
      </c>
      <c r="C941" s="1830"/>
      <c r="D941" s="1828"/>
      <c r="E941" s="1833" t="s">
        <v>218</v>
      </c>
      <c r="F941" s="1834"/>
      <c r="G941" s="70" t="s">
        <v>127</v>
      </c>
    </row>
    <row r="942" spans="1:7" ht="29.25" hidden="1" customHeight="1">
      <c r="A942" s="66" t="s">
        <v>857</v>
      </c>
      <c r="B942" s="1835" t="s">
        <v>858</v>
      </c>
      <c r="C942" s="1621"/>
      <c r="D942" s="1621"/>
      <c r="E942" s="1621"/>
      <c r="F942" s="1621"/>
      <c r="G942" s="1622"/>
    </row>
    <row r="943" spans="1:7" ht="14.25" hidden="1" customHeight="1">
      <c r="A943" s="1836" t="s">
        <v>220</v>
      </c>
      <c r="B943" s="1830"/>
      <c r="C943" s="1830"/>
      <c r="D943" s="1830"/>
      <c r="E943" s="1830"/>
      <c r="F943" s="1830"/>
      <c r="G943" s="1828"/>
    </row>
    <row r="944" spans="1:7" ht="14.25" hidden="1" customHeight="1">
      <c r="A944" s="1829" t="s">
        <v>221</v>
      </c>
      <c r="B944" s="1828"/>
      <c r="C944" s="63" t="s">
        <v>222</v>
      </c>
      <c r="D944" s="63" t="s">
        <v>252</v>
      </c>
      <c r="E944" s="63" t="s">
        <v>224</v>
      </c>
      <c r="F944" s="63" t="s">
        <v>225</v>
      </c>
      <c r="G944" s="63" t="s">
        <v>226</v>
      </c>
    </row>
    <row r="945" spans="1:7" ht="14.25" hidden="1" customHeight="1">
      <c r="A945" s="1827" t="s">
        <v>827</v>
      </c>
      <c r="B945" s="1828"/>
      <c r="C945" s="64"/>
      <c r="D945" s="64"/>
      <c r="E945" s="64"/>
      <c r="F945" s="64">
        <v>163</v>
      </c>
      <c r="G945" s="64">
        <f>+F945</f>
        <v>163</v>
      </c>
    </row>
    <row r="946" spans="1:7" ht="14.25" hidden="1" customHeight="1">
      <c r="A946" s="1829" t="s">
        <v>227</v>
      </c>
      <c r="B946" s="1830"/>
      <c r="C946" s="1830"/>
      <c r="D946" s="1830"/>
      <c r="E946" s="1830"/>
      <c r="F946" s="1828"/>
      <c r="G946" s="191">
        <f>SUM(G945)</f>
        <v>163</v>
      </c>
    </row>
    <row r="947" spans="1:7" ht="14.25" hidden="1" customHeight="1">
      <c r="A947" s="1837"/>
      <c r="B947" s="1838"/>
      <c r="C947" s="1838"/>
      <c r="D947" s="1838"/>
      <c r="E947" s="1838"/>
      <c r="F947" s="1838"/>
      <c r="G947" s="1839"/>
    </row>
    <row r="948" spans="1:7" ht="14.25" hidden="1" customHeight="1">
      <c r="A948" s="66" t="str">
        <f t="shared" ref="A948:B948" si="71">+A941</f>
        <v>CAPITULO 7:</v>
      </c>
      <c r="B948" s="1832" t="str">
        <f t="shared" si="71"/>
        <v xml:space="preserve">INSTALACIONES HIDROSANITARIAS           </v>
      </c>
      <c r="C948" s="1830"/>
      <c r="D948" s="1828"/>
      <c r="E948" s="1833" t="s">
        <v>218</v>
      </c>
      <c r="F948" s="1834"/>
      <c r="G948" s="70" t="s">
        <v>120</v>
      </c>
    </row>
    <row r="949" spans="1:7" ht="14.25" hidden="1" customHeight="1">
      <c r="A949" s="66" t="s">
        <v>859</v>
      </c>
      <c r="B949" s="1835" t="s">
        <v>860</v>
      </c>
      <c r="C949" s="1621"/>
      <c r="D949" s="1621"/>
      <c r="E949" s="1621"/>
      <c r="F949" s="1621"/>
      <c r="G949" s="1622"/>
    </row>
    <row r="950" spans="1:7" ht="14.25" hidden="1" customHeight="1">
      <c r="A950" s="1836" t="s">
        <v>220</v>
      </c>
      <c r="B950" s="1830"/>
      <c r="C950" s="1830"/>
      <c r="D950" s="1830"/>
      <c r="E950" s="1830"/>
      <c r="F950" s="1830"/>
      <c r="G950" s="1828"/>
    </row>
    <row r="951" spans="1:7" ht="14.25" hidden="1" customHeight="1">
      <c r="A951" s="1829" t="s">
        <v>221</v>
      </c>
      <c r="B951" s="1828"/>
      <c r="C951" s="63" t="s">
        <v>222</v>
      </c>
      <c r="D951" s="63" t="s">
        <v>252</v>
      </c>
      <c r="E951" s="63" t="s">
        <v>224</v>
      </c>
      <c r="F951" s="63" t="s">
        <v>225</v>
      </c>
      <c r="G951" s="63" t="s">
        <v>226</v>
      </c>
    </row>
    <row r="952" spans="1:7" ht="14.25" hidden="1" customHeight="1">
      <c r="A952" s="1827" t="s">
        <v>827</v>
      </c>
      <c r="B952" s="1828"/>
      <c r="C952" s="64">
        <f>+F945*1.5</f>
        <v>244.5</v>
      </c>
      <c r="D952" s="64"/>
      <c r="E952" s="64"/>
      <c r="F952" s="64"/>
      <c r="G952" s="64">
        <f>+C952</f>
        <v>244.5</v>
      </c>
    </row>
    <row r="953" spans="1:7" ht="14.25" hidden="1" customHeight="1">
      <c r="A953" s="1829" t="s">
        <v>227</v>
      </c>
      <c r="B953" s="1830"/>
      <c r="C953" s="1830"/>
      <c r="D953" s="1830"/>
      <c r="E953" s="1830"/>
      <c r="F953" s="1828"/>
      <c r="G953" s="191">
        <f>SUM(G952)</f>
        <v>244.5</v>
      </c>
    </row>
    <row r="954" spans="1:7" ht="14.25" hidden="1" customHeight="1">
      <c r="A954" s="1837"/>
      <c r="B954" s="1838"/>
      <c r="C954" s="1838"/>
      <c r="D954" s="1838"/>
      <c r="E954" s="1838"/>
      <c r="F954" s="1838"/>
      <c r="G954" s="1839"/>
    </row>
    <row r="955" spans="1:7" ht="14.25" hidden="1" customHeight="1">
      <c r="A955" s="66" t="str">
        <f t="shared" ref="A955:B955" si="72">+A948</f>
        <v>CAPITULO 7:</v>
      </c>
      <c r="B955" s="1832" t="str">
        <f t="shared" si="72"/>
        <v xml:space="preserve">INSTALACIONES HIDROSANITARIAS           </v>
      </c>
      <c r="C955" s="1830"/>
      <c r="D955" s="1828"/>
      <c r="E955" s="1833" t="s">
        <v>218</v>
      </c>
      <c r="F955" s="1834"/>
      <c r="G955" s="70" t="s">
        <v>120</v>
      </c>
    </row>
    <row r="956" spans="1:7" ht="14.25" hidden="1" customHeight="1">
      <c r="A956" s="66" t="s">
        <v>861</v>
      </c>
      <c r="B956" s="1835" t="s">
        <v>862</v>
      </c>
      <c r="C956" s="1621"/>
      <c r="D956" s="1621"/>
      <c r="E956" s="1621"/>
      <c r="F956" s="1621"/>
      <c r="G956" s="1622"/>
    </row>
    <row r="957" spans="1:7" ht="14.25" hidden="1" customHeight="1">
      <c r="A957" s="1836" t="s">
        <v>220</v>
      </c>
      <c r="B957" s="1830"/>
      <c r="C957" s="1830"/>
      <c r="D957" s="1830"/>
      <c r="E957" s="1830"/>
      <c r="F957" s="1830"/>
      <c r="G957" s="1828"/>
    </row>
    <row r="958" spans="1:7" ht="14.25" hidden="1" customHeight="1">
      <c r="A958" s="1829" t="s">
        <v>221</v>
      </c>
      <c r="B958" s="1828"/>
      <c r="C958" s="63" t="s">
        <v>222</v>
      </c>
      <c r="D958" s="63" t="s">
        <v>252</v>
      </c>
      <c r="E958" s="63" t="s">
        <v>224</v>
      </c>
      <c r="F958" s="63" t="s">
        <v>225</v>
      </c>
      <c r="G958" s="63" t="s">
        <v>226</v>
      </c>
    </row>
    <row r="959" spans="1:7" ht="14.25" hidden="1" customHeight="1">
      <c r="A959" s="1827" t="s">
        <v>827</v>
      </c>
      <c r="B959" s="1828"/>
      <c r="C959" s="64">
        <f>+G945*0.75</f>
        <v>122.25</v>
      </c>
      <c r="D959" s="64"/>
      <c r="E959" s="64"/>
      <c r="F959" s="64"/>
      <c r="G959" s="64">
        <f>+C959</f>
        <v>122.25</v>
      </c>
    </row>
    <row r="960" spans="1:7" ht="14.25" hidden="1" customHeight="1">
      <c r="A960" s="1829" t="s">
        <v>227</v>
      </c>
      <c r="B960" s="1830"/>
      <c r="C960" s="1830"/>
      <c r="D960" s="1830"/>
      <c r="E960" s="1830"/>
      <c r="F960" s="1828"/>
      <c r="G960" s="191">
        <f>SUM(G959)</f>
        <v>122.25</v>
      </c>
    </row>
    <row r="961" spans="1:7" ht="14.25" hidden="1" customHeight="1">
      <c r="A961" s="1837"/>
      <c r="B961" s="1838"/>
      <c r="C961" s="1838"/>
      <c r="D961" s="1838"/>
      <c r="E961" s="1838"/>
      <c r="F961" s="1838"/>
      <c r="G961" s="1839"/>
    </row>
    <row r="962" spans="1:7" ht="14.25" hidden="1" customHeight="1">
      <c r="A962" s="66" t="str">
        <f t="shared" ref="A962:B962" si="73">+A955</f>
        <v>CAPITULO 7:</v>
      </c>
      <c r="B962" s="1832" t="str">
        <f t="shared" si="73"/>
        <v xml:space="preserve">INSTALACIONES HIDROSANITARIAS           </v>
      </c>
      <c r="C962" s="1830"/>
      <c r="D962" s="1828"/>
      <c r="E962" s="1833" t="s">
        <v>218</v>
      </c>
      <c r="F962" s="1834"/>
      <c r="G962" s="70" t="s">
        <v>120</v>
      </c>
    </row>
    <row r="963" spans="1:7" ht="14.25" hidden="1" customHeight="1">
      <c r="A963" s="66" t="s">
        <v>863</v>
      </c>
      <c r="B963" s="1835" t="s">
        <v>864</v>
      </c>
      <c r="C963" s="1621"/>
      <c r="D963" s="1621"/>
      <c r="E963" s="1621"/>
      <c r="F963" s="1621"/>
      <c r="G963" s="1622"/>
    </row>
    <row r="964" spans="1:7" ht="14.25" hidden="1" customHeight="1">
      <c r="A964" s="1836" t="s">
        <v>220</v>
      </c>
      <c r="B964" s="1830"/>
      <c r="C964" s="1830"/>
      <c r="D964" s="1830"/>
      <c r="E964" s="1830"/>
      <c r="F964" s="1830"/>
      <c r="G964" s="1828"/>
    </row>
    <row r="965" spans="1:7" ht="14.25" hidden="1" customHeight="1">
      <c r="A965" s="1829" t="s">
        <v>221</v>
      </c>
      <c r="B965" s="1828"/>
      <c r="C965" s="63" t="s">
        <v>222</v>
      </c>
      <c r="D965" s="63" t="s">
        <v>252</v>
      </c>
      <c r="E965" s="63" t="s">
        <v>224</v>
      </c>
      <c r="F965" s="63" t="s">
        <v>225</v>
      </c>
      <c r="G965" s="63" t="s">
        <v>226</v>
      </c>
    </row>
    <row r="966" spans="1:7" ht="14.25" hidden="1" customHeight="1">
      <c r="A966" s="1827" t="s">
        <v>827</v>
      </c>
      <c r="B966" s="1828"/>
      <c r="C966" s="64">
        <f>+F945*4.5</f>
        <v>733.5</v>
      </c>
      <c r="D966" s="64"/>
      <c r="E966" s="64"/>
      <c r="F966" s="64"/>
      <c r="G966" s="64">
        <f>+C966</f>
        <v>733.5</v>
      </c>
    </row>
    <row r="967" spans="1:7" ht="14.25" hidden="1" customHeight="1">
      <c r="A967" s="1827"/>
      <c r="B967" s="1828"/>
      <c r="C967" s="64"/>
      <c r="D967" s="64"/>
      <c r="E967" s="64"/>
      <c r="F967" s="64"/>
      <c r="G967" s="64"/>
    </row>
    <row r="968" spans="1:7" ht="14.25" hidden="1" customHeight="1">
      <c r="A968" s="1829" t="s">
        <v>227</v>
      </c>
      <c r="B968" s="1830"/>
      <c r="C968" s="1830"/>
      <c r="D968" s="1830"/>
      <c r="E968" s="1830"/>
      <c r="F968" s="1828"/>
      <c r="G968" s="191">
        <f>SUM(G966:G967)</f>
        <v>733.5</v>
      </c>
    </row>
    <row r="969" spans="1:7" ht="14.25" hidden="1" customHeight="1">
      <c r="A969" s="1837"/>
      <c r="B969" s="1838"/>
      <c r="C969" s="1838"/>
      <c r="D969" s="1838"/>
      <c r="E969" s="1838"/>
      <c r="F969" s="1838"/>
      <c r="G969" s="1839"/>
    </row>
    <row r="970" spans="1:7" ht="14.25" hidden="1" customHeight="1">
      <c r="A970" s="66" t="str">
        <f t="shared" ref="A970:B970" si="74">+A962</f>
        <v>CAPITULO 7:</v>
      </c>
      <c r="B970" s="1832" t="str">
        <f t="shared" si="74"/>
        <v xml:space="preserve">INSTALACIONES HIDROSANITARIAS           </v>
      </c>
      <c r="C970" s="1830"/>
      <c r="D970" s="1828"/>
      <c r="E970" s="1833" t="s">
        <v>218</v>
      </c>
      <c r="F970" s="1834"/>
      <c r="G970" s="70" t="s">
        <v>127</v>
      </c>
    </row>
    <row r="971" spans="1:7" ht="14.25" hidden="1" customHeight="1">
      <c r="A971" s="66" t="s">
        <v>865</v>
      </c>
      <c r="B971" s="1835" t="s">
        <v>866</v>
      </c>
      <c r="C971" s="1621"/>
      <c r="D971" s="1621"/>
      <c r="E971" s="1621"/>
      <c r="F971" s="1621"/>
      <c r="G971" s="1622"/>
    </row>
    <row r="972" spans="1:7" ht="14.25" hidden="1" customHeight="1">
      <c r="A972" s="1836" t="s">
        <v>220</v>
      </c>
      <c r="B972" s="1830"/>
      <c r="C972" s="1830"/>
      <c r="D972" s="1830"/>
      <c r="E972" s="1830"/>
      <c r="F972" s="1830"/>
      <c r="G972" s="1828"/>
    </row>
    <row r="973" spans="1:7" ht="14.25" hidden="1" customHeight="1">
      <c r="A973" s="1829" t="s">
        <v>221</v>
      </c>
      <c r="B973" s="1828"/>
      <c r="C973" s="63" t="s">
        <v>222</v>
      </c>
      <c r="D973" s="63" t="s">
        <v>252</v>
      </c>
      <c r="E973" s="63" t="s">
        <v>224</v>
      </c>
      <c r="F973" s="63" t="s">
        <v>225</v>
      </c>
      <c r="G973" s="63" t="s">
        <v>226</v>
      </c>
    </row>
    <row r="974" spans="1:7" ht="14.25" hidden="1" customHeight="1">
      <c r="A974" s="1827" t="s">
        <v>827</v>
      </c>
      <c r="B974" s="1828"/>
      <c r="C974" s="64"/>
      <c r="D974" s="64"/>
      <c r="E974" s="64"/>
      <c r="F974" s="64">
        <v>22</v>
      </c>
      <c r="G974" s="64">
        <f>+F974</f>
        <v>22</v>
      </c>
    </row>
    <row r="975" spans="1:7" ht="14.25" hidden="1" customHeight="1">
      <c r="A975" s="1829" t="s">
        <v>227</v>
      </c>
      <c r="B975" s="1830"/>
      <c r="C975" s="1830"/>
      <c r="D975" s="1830"/>
      <c r="E975" s="1830"/>
      <c r="F975" s="1828"/>
      <c r="G975" s="191">
        <f>SUM(G974)</f>
        <v>22</v>
      </c>
    </row>
    <row r="976" spans="1:7" ht="14.25" hidden="1" customHeight="1">
      <c r="A976" s="1837"/>
      <c r="B976" s="1838"/>
      <c r="C976" s="1838"/>
      <c r="D976" s="1838"/>
      <c r="E976" s="1838"/>
      <c r="F976" s="1838"/>
      <c r="G976" s="1839"/>
    </row>
    <row r="977" spans="1:7" ht="14.25" hidden="1" customHeight="1">
      <c r="A977" s="66" t="str">
        <f t="shared" ref="A977:B977" si="75">+A970</f>
        <v>CAPITULO 7:</v>
      </c>
      <c r="B977" s="1832" t="str">
        <f t="shared" si="75"/>
        <v xml:space="preserve">INSTALACIONES HIDROSANITARIAS           </v>
      </c>
      <c r="C977" s="1830"/>
      <c r="D977" s="1828"/>
      <c r="E977" s="1833" t="s">
        <v>218</v>
      </c>
      <c r="F977" s="1834"/>
      <c r="G977" s="70" t="s">
        <v>127</v>
      </c>
    </row>
    <row r="978" spans="1:7" ht="14.25" hidden="1" customHeight="1">
      <c r="A978" s="66" t="s">
        <v>867</v>
      </c>
      <c r="B978" s="1835" t="s">
        <v>868</v>
      </c>
      <c r="C978" s="1621"/>
      <c r="D978" s="1621"/>
      <c r="E978" s="1621"/>
      <c r="F978" s="1621"/>
      <c r="G978" s="1622"/>
    </row>
    <row r="979" spans="1:7" ht="14.25" hidden="1" customHeight="1">
      <c r="A979" s="1836" t="s">
        <v>220</v>
      </c>
      <c r="B979" s="1830"/>
      <c r="C979" s="1830"/>
      <c r="D979" s="1830"/>
      <c r="E979" s="1830"/>
      <c r="F979" s="1830"/>
      <c r="G979" s="1828"/>
    </row>
    <row r="980" spans="1:7" ht="14.25" hidden="1" customHeight="1">
      <c r="A980" s="1829" t="s">
        <v>221</v>
      </c>
      <c r="B980" s="1828"/>
      <c r="C980" s="63" t="s">
        <v>222</v>
      </c>
      <c r="D980" s="63" t="s">
        <v>252</v>
      </c>
      <c r="E980" s="63" t="s">
        <v>224</v>
      </c>
      <c r="F980" s="63" t="s">
        <v>225</v>
      </c>
      <c r="G980" s="63" t="s">
        <v>226</v>
      </c>
    </row>
    <row r="981" spans="1:7" ht="14.25" hidden="1" customHeight="1">
      <c r="A981" s="1827" t="s">
        <v>827</v>
      </c>
      <c r="B981" s="1828"/>
      <c r="C981" s="64"/>
      <c r="D981" s="64"/>
      <c r="E981" s="64"/>
      <c r="F981" s="64">
        <v>14</v>
      </c>
      <c r="G981" s="64">
        <f>+F981</f>
        <v>14</v>
      </c>
    </row>
    <row r="982" spans="1:7" ht="14.25" hidden="1" customHeight="1">
      <c r="A982" s="1827"/>
      <c r="B982" s="1828"/>
      <c r="C982" s="64"/>
      <c r="D982" s="64"/>
      <c r="E982" s="64"/>
      <c r="F982" s="64"/>
      <c r="G982" s="64"/>
    </row>
    <row r="983" spans="1:7" ht="14.25" hidden="1" customHeight="1">
      <c r="A983" s="1829" t="s">
        <v>227</v>
      </c>
      <c r="B983" s="1830"/>
      <c r="C983" s="1830"/>
      <c r="D983" s="1830"/>
      <c r="E983" s="1830"/>
      <c r="F983" s="1828"/>
      <c r="G983" s="191">
        <f>SUM(G981:G982)</f>
        <v>14</v>
      </c>
    </row>
    <row r="984" spans="1:7" ht="14.25" hidden="1" customHeight="1">
      <c r="A984" s="1837"/>
      <c r="B984" s="1838"/>
      <c r="C984" s="1838"/>
      <c r="D984" s="1838"/>
      <c r="E984" s="1838"/>
      <c r="F984" s="1838"/>
      <c r="G984" s="1839"/>
    </row>
    <row r="985" spans="1:7" ht="14.25" hidden="1" customHeight="1">
      <c r="A985" s="66" t="str">
        <f t="shared" ref="A985:B985" si="76">+A977</f>
        <v>CAPITULO 7:</v>
      </c>
      <c r="B985" s="1832" t="str">
        <f t="shared" si="76"/>
        <v xml:space="preserve">INSTALACIONES HIDROSANITARIAS           </v>
      </c>
      <c r="C985" s="1830"/>
      <c r="D985" s="1828"/>
      <c r="E985" s="1833" t="s">
        <v>218</v>
      </c>
      <c r="F985" s="1834"/>
      <c r="G985" s="70" t="s">
        <v>127</v>
      </c>
    </row>
    <row r="986" spans="1:7" ht="14.25" hidden="1" customHeight="1">
      <c r="A986" s="66" t="s">
        <v>869</v>
      </c>
      <c r="B986" s="1835" t="s">
        <v>870</v>
      </c>
      <c r="C986" s="1621"/>
      <c r="D986" s="1621"/>
      <c r="E986" s="1621"/>
      <c r="F986" s="1621"/>
      <c r="G986" s="1622"/>
    </row>
    <row r="987" spans="1:7" ht="14.25" hidden="1" customHeight="1">
      <c r="A987" s="1836" t="s">
        <v>220</v>
      </c>
      <c r="B987" s="1830"/>
      <c r="C987" s="1830"/>
      <c r="D987" s="1830"/>
      <c r="E987" s="1830"/>
      <c r="F987" s="1830"/>
      <c r="G987" s="1828"/>
    </row>
    <row r="988" spans="1:7" ht="14.25" hidden="1" customHeight="1">
      <c r="A988" s="1829" t="s">
        <v>221</v>
      </c>
      <c r="B988" s="1828"/>
      <c r="C988" s="63" t="s">
        <v>222</v>
      </c>
      <c r="D988" s="63" t="s">
        <v>252</v>
      </c>
      <c r="E988" s="63" t="s">
        <v>224</v>
      </c>
      <c r="F988" s="63" t="s">
        <v>225</v>
      </c>
      <c r="G988" s="63" t="s">
        <v>226</v>
      </c>
    </row>
    <row r="989" spans="1:7" ht="14.25" hidden="1" customHeight="1">
      <c r="A989" s="1827" t="s">
        <v>827</v>
      </c>
      <c r="B989" s="1828"/>
      <c r="C989" s="64"/>
      <c r="D989" s="64"/>
      <c r="E989" s="64"/>
      <c r="F989" s="64">
        <v>37</v>
      </c>
      <c r="G989" s="64">
        <f>+F989</f>
        <v>37</v>
      </c>
    </row>
    <row r="990" spans="1:7" ht="14.25" hidden="1" customHeight="1">
      <c r="A990" s="1827"/>
      <c r="B990" s="1828"/>
      <c r="C990" s="64"/>
      <c r="D990" s="64"/>
      <c r="E990" s="64"/>
      <c r="F990" s="64"/>
      <c r="G990" s="64"/>
    </row>
    <row r="991" spans="1:7" ht="14.25" hidden="1" customHeight="1">
      <c r="A991" s="1829" t="s">
        <v>227</v>
      </c>
      <c r="B991" s="1830"/>
      <c r="C991" s="1830"/>
      <c r="D991" s="1830"/>
      <c r="E991" s="1830"/>
      <c r="F991" s="1828"/>
      <c r="G991" s="191">
        <f>SUM(G989:G990)</f>
        <v>37</v>
      </c>
    </row>
    <row r="992" spans="1:7" ht="14.25" hidden="1" customHeight="1">
      <c r="A992" s="1837"/>
      <c r="B992" s="1838"/>
      <c r="C992" s="1838"/>
      <c r="D992" s="1838"/>
      <c r="E992" s="1838"/>
      <c r="F992" s="1838"/>
      <c r="G992" s="1839"/>
    </row>
    <row r="993" spans="1:7" ht="14.25" hidden="1" customHeight="1">
      <c r="A993" s="66" t="str">
        <f t="shared" ref="A993:B993" si="77">+A977</f>
        <v>CAPITULO 7:</v>
      </c>
      <c r="B993" s="1832" t="str">
        <f t="shared" si="77"/>
        <v xml:space="preserve">INSTALACIONES HIDROSANITARIAS           </v>
      </c>
      <c r="C993" s="1830"/>
      <c r="D993" s="1828"/>
      <c r="E993" s="1833" t="s">
        <v>218</v>
      </c>
      <c r="F993" s="1834"/>
      <c r="G993" s="70" t="s">
        <v>127</v>
      </c>
    </row>
    <row r="994" spans="1:7" ht="14.25" hidden="1" customHeight="1">
      <c r="A994" s="66" t="s">
        <v>871</v>
      </c>
      <c r="B994" s="1835" t="s">
        <v>872</v>
      </c>
      <c r="C994" s="1621"/>
      <c r="D994" s="1621"/>
      <c r="E994" s="1621"/>
      <c r="F994" s="1621"/>
      <c r="G994" s="1622"/>
    </row>
    <row r="995" spans="1:7" ht="14.25" hidden="1" customHeight="1">
      <c r="A995" s="1836" t="s">
        <v>220</v>
      </c>
      <c r="B995" s="1830"/>
      <c r="C995" s="1830"/>
      <c r="D995" s="1830"/>
      <c r="E995" s="1830"/>
      <c r="F995" s="1830"/>
      <c r="G995" s="1828"/>
    </row>
    <row r="996" spans="1:7" ht="14.25" hidden="1" customHeight="1">
      <c r="A996" s="1829" t="s">
        <v>221</v>
      </c>
      <c r="B996" s="1828"/>
      <c r="C996" s="63" t="s">
        <v>222</v>
      </c>
      <c r="D996" s="63" t="s">
        <v>252</v>
      </c>
      <c r="E996" s="63" t="s">
        <v>224</v>
      </c>
      <c r="F996" s="63" t="s">
        <v>225</v>
      </c>
      <c r="G996" s="63" t="s">
        <v>226</v>
      </c>
    </row>
    <row r="997" spans="1:7" ht="14.25" hidden="1" customHeight="1">
      <c r="A997" s="1827" t="s">
        <v>827</v>
      </c>
      <c r="B997" s="1828"/>
      <c r="C997" s="64"/>
      <c r="D997" s="64"/>
      <c r="E997" s="64"/>
      <c r="F997" s="64">
        <v>1</v>
      </c>
      <c r="G997" s="64">
        <f>+F997</f>
        <v>1</v>
      </c>
    </row>
    <row r="998" spans="1:7" ht="14.25" hidden="1" customHeight="1">
      <c r="A998" s="1829" t="s">
        <v>227</v>
      </c>
      <c r="B998" s="1830"/>
      <c r="C998" s="1830"/>
      <c r="D998" s="1830"/>
      <c r="E998" s="1830"/>
      <c r="F998" s="1828"/>
      <c r="G998" s="191">
        <f>SUM(G997)</f>
        <v>1</v>
      </c>
    </row>
    <row r="999" spans="1:7" ht="14.25" hidden="1" customHeight="1">
      <c r="A999" s="1837"/>
      <c r="B999" s="1838"/>
      <c r="C999" s="1838"/>
      <c r="D999" s="1838"/>
      <c r="E999" s="1838"/>
      <c r="F999" s="1838"/>
      <c r="G999" s="1839"/>
    </row>
    <row r="1000" spans="1:7" ht="14.25" hidden="1" customHeight="1">
      <c r="A1000" s="66" t="str">
        <f t="shared" ref="A1000:B1000" si="78">+A993</f>
        <v>CAPITULO 7:</v>
      </c>
      <c r="B1000" s="1832" t="str">
        <f t="shared" si="78"/>
        <v xml:space="preserve">INSTALACIONES HIDROSANITARIAS           </v>
      </c>
      <c r="C1000" s="1830"/>
      <c r="D1000" s="1828"/>
      <c r="E1000" s="1833" t="s">
        <v>218</v>
      </c>
      <c r="F1000" s="1834"/>
      <c r="G1000" s="70" t="s">
        <v>127</v>
      </c>
    </row>
    <row r="1001" spans="1:7" ht="32.25" hidden="1" customHeight="1">
      <c r="A1001" s="66" t="s">
        <v>873</v>
      </c>
      <c r="B1001" s="1835" t="s">
        <v>874</v>
      </c>
      <c r="C1001" s="1621"/>
      <c r="D1001" s="1621"/>
      <c r="E1001" s="1621"/>
      <c r="F1001" s="1621"/>
      <c r="G1001" s="1622"/>
    </row>
    <row r="1002" spans="1:7" ht="14.25" hidden="1" customHeight="1">
      <c r="A1002" s="1836" t="s">
        <v>220</v>
      </c>
      <c r="B1002" s="1830"/>
      <c r="C1002" s="1830"/>
      <c r="D1002" s="1830"/>
      <c r="E1002" s="1830"/>
      <c r="F1002" s="1830"/>
      <c r="G1002" s="1828"/>
    </row>
    <row r="1003" spans="1:7" ht="14.25" hidden="1" customHeight="1">
      <c r="A1003" s="1829" t="s">
        <v>221</v>
      </c>
      <c r="B1003" s="1828"/>
      <c r="C1003" s="63" t="s">
        <v>222</v>
      </c>
      <c r="D1003" s="63" t="s">
        <v>252</v>
      </c>
      <c r="E1003" s="63" t="s">
        <v>224</v>
      </c>
      <c r="F1003" s="63" t="s">
        <v>225</v>
      </c>
      <c r="G1003" s="63" t="s">
        <v>226</v>
      </c>
    </row>
    <row r="1004" spans="1:7" ht="14.25" hidden="1" customHeight="1">
      <c r="A1004" s="1827" t="s">
        <v>827</v>
      </c>
      <c r="B1004" s="1828"/>
      <c r="C1004" s="64"/>
      <c r="D1004" s="64"/>
      <c r="E1004" s="64"/>
      <c r="F1004" s="64">
        <v>1</v>
      </c>
      <c r="G1004" s="64">
        <f>+F1004</f>
        <v>1</v>
      </c>
    </row>
    <row r="1005" spans="1:7" ht="14.25" hidden="1" customHeight="1">
      <c r="A1005" s="1829" t="s">
        <v>227</v>
      </c>
      <c r="B1005" s="1830"/>
      <c r="C1005" s="1830"/>
      <c r="D1005" s="1830"/>
      <c r="E1005" s="1830"/>
      <c r="F1005" s="1828"/>
      <c r="G1005" s="191">
        <f>SUM(G1004)</f>
        <v>1</v>
      </c>
    </row>
    <row r="1006" spans="1:7" ht="14.25" hidden="1" customHeight="1">
      <c r="A1006" s="63"/>
      <c r="B1006" s="180"/>
      <c r="C1006" s="180"/>
      <c r="D1006" s="180"/>
      <c r="E1006" s="180"/>
      <c r="F1006" s="180"/>
      <c r="G1006" s="180"/>
    </row>
    <row r="1007" spans="1:7" ht="14.25" hidden="1" customHeight="1">
      <c r="A1007" s="1837"/>
      <c r="B1007" s="1838"/>
      <c r="C1007" s="1838"/>
      <c r="D1007" s="1838"/>
      <c r="E1007" s="1838"/>
      <c r="F1007" s="1838"/>
      <c r="G1007" s="1839"/>
    </row>
    <row r="1008" spans="1:7" ht="14.25" hidden="1" customHeight="1">
      <c r="A1008" s="66" t="str">
        <f t="shared" ref="A1008:B1008" si="79">+A1000</f>
        <v>CAPITULO 7:</v>
      </c>
      <c r="B1008" s="1832" t="str">
        <f t="shared" si="79"/>
        <v xml:space="preserve">INSTALACIONES HIDROSANITARIAS           </v>
      </c>
      <c r="C1008" s="1830"/>
      <c r="D1008" s="1828"/>
      <c r="E1008" s="1833" t="s">
        <v>218</v>
      </c>
      <c r="F1008" s="1834"/>
      <c r="G1008" s="70" t="s">
        <v>127</v>
      </c>
    </row>
    <row r="1009" spans="1:7" ht="14.25" hidden="1" customHeight="1">
      <c r="A1009" s="66" t="s">
        <v>875</v>
      </c>
      <c r="B1009" s="1835" t="s">
        <v>876</v>
      </c>
      <c r="C1009" s="1621"/>
      <c r="D1009" s="1621"/>
      <c r="E1009" s="1621"/>
      <c r="F1009" s="1621"/>
      <c r="G1009" s="1622"/>
    </row>
    <row r="1010" spans="1:7" ht="14.25" hidden="1" customHeight="1">
      <c r="A1010" s="1836" t="s">
        <v>220</v>
      </c>
      <c r="B1010" s="1830"/>
      <c r="C1010" s="1830"/>
      <c r="D1010" s="1830"/>
      <c r="E1010" s="1830"/>
      <c r="F1010" s="1830"/>
      <c r="G1010" s="1828"/>
    </row>
    <row r="1011" spans="1:7" ht="14.25" hidden="1" customHeight="1">
      <c r="A1011" s="1829" t="s">
        <v>221</v>
      </c>
      <c r="B1011" s="1828"/>
      <c r="C1011" s="63" t="s">
        <v>222</v>
      </c>
      <c r="D1011" s="63" t="s">
        <v>252</v>
      </c>
      <c r="E1011" s="63" t="s">
        <v>224</v>
      </c>
      <c r="F1011" s="63" t="s">
        <v>225</v>
      </c>
      <c r="G1011" s="63" t="s">
        <v>226</v>
      </c>
    </row>
    <row r="1012" spans="1:7" ht="14.25" hidden="1" customHeight="1">
      <c r="A1012" s="1827" t="s">
        <v>827</v>
      </c>
      <c r="B1012" s="1828"/>
      <c r="C1012" s="64"/>
      <c r="D1012" s="64"/>
      <c r="E1012" s="64"/>
      <c r="F1012" s="64">
        <v>10</v>
      </c>
      <c r="G1012" s="64">
        <f>+F1012</f>
        <v>10</v>
      </c>
    </row>
    <row r="1013" spans="1:7" ht="14.25" hidden="1" customHeight="1">
      <c r="A1013" s="1829" t="s">
        <v>227</v>
      </c>
      <c r="B1013" s="1830"/>
      <c r="C1013" s="1830"/>
      <c r="D1013" s="1830"/>
      <c r="E1013" s="1830"/>
      <c r="F1013" s="1828"/>
      <c r="G1013" s="191">
        <f>SUM(G1012)</f>
        <v>10</v>
      </c>
    </row>
    <row r="1014" spans="1:7" ht="14.25" hidden="1" customHeight="1">
      <c r="A1014" s="1837"/>
      <c r="B1014" s="1838"/>
      <c r="C1014" s="1838"/>
      <c r="D1014" s="1838"/>
      <c r="E1014" s="1838"/>
      <c r="F1014" s="1838"/>
      <c r="G1014" s="1839"/>
    </row>
    <row r="1015" spans="1:7" ht="14.25" hidden="1" customHeight="1">
      <c r="A1015" s="66" t="str">
        <f t="shared" ref="A1015:B1015" si="80">+A1008</f>
        <v>CAPITULO 7:</v>
      </c>
      <c r="B1015" s="1832" t="str">
        <f t="shared" si="80"/>
        <v xml:space="preserve">INSTALACIONES HIDROSANITARIAS           </v>
      </c>
      <c r="C1015" s="1830"/>
      <c r="D1015" s="1828"/>
      <c r="E1015" s="1833" t="s">
        <v>218</v>
      </c>
      <c r="F1015" s="1834"/>
      <c r="G1015" s="70" t="s">
        <v>228</v>
      </c>
    </row>
    <row r="1016" spans="1:7" ht="14.25" hidden="1" customHeight="1">
      <c r="A1016" s="66" t="s">
        <v>873</v>
      </c>
      <c r="B1016" s="1835" t="e">
        <f>+#REF!</f>
        <v>#REF!</v>
      </c>
      <c r="C1016" s="1621"/>
      <c r="D1016" s="1621"/>
      <c r="E1016" s="1621"/>
      <c r="F1016" s="1621"/>
      <c r="G1016" s="1622"/>
    </row>
    <row r="1017" spans="1:7" ht="14.25" hidden="1" customHeight="1">
      <c r="A1017" s="1836" t="s">
        <v>220</v>
      </c>
      <c r="B1017" s="1830"/>
      <c r="C1017" s="1830"/>
      <c r="D1017" s="1830"/>
      <c r="E1017" s="1830"/>
      <c r="F1017" s="1830"/>
      <c r="G1017" s="1828"/>
    </row>
    <row r="1018" spans="1:7" ht="14.25" hidden="1" customHeight="1">
      <c r="A1018" s="1829" t="s">
        <v>221</v>
      </c>
      <c r="B1018" s="1828"/>
      <c r="C1018" s="63" t="s">
        <v>222</v>
      </c>
      <c r="D1018" s="63" t="s">
        <v>252</v>
      </c>
      <c r="E1018" s="63" t="s">
        <v>224</v>
      </c>
      <c r="F1018" s="63" t="s">
        <v>225</v>
      </c>
      <c r="G1018" s="63" t="s">
        <v>226</v>
      </c>
    </row>
    <row r="1019" spans="1:7" ht="14.25" hidden="1" customHeight="1">
      <c r="A1019" s="1827" t="s">
        <v>827</v>
      </c>
      <c r="B1019" s="1828"/>
      <c r="C1019" s="64"/>
      <c r="D1019" s="64"/>
      <c r="E1019" s="64"/>
      <c r="F1019" s="64">
        <v>1</v>
      </c>
      <c r="G1019" s="64">
        <f>+F1019</f>
        <v>1</v>
      </c>
    </row>
    <row r="1020" spans="1:7" ht="14.25" hidden="1" customHeight="1">
      <c r="A1020" s="1829" t="s">
        <v>227</v>
      </c>
      <c r="B1020" s="1830"/>
      <c r="C1020" s="1830"/>
      <c r="D1020" s="1830"/>
      <c r="E1020" s="1830"/>
      <c r="F1020" s="1828"/>
      <c r="G1020" s="191">
        <f>SUM(G1019)</f>
        <v>1</v>
      </c>
    </row>
    <row r="1021" spans="1:7" ht="14.25" customHeight="1">
      <c r="A1021" s="1837"/>
      <c r="B1021" s="1838"/>
      <c r="C1021" s="1838"/>
      <c r="D1021" s="1838"/>
      <c r="E1021" s="1838"/>
      <c r="F1021" s="1838"/>
      <c r="G1021" s="1839"/>
    </row>
    <row r="1022" spans="1:7" ht="32.25" customHeight="1">
      <c r="A1022" s="66" t="s">
        <v>877</v>
      </c>
      <c r="B1022" s="1832" t="e">
        <f>+#REF!</f>
        <v>#REF!</v>
      </c>
      <c r="C1022" s="1830"/>
      <c r="D1022" s="1828"/>
      <c r="E1022" s="1833" t="s">
        <v>218</v>
      </c>
      <c r="F1022" s="1834"/>
      <c r="G1022" s="70" t="e">
        <f>+#REF!</f>
        <v>#REF!</v>
      </c>
    </row>
    <row r="1023" spans="1:7" ht="14.25" customHeight="1">
      <c r="A1023" s="66" t="s">
        <v>878</v>
      </c>
      <c r="B1023" s="1835" t="e">
        <f>+#REF!</f>
        <v>#REF!</v>
      </c>
      <c r="C1023" s="1621"/>
      <c r="D1023" s="1621"/>
      <c r="E1023" s="1621"/>
      <c r="F1023" s="1621"/>
      <c r="G1023" s="1622"/>
    </row>
    <row r="1024" spans="1:7" ht="14.25" customHeight="1">
      <c r="A1024" s="1836" t="s">
        <v>220</v>
      </c>
      <c r="B1024" s="1830"/>
      <c r="C1024" s="1830"/>
      <c r="D1024" s="1830"/>
      <c r="E1024" s="1830"/>
      <c r="F1024" s="1830"/>
      <c r="G1024" s="1828"/>
    </row>
    <row r="1025" spans="1:7" ht="14.25" customHeight="1">
      <c r="A1025" s="1829" t="s">
        <v>221</v>
      </c>
      <c r="B1025" s="1828"/>
      <c r="C1025" s="63" t="s">
        <v>222</v>
      </c>
      <c r="D1025" s="63" t="s">
        <v>252</v>
      </c>
      <c r="E1025" s="63" t="s">
        <v>224</v>
      </c>
      <c r="F1025" s="63" t="s">
        <v>225</v>
      </c>
      <c r="G1025" s="63" t="s">
        <v>226</v>
      </c>
    </row>
    <row r="1026" spans="1:7" ht="14.25" customHeight="1">
      <c r="A1026" s="1827" t="e">
        <f>+#REF!</f>
        <v>#REF!</v>
      </c>
      <c r="B1026" s="1828"/>
      <c r="C1026" s="64"/>
      <c r="D1026" s="64"/>
      <c r="E1026" s="64"/>
      <c r="F1026" s="64">
        <v>1</v>
      </c>
      <c r="G1026" s="64">
        <f>+F1026</f>
        <v>1</v>
      </c>
    </row>
    <row r="1027" spans="1:7" ht="14.25" customHeight="1">
      <c r="A1027" s="1829" t="s">
        <v>227</v>
      </c>
      <c r="B1027" s="1830"/>
      <c r="C1027" s="1830"/>
      <c r="D1027" s="1830"/>
      <c r="E1027" s="1830"/>
      <c r="F1027" s="1828"/>
      <c r="G1027" s="191">
        <f>SUM(G1026)</f>
        <v>1</v>
      </c>
    </row>
    <row r="1028" spans="1:7" ht="14.25" customHeight="1">
      <c r="A1028" s="1837"/>
      <c r="B1028" s="1838"/>
      <c r="C1028" s="1838"/>
      <c r="D1028" s="1838"/>
      <c r="E1028" s="1838"/>
      <c r="F1028" s="1838"/>
      <c r="G1028" s="1839"/>
    </row>
    <row r="1029" spans="1:7" ht="21" customHeight="1">
      <c r="A1029" s="66" t="str">
        <f>+A1022</f>
        <v>CAPITULO 8:</v>
      </c>
      <c r="B1029" s="1832" t="e">
        <f>+$B$1022</f>
        <v>#REF!</v>
      </c>
      <c r="C1029" s="1830"/>
      <c r="D1029" s="1828"/>
      <c r="E1029" s="1833" t="s">
        <v>218</v>
      </c>
      <c r="F1029" s="1834"/>
      <c r="G1029" s="70" t="e">
        <f>+#REF!</f>
        <v>#REF!</v>
      </c>
    </row>
    <row r="1030" spans="1:7" ht="36.75" customHeight="1">
      <c r="A1030" s="66" t="s">
        <v>879</v>
      </c>
      <c r="B1030" s="1835" t="e">
        <f>+#REF!</f>
        <v>#REF!</v>
      </c>
      <c r="C1030" s="1621"/>
      <c r="D1030" s="1621"/>
      <c r="E1030" s="1621"/>
      <c r="F1030" s="1621"/>
      <c r="G1030" s="1622"/>
    </row>
    <row r="1031" spans="1:7" ht="14.25" customHeight="1">
      <c r="A1031" s="1836" t="s">
        <v>220</v>
      </c>
      <c r="B1031" s="1830"/>
      <c r="C1031" s="1830"/>
      <c r="D1031" s="1830"/>
      <c r="E1031" s="1830"/>
      <c r="F1031" s="1830"/>
      <c r="G1031" s="1828"/>
    </row>
    <row r="1032" spans="1:7" ht="14.25" customHeight="1">
      <c r="A1032" s="1829" t="s">
        <v>221</v>
      </c>
      <c r="B1032" s="1828"/>
      <c r="C1032" s="63" t="s">
        <v>222</v>
      </c>
      <c r="D1032" s="63" t="s">
        <v>252</v>
      </c>
      <c r="E1032" s="63" t="s">
        <v>224</v>
      </c>
      <c r="F1032" s="63" t="s">
        <v>225</v>
      </c>
      <c r="G1032" s="63" t="s">
        <v>226</v>
      </c>
    </row>
    <row r="1033" spans="1:7" ht="14.25" customHeight="1">
      <c r="A1033" s="1827" t="e">
        <f>+A1026</f>
        <v>#REF!</v>
      </c>
      <c r="B1033" s="1828"/>
      <c r="C1033" s="64"/>
      <c r="D1033" s="64"/>
      <c r="E1033" s="64"/>
      <c r="F1033" s="64">
        <v>1</v>
      </c>
      <c r="G1033" s="64">
        <f>+F1033</f>
        <v>1</v>
      </c>
    </row>
    <row r="1034" spans="1:7" ht="14.25" customHeight="1">
      <c r="A1034" s="1829" t="s">
        <v>227</v>
      </c>
      <c r="B1034" s="1830"/>
      <c r="C1034" s="1830"/>
      <c r="D1034" s="1830"/>
      <c r="E1034" s="1830"/>
      <c r="F1034" s="1828"/>
      <c r="G1034" s="191">
        <f>SUM(G1033)</f>
        <v>1</v>
      </c>
    </row>
    <row r="1035" spans="1:7" ht="14.25" customHeight="1">
      <c r="A1035" s="1837"/>
      <c r="B1035" s="1838"/>
      <c r="C1035" s="1838"/>
      <c r="D1035" s="1838"/>
      <c r="E1035" s="1838"/>
      <c r="F1035" s="1838"/>
      <c r="G1035" s="1839"/>
    </row>
    <row r="1036" spans="1:7" ht="14.25" customHeight="1">
      <c r="A1036" s="66" t="str">
        <f>+A1029</f>
        <v>CAPITULO 8:</v>
      </c>
      <c r="B1036" s="1832" t="e">
        <f>+$B$1022</f>
        <v>#REF!</v>
      </c>
      <c r="C1036" s="1830"/>
      <c r="D1036" s="1828"/>
      <c r="E1036" s="1833" t="s">
        <v>218</v>
      </c>
      <c r="F1036" s="1834"/>
      <c r="G1036" s="70" t="e">
        <f>+#REF!</f>
        <v>#REF!</v>
      </c>
    </row>
    <row r="1037" spans="1:7" ht="24.75" customHeight="1">
      <c r="A1037" s="66" t="s">
        <v>880</v>
      </c>
      <c r="B1037" s="1835" t="e">
        <f>+#REF!</f>
        <v>#REF!</v>
      </c>
      <c r="C1037" s="1621"/>
      <c r="D1037" s="1621"/>
      <c r="E1037" s="1621"/>
      <c r="F1037" s="1621"/>
      <c r="G1037" s="1622"/>
    </row>
    <row r="1038" spans="1:7" ht="14.25" customHeight="1">
      <c r="A1038" s="1836" t="s">
        <v>220</v>
      </c>
      <c r="B1038" s="1830"/>
      <c r="C1038" s="1830"/>
      <c r="D1038" s="1830"/>
      <c r="E1038" s="1830"/>
      <c r="F1038" s="1830"/>
      <c r="G1038" s="1828"/>
    </row>
    <row r="1039" spans="1:7" ht="14.25" customHeight="1">
      <c r="A1039" s="1829" t="s">
        <v>221</v>
      </c>
      <c r="B1039" s="1828"/>
      <c r="C1039" s="63" t="s">
        <v>222</v>
      </c>
      <c r="D1039" s="63" t="s">
        <v>252</v>
      </c>
      <c r="E1039" s="63" t="s">
        <v>224</v>
      </c>
      <c r="F1039" s="63" t="s">
        <v>225</v>
      </c>
      <c r="G1039" s="63" t="s">
        <v>226</v>
      </c>
    </row>
    <row r="1040" spans="1:7" ht="14.25" customHeight="1">
      <c r="A1040" s="1827" t="e">
        <f>+#REF!</f>
        <v>#REF!</v>
      </c>
      <c r="B1040" s="1828"/>
      <c r="C1040" s="64"/>
      <c r="D1040" s="64"/>
      <c r="E1040" s="64"/>
      <c r="F1040" s="64">
        <v>15.04975313748978</v>
      </c>
      <c r="G1040" s="64">
        <f>+F1040</f>
        <v>15.04975313748978</v>
      </c>
    </row>
    <row r="1041" spans="1:7" ht="14.25" customHeight="1">
      <c r="A1041" s="1829" t="s">
        <v>227</v>
      </c>
      <c r="B1041" s="1830"/>
      <c r="C1041" s="1830"/>
      <c r="D1041" s="1830"/>
      <c r="E1041" s="1830"/>
      <c r="F1041" s="1828"/>
      <c r="G1041" s="191">
        <f>SUM(G1040)</f>
        <v>15.04975313748978</v>
      </c>
    </row>
    <row r="1042" spans="1:7" ht="14.25" customHeight="1">
      <c r="A1042" s="1837"/>
      <c r="B1042" s="1838"/>
      <c r="C1042" s="1838"/>
      <c r="D1042" s="1838"/>
      <c r="E1042" s="1838"/>
      <c r="F1042" s="1838"/>
      <c r="G1042" s="1839"/>
    </row>
    <row r="1043" spans="1:7" ht="14.25" customHeight="1">
      <c r="A1043" s="66" t="s">
        <v>877</v>
      </c>
      <c r="B1043" s="1832" t="e">
        <f>+$B$1022</f>
        <v>#REF!</v>
      </c>
      <c r="C1043" s="1830"/>
      <c r="D1043" s="1828"/>
      <c r="E1043" s="1833" t="s">
        <v>218</v>
      </c>
      <c r="F1043" s="1862"/>
      <c r="G1043" s="70" t="e">
        <f>+#REF!</f>
        <v>#REF!</v>
      </c>
    </row>
    <row r="1044" spans="1:7" ht="36.75" customHeight="1">
      <c r="A1044" s="66" t="s">
        <v>881</v>
      </c>
      <c r="B1044" s="1835" t="e">
        <f>+#REF!</f>
        <v>#REF!</v>
      </c>
      <c r="C1044" s="1621"/>
      <c r="D1044" s="1621"/>
      <c r="E1044" s="1621"/>
      <c r="F1044" s="1621"/>
      <c r="G1044" s="1622"/>
    </row>
    <row r="1045" spans="1:7" ht="14.25" customHeight="1">
      <c r="A1045" s="1836" t="s">
        <v>220</v>
      </c>
      <c r="B1045" s="1830"/>
      <c r="C1045" s="1830"/>
      <c r="D1045" s="1830"/>
      <c r="E1045" s="1830"/>
      <c r="F1045" s="1830"/>
      <c r="G1045" s="1828"/>
    </row>
    <row r="1046" spans="1:7" ht="14.25" customHeight="1">
      <c r="A1046" s="1829" t="s">
        <v>221</v>
      </c>
      <c r="B1046" s="1828"/>
      <c r="C1046" s="63" t="s">
        <v>222</v>
      </c>
      <c r="D1046" s="63" t="s">
        <v>252</v>
      </c>
      <c r="E1046" s="63" t="s">
        <v>224</v>
      </c>
      <c r="F1046" s="63" t="s">
        <v>225</v>
      </c>
      <c r="G1046" s="63" t="s">
        <v>226</v>
      </c>
    </row>
    <row r="1047" spans="1:7" ht="14.25" customHeight="1">
      <c r="A1047" s="1827" t="e">
        <f>+$A$1040</f>
        <v>#REF!</v>
      </c>
      <c r="B1047" s="1828"/>
      <c r="C1047" s="64"/>
      <c r="D1047" s="64"/>
      <c r="E1047" s="64"/>
      <c r="F1047" s="64">
        <v>45</v>
      </c>
      <c r="G1047" s="64">
        <f>+F1047</f>
        <v>45</v>
      </c>
    </row>
    <row r="1048" spans="1:7" ht="14.25" customHeight="1">
      <c r="A1048" s="1829" t="s">
        <v>227</v>
      </c>
      <c r="B1048" s="1830"/>
      <c r="C1048" s="1830"/>
      <c r="D1048" s="1830"/>
      <c r="E1048" s="1830"/>
      <c r="F1048" s="1828"/>
      <c r="G1048" s="191">
        <f>ROUND(SUM(G1047),2)</f>
        <v>45</v>
      </c>
    </row>
    <row r="1049" spans="1:7" ht="14.25" customHeight="1">
      <c r="A1049" s="1837"/>
      <c r="B1049" s="1838"/>
      <c r="C1049" s="1838"/>
      <c r="D1049" s="1838"/>
      <c r="E1049" s="1838"/>
      <c r="F1049" s="1838"/>
      <c r="G1049" s="1839"/>
    </row>
    <row r="1050" spans="1:7" ht="14.25" customHeight="1">
      <c r="A1050" s="66" t="s">
        <v>877</v>
      </c>
      <c r="B1050" s="1832" t="s">
        <v>498</v>
      </c>
      <c r="C1050" s="1830"/>
      <c r="D1050" s="1828"/>
      <c r="E1050" s="1833" t="s">
        <v>218</v>
      </c>
      <c r="F1050" s="1862"/>
      <c r="G1050" s="70" t="s">
        <v>127</v>
      </c>
    </row>
    <row r="1051" spans="1:7" ht="14.25" customHeight="1">
      <c r="A1051" s="66" t="s">
        <v>882</v>
      </c>
      <c r="B1051" s="1835" t="e">
        <f>+#REF!</f>
        <v>#REF!</v>
      </c>
      <c r="C1051" s="1621"/>
      <c r="D1051" s="1621"/>
      <c r="E1051" s="1621"/>
      <c r="F1051" s="1621"/>
      <c r="G1051" s="1622"/>
    </row>
    <row r="1052" spans="1:7" ht="14.25" customHeight="1">
      <c r="A1052" s="1836" t="s">
        <v>220</v>
      </c>
      <c r="B1052" s="1830"/>
      <c r="C1052" s="1830"/>
      <c r="D1052" s="1830"/>
      <c r="E1052" s="1830"/>
      <c r="F1052" s="1830"/>
      <c r="G1052" s="1828"/>
    </row>
    <row r="1053" spans="1:7" ht="14.25" customHeight="1">
      <c r="A1053" s="1829" t="s">
        <v>221</v>
      </c>
      <c r="B1053" s="1828"/>
      <c r="C1053" s="63" t="s">
        <v>222</v>
      </c>
      <c r="D1053" s="63" t="s">
        <v>252</v>
      </c>
      <c r="E1053" s="63" t="s">
        <v>224</v>
      </c>
      <c r="F1053" s="63" t="s">
        <v>225</v>
      </c>
      <c r="G1053" s="63" t="s">
        <v>226</v>
      </c>
    </row>
    <row r="1054" spans="1:7" ht="15" customHeight="1">
      <c r="A1054" s="1827" t="e">
        <f>+$A$1040</f>
        <v>#REF!</v>
      </c>
      <c r="B1054" s="1828"/>
      <c r="C1054" s="64"/>
      <c r="D1054" s="64"/>
      <c r="E1054" s="64"/>
      <c r="F1054" s="64">
        <v>2</v>
      </c>
      <c r="G1054" s="64">
        <f>+F1054</f>
        <v>2</v>
      </c>
    </row>
    <row r="1055" spans="1:7" ht="14.25" customHeight="1">
      <c r="A1055" s="1829" t="s">
        <v>227</v>
      </c>
      <c r="B1055" s="1830"/>
      <c r="C1055" s="1830"/>
      <c r="D1055" s="1830"/>
      <c r="E1055" s="1830"/>
      <c r="F1055" s="1828"/>
      <c r="G1055" s="191">
        <f>ROUND(SUM(G1054),2)</f>
        <v>2</v>
      </c>
    </row>
    <row r="1056" spans="1:7" ht="14.25" customHeight="1">
      <c r="A1056" s="1837"/>
      <c r="B1056" s="1838"/>
      <c r="C1056" s="1838"/>
      <c r="D1056" s="1838"/>
      <c r="E1056" s="1838"/>
      <c r="F1056" s="1838"/>
      <c r="G1056" s="1839"/>
    </row>
    <row r="1057" spans="1:7" ht="19.5" customHeight="1">
      <c r="A1057" s="66" t="str">
        <f>+A1036</f>
        <v>CAPITULO 8:</v>
      </c>
      <c r="B1057" s="1832" t="e">
        <f>+$B$1022</f>
        <v>#REF!</v>
      </c>
      <c r="C1057" s="1830"/>
      <c r="D1057" s="1828"/>
      <c r="E1057" s="1833" t="s">
        <v>218</v>
      </c>
      <c r="F1057" s="1834"/>
      <c r="G1057" s="70" t="e">
        <f>+#REF!</f>
        <v>#REF!</v>
      </c>
    </row>
    <row r="1058" spans="1:7" ht="23.25" customHeight="1">
      <c r="A1058" s="66" t="s">
        <v>883</v>
      </c>
      <c r="B1058" s="1835" t="e">
        <f>+#REF!</f>
        <v>#REF!</v>
      </c>
      <c r="C1058" s="1621"/>
      <c r="D1058" s="1621"/>
      <c r="E1058" s="1621"/>
      <c r="F1058" s="1621"/>
      <c r="G1058" s="1622"/>
    </row>
    <row r="1059" spans="1:7" ht="14.25" customHeight="1">
      <c r="A1059" s="1836" t="s">
        <v>220</v>
      </c>
      <c r="B1059" s="1830"/>
      <c r="C1059" s="1830"/>
      <c r="D1059" s="1830"/>
      <c r="E1059" s="1830"/>
      <c r="F1059" s="1830"/>
      <c r="G1059" s="1828"/>
    </row>
    <row r="1060" spans="1:7" ht="14.25" customHeight="1">
      <c r="A1060" s="1829" t="s">
        <v>221</v>
      </c>
      <c r="B1060" s="1828"/>
      <c r="C1060" s="63" t="s">
        <v>222</v>
      </c>
      <c r="D1060" s="63" t="s">
        <v>252</v>
      </c>
      <c r="E1060" s="63" t="s">
        <v>224</v>
      </c>
      <c r="F1060" s="63" t="s">
        <v>225</v>
      </c>
      <c r="G1060" s="63" t="s">
        <v>226</v>
      </c>
    </row>
    <row r="1061" spans="1:7" ht="14.25" customHeight="1">
      <c r="A1061" s="1827" t="e">
        <f>+$A$1040</f>
        <v>#REF!</v>
      </c>
      <c r="B1061" s="1828"/>
      <c r="C1061" s="64"/>
      <c r="D1061" s="64"/>
      <c r="E1061" s="64"/>
      <c r="F1061" s="64">
        <v>440</v>
      </c>
      <c r="G1061" s="64">
        <f>+F1061</f>
        <v>440</v>
      </c>
    </row>
    <row r="1062" spans="1:7" ht="14.25" customHeight="1">
      <c r="A1062" s="1829" t="s">
        <v>227</v>
      </c>
      <c r="B1062" s="1830"/>
      <c r="C1062" s="1830"/>
      <c r="D1062" s="1830"/>
      <c r="E1062" s="1830"/>
      <c r="F1062" s="1828"/>
      <c r="G1062" s="191">
        <f>SUM(G1061)</f>
        <v>440</v>
      </c>
    </row>
    <row r="1063" spans="1:7" ht="14.25" customHeight="1">
      <c r="A1063" s="1837"/>
      <c r="B1063" s="1838"/>
      <c r="C1063" s="1838"/>
      <c r="D1063" s="1838"/>
      <c r="E1063" s="1838"/>
      <c r="F1063" s="1838"/>
      <c r="G1063" s="1839"/>
    </row>
    <row r="1064" spans="1:7" ht="18.75" customHeight="1">
      <c r="A1064" s="66" t="str">
        <f>+A1057</f>
        <v>CAPITULO 8:</v>
      </c>
      <c r="B1064" s="1832" t="e">
        <f>+$B$1022</f>
        <v>#REF!</v>
      </c>
      <c r="C1064" s="1830"/>
      <c r="D1064" s="1828"/>
      <c r="E1064" s="1833" t="s">
        <v>218</v>
      </c>
      <c r="F1064" s="1834"/>
      <c r="G1064" s="70" t="e">
        <f>+#REF!</f>
        <v>#REF!</v>
      </c>
    </row>
    <row r="1065" spans="1:7" ht="25.5" customHeight="1">
      <c r="A1065" s="66" t="s">
        <v>884</v>
      </c>
      <c r="B1065" s="1835" t="e">
        <f>+#REF!</f>
        <v>#REF!</v>
      </c>
      <c r="C1065" s="1621"/>
      <c r="D1065" s="1621"/>
      <c r="E1065" s="1621"/>
      <c r="F1065" s="1621"/>
      <c r="G1065" s="1622"/>
    </row>
    <row r="1066" spans="1:7" ht="14.25" customHeight="1">
      <c r="A1066" s="1836" t="s">
        <v>220</v>
      </c>
      <c r="B1066" s="1830"/>
      <c r="C1066" s="1830"/>
      <c r="D1066" s="1830"/>
      <c r="E1066" s="1830"/>
      <c r="F1066" s="1830"/>
      <c r="G1066" s="1828"/>
    </row>
    <row r="1067" spans="1:7" ht="14.25" customHeight="1">
      <c r="A1067" s="1829" t="s">
        <v>221</v>
      </c>
      <c r="B1067" s="1828"/>
      <c r="C1067" s="63" t="s">
        <v>222</v>
      </c>
      <c r="D1067" s="63" t="s">
        <v>252</v>
      </c>
      <c r="E1067" s="63" t="s">
        <v>224</v>
      </c>
      <c r="F1067" s="63" t="s">
        <v>225</v>
      </c>
      <c r="G1067" s="63" t="s">
        <v>226</v>
      </c>
    </row>
    <row r="1068" spans="1:7" ht="27.75" customHeight="1">
      <c r="A1068" s="1827" t="s">
        <v>885</v>
      </c>
      <c r="B1068" s="1828"/>
      <c r="C1068" s="64"/>
      <c r="D1068" s="64"/>
      <c r="E1068" s="64"/>
      <c r="F1068" s="64">
        <v>440</v>
      </c>
      <c r="G1068" s="64">
        <f>+F1068</f>
        <v>440</v>
      </c>
    </row>
    <row r="1069" spans="1:7" ht="14.25" customHeight="1">
      <c r="A1069" s="1829" t="s">
        <v>227</v>
      </c>
      <c r="B1069" s="1830"/>
      <c r="C1069" s="1830"/>
      <c r="D1069" s="1830"/>
      <c r="E1069" s="1830"/>
      <c r="F1069" s="1828"/>
      <c r="G1069" s="191">
        <f>SUM(G1068)</f>
        <v>440</v>
      </c>
    </row>
    <row r="1070" spans="1:7" ht="14.25" customHeight="1">
      <c r="A1070" s="198"/>
      <c r="B1070" s="198"/>
      <c r="C1070" s="198"/>
      <c r="D1070" s="198"/>
      <c r="E1070" s="198"/>
      <c r="F1070" s="198"/>
      <c r="G1070" s="198"/>
    </row>
    <row r="1071" spans="1:7" ht="14.25" customHeight="1">
      <c r="A1071" s="1837"/>
      <c r="B1071" s="1838"/>
      <c r="C1071" s="1838"/>
      <c r="D1071" s="1838"/>
      <c r="E1071" s="1838"/>
      <c r="F1071" s="1838"/>
      <c r="G1071" s="1839"/>
    </row>
    <row r="1072" spans="1:7" ht="20.25" customHeight="1">
      <c r="A1072" s="66" t="str">
        <f>+A1064</f>
        <v>CAPITULO 8:</v>
      </c>
      <c r="B1072" s="1832" t="e">
        <f>+$B$1022</f>
        <v>#REF!</v>
      </c>
      <c r="C1072" s="1830"/>
      <c r="D1072" s="1828"/>
      <c r="E1072" s="1833" t="s">
        <v>218</v>
      </c>
      <c r="F1072" s="1834"/>
      <c r="G1072" s="70" t="e">
        <f>+#REF!</f>
        <v>#REF!</v>
      </c>
    </row>
    <row r="1073" spans="1:7" ht="14.25" customHeight="1">
      <c r="A1073" s="66" t="s">
        <v>886</v>
      </c>
      <c r="B1073" s="1835" t="e">
        <f>+#REF!</f>
        <v>#REF!</v>
      </c>
      <c r="C1073" s="1621"/>
      <c r="D1073" s="1621"/>
      <c r="E1073" s="1621"/>
      <c r="F1073" s="1621"/>
      <c r="G1073" s="1622"/>
    </row>
    <row r="1074" spans="1:7" ht="14.25" customHeight="1">
      <c r="A1074" s="1836" t="s">
        <v>220</v>
      </c>
      <c r="B1074" s="1830"/>
      <c r="C1074" s="1830"/>
      <c r="D1074" s="1830"/>
      <c r="E1074" s="1830"/>
      <c r="F1074" s="1830"/>
      <c r="G1074" s="1828"/>
    </row>
    <row r="1075" spans="1:7" ht="14.25" customHeight="1">
      <c r="A1075" s="1829" t="s">
        <v>221</v>
      </c>
      <c r="B1075" s="1828"/>
      <c r="C1075" s="63" t="s">
        <v>222</v>
      </c>
      <c r="D1075" s="63" t="s">
        <v>252</v>
      </c>
      <c r="E1075" s="63" t="s">
        <v>224</v>
      </c>
      <c r="F1075" s="63" t="s">
        <v>225</v>
      </c>
      <c r="G1075" s="63" t="s">
        <v>226</v>
      </c>
    </row>
    <row r="1076" spans="1:7" ht="33" customHeight="1">
      <c r="A1076" s="1827" t="str">
        <f>+A1068</f>
        <v xml:space="preserve">ACOMETIDAS DESDE  TABLERO DISTRIBUCION  T.D.  </v>
      </c>
      <c r="B1076" s="1828"/>
      <c r="C1076" s="64"/>
      <c r="D1076" s="64"/>
      <c r="E1076" s="64"/>
      <c r="F1076" s="64">
        <v>20</v>
      </c>
      <c r="G1076" s="64">
        <f t="shared" ref="G1076:G1077" si="81">+F1076</f>
        <v>20</v>
      </c>
    </row>
    <row r="1077" spans="1:7" ht="14.25" customHeight="1">
      <c r="A1077" s="1827"/>
      <c r="B1077" s="1828"/>
      <c r="C1077" s="64"/>
      <c r="D1077" s="64"/>
      <c r="E1077" s="64"/>
      <c r="F1077" s="64"/>
      <c r="G1077" s="64">
        <f t="shared" si="81"/>
        <v>0</v>
      </c>
    </row>
    <row r="1078" spans="1:7" ht="14.25" customHeight="1">
      <c r="A1078" s="1829" t="s">
        <v>227</v>
      </c>
      <c r="B1078" s="1830"/>
      <c r="C1078" s="1830"/>
      <c r="D1078" s="1830"/>
      <c r="E1078" s="1830"/>
      <c r="F1078" s="1828"/>
      <c r="G1078" s="191">
        <f>SUM(G1076:G1077)</f>
        <v>20</v>
      </c>
    </row>
    <row r="1079" spans="1:7" ht="29.25" customHeight="1">
      <c r="A1079" s="66" t="str">
        <f t="shared" ref="A1079:B1079" si="82">+A1072</f>
        <v>CAPITULO 8:</v>
      </c>
      <c r="B1079" s="1832" t="e">
        <f t="shared" si="82"/>
        <v>#REF!</v>
      </c>
      <c r="C1079" s="1830"/>
      <c r="D1079" s="1828"/>
      <c r="E1079" s="1833" t="s">
        <v>218</v>
      </c>
      <c r="F1079" s="1834"/>
      <c r="G1079" s="70" t="s">
        <v>127</v>
      </c>
    </row>
    <row r="1080" spans="1:7" ht="14.25" customHeight="1">
      <c r="A1080" s="66" t="s">
        <v>887</v>
      </c>
      <c r="B1080" s="1835" t="e">
        <f>+#REF!</f>
        <v>#REF!</v>
      </c>
      <c r="C1080" s="1621"/>
      <c r="D1080" s="1621"/>
      <c r="E1080" s="1621"/>
      <c r="F1080" s="1621"/>
      <c r="G1080" s="1622"/>
    </row>
    <row r="1081" spans="1:7" ht="14.25" customHeight="1">
      <c r="A1081" s="1836" t="s">
        <v>220</v>
      </c>
      <c r="B1081" s="1830"/>
      <c r="C1081" s="1830"/>
      <c r="D1081" s="1830"/>
      <c r="E1081" s="1830"/>
      <c r="F1081" s="1830"/>
      <c r="G1081" s="1828"/>
    </row>
    <row r="1082" spans="1:7" ht="14.25" customHeight="1">
      <c r="A1082" s="1829" t="s">
        <v>221</v>
      </c>
      <c r="B1082" s="1828"/>
      <c r="C1082" s="63" t="s">
        <v>222</v>
      </c>
      <c r="D1082" s="63" t="s">
        <v>252</v>
      </c>
      <c r="E1082" s="63" t="s">
        <v>224</v>
      </c>
      <c r="F1082" s="63" t="s">
        <v>225</v>
      </c>
      <c r="G1082" s="63" t="s">
        <v>226</v>
      </c>
    </row>
    <row r="1083" spans="1:7" ht="14.25" customHeight="1">
      <c r="A1083" s="1827" t="e">
        <f>+#REF!</f>
        <v>#REF!</v>
      </c>
      <c r="B1083" s="1828"/>
      <c r="C1083" s="64"/>
      <c r="D1083" s="64"/>
      <c r="E1083" s="64"/>
      <c r="F1083" s="64">
        <v>260</v>
      </c>
      <c r="G1083" s="64">
        <f t="shared" ref="G1083:G1084" si="83">+F1083</f>
        <v>260</v>
      </c>
    </row>
    <row r="1084" spans="1:7" ht="14.25" customHeight="1">
      <c r="A1084" s="1827"/>
      <c r="B1084" s="1828"/>
      <c r="C1084" s="64"/>
      <c r="D1084" s="64"/>
      <c r="E1084" s="64"/>
      <c r="F1084" s="64"/>
      <c r="G1084" s="64">
        <f t="shared" si="83"/>
        <v>0</v>
      </c>
    </row>
    <row r="1085" spans="1:7" ht="14.25" customHeight="1">
      <c r="A1085" s="1829" t="s">
        <v>227</v>
      </c>
      <c r="B1085" s="1830"/>
      <c r="C1085" s="1830"/>
      <c r="D1085" s="1830"/>
      <c r="E1085" s="1830"/>
      <c r="F1085" s="1828"/>
      <c r="G1085" s="191">
        <f>SUM(G1083:G1084)</f>
        <v>260</v>
      </c>
    </row>
    <row r="1086" spans="1:7" ht="14.25" customHeight="1">
      <c r="A1086" s="1837"/>
      <c r="B1086" s="1838"/>
      <c r="C1086" s="1838"/>
      <c r="D1086" s="1838"/>
      <c r="E1086" s="1838"/>
      <c r="F1086" s="1838"/>
      <c r="G1086" s="1839"/>
    </row>
    <row r="1087" spans="1:7" ht="22.5" customHeight="1">
      <c r="A1087" s="66" t="str">
        <f>+A1079</f>
        <v>CAPITULO 8:</v>
      </c>
      <c r="B1087" s="1832" t="e">
        <f>+$B$1022</f>
        <v>#REF!</v>
      </c>
      <c r="C1087" s="1830"/>
      <c r="D1087" s="1828"/>
      <c r="E1087" s="1833" t="s">
        <v>218</v>
      </c>
      <c r="F1087" s="1834"/>
      <c r="G1087" s="70" t="s">
        <v>127</v>
      </c>
    </row>
    <row r="1088" spans="1:7" ht="14.25" customHeight="1">
      <c r="A1088" s="66" t="s">
        <v>888</v>
      </c>
      <c r="B1088" s="1835" t="e">
        <f>+#REF!</f>
        <v>#REF!</v>
      </c>
      <c r="C1088" s="1621"/>
      <c r="D1088" s="1621"/>
      <c r="E1088" s="1621"/>
      <c r="F1088" s="1621"/>
      <c r="G1088" s="1622"/>
    </row>
    <row r="1089" spans="1:7" ht="14.25" customHeight="1">
      <c r="A1089" s="1836" t="s">
        <v>220</v>
      </c>
      <c r="B1089" s="1830"/>
      <c r="C1089" s="1830"/>
      <c r="D1089" s="1830"/>
      <c r="E1089" s="1830"/>
      <c r="F1089" s="1830"/>
      <c r="G1089" s="1828"/>
    </row>
    <row r="1090" spans="1:7" ht="14.25" customHeight="1">
      <c r="A1090" s="1829" t="s">
        <v>221</v>
      </c>
      <c r="B1090" s="1828"/>
      <c r="C1090" s="63" t="s">
        <v>222</v>
      </c>
      <c r="D1090" s="63" t="s">
        <v>252</v>
      </c>
      <c r="E1090" s="63" t="s">
        <v>224</v>
      </c>
      <c r="F1090" s="63" t="s">
        <v>225</v>
      </c>
      <c r="G1090" s="63" t="s">
        <v>226</v>
      </c>
    </row>
    <row r="1091" spans="1:7" ht="14.25" customHeight="1">
      <c r="A1091" s="1827" t="e">
        <f>+#REF!</f>
        <v>#REF!</v>
      </c>
      <c r="B1091" s="1828"/>
      <c r="C1091" s="64"/>
      <c r="D1091" s="64"/>
      <c r="E1091" s="64"/>
      <c r="F1091" s="64">
        <v>90</v>
      </c>
      <c r="G1091" s="64">
        <f t="shared" ref="G1091:G1092" si="84">+F1091</f>
        <v>90</v>
      </c>
    </row>
    <row r="1092" spans="1:7" ht="14.25" customHeight="1">
      <c r="A1092" s="1827"/>
      <c r="B1092" s="1828"/>
      <c r="C1092" s="64"/>
      <c r="D1092" s="64"/>
      <c r="E1092" s="64"/>
      <c r="F1092" s="64"/>
      <c r="G1092" s="64">
        <f t="shared" si="84"/>
        <v>0</v>
      </c>
    </row>
    <row r="1093" spans="1:7" ht="14.25" customHeight="1">
      <c r="A1093" s="1829" t="s">
        <v>227</v>
      </c>
      <c r="B1093" s="1830"/>
      <c r="C1093" s="1830"/>
      <c r="D1093" s="1830"/>
      <c r="E1093" s="1830"/>
      <c r="F1093" s="1828"/>
      <c r="G1093" s="191">
        <f>SUM(G1091:G1092)</f>
        <v>90</v>
      </c>
    </row>
    <row r="1094" spans="1:7" ht="14.25" customHeight="1">
      <c r="A1094" s="1837"/>
      <c r="B1094" s="1838"/>
      <c r="C1094" s="1838"/>
      <c r="D1094" s="1838"/>
      <c r="E1094" s="1838"/>
      <c r="F1094" s="1838"/>
      <c r="G1094" s="1839"/>
    </row>
    <row r="1095" spans="1:7" ht="27" customHeight="1">
      <c r="A1095" s="66" t="str">
        <f>+A1087</f>
        <v>CAPITULO 8:</v>
      </c>
      <c r="B1095" s="1832" t="s">
        <v>889</v>
      </c>
      <c r="C1095" s="1830"/>
      <c r="D1095" s="1828"/>
      <c r="E1095" s="1833" t="s">
        <v>218</v>
      </c>
      <c r="F1095" s="1834"/>
      <c r="G1095" s="70" t="s">
        <v>127</v>
      </c>
    </row>
    <row r="1096" spans="1:7" ht="14.25" customHeight="1">
      <c r="A1096" s="66" t="s">
        <v>890</v>
      </c>
      <c r="B1096" s="1835" t="e">
        <f>+#REF!</f>
        <v>#REF!</v>
      </c>
      <c r="C1096" s="1621"/>
      <c r="D1096" s="1621"/>
      <c r="E1096" s="1621"/>
      <c r="F1096" s="1621"/>
      <c r="G1096" s="1622"/>
    </row>
    <row r="1097" spans="1:7" ht="14.25" customHeight="1">
      <c r="A1097" s="1836" t="s">
        <v>220</v>
      </c>
      <c r="B1097" s="1830"/>
      <c r="C1097" s="1830"/>
      <c r="D1097" s="1830"/>
      <c r="E1097" s="1830"/>
      <c r="F1097" s="1830"/>
      <c r="G1097" s="1828"/>
    </row>
    <row r="1098" spans="1:7" ht="14.25" customHeight="1">
      <c r="A1098" s="1829" t="s">
        <v>221</v>
      </c>
      <c r="B1098" s="1828"/>
      <c r="C1098" s="63" t="s">
        <v>222</v>
      </c>
      <c r="D1098" s="63" t="s">
        <v>252</v>
      </c>
      <c r="E1098" s="63" t="s">
        <v>224</v>
      </c>
      <c r="F1098" s="63" t="s">
        <v>225</v>
      </c>
      <c r="G1098" s="63" t="s">
        <v>226</v>
      </c>
    </row>
    <row r="1099" spans="1:7" ht="14.25" customHeight="1">
      <c r="A1099" s="1827" t="e">
        <f>+#REF!</f>
        <v>#REF!</v>
      </c>
      <c r="B1099" s="1828"/>
      <c r="C1099" s="64"/>
      <c r="D1099" s="64"/>
      <c r="E1099" s="64"/>
      <c r="F1099" s="64">
        <v>412</v>
      </c>
      <c r="G1099" s="64">
        <f t="shared" ref="G1099:G1100" si="85">+F1099</f>
        <v>412</v>
      </c>
    </row>
    <row r="1100" spans="1:7" ht="14.25" customHeight="1">
      <c r="A1100" s="1827"/>
      <c r="B1100" s="1828"/>
      <c r="C1100" s="64"/>
      <c r="D1100" s="64"/>
      <c r="E1100" s="64"/>
      <c r="F1100" s="64"/>
      <c r="G1100" s="64">
        <f t="shared" si="85"/>
        <v>0</v>
      </c>
    </row>
    <row r="1101" spans="1:7" ht="14.25" customHeight="1">
      <c r="A1101" s="1829" t="s">
        <v>227</v>
      </c>
      <c r="B1101" s="1830"/>
      <c r="C1101" s="1830"/>
      <c r="D1101" s="1830"/>
      <c r="E1101" s="1830"/>
      <c r="F1101" s="1828"/>
      <c r="G1101" s="191">
        <f>SUM(G1099:G1100)</f>
        <v>412</v>
      </c>
    </row>
    <row r="1102" spans="1:7" ht="14.25" customHeight="1">
      <c r="A1102" s="1837"/>
      <c r="B1102" s="1838"/>
      <c r="C1102" s="1838"/>
      <c r="D1102" s="1838"/>
      <c r="E1102" s="1838"/>
      <c r="F1102" s="1838"/>
      <c r="G1102" s="1839"/>
    </row>
    <row r="1103" spans="1:7" ht="14.25" customHeight="1">
      <c r="A1103" s="66" t="str">
        <f>+A1095</f>
        <v>CAPITULO 8:</v>
      </c>
      <c r="B1103" s="1832" t="s">
        <v>498</v>
      </c>
      <c r="C1103" s="1830"/>
      <c r="D1103" s="1828"/>
      <c r="E1103" s="1833" t="s">
        <v>218</v>
      </c>
      <c r="F1103" s="1834"/>
      <c r="G1103" s="70" t="s">
        <v>127</v>
      </c>
    </row>
    <row r="1104" spans="1:7" ht="14.25" customHeight="1">
      <c r="A1104" s="66" t="s">
        <v>891</v>
      </c>
      <c r="B1104" s="1835" t="e">
        <f>+#REF!</f>
        <v>#REF!</v>
      </c>
      <c r="C1104" s="1621"/>
      <c r="D1104" s="1621"/>
      <c r="E1104" s="1621"/>
      <c r="F1104" s="1621"/>
      <c r="G1104" s="1622"/>
    </row>
    <row r="1105" spans="1:7" ht="14.25" customHeight="1">
      <c r="A1105" s="1836" t="s">
        <v>220</v>
      </c>
      <c r="B1105" s="1830"/>
      <c r="C1105" s="1830"/>
      <c r="D1105" s="1830"/>
      <c r="E1105" s="1830"/>
      <c r="F1105" s="1830"/>
      <c r="G1105" s="1828"/>
    </row>
    <row r="1106" spans="1:7" ht="14.25" customHeight="1">
      <c r="A1106" s="1829" t="s">
        <v>221</v>
      </c>
      <c r="B1106" s="1828"/>
      <c r="C1106" s="63" t="s">
        <v>222</v>
      </c>
      <c r="D1106" s="63" t="s">
        <v>252</v>
      </c>
      <c r="E1106" s="63" t="s">
        <v>224</v>
      </c>
      <c r="F1106" s="63" t="s">
        <v>225</v>
      </c>
      <c r="G1106" s="63" t="s">
        <v>226</v>
      </c>
    </row>
    <row r="1107" spans="1:7" ht="14.25" customHeight="1">
      <c r="A1107" s="1827" t="e">
        <f>+#REF!</f>
        <v>#REF!</v>
      </c>
      <c r="B1107" s="1828"/>
      <c r="C1107" s="64"/>
      <c r="D1107" s="64"/>
      <c r="E1107" s="64"/>
      <c r="F1107" s="64">
        <v>149</v>
      </c>
      <c r="G1107" s="64">
        <f t="shared" ref="G1107:G1108" si="86">+F1107</f>
        <v>149</v>
      </c>
    </row>
    <row r="1108" spans="1:7" ht="14.25" customHeight="1">
      <c r="A1108" s="1827"/>
      <c r="B1108" s="1828"/>
      <c r="C1108" s="64"/>
      <c r="D1108" s="64"/>
      <c r="E1108" s="64"/>
      <c r="F1108" s="64"/>
      <c r="G1108" s="64">
        <f t="shared" si="86"/>
        <v>0</v>
      </c>
    </row>
    <row r="1109" spans="1:7" ht="14.25" customHeight="1">
      <c r="A1109" s="1829" t="s">
        <v>227</v>
      </c>
      <c r="B1109" s="1830"/>
      <c r="C1109" s="1830"/>
      <c r="D1109" s="1830"/>
      <c r="E1109" s="1830"/>
      <c r="F1109" s="1828"/>
      <c r="G1109" s="191">
        <f>SUM(G1107:G1108)</f>
        <v>149</v>
      </c>
    </row>
    <row r="1110" spans="1:7" ht="14.25" customHeight="1">
      <c r="A1110" s="1837"/>
      <c r="B1110" s="1838"/>
      <c r="C1110" s="1838"/>
      <c r="D1110" s="1838"/>
      <c r="E1110" s="1838"/>
      <c r="F1110" s="1838"/>
      <c r="G1110" s="1839"/>
    </row>
    <row r="1111" spans="1:7" ht="14.25" customHeight="1">
      <c r="A1111" s="66" t="str">
        <f t="shared" ref="A1111:B1111" si="87">+A1103</f>
        <v>CAPITULO 8:</v>
      </c>
      <c r="B1111" s="1832" t="str">
        <f t="shared" si="87"/>
        <v>INSTALACIONES ELECTRICAS</v>
      </c>
      <c r="C1111" s="1830"/>
      <c r="D1111" s="1828"/>
      <c r="E1111" s="1833" t="s">
        <v>218</v>
      </c>
      <c r="F1111" s="1834"/>
      <c r="G1111" s="70" t="e">
        <f>+#REF!</f>
        <v>#REF!</v>
      </c>
    </row>
    <row r="1112" spans="1:7" ht="14.25" customHeight="1">
      <c r="A1112" s="66" t="s">
        <v>892</v>
      </c>
      <c r="B1112" s="1835" t="e">
        <f>+#REF!</f>
        <v>#REF!</v>
      </c>
      <c r="C1112" s="1621"/>
      <c r="D1112" s="1621"/>
      <c r="E1112" s="1621"/>
      <c r="F1112" s="1621"/>
      <c r="G1112" s="1622"/>
    </row>
    <row r="1113" spans="1:7" ht="14.25" customHeight="1">
      <c r="A1113" s="1836" t="s">
        <v>220</v>
      </c>
      <c r="B1113" s="1830"/>
      <c r="C1113" s="1830"/>
      <c r="D1113" s="1830"/>
      <c r="E1113" s="1830"/>
      <c r="F1113" s="1830"/>
      <c r="G1113" s="1828"/>
    </row>
    <row r="1114" spans="1:7" ht="14.25" customHeight="1">
      <c r="A1114" s="1829" t="s">
        <v>221</v>
      </c>
      <c r="B1114" s="1828"/>
      <c r="C1114" s="63" t="s">
        <v>222</v>
      </c>
      <c r="D1114" s="63" t="s">
        <v>252</v>
      </c>
      <c r="E1114" s="63" t="s">
        <v>224</v>
      </c>
      <c r="F1114" s="63" t="s">
        <v>225</v>
      </c>
      <c r="G1114" s="63" t="s">
        <v>226</v>
      </c>
    </row>
    <row r="1115" spans="1:7" ht="14.25" customHeight="1">
      <c r="A1115" s="1827" t="e">
        <f>+#REF!</f>
        <v>#REF!</v>
      </c>
      <c r="B1115" s="1828"/>
      <c r="C1115" s="64"/>
      <c r="D1115" s="64"/>
      <c r="E1115" s="64"/>
      <c r="F1115" s="64">
        <v>60</v>
      </c>
      <c r="G1115" s="64">
        <f t="shared" ref="G1115:G1116" si="88">+F1115</f>
        <v>60</v>
      </c>
    </row>
    <row r="1116" spans="1:7" ht="14.25" customHeight="1">
      <c r="A1116" s="1827"/>
      <c r="B1116" s="1828"/>
      <c r="C1116" s="64"/>
      <c r="D1116" s="64"/>
      <c r="E1116" s="64"/>
      <c r="F1116" s="64"/>
      <c r="G1116" s="64">
        <f t="shared" si="88"/>
        <v>0</v>
      </c>
    </row>
    <row r="1117" spans="1:7" ht="14.25" customHeight="1">
      <c r="A1117" s="1829" t="s">
        <v>227</v>
      </c>
      <c r="B1117" s="1830"/>
      <c r="C1117" s="1830"/>
      <c r="D1117" s="1830"/>
      <c r="E1117" s="1830"/>
      <c r="F1117" s="1828"/>
      <c r="G1117" s="191">
        <f>SUM(G1115:G1116)</f>
        <v>60</v>
      </c>
    </row>
    <row r="1118" spans="1:7" ht="14.25" customHeight="1">
      <c r="A1118" s="1837"/>
      <c r="B1118" s="1838"/>
      <c r="C1118" s="1838"/>
      <c r="D1118" s="1838"/>
      <c r="E1118" s="1838"/>
      <c r="F1118" s="1838"/>
      <c r="G1118" s="1839"/>
    </row>
    <row r="1119" spans="1:7" ht="14.25" customHeight="1">
      <c r="A1119" s="66" t="str">
        <f>+A1111</f>
        <v>CAPITULO 8:</v>
      </c>
      <c r="B1119" s="1832" t="s">
        <v>260</v>
      </c>
      <c r="C1119" s="1830"/>
      <c r="D1119" s="1828"/>
      <c r="E1119" s="1833" t="s">
        <v>218</v>
      </c>
      <c r="F1119" s="1834"/>
      <c r="G1119" s="70" t="e">
        <f>+#REF!</f>
        <v>#REF!</v>
      </c>
    </row>
    <row r="1120" spans="1:7" ht="14.25" customHeight="1">
      <c r="A1120" s="66" t="s">
        <v>893</v>
      </c>
      <c r="B1120" s="1835" t="e">
        <f>+#REF!</f>
        <v>#REF!</v>
      </c>
      <c r="C1120" s="1621"/>
      <c r="D1120" s="1621"/>
      <c r="E1120" s="1621"/>
      <c r="F1120" s="1621"/>
      <c r="G1120" s="1622"/>
    </row>
    <row r="1121" spans="1:7" ht="14.25" customHeight="1">
      <c r="A1121" s="1836" t="s">
        <v>220</v>
      </c>
      <c r="B1121" s="1830"/>
      <c r="C1121" s="1830"/>
      <c r="D1121" s="1830"/>
      <c r="E1121" s="1830"/>
      <c r="F1121" s="1830"/>
      <c r="G1121" s="1828"/>
    </row>
    <row r="1122" spans="1:7" ht="14.25" customHeight="1">
      <c r="A1122" s="1829" t="s">
        <v>221</v>
      </c>
      <c r="B1122" s="1828"/>
      <c r="C1122" s="63" t="s">
        <v>222</v>
      </c>
      <c r="D1122" s="63" t="s">
        <v>252</v>
      </c>
      <c r="E1122" s="63" t="s">
        <v>224</v>
      </c>
      <c r="F1122" s="63" t="s">
        <v>225</v>
      </c>
      <c r="G1122" s="63" t="s">
        <v>226</v>
      </c>
    </row>
    <row r="1123" spans="1:7" ht="14.25" customHeight="1">
      <c r="A1123" s="1827" t="e">
        <f>+#REF!</f>
        <v>#REF!</v>
      </c>
      <c r="B1123" s="1828"/>
      <c r="C1123" s="64"/>
      <c r="D1123" s="64"/>
      <c r="E1123" s="64"/>
      <c r="F1123" s="64">
        <v>415</v>
      </c>
      <c r="G1123" s="64">
        <f t="shared" ref="G1123:G1124" si="89">+F1123</f>
        <v>415</v>
      </c>
    </row>
    <row r="1124" spans="1:7" ht="14.25" customHeight="1">
      <c r="A1124" s="1827"/>
      <c r="B1124" s="1828"/>
      <c r="C1124" s="64"/>
      <c r="D1124" s="64"/>
      <c r="E1124" s="64"/>
      <c r="F1124" s="64"/>
      <c r="G1124" s="64">
        <f t="shared" si="89"/>
        <v>0</v>
      </c>
    </row>
    <row r="1125" spans="1:7" ht="14.25" customHeight="1">
      <c r="A1125" s="1829" t="s">
        <v>227</v>
      </c>
      <c r="B1125" s="1830"/>
      <c r="C1125" s="1830"/>
      <c r="D1125" s="1830"/>
      <c r="E1125" s="1830"/>
      <c r="F1125" s="1828"/>
      <c r="G1125" s="191">
        <f>SUM(G1123:G1124)</f>
        <v>415</v>
      </c>
    </row>
    <row r="1126" spans="1:7" ht="14.25" customHeight="1">
      <c r="A1126" s="1837"/>
      <c r="B1126" s="1838"/>
      <c r="C1126" s="1838"/>
      <c r="D1126" s="1838"/>
      <c r="E1126" s="1838"/>
      <c r="F1126" s="1838"/>
      <c r="G1126" s="1839"/>
    </row>
    <row r="1127" spans="1:7" ht="14.25" customHeight="1">
      <c r="A1127" s="66" t="str">
        <f>+A1119</f>
        <v>CAPITULO 8:</v>
      </c>
      <c r="B1127" s="1832" t="s">
        <v>260</v>
      </c>
      <c r="C1127" s="1830"/>
      <c r="D1127" s="1828"/>
      <c r="E1127" s="1833" t="s">
        <v>218</v>
      </c>
      <c r="F1127" s="1834"/>
      <c r="G1127" s="70" t="e">
        <f>+#REF!</f>
        <v>#REF!</v>
      </c>
    </row>
    <row r="1128" spans="1:7" ht="14.25" customHeight="1">
      <c r="A1128" s="66" t="s">
        <v>894</v>
      </c>
      <c r="B1128" s="1835" t="e">
        <f>+#REF!</f>
        <v>#REF!</v>
      </c>
      <c r="C1128" s="1621"/>
      <c r="D1128" s="1621"/>
      <c r="E1128" s="1621"/>
      <c r="F1128" s="1621"/>
      <c r="G1128" s="1622"/>
    </row>
    <row r="1129" spans="1:7" ht="14.25" customHeight="1">
      <c r="A1129" s="1836" t="s">
        <v>220</v>
      </c>
      <c r="B1129" s="1830"/>
      <c r="C1129" s="1830"/>
      <c r="D1129" s="1830"/>
      <c r="E1129" s="1830"/>
      <c r="F1129" s="1830"/>
      <c r="G1129" s="1828"/>
    </row>
    <row r="1130" spans="1:7" ht="14.25" customHeight="1">
      <c r="A1130" s="1829" t="s">
        <v>221</v>
      </c>
      <c r="B1130" s="1828"/>
      <c r="C1130" s="63" t="s">
        <v>222</v>
      </c>
      <c r="D1130" s="63" t="s">
        <v>252</v>
      </c>
      <c r="E1130" s="63" t="s">
        <v>224</v>
      </c>
      <c r="F1130" s="63" t="s">
        <v>225</v>
      </c>
      <c r="G1130" s="63" t="s">
        <v>226</v>
      </c>
    </row>
    <row r="1131" spans="1:7" ht="14.25" customHeight="1">
      <c r="A1131" s="1827" t="e">
        <f>+#REF!</f>
        <v>#REF!</v>
      </c>
      <c r="B1131" s="1828"/>
      <c r="C1131" s="64"/>
      <c r="D1131" s="64"/>
      <c r="E1131" s="64"/>
      <c r="F1131" s="64">
        <v>50</v>
      </c>
      <c r="G1131" s="64">
        <f t="shared" ref="G1131:G1132" si="90">+F1131</f>
        <v>50</v>
      </c>
    </row>
    <row r="1132" spans="1:7" ht="14.25" customHeight="1">
      <c r="A1132" s="1827"/>
      <c r="B1132" s="1828"/>
      <c r="C1132" s="64"/>
      <c r="D1132" s="64"/>
      <c r="E1132" s="64"/>
      <c r="F1132" s="64"/>
      <c r="G1132" s="64">
        <f t="shared" si="90"/>
        <v>0</v>
      </c>
    </row>
    <row r="1133" spans="1:7" ht="14.25" customHeight="1">
      <c r="A1133" s="1829" t="s">
        <v>227</v>
      </c>
      <c r="B1133" s="1830"/>
      <c r="C1133" s="1830"/>
      <c r="D1133" s="1830"/>
      <c r="E1133" s="1830"/>
      <c r="F1133" s="1828"/>
      <c r="G1133" s="191">
        <f>SUM(G1131:G1132)</f>
        <v>50</v>
      </c>
    </row>
    <row r="1134" spans="1:7" ht="14.25" customHeight="1">
      <c r="A1134" s="1831"/>
      <c r="B1134" s="1830"/>
      <c r="C1134" s="1830"/>
      <c r="D1134" s="1830"/>
      <c r="E1134" s="1830"/>
      <c r="F1134" s="1830"/>
      <c r="G1134" s="1828"/>
    </row>
    <row r="1135" spans="1:7" ht="14.25" customHeight="1">
      <c r="A1135" s="66" t="str">
        <f>+A1127</f>
        <v>CAPITULO 8:</v>
      </c>
      <c r="B1135" s="1832" t="s">
        <v>260</v>
      </c>
      <c r="C1135" s="1830"/>
      <c r="D1135" s="1828"/>
      <c r="E1135" s="1833" t="s">
        <v>218</v>
      </c>
      <c r="F1135" s="1834"/>
      <c r="G1135" s="70" t="e">
        <f>+#REF!</f>
        <v>#REF!</v>
      </c>
    </row>
    <row r="1136" spans="1:7" ht="14.25" customHeight="1">
      <c r="A1136" s="66" t="s">
        <v>895</v>
      </c>
      <c r="B1136" s="1835" t="e">
        <f>+#REF!</f>
        <v>#REF!</v>
      </c>
      <c r="C1136" s="1621"/>
      <c r="D1136" s="1621"/>
      <c r="E1136" s="1621"/>
      <c r="F1136" s="1621"/>
      <c r="G1136" s="1622"/>
    </row>
    <row r="1137" spans="1:7" ht="14.25" customHeight="1">
      <c r="A1137" s="1836" t="s">
        <v>220</v>
      </c>
      <c r="B1137" s="1830"/>
      <c r="C1137" s="1830"/>
      <c r="D1137" s="1830"/>
      <c r="E1137" s="1830"/>
      <c r="F1137" s="1830"/>
      <c r="G1137" s="1828"/>
    </row>
    <row r="1138" spans="1:7" ht="14.25" customHeight="1">
      <c r="A1138" s="1829" t="s">
        <v>221</v>
      </c>
      <c r="B1138" s="1828"/>
      <c r="C1138" s="63" t="s">
        <v>222</v>
      </c>
      <c r="D1138" s="63" t="s">
        <v>252</v>
      </c>
      <c r="E1138" s="63" t="s">
        <v>224</v>
      </c>
      <c r="F1138" s="63" t="s">
        <v>225</v>
      </c>
      <c r="G1138" s="63" t="s">
        <v>226</v>
      </c>
    </row>
    <row r="1139" spans="1:7" ht="14.25" customHeight="1">
      <c r="A1139" s="1827" t="e">
        <f>+#REF!</f>
        <v>#REF!</v>
      </c>
      <c r="B1139" s="1828"/>
      <c r="C1139" s="64"/>
      <c r="D1139" s="64"/>
      <c r="E1139" s="64"/>
      <c r="F1139" s="64">
        <v>87</v>
      </c>
      <c r="G1139" s="64">
        <f t="shared" ref="G1139:G1140" si="91">+F1139</f>
        <v>87</v>
      </c>
    </row>
    <row r="1140" spans="1:7" ht="14.25" customHeight="1">
      <c r="A1140" s="1827"/>
      <c r="B1140" s="1828"/>
      <c r="C1140" s="64"/>
      <c r="D1140" s="64"/>
      <c r="E1140" s="64"/>
      <c r="F1140" s="64"/>
      <c r="G1140" s="64">
        <f t="shared" si="91"/>
        <v>0</v>
      </c>
    </row>
    <row r="1141" spans="1:7" ht="14.25" customHeight="1">
      <c r="A1141" s="1829" t="s">
        <v>227</v>
      </c>
      <c r="B1141" s="1830"/>
      <c r="C1141" s="1830"/>
      <c r="D1141" s="1830"/>
      <c r="E1141" s="1830"/>
      <c r="F1141" s="1828"/>
      <c r="G1141" s="191">
        <f>SUM(G1139:G1140)</f>
        <v>87</v>
      </c>
    </row>
    <row r="1142" spans="1:7" ht="14.25" customHeight="1">
      <c r="A1142" s="1831"/>
      <c r="B1142" s="1830"/>
      <c r="C1142" s="1830"/>
      <c r="D1142" s="1830"/>
      <c r="E1142" s="1830"/>
      <c r="F1142" s="1830"/>
      <c r="G1142" s="1828"/>
    </row>
    <row r="1143" spans="1:7" ht="14.25" customHeight="1">
      <c r="A1143" s="66" t="str">
        <f>+A1135</f>
        <v>CAPITULO 8:</v>
      </c>
      <c r="B1143" s="1832" t="s">
        <v>260</v>
      </c>
      <c r="C1143" s="1830"/>
      <c r="D1143" s="1828"/>
      <c r="E1143" s="1833" t="s">
        <v>218</v>
      </c>
      <c r="F1143" s="1834"/>
      <c r="G1143" s="70" t="e">
        <f>+#REF!</f>
        <v>#REF!</v>
      </c>
    </row>
    <row r="1144" spans="1:7" ht="14.25" customHeight="1">
      <c r="A1144" s="66" t="s">
        <v>896</v>
      </c>
      <c r="B1144" s="1835" t="e">
        <f>+#REF!</f>
        <v>#REF!</v>
      </c>
      <c r="C1144" s="1621"/>
      <c r="D1144" s="1621"/>
      <c r="E1144" s="1621"/>
      <c r="F1144" s="1621"/>
      <c r="G1144" s="1622"/>
    </row>
    <row r="1145" spans="1:7" ht="14.25" customHeight="1">
      <c r="A1145" s="1836" t="s">
        <v>220</v>
      </c>
      <c r="B1145" s="1830"/>
      <c r="C1145" s="1830"/>
      <c r="D1145" s="1830"/>
      <c r="E1145" s="1830"/>
      <c r="F1145" s="1830"/>
      <c r="G1145" s="1828"/>
    </row>
    <row r="1146" spans="1:7" ht="14.25" customHeight="1">
      <c r="A1146" s="1829" t="s">
        <v>221</v>
      </c>
      <c r="B1146" s="1828"/>
      <c r="C1146" s="63" t="s">
        <v>222</v>
      </c>
      <c r="D1146" s="63" t="s">
        <v>252</v>
      </c>
      <c r="E1146" s="63" t="s">
        <v>224</v>
      </c>
      <c r="F1146" s="63" t="s">
        <v>225</v>
      </c>
      <c r="G1146" s="63" t="s">
        <v>226</v>
      </c>
    </row>
    <row r="1147" spans="1:7" ht="14.25" customHeight="1">
      <c r="A1147" s="1827" t="e">
        <f>+#REF!</f>
        <v>#REF!</v>
      </c>
      <c r="B1147" s="1828"/>
      <c r="C1147" s="64"/>
      <c r="D1147" s="64"/>
      <c r="E1147" s="64"/>
      <c r="F1147" s="64">
        <v>64</v>
      </c>
      <c r="G1147" s="64">
        <f t="shared" ref="G1147:G1148" si="92">+F1147</f>
        <v>64</v>
      </c>
    </row>
    <row r="1148" spans="1:7" ht="14.25" customHeight="1">
      <c r="A1148" s="1827"/>
      <c r="B1148" s="1828"/>
      <c r="C1148" s="64"/>
      <c r="D1148" s="64"/>
      <c r="E1148" s="64"/>
      <c r="F1148" s="64"/>
      <c r="G1148" s="64">
        <f t="shared" si="92"/>
        <v>0</v>
      </c>
    </row>
    <row r="1149" spans="1:7" ht="14.25" customHeight="1">
      <c r="A1149" s="1829" t="s">
        <v>227</v>
      </c>
      <c r="B1149" s="1830"/>
      <c r="C1149" s="1830"/>
      <c r="D1149" s="1830"/>
      <c r="E1149" s="1830"/>
      <c r="F1149" s="1828"/>
      <c r="G1149" s="191">
        <f>SUM(G1147:G1148)</f>
        <v>64</v>
      </c>
    </row>
    <row r="1150" spans="1:7" ht="14.25" customHeight="1">
      <c r="A1150" s="1831"/>
      <c r="B1150" s="1830"/>
      <c r="C1150" s="1830"/>
      <c r="D1150" s="1830"/>
      <c r="E1150" s="1830"/>
      <c r="F1150" s="1830"/>
      <c r="G1150" s="1828"/>
    </row>
    <row r="1151" spans="1:7" ht="14.25" customHeight="1">
      <c r="A1151" s="66" t="str">
        <f>+A1143</f>
        <v>CAPITULO 8:</v>
      </c>
      <c r="B1151" s="1832" t="s">
        <v>260</v>
      </c>
      <c r="C1151" s="1830"/>
      <c r="D1151" s="1828"/>
      <c r="E1151" s="1833" t="s">
        <v>218</v>
      </c>
      <c r="F1151" s="1834"/>
      <c r="G1151" s="70" t="e">
        <f>+#REF!</f>
        <v>#REF!</v>
      </c>
    </row>
    <row r="1152" spans="1:7" ht="14.25" customHeight="1">
      <c r="A1152" s="66" t="s">
        <v>897</v>
      </c>
      <c r="B1152" s="1835" t="e">
        <f>+#REF!</f>
        <v>#REF!</v>
      </c>
      <c r="C1152" s="1621"/>
      <c r="D1152" s="1621"/>
      <c r="E1152" s="1621"/>
      <c r="F1152" s="1621"/>
      <c r="G1152" s="1622"/>
    </row>
    <row r="1153" spans="1:7" ht="14.25" customHeight="1">
      <c r="A1153" s="1836" t="s">
        <v>220</v>
      </c>
      <c r="B1153" s="1830"/>
      <c r="C1153" s="1830"/>
      <c r="D1153" s="1830"/>
      <c r="E1153" s="1830"/>
      <c r="F1153" s="1830"/>
      <c r="G1153" s="1828"/>
    </row>
    <row r="1154" spans="1:7" ht="14.25" customHeight="1">
      <c r="A1154" s="1829" t="s">
        <v>221</v>
      </c>
      <c r="B1154" s="1828"/>
      <c r="C1154" s="63" t="s">
        <v>222</v>
      </c>
      <c r="D1154" s="63" t="s">
        <v>252</v>
      </c>
      <c r="E1154" s="63" t="s">
        <v>224</v>
      </c>
      <c r="F1154" s="63" t="s">
        <v>225</v>
      </c>
      <c r="G1154" s="63" t="s">
        <v>226</v>
      </c>
    </row>
    <row r="1155" spans="1:7" ht="14.25" customHeight="1">
      <c r="A1155" s="1827" t="e">
        <f>+#REF!</f>
        <v>#REF!</v>
      </c>
      <c r="B1155" s="1828"/>
      <c r="C1155" s="64"/>
      <c r="D1155" s="64"/>
      <c r="E1155" s="64"/>
      <c r="F1155" s="64">
        <v>47</v>
      </c>
      <c r="G1155" s="64">
        <f t="shared" ref="G1155:G1156" si="93">+F1155</f>
        <v>47</v>
      </c>
    </row>
    <row r="1156" spans="1:7" ht="14.25" customHeight="1">
      <c r="A1156" s="1827"/>
      <c r="B1156" s="1828"/>
      <c r="C1156" s="64"/>
      <c r="D1156" s="64"/>
      <c r="E1156" s="64"/>
      <c r="F1156" s="64"/>
      <c r="G1156" s="64">
        <f t="shared" si="93"/>
        <v>0</v>
      </c>
    </row>
    <row r="1157" spans="1:7" ht="14.25" customHeight="1">
      <c r="A1157" s="1829" t="s">
        <v>227</v>
      </c>
      <c r="B1157" s="1830"/>
      <c r="C1157" s="1830"/>
      <c r="D1157" s="1830"/>
      <c r="E1157" s="1830"/>
      <c r="F1157" s="1828"/>
      <c r="G1157" s="191">
        <f>SUM(G1155:G1156)</f>
        <v>47</v>
      </c>
    </row>
    <row r="1158" spans="1:7" ht="14.25" customHeight="1">
      <c r="A1158" s="1831"/>
      <c r="B1158" s="1830"/>
      <c r="C1158" s="1830"/>
      <c r="D1158" s="1830"/>
      <c r="E1158" s="1830"/>
      <c r="F1158" s="1830"/>
      <c r="G1158" s="1828"/>
    </row>
    <row r="1159" spans="1:7" ht="17.25" customHeight="1">
      <c r="A1159" s="66" t="str">
        <f>+A1151</f>
        <v>CAPITULO 8:</v>
      </c>
      <c r="B1159" s="1832" t="s">
        <v>260</v>
      </c>
      <c r="C1159" s="1830"/>
      <c r="D1159" s="1828"/>
      <c r="E1159" s="1833" t="s">
        <v>218</v>
      </c>
      <c r="F1159" s="1834"/>
      <c r="G1159" s="70" t="e">
        <f>+#REF!</f>
        <v>#REF!</v>
      </c>
    </row>
    <row r="1160" spans="1:7" ht="14.25" customHeight="1">
      <c r="A1160" s="66" t="s">
        <v>898</v>
      </c>
      <c r="B1160" s="1835" t="e">
        <f>+#REF!</f>
        <v>#REF!</v>
      </c>
      <c r="C1160" s="1621"/>
      <c r="D1160" s="1621"/>
      <c r="E1160" s="1621"/>
      <c r="F1160" s="1621"/>
      <c r="G1160" s="1622"/>
    </row>
    <row r="1161" spans="1:7" ht="14.25" customHeight="1">
      <c r="A1161" s="1836" t="s">
        <v>220</v>
      </c>
      <c r="B1161" s="1830"/>
      <c r="C1161" s="1830"/>
      <c r="D1161" s="1830"/>
      <c r="E1161" s="1830"/>
      <c r="F1161" s="1830"/>
      <c r="G1161" s="1828"/>
    </row>
    <row r="1162" spans="1:7" ht="14.25" customHeight="1">
      <c r="A1162" s="1829" t="s">
        <v>221</v>
      </c>
      <c r="B1162" s="1828"/>
      <c r="C1162" s="63" t="s">
        <v>222</v>
      </c>
      <c r="D1162" s="63" t="s">
        <v>252</v>
      </c>
      <c r="E1162" s="63" t="s">
        <v>224</v>
      </c>
      <c r="F1162" s="63" t="s">
        <v>225</v>
      </c>
      <c r="G1162" s="63" t="s">
        <v>226</v>
      </c>
    </row>
    <row r="1163" spans="1:7" ht="14.25" customHeight="1">
      <c r="A1163" s="1827" t="e">
        <f>+#REF!</f>
        <v>#REF!</v>
      </c>
      <c r="B1163" s="1828"/>
      <c r="C1163" s="64"/>
      <c r="D1163" s="64"/>
      <c r="E1163" s="64"/>
      <c r="F1163" s="64">
        <v>42.000000071427294</v>
      </c>
      <c r="G1163" s="64">
        <f t="shared" ref="G1163:G1164" si="94">+F1163</f>
        <v>42.000000071427294</v>
      </c>
    </row>
    <row r="1164" spans="1:7" ht="14.25" customHeight="1">
      <c r="A1164" s="1827"/>
      <c r="B1164" s="1828"/>
      <c r="C1164" s="64"/>
      <c r="D1164" s="64"/>
      <c r="E1164" s="64"/>
      <c r="F1164" s="64"/>
      <c r="G1164" s="64">
        <f t="shared" si="94"/>
        <v>0</v>
      </c>
    </row>
    <row r="1165" spans="1:7" ht="14.25" customHeight="1">
      <c r="A1165" s="1829" t="s">
        <v>227</v>
      </c>
      <c r="B1165" s="1830"/>
      <c r="C1165" s="1830"/>
      <c r="D1165" s="1830"/>
      <c r="E1165" s="1830"/>
      <c r="F1165" s="1828"/>
      <c r="G1165" s="191">
        <f>SUM(G1163:G1164)</f>
        <v>42.000000071427294</v>
      </c>
    </row>
    <row r="1166" spans="1:7" ht="14.25" customHeight="1">
      <c r="A1166" s="1831"/>
      <c r="B1166" s="1830"/>
      <c r="C1166" s="1830"/>
      <c r="D1166" s="1830"/>
      <c r="E1166" s="1830"/>
      <c r="F1166" s="1830"/>
      <c r="G1166" s="1828"/>
    </row>
    <row r="1167" spans="1:7" ht="14.25" customHeight="1">
      <c r="A1167" s="66" t="str">
        <f>+A1159</f>
        <v>CAPITULO 8:</v>
      </c>
      <c r="B1167" s="1832" t="s">
        <v>260</v>
      </c>
      <c r="C1167" s="1830"/>
      <c r="D1167" s="1828"/>
      <c r="E1167" s="1833" t="s">
        <v>218</v>
      </c>
      <c r="F1167" s="1834"/>
      <c r="G1167" s="70" t="s">
        <v>899</v>
      </c>
    </row>
    <row r="1168" spans="1:7" ht="14.25" customHeight="1">
      <c r="A1168" s="66" t="s">
        <v>900</v>
      </c>
      <c r="B1168" s="1835" t="e">
        <f>+#REF!</f>
        <v>#REF!</v>
      </c>
      <c r="C1168" s="1621"/>
      <c r="D1168" s="1621"/>
      <c r="E1168" s="1621"/>
      <c r="F1168" s="1621"/>
      <c r="G1168" s="1622"/>
    </row>
    <row r="1169" spans="1:7" ht="14.25" customHeight="1">
      <c r="A1169" s="1836" t="s">
        <v>220</v>
      </c>
      <c r="B1169" s="1830"/>
      <c r="C1169" s="1830"/>
      <c r="D1169" s="1830"/>
      <c r="E1169" s="1830"/>
      <c r="F1169" s="1830"/>
      <c r="G1169" s="1828"/>
    </row>
    <row r="1170" spans="1:7" ht="14.25" customHeight="1">
      <c r="A1170" s="1829" t="s">
        <v>221</v>
      </c>
      <c r="B1170" s="1828"/>
      <c r="C1170" s="63" t="s">
        <v>222</v>
      </c>
      <c r="D1170" s="63" t="s">
        <v>252</v>
      </c>
      <c r="E1170" s="63" t="s">
        <v>224</v>
      </c>
      <c r="F1170" s="63" t="s">
        <v>225</v>
      </c>
      <c r="G1170" s="63" t="s">
        <v>226</v>
      </c>
    </row>
    <row r="1171" spans="1:7" ht="14.25" customHeight="1">
      <c r="A1171" s="1827" t="e">
        <f>+#REF!</f>
        <v>#REF!</v>
      </c>
      <c r="B1171" s="1828"/>
      <c r="C1171" s="64"/>
      <c r="D1171" s="64"/>
      <c r="E1171" s="64"/>
      <c r="F1171" s="64">
        <v>4</v>
      </c>
      <c r="G1171" s="64">
        <f t="shared" ref="G1171:G1172" si="95">+F1171</f>
        <v>4</v>
      </c>
    </row>
    <row r="1172" spans="1:7" ht="14.25" customHeight="1">
      <c r="A1172" s="1827"/>
      <c r="B1172" s="1828"/>
      <c r="C1172" s="64"/>
      <c r="D1172" s="64"/>
      <c r="E1172" s="64"/>
      <c r="F1172" s="64"/>
      <c r="G1172" s="64">
        <f t="shared" si="95"/>
        <v>0</v>
      </c>
    </row>
    <row r="1173" spans="1:7" ht="14.25" customHeight="1">
      <c r="A1173" s="1829" t="s">
        <v>227</v>
      </c>
      <c r="B1173" s="1830"/>
      <c r="C1173" s="1830"/>
      <c r="D1173" s="1830"/>
      <c r="E1173" s="1830"/>
      <c r="F1173" s="1828"/>
      <c r="G1173" s="191">
        <f>SUM(G1171:G1172)</f>
        <v>4</v>
      </c>
    </row>
    <row r="1174" spans="1:7" ht="14.25" customHeight="1">
      <c r="A1174" s="1831"/>
      <c r="B1174" s="1830"/>
      <c r="C1174" s="1830"/>
      <c r="D1174" s="1830"/>
      <c r="E1174" s="1830"/>
      <c r="F1174" s="1830"/>
      <c r="G1174" s="1828"/>
    </row>
    <row r="1175" spans="1:7" ht="14.25" customHeight="1">
      <c r="A1175" s="66" t="str">
        <f>+A1167</f>
        <v>CAPITULO 8:</v>
      </c>
      <c r="B1175" s="1832" t="s">
        <v>260</v>
      </c>
      <c r="C1175" s="1830"/>
      <c r="D1175" s="1828"/>
      <c r="E1175" s="1833" t="s">
        <v>218</v>
      </c>
      <c r="F1175" s="1834"/>
      <c r="G1175" s="70" t="e">
        <f>+#REF!</f>
        <v>#REF!</v>
      </c>
    </row>
    <row r="1176" spans="1:7" ht="14.25" customHeight="1">
      <c r="A1176" s="66" t="s">
        <v>901</v>
      </c>
      <c r="B1176" s="1835" t="e">
        <f>+#REF!</f>
        <v>#REF!</v>
      </c>
      <c r="C1176" s="1621"/>
      <c r="D1176" s="1621"/>
      <c r="E1176" s="1621"/>
      <c r="F1176" s="1621"/>
      <c r="G1176" s="1622"/>
    </row>
    <row r="1177" spans="1:7" ht="14.25" customHeight="1">
      <c r="A1177" s="1836" t="s">
        <v>220</v>
      </c>
      <c r="B1177" s="1830"/>
      <c r="C1177" s="1830"/>
      <c r="D1177" s="1830"/>
      <c r="E1177" s="1830"/>
      <c r="F1177" s="1830"/>
      <c r="G1177" s="1828"/>
    </row>
    <row r="1178" spans="1:7" ht="14.25" customHeight="1">
      <c r="A1178" s="1829" t="s">
        <v>221</v>
      </c>
      <c r="B1178" s="1828"/>
      <c r="C1178" s="63" t="s">
        <v>222</v>
      </c>
      <c r="D1178" s="63" t="s">
        <v>252</v>
      </c>
      <c r="E1178" s="63" t="s">
        <v>224</v>
      </c>
      <c r="F1178" s="63" t="s">
        <v>225</v>
      </c>
      <c r="G1178" s="63" t="s">
        <v>226</v>
      </c>
    </row>
    <row r="1179" spans="1:7" ht="14.25" customHeight="1">
      <c r="A1179" s="1827" t="e">
        <f>+#REF!</f>
        <v>#REF!</v>
      </c>
      <c r="B1179" s="1828"/>
      <c r="C1179" s="64"/>
      <c r="D1179" s="64"/>
      <c r="E1179" s="64"/>
      <c r="F1179" s="64">
        <v>4</v>
      </c>
      <c r="G1179" s="64">
        <f t="shared" ref="G1179:G1180" si="96">+F1179</f>
        <v>4</v>
      </c>
    </row>
    <row r="1180" spans="1:7" ht="14.25" customHeight="1">
      <c r="A1180" s="1827"/>
      <c r="B1180" s="1828"/>
      <c r="C1180" s="64"/>
      <c r="D1180" s="64"/>
      <c r="E1180" s="64"/>
      <c r="F1180" s="64"/>
      <c r="G1180" s="64">
        <f t="shared" si="96"/>
        <v>0</v>
      </c>
    </row>
    <row r="1181" spans="1:7" ht="14.25" customHeight="1">
      <c r="A1181" s="1829" t="s">
        <v>227</v>
      </c>
      <c r="B1181" s="1830"/>
      <c r="C1181" s="1830"/>
      <c r="D1181" s="1830"/>
      <c r="E1181" s="1830"/>
      <c r="F1181" s="1828"/>
      <c r="G1181" s="191">
        <f>SUM(G1179:G1180)</f>
        <v>4</v>
      </c>
    </row>
    <row r="1182" spans="1:7" ht="14.25" customHeight="1">
      <c r="A1182" s="1831"/>
      <c r="B1182" s="1830"/>
      <c r="C1182" s="1830"/>
      <c r="D1182" s="1830"/>
      <c r="E1182" s="1830"/>
      <c r="F1182" s="1830"/>
      <c r="G1182" s="1828"/>
    </row>
    <row r="1183" spans="1:7" ht="14.25" customHeight="1">
      <c r="A1183" s="66" t="str">
        <f>+A1175</f>
        <v>CAPITULO 8:</v>
      </c>
      <c r="B1183" s="1832" t="s">
        <v>260</v>
      </c>
      <c r="C1183" s="1830"/>
      <c r="D1183" s="1828"/>
      <c r="E1183" s="1833" t="s">
        <v>218</v>
      </c>
      <c r="F1183" s="1834"/>
      <c r="G1183" s="70" t="e">
        <f>+#REF!</f>
        <v>#REF!</v>
      </c>
    </row>
    <row r="1184" spans="1:7" ht="14.25" customHeight="1">
      <c r="A1184" s="66" t="s">
        <v>902</v>
      </c>
      <c r="B1184" s="1835" t="e">
        <f>+#REF!</f>
        <v>#REF!</v>
      </c>
      <c r="C1184" s="1621"/>
      <c r="D1184" s="1621"/>
      <c r="E1184" s="1621"/>
      <c r="F1184" s="1621"/>
      <c r="G1184" s="1622"/>
    </row>
    <row r="1185" spans="1:7" ht="14.25" customHeight="1">
      <c r="A1185" s="1836" t="s">
        <v>220</v>
      </c>
      <c r="B1185" s="1830"/>
      <c r="C1185" s="1830"/>
      <c r="D1185" s="1830"/>
      <c r="E1185" s="1830"/>
      <c r="F1185" s="1830"/>
      <c r="G1185" s="1828"/>
    </row>
    <row r="1186" spans="1:7" ht="14.25" customHeight="1">
      <c r="A1186" s="1829" t="s">
        <v>221</v>
      </c>
      <c r="B1186" s="1828"/>
      <c r="C1186" s="63" t="s">
        <v>222</v>
      </c>
      <c r="D1186" s="63" t="s">
        <v>252</v>
      </c>
      <c r="E1186" s="63" t="s">
        <v>224</v>
      </c>
      <c r="F1186" s="63" t="s">
        <v>225</v>
      </c>
      <c r="G1186" s="63" t="s">
        <v>226</v>
      </c>
    </row>
    <row r="1187" spans="1:7" ht="14.25" customHeight="1">
      <c r="A1187" s="1827" t="s">
        <v>903</v>
      </c>
      <c r="B1187" s="1828"/>
      <c r="C1187" s="64"/>
      <c r="D1187" s="64"/>
      <c r="E1187" s="64"/>
      <c r="F1187" s="64">
        <v>6</v>
      </c>
      <c r="G1187" s="64">
        <f t="shared" ref="G1187:G1188" si="97">+F1187</f>
        <v>6</v>
      </c>
    </row>
    <row r="1188" spans="1:7" ht="14.25" customHeight="1">
      <c r="A1188" s="1827"/>
      <c r="B1188" s="1828"/>
      <c r="C1188" s="64"/>
      <c r="D1188" s="64"/>
      <c r="E1188" s="64"/>
      <c r="F1188" s="64"/>
      <c r="G1188" s="64">
        <f t="shared" si="97"/>
        <v>0</v>
      </c>
    </row>
    <row r="1189" spans="1:7" ht="14.25" customHeight="1">
      <c r="A1189" s="1829" t="s">
        <v>227</v>
      </c>
      <c r="B1189" s="1830"/>
      <c r="C1189" s="1830"/>
      <c r="D1189" s="1830"/>
      <c r="E1189" s="1830"/>
      <c r="F1189" s="1828"/>
      <c r="G1189" s="191">
        <f>SUM(G1187:G1188)</f>
        <v>6</v>
      </c>
    </row>
    <row r="1190" spans="1:7" ht="14.25" customHeight="1">
      <c r="A1190" s="1831"/>
      <c r="B1190" s="1830"/>
      <c r="C1190" s="1830"/>
      <c r="D1190" s="1830"/>
      <c r="E1190" s="1830"/>
      <c r="F1190" s="1830"/>
      <c r="G1190" s="1828"/>
    </row>
    <row r="1191" spans="1:7" ht="14.25" customHeight="1">
      <c r="A1191" s="66" t="str">
        <f>+A1183</f>
        <v>CAPITULO 8:</v>
      </c>
      <c r="B1191" s="1832" t="s">
        <v>260</v>
      </c>
      <c r="C1191" s="1830"/>
      <c r="D1191" s="1828"/>
      <c r="E1191" s="1833" t="s">
        <v>218</v>
      </c>
      <c r="F1191" s="1834"/>
      <c r="G1191" s="70" t="e">
        <f>+#REF!</f>
        <v>#REF!</v>
      </c>
    </row>
    <row r="1192" spans="1:7" ht="14.25" customHeight="1">
      <c r="A1192" s="66" t="s">
        <v>904</v>
      </c>
      <c r="B1192" s="1835" t="e">
        <f>+#REF!</f>
        <v>#REF!</v>
      </c>
      <c r="C1192" s="1621"/>
      <c r="D1192" s="1621"/>
      <c r="E1192" s="1621"/>
      <c r="F1192" s="1621"/>
      <c r="G1192" s="1622"/>
    </row>
    <row r="1193" spans="1:7" ht="14.25" customHeight="1">
      <c r="A1193" s="1836" t="s">
        <v>220</v>
      </c>
      <c r="B1193" s="1830"/>
      <c r="C1193" s="1830"/>
      <c r="D1193" s="1830"/>
      <c r="E1193" s="1830"/>
      <c r="F1193" s="1830"/>
      <c r="G1193" s="1828"/>
    </row>
    <row r="1194" spans="1:7" ht="14.25" customHeight="1">
      <c r="A1194" s="1829" t="s">
        <v>221</v>
      </c>
      <c r="B1194" s="1828"/>
      <c r="C1194" s="63" t="s">
        <v>222</v>
      </c>
      <c r="D1194" s="63" t="s">
        <v>252</v>
      </c>
      <c r="E1194" s="63" t="s">
        <v>224</v>
      </c>
      <c r="F1194" s="63" t="s">
        <v>225</v>
      </c>
      <c r="G1194" s="63" t="s">
        <v>226</v>
      </c>
    </row>
    <row r="1195" spans="1:7" ht="14.25" customHeight="1">
      <c r="A1195" s="1827" t="s">
        <v>903</v>
      </c>
      <c r="B1195" s="1828"/>
      <c r="C1195" s="64"/>
      <c r="D1195" s="64"/>
      <c r="E1195" s="64"/>
      <c r="F1195" s="64">
        <v>2</v>
      </c>
      <c r="G1195" s="64">
        <f t="shared" ref="G1195:G1196" si="98">+F1195</f>
        <v>2</v>
      </c>
    </row>
    <row r="1196" spans="1:7" ht="14.25" customHeight="1">
      <c r="A1196" s="1827"/>
      <c r="B1196" s="1828"/>
      <c r="C1196" s="64"/>
      <c r="D1196" s="64"/>
      <c r="E1196" s="64"/>
      <c r="F1196" s="64"/>
      <c r="G1196" s="64">
        <f t="shared" si="98"/>
        <v>0</v>
      </c>
    </row>
    <row r="1197" spans="1:7" ht="14.25" customHeight="1">
      <c r="A1197" s="1829" t="s">
        <v>227</v>
      </c>
      <c r="B1197" s="1830"/>
      <c r="C1197" s="1830"/>
      <c r="D1197" s="1830"/>
      <c r="E1197" s="1830"/>
      <c r="F1197" s="1828"/>
      <c r="G1197" s="191">
        <f>SUM(G1195:G1196)</f>
        <v>2</v>
      </c>
    </row>
    <row r="1198" spans="1:7" ht="14.25" customHeight="1">
      <c r="A1198" s="1831"/>
      <c r="B1198" s="1830"/>
      <c r="C1198" s="1830"/>
      <c r="D1198" s="1830"/>
      <c r="E1198" s="1830"/>
      <c r="F1198" s="1830"/>
      <c r="G1198" s="1828"/>
    </row>
    <row r="1199" spans="1:7" ht="14.25" customHeight="1">
      <c r="A1199" s="66" t="str">
        <f>+A1191</f>
        <v>CAPITULO 8:</v>
      </c>
      <c r="B1199" s="1832" t="s">
        <v>260</v>
      </c>
      <c r="C1199" s="1830"/>
      <c r="D1199" s="1828"/>
      <c r="E1199" s="1833" t="s">
        <v>218</v>
      </c>
      <c r="F1199" s="1834"/>
      <c r="G1199" s="70" t="e">
        <f>+#REF!</f>
        <v>#REF!</v>
      </c>
    </row>
    <row r="1200" spans="1:7" ht="14.25" customHeight="1">
      <c r="A1200" s="66" t="s">
        <v>905</v>
      </c>
      <c r="B1200" s="1835" t="e">
        <f>+#REF!</f>
        <v>#REF!</v>
      </c>
      <c r="C1200" s="1621"/>
      <c r="D1200" s="1621"/>
      <c r="E1200" s="1621"/>
      <c r="F1200" s="1621"/>
      <c r="G1200" s="1622"/>
    </row>
    <row r="1201" spans="1:7" ht="14.25" customHeight="1">
      <c r="A1201" s="1836" t="s">
        <v>220</v>
      </c>
      <c r="B1201" s="1830"/>
      <c r="C1201" s="1830"/>
      <c r="D1201" s="1830"/>
      <c r="E1201" s="1830"/>
      <c r="F1201" s="1830"/>
      <c r="G1201" s="1828"/>
    </row>
    <row r="1202" spans="1:7" ht="14.25" customHeight="1">
      <c r="A1202" s="1829" t="s">
        <v>221</v>
      </c>
      <c r="B1202" s="1828"/>
      <c r="C1202" s="63" t="s">
        <v>222</v>
      </c>
      <c r="D1202" s="63" t="s">
        <v>252</v>
      </c>
      <c r="E1202" s="63" t="s">
        <v>224</v>
      </c>
      <c r="F1202" s="63" t="s">
        <v>225</v>
      </c>
      <c r="G1202" s="63" t="s">
        <v>226</v>
      </c>
    </row>
    <row r="1203" spans="1:7" ht="14.25" customHeight="1">
      <c r="A1203" s="1827" t="s">
        <v>906</v>
      </c>
      <c r="B1203" s="1828"/>
      <c r="C1203" s="64"/>
      <c r="D1203" s="64"/>
      <c r="E1203" s="64"/>
      <c r="F1203" s="64">
        <v>1</v>
      </c>
      <c r="G1203" s="64">
        <f t="shared" ref="G1203:G1204" si="99">+F1203</f>
        <v>1</v>
      </c>
    </row>
    <row r="1204" spans="1:7" ht="14.25" customHeight="1">
      <c r="A1204" s="1827"/>
      <c r="B1204" s="1828"/>
      <c r="C1204" s="64"/>
      <c r="D1204" s="64"/>
      <c r="E1204" s="64"/>
      <c r="F1204" s="64"/>
      <c r="G1204" s="64">
        <f t="shared" si="99"/>
        <v>0</v>
      </c>
    </row>
    <row r="1205" spans="1:7" ht="14.25" customHeight="1">
      <c r="A1205" s="1829" t="s">
        <v>227</v>
      </c>
      <c r="B1205" s="1830"/>
      <c r="C1205" s="1830"/>
      <c r="D1205" s="1830"/>
      <c r="E1205" s="1830"/>
      <c r="F1205" s="1828"/>
      <c r="G1205" s="191">
        <f>SUM(G1203:G1204)</f>
        <v>1</v>
      </c>
    </row>
    <row r="1206" spans="1:7" ht="14.25" customHeight="1">
      <c r="A1206" s="1831"/>
      <c r="B1206" s="1830"/>
      <c r="C1206" s="1830"/>
      <c r="D1206" s="1830"/>
      <c r="E1206" s="1830"/>
      <c r="F1206" s="1830"/>
      <c r="G1206" s="1828"/>
    </row>
    <row r="1207" spans="1:7" ht="14.25" customHeight="1">
      <c r="A1207" s="66" t="str">
        <f>+A1199</f>
        <v>CAPITULO 8:</v>
      </c>
      <c r="B1207" s="1832" t="s">
        <v>260</v>
      </c>
      <c r="C1207" s="1830"/>
      <c r="D1207" s="1828"/>
      <c r="E1207" s="1833" t="s">
        <v>218</v>
      </c>
      <c r="F1207" s="1834"/>
      <c r="G1207" s="70" t="e">
        <f>+#REF!</f>
        <v>#REF!</v>
      </c>
    </row>
    <row r="1208" spans="1:7" ht="14.25" customHeight="1">
      <c r="A1208" s="66" t="s">
        <v>907</v>
      </c>
      <c r="B1208" s="1835" t="e">
        <f>+#REF!</f>
        <v>#REF!</v>
      </c>
      <c r="C1208" s="1621"/>
      <c r="D1208" s="1621"/>
      <c r="E1208" s="1621"/>
      <c r="F1208" s="1621"/>
      <c r="G1208" s="1622"/>
    </row>
    <row r="1209" spans="1:7" ht="14.25" customHeight="1">
      <c r="A1209" s="1836" t="s">
        <v>220</v>
      </c>
      <c r="B1209" s="1830"/>
      <c r="C1209" s="1830"/>
      <c r="D1209" s="1830"/>
      <c r="E1209" s="1830"/>
      <c r="F1209" s="1830"/>
      <c r="G1209" s="1828"/>
    </row>
    <row r="1210" spans="1:7" ht="14.25" customHeight="1">
      <c r="A1210" s="1829" t="s">
        <v>221</v>
      </c>
      <c r="B1210" s="1828"/>
      <c r="C1210" s="63" t="s">
        <v>222</v>
      </c>
      <c r="D1210" s="63" t="s">
        <v>252</v>
      </c>
      <c r="E1210" s="63" t="s">
        <v>224</v>
      </c>
      <c r="F1210" s="63" t="s">
        <v>225</v>
      </c>
      <c r="G1210" s="63" t="s">
        <v>226</v>
      </c>
    </row>
    <row r="1211" spans="1:7" ht="14.25" customHeight="1">
      <c r="A1211" s="1827" t="s">
        <v>906</v>
      </c>
      <c r="B1211" s="1828"/>
      <c r="C1211" s="64"/>
      <c r="D1211" s="64"/>
      <c r="E1211" s="64"/>
      <c r="F1211" s="64">
        <v>1</v>
      </c>
      <c r="G1211" s="64">
        <f t="shared" ref="G1211:G1212" si="100">+F1211</f>
        <v>1</v>
      </c>
    </row>
    <row r="1212" spans="1:7" ht="14.25" customHeight="1">
      <c r="A1212" s="1827"/>
      <c r="B1212" s="1828"/>
      <c r="C1212" s="64"/>
      <c r="D1212" s="64"/>
      <c r="E1212" s="64"/>
      <c r="F1212" s="64"/>
      <c r="G1212" s="64">
        <f t="shared" si="100"/>
        <v>0</v>
      </c>
    </row>
    <row r="1213" spans="1:7" ht="14.25" customHeight="1">
      <c r="A1213" s="1829" t="s">
        <v>227</v>
      </c>
      <c r="B1213" s="1830"/>
      <c r="C1213" s="1830"/>
      <c r="D1213" s="1830"/>
      <c r="E1213" s="1830"/>
      <c r="F1213" s="1828"/>
      <c r="G1213" s="191">
        <f>SUM(G1211:G1212)</f>
        <v>1</v>
      </c>
    </row>
    <row r="1214" spans="1:7" ht="14.25" customHeight="1">
      <c r="A1214" s="1831"/>
      <c r="B1214" s="1830"/>
      <c r="C1214" s="1830"/>
      <c r="D1214" s="1830"/>
      <c r="E1214" s="1830"/>
      <c r="F1214" s="1830"/>
      <c r="G1214" s="1828"/>
    </row>
    <row r="1215" spans="1:7" ht="14.25" customHeight="1">
      <c r="A1215" s="66" t="str">
        <f>+A1207</f>
        <v>CAPITULO 8:</v>
      </c>
      <c r="B1215" s="1832" t="s">
        <v>260</v>
      </c>
      <c r="C1215" s="1830"/>
      <c r="D1215" s="1828"/>
      <c r="E1215" s="1833" t="s">
        <v>218</v>
      </c>
      <c r="F1215" s="1834"/>
      <c r="G1215" s="70" t="e">
        <f>+#REF!</f>
        <v>#REF!</v>
      </c>
    </row>
    <row r="1216" spans="1:7" ht="14.25" customHeight="1">
      <c r="A1216" s="66" t="s">
        <v>908</v>
      </c>
      <c r="B1216" s="1835" t="e">
        <f>+#REF!</f>
        <v>#REF!</v>
      </c>
      <c r="C1216" s="1621"/>
      <c r="D1216" s="1621"/>
      <c r="E1216" s="1621"/>
      <c r="F1216" s="1621"/>
      <c r="G1216" s="1622"/>
    </row>
    <row r="1217" spans="1:7" ht="14.25" customHeight="1">
      <c r="A1217" s="1836" t="s">
        <v>220</v>
      </c>
      <c r="B1217" s="1830"/>
      <c r="C1217" s="1830"/>
      <c r="D1217" s="1830"/>
      <c r="E1217" s="1830"/>
      <c r="F1217" s="1830"/>
      <c r="G1217" s="1828"/>
    </row>
    <row r="1218" spans="1:7" ht="14.25" customHeight="1">
      <c r="A1218" s="1829" t="s">
        <v>221</v>
      </c>
      <c r="B1218" s="1828"/>
      <c r="C1218" s="63" t="s">
        <v>222</v>
      </c>
      <c r="D1218" s="63" t="s">
        <v>252</v>
      </c>
      <c r="E1218" s="63" t="s">
        <v>224</v>
      </c>
      <c r="F1218" s="63" t="s">
        <v>225</v>
      </c>
      <c r="G1218" s="63" t="s">
        <v>226</v>
      </c>
    </row>
    <row r="1219" spans="1:7" ht="14.25" customHeight="1">
      <c r="A1219" s="1827" t="s">
        <v>906</v>
      </c>
      <c r="B1219" s="1828"/>
      <c r="C1219" s="64"/>
      <c r="D1219" s="64"/>
      <c r="E1219" s="64"/>
      <c r="F1219" s="64">
        <v>1</v>
      </c>
      <c r="G1219" s="64">
        <f t="shared" ref="G1219:G1220" si="101">+F1219</f>
        <v>1</v>
      </c>
    </row>
    <row r="1220" spans="1:7" ht="14.25" customHeight="1">
      <c r="A1220" s="1827"/>
      <c r="B1220" s="1828"/>
      <c r="C1220" s="64"/>
      <c r="D1220" s="64"/>
      <c r="E1220" s="64"/>
      <c r="F1220" s="64"/>
      <c r="G1220" s="64">
        <f t="shared" si="101"/>
        <v>0</v>
      </c>
    </row>
    <row r="1221" spans="1:7" ht="14.25" customHeight="1">
      <c r="A1221" s="1829" t="s">
        <v>227</v>
      </c>
      <c r="B1221" s="1830"/>
      <c r="C1221" s="1830"/>
      <c r="D1221" s="1830"/>
      <c r="E1221" s="1830"/>
      <c r="F1221" s="1828"/>
      <c r="G1221" s="191">
        <f>SUM(G1219:G1220)</f>
        <v>1</v>
      </c>
    </row>
    <row r="1222" spans="1:7" ht="14.25" customHeight="1">
      <c r="A1222" s="1831"/>
      <c r="B1222" s="1830"/>
      <c r="C1222" s="1830"/>
      <c r="D1222" s="1830"/>
      <c r="E1222" s="1830"/>
      <c r="F1222" s="1830"/>
      <c r="G1222" s="1828"/>
    </row>
    <row r="1223" spans="1:7" ht="14.25" customHeight="1">
      <c r="A1223" s="66" t="str">
        <f>+A1215</f>
        <v>CAPITULO 8:</v>
      </c>
      <c r="B1223" s="1832" t="s">
        <v>260</v>
      </c>
      <c r="C1223" s="1830"/>
      <c r="D1223" s="1828"/>
      <c r="E1223" s="1833" t="s">
        <v>218</v>
      </c>
      <c r="F1223" s="1834"/>
      <c r="G1223" s="70" t="s">
        <v>899</v>
      </c>
    </row>
    <row r="1224" spans="1:7" ht="14.25" customHeight="1">
      <c r="A1224" s="66" t="s">
        <v>909</v>
      </c>
      <c r="B1224" s="1835" t="e">
        <f>+#REF!</f>
        <v>#REF!</v>
      </c>
      <c r="C1224" s="1621"/>
      <c r="D1224" s="1621"/>
      <c r="E1224" s="1621"/>
      <c r="F1224" s="1621"/>
      <c r="G1224" s="1622"/>
    </row>
    <row r="1225" spans="1:7" ht="14.25" customHeight="1">
      <c r="A1225" s="1836" t="s">
        <v>220</v>
      </c>
      <c r="B1225" s="1830"/>
      <c r="C1225" s="1830"/>
      <c r="D1225" s="1830"/>
      <c r="E1225" s="1830"/>
      <c r="F1225" s="1830"/>
      <c r="G1225" s="1828"/>
    </row>
    <row r="1226" spans="1:7" ht="14.25" customHeight="1">
      <c r="A1226" s="1829" t="s">
        <v>221</v>
      </c>
      <c r="B1226" s="1828"/>
      <c r="C1226" s="63" t="s">
        <v>222</v>
      </c>
      <c r="D1226" s="63" t="s">
        <v>252</v>
      </c>
      <c r="E1226" s="63" t="s">
        <v>224</v>
      </c>
      <c r="F1226" s="63" t="s">
        <v>225</v>
      </c>
      <c r="G1226" s="63" t="s">
        <v>226</v>
      </c>
    </row>
    <row r="1227" spans="1:7" ht="14.25" customHeight="1">
      <c r="A1227" s="1827" t="s">
        <v>906</v>
      </c>
      <c r="B1227" s="1828"/>
      <c r="C1227" s="64"/>
      <c r="D1227" s="64"/>
      <c r="E1227" s="64"/>
      <c r="F1227" s="64">
        <v>45</v>
      </c>
      <c r="G1227" s="64">
        <f t="shared" ref="G1227:G1228" si="102">+F1227</f>
        <v>45</v>
      </c>
    </row>
    <row r="1228" spans="1:7" ht="14.25" customHeight="1">
      <c r="A1228" s="1827"/>
      <c r="B1228" s="1828"/>
      <c r="C1228" s="64"/>
      <c r="D1228" s="64"/>
      <c r="E1228" s="64"/>
      <c r="F1228" s="64"/>
      <c r="G1228" s="64">
        <f t="shared" si="102"/>
        <v>0</v>
      </c>
    </row>
    <row r="1229" spans="1:7" ht="14.25" customHeight="1">
      <c r="A1229" s="1829" t="s">
        <v>227</v>
      </c>
      <c r="B1229" s="1830"/>
      <c r="C1229" s="1830"/>
      <c r="D1229" s="1830"/>
      <c r="E1229" s="1830"/>
      <c r="F1229" s="1828"/>
      <c r="G1229" s="191">
        <f>SUM(G1227:G1228)</f>
        <v>45</v>
      </c>
    </row>
    <row r="1230" spans="1:7" ht="14.25" customHeight="1">
      <c r="A1230" s="1831"/>
      <c r="B1230" s="1830"/>
      <c r="C1230" s="1830"/>
      <c r="D1230" s="1830"/>
      <c r="E1230" s="1830"/>
      <c r="F1230" s="1830"/>
      <c r="G1230" s="1828"/>
    </row>
    <row r="1231" spans="1:7" ht="14.25" customHeight="1">
      <c r="A1231" s="66" t="str">
        <f>+A1223</f>
        <v>CAPITULO 8:</v>
      </c>
      <c r="B1231" s="1832" t="s">
        <v>260</v>
      </c>
      <c r="C1231" s="1830"/>
      <c r="D1231" s="1828"/>
      <c r="E1231" s="1833" t="s">
        <v>218</v>
      </c>
      <c r="F1231" s="1834"/>
      <c r="G1231" s="70" t="s">
        <v>910</v>
      </c>
    </row>
    <row r="1232" spans="1:7" ht="14.25" customHeight="1">
      <c r="A1232" s="66" t="s">
        <v>911</v>
      </c>
      <c r="B1232" s="1835" t="e">
        <f>+#REF!</f>
        <v>#REF!</v>
      </c>
      <c r="C1232" s="1621"/>
      <c r="D1232" s="1621"/>
      <c r="E1232" s="1621"/>
      <c r="F1232" s="1621"/>
      <c r="G1232" s="1622"/>
    </row>
    <row r="1233" spans="1:7" ht="14.25" customHeight="1">
      <c r="A1233" s="1836" t="s">
        <v>220</v>
      </c>
      <c r="B1233" s="1830"/>
      <c r="C1233" s="1830"/>
      <c r="D1233" s="1830"/>
      <c r="E1233" s="1830"/>
      <c r="F1233" s="1830"/>
      <c r="G1233" s="1828"/>
    </row>
    <row r="1234" spans="1:7" ht="14.25" customHeight="1">
      <c r="A1234" s="1829" t="s">
        <v>221</v>
      </c>
      <c r="B1234" s="1828"/>
      <c r="C1234" s="63" t="s">
        <v>222</v>
      </c>
      <c r="D1234" s="63" t="s">
        <v>252</v>
      </c>
      <c r="E1234" s="63" t="s">
        <v>224</v>
      </c>
      <c r="F1234" s="63" t="s">
        <v>225</v>
      </c>
      <c r="G1234" s="63" t="s">
        <v>226</v>
      </c>
    </row>
    <row r="1235" spans="1:7" ht="14.25" customHeight="1">
      <c r="A1235" s="1827" t="s">
        <v>906</v>
      </c>
      <c r="B1235" s="1828"/>
      <c r="C1235" s="64"/>
      <c r="D1235" s="64"/>
      <c r="E1235" s="64"/>
      <c r="F1235" s="64">
        <v>1</v>
      </c>
      <c r="G1235" s="64">
        <f t="shared" ref="G1235:G1236" si="103">+F1235</f>
        <v>1</v>
      </c>
    </row>
    <row r="1236" spans="1:7" ht="14.25" customHeight="1">
      <c r="A1236" s="1827"/>
      <c r="B1236" s="1828"/>
      <c r="C1236" s="64"/>
      <c r="D1236" s="64"/>
      <c r="E1236" s="64"/>
      <c r="F1236" s="64"/>
      <c r="G1236" s="64">
        <f t="shared" si="103"/>
        <v>0</v>
      </c>
    </row>
    <row r="1237" spans="1:7" ht="14.25" customHeight="1">
      <c r="A1237" s="1829" t="s">
        <v>227</v>
      </c>
      <c r="B1237" s="1830"/>
      <c r="C1237" s="1830"/>
      <c r="D1237" s="1830"/>
      <c r="E1237" s="1830"/>
      <c r="F1237" s="1828"/>
      <c r="G1237" s="191">
        <f>SUM(G1235:G1236)</f>
        <v>1</v>
      </c>
    </row>
    <row r="1238" spans="1:7" ht="14.25" customHeight="1">
      <c r="A1238" s="1831"/>
      <c r="B1238" s="1830"/>
      <c r="C1238" s="1830"/>
      <c r="D1238" s="1830"/>
      <c r="E1238" s="1830"/>
      <c r="F1238" s="1830"/>
      <c r="G1238" s="1828"/>
    </row>
    <row r="1239" spans="1:7" ht="14.25" customHeight="1">
      <c r="A1239" s="66" t="str">
        <f>+A1231</f>
        <v>CAPITULO 8:</v>
      </c>
      <c r="B1239" s="1832" t="s">
        <v>260</v>
      </c>
      <c r="C1239" s="1830"/>
      <c r="D1239" s="1828"/>
      <c r="E1239" s="1833" t="s">
        <v>218</v>
      </c>
      <c r="F1239" s="1834"/>
      <c r="G1239" s="70" t="e">
        <f>+#REF!</f>
        <v>#REF!</v>
      </c>
    </row>
    <row r="1240" spans="1:7" ht="14.25" customHeight="1">
      <c r="A1240" s="66" t="s">
        <v>912</v>
      </c>
      <c r="B1240" s="1835" t="e">
        <f>+#REF!</f>
        <v>#REF!</v>
      </c>
      <c r="C1240" s="1621"/>
      <c r="D1240" s="1621"/>
      <c r="E1240" s="1621"/>
      <c r="F1240" s="1621"/>
      <c r="G1240" s="1622"/>
    </row>
    <row r="1241" spans="1:7" ht="14.25" customHeight="1">
      <c r="A1241" s="1836" t="s">
        <v>220</v>
      </c>
      <c r="B1241" s="1830"/>
      <c r="C1241" s="1830"/>
      <c r="D1241" s="1830"/>
      <c r="E1241" s="1830"/>
      <c r="F1241" s="1830"/>
      <c r="G1241" s="1828"/>
    </row>
    <row r="1242" spans="1:7" ht="14.25" customHeight="1">
      <c r="A1242" s="1829" t="s">
        <v>221</v>
      </c>
      <c r="B1242" s="1828"/>
      <c r="C1242" s="63" t="s">
        <v>222</v>
      </c>
      <c r="D1242" s="63" t="s">
        <v>252</v>
      </c>
      <c r="E1242" s="63" t="s">
        <v>224</v>
      </c>
      <c r="F1242" s="63" t="s">
        <v>225</v>
      </c>
      <c r="G1242" s="63" t="s">
        <v>226</v>
      </c>
    </row>
    <row r="1243" spans="1:7" ht="14.25" customHeight="1">
      <c r="A1243" s="1827" t="s">
        <v>906</v>
      </c>
      <c r="B1243" s="1828"/>
      <c r="C1243" s="64"/>
      <c r="D1243" s="64"/>
      <c r="E1243" s="64"/>
      <c r="F1243" s="64">
        <v>1</v>
      </c>
      <c r="G1243" s="64">
        <f t="shared" ref="G1243:G1244" si="104">+F1243</f>
        <v>1</v>
      </c>
    </row>
    <row r="1244" spans="1:7" ht="14.25" customHeight="1">
      <c r="A1244" s="1827"/>
      <c r="B1244" s="1828"/>
      <c r="C1244" s="64"/>
      <c r="D1244" s="64"/>
      <c r="E1244" s="64"/>
      <c r="F1244" s="64"/>
      <c r="G1244" s="64">
        <f t="shared" si="104"/>
        <v>0</v>
      </c>
    </row>
    <row r="1245" spans="1:7" ht="14.25" customHeight="1">
      <c r="A1245" s="1829" t="s">
        <v>227</v>
      </c>
      <c r="B1245" s="1830"/>
      <c r="C1245" s="1830"/>
      <c r="D1245" s="1830"/>
      <c r="E1245" s="1830"/>
      <c r="F1245" s="1828"/>
      <c r="G1245" s="191">
        <f>SUM(G1243:G1244)</f>
        <v>1</v>
      </c>
    </row>
    <row r="1246" spans="1:7" ht="14.25" customHeight="1">
      <c r="A1246" s="1831"/>
      <c r="B1246" s="1830"/>
      <c r="C1246" s="1830"/>
      <c r="D1246" s="1830"/>
      <c r="E1246" s="1830"/>
      <c r="F1246" s="1830"/>
      <c r="G1246" s="1828"/>
    </row>
    <row r="1247" spans="1:7" ht="14.25" customHeight="1">
      <c r="A1247" s="66" t="str">
        <f>+A1239</f>
        <v>CAPITULO 8:</v>
      </c>
      <c r="B1247" s="1832" t="s">
        <v>260</v>
      </c>
      <c r="C1247" s="1830"/>
      <c r="D1247" s="1828"/>
      <c r="E1247" s="1833" t="s">
        <v>218</v>
      </c>
      <c r="F1247" s="1834"/>
      <c r="G1247" s="70" t="e">
        <f>+#REF!</f>
        <v>#REF!</v>
      </c>
    </row>
    <row r="1248" spans="1:7" ht="14.25" customHeight="1">
      <c r="A1248" s="66" t="s">
        <v>913</v>
      </c>
      <c r="B1248" s="1835" t="e">
        <f>+#REF!</f>
        <v>#REF!</v>
      </c>
      <c r="C1248" s="1621"/>
      <c r="D1248" s="1621"/>
      <c r="E1248" s="1621"/>
      <c r="F1248" s="1621"/>
      <c r="G1248" s="1622"/>
    </row>
    <row r="1249" spans="1:7" ht="14.25" customHeight="1">
      <c r="A1249" s="1836" t="s">
        <v>220</v>
      </c>
      <c r="B1249" s="1830"/>
      <c r="C1249" s="1830"/>
      <c r="D1249" s="1830"/>
      <c r="E1249" s="1830"/>
      <c r="F1249" s="1830"/>
      <c r="G1249" s="1828"/>
    </row>
    <row r="1250" spans="1:7" ht="14.25" customHeight="1">
      <c r="A1250" s="1829" t="s">
        <v>221</v>
      </c>
      <c r="B1250" s="1828"/>
      <c r="C1250" s="63" t="s">
        <v>222</v>
      </c>
      <c r="D1250" s="63" t="s">
        <v>252</v>
      </c>
      <c r="E1250" s="63" t="s">
        <v>224</v>
      </c>
      <c r="F1250" s="63" t="s">
        <v>225</v>
      </c>
      <c r="G1250" s="63" t="s">
        <v>226</v>
      </c>
    </row>
    <row r="1251" spans="1:7" ht="14.25" customHeight="1">
      <c r="A1251" s="1827" t="s">
        <v>906</v>
      </c>
      <c r="B1251" s="1828"/>
      <c r="C1251" s="64"/>
      <c r="D1251" s="64"/>
      <c r="E1251" s="64"/>
      <c r="F1251" s="64">
        <v>12</v>
      </c>
      <c r="G1251" s="64">
        <f t="shared" ref="G1251:G1252" si="105">+F1251</f>
        <v>12</v>
      </c>
    </row>
    <row r="1252" spans="1:7" ht="14.25" customHeight="1">
      <c r="A1252" s="1827"/>
      <c r="B1252" s="1828"/>
      <c r="C1252" s="64"/>
      <c r="D1252" s="64"/>
      <c r="E1252" s="64"/>
      <c r="F1252" s="64"/>
      <c r="G1252" s="64">
        <f t="shared" si="105"/>
        <v>0</v>
      </c>
    </row>
    <row r="1253" spans="1:7" ht="14.25" customHeight="1">
      <c r="A1253" s="1829" t="s">
        <v>227</v>
      </c>
      <c r="B1253" s="1830"/>
      <c r="C1253" s="1830"/>
      <c r="D1253" s="1830"/>
      <c r="E1253" s="1830"/>
      <c r="F1253" s="1828"/>
      <c r="G1253" s="191">
        <f>SUM(G1251:G1252)</f>
        <v>12</v>
      </c>
    </row>
    <row r="1254" spans="1:7" ht="14.25" customHeight="1">
      <c r="A1254" s="1831"/>
      <c r="B1254" s="1830"/>
      <c r="C1254" s="1830"/>
      <c r="D1254" s="1830"/>
      <c r="E1254" s="1830"/>
      <c r="F1254" s="1830"/>
      <c r="G1254" s="1828"/>
    </row>
    <row r="1255" spans="1:7" ht="14.25" customHeight="1">
      <c r="A1255" s="66" t="s">
        <v>914</v>
      </c>
      <c r="B1255" s="1832" t="e">
        <f>+#REF!</f>
        <v>#REF!</v>
      </c>
      <c r="C1255" s="1830"/>
      <c r="D1255" s="1828"/>
      <c r="E1255" s="1833" t="s">
        <v>218</v>
      </c>
      <c r="F1255" s="1834"/>
      <c r="G1255" s="70" t="e">
        <f>+#REF!</f>
        <v>#REF!</v>
      </c>
    </row>
    <row r="1256" spans="1:7" ht="27" customHeight="1">
      <c r="A1256" s="66" t="s">
        <v>915</v>
      </c>
      <c r="B1256" s="1863" t="e">
        <f>+#REF!</f>
        <v>#REF!</v>
      </c>
      <c r="C1256" s="1621"/>
      <c r="D1256" s="1621"/>
      <c r="E1256" s="1621"/>
      <c r="F1256" s="1621"/>
      <c r="G1256" s="1622"/>
    </row>
    <row r="1257" spans="1:7" ht="14.25" customHeight="1">
      <c r="A1257" s="1836" t="s">
        <v>220</v>
      </c>
      <c r="B1257" s="1830"/>
      <c r="C1257" s="1830"/>
      <c r="D1257" s="1830"/>
      <c r="E1257" s="1830"/>
      <c r="F1257" s="1830"/>
      <c r="G1257" s="1828"/>
    </row>
    <row r="1258" spans="1:7" ht="14.25" customHeight="1">
      <c r="A1258" s="1829" t="s">
        <v>221</v>
      </c>
      <c r="B1258" s="1828"/>
      <c r="C1258" s="63" t="s">
        <v>222</v>
      </c>
      <c r="D1258" s="63" t="s">
        <v>252</v>
      </c>
      <c r="E1258" s="63" t="s">
        <v>224</v>
      </c>
      <c r="F1258" s="63" t="s">
        <v>225</v>
      </c>
      <c r="G1258" s="63" t="s">
        <v>226</v>
      </c>
    </row>
    <row r="1259" spans="1:7" ht="14.25" customHeight="1">
      <c r="A1259" s="1827" t="s">
        <v>916</v>
      </c>
      <c r="B1259" s="1828"/>
      <c r="C1259" s="64">
        <v>1</v>
      </c>
      <c r="D1259" s="64">
        <v>1</v>
      </c>
      <c r="E1259" s="64"/>
      <c r="F1259" s="64"/>
      <c r="G1259" s="64">
        <f>++ROUND(D1259*C1259,2)</f>
        <v>1</v>
      </c>
    </row>
    <row r="1260" spans="1:7" ht="14.25" customHeight="1">
      <c r="A1260" s="1827"/>
      <c r="B1260" s="1828"/>
      <c r="C1260" s="64"/>
      <c r="D1260" s="64"/>
      <c r="E1260" s="64"/>
      <c r="F1260" s="64"/>
      <c r="G1260" s="64">
        <f>+F1260</f>
        <v>0</v>
      </c>
    </row>
    <row r="1261" spans="1:7" ht="14.25" customHeight="1">
      <c r="A1261" s="1829" t="s">
        <v>227</v>
      </c>
      <c r="B1261" s="1830"/>
      <c r="C1261" s="1830"/>
      <c r="D1261" s="1830"/>
      <c r="E1261" s="1830"/>
      <c r="F1261" s="1828"/>
      <c r="G1261" s="65">
        <f>SUM(G1259:G1260)</f>
        <v>1</v>
      </c>
    </row>
    <row r="1262" spans="1:7" ht="14.25" customHeight="1">
      <c r="A1262" s="1831"/>
      <c r="B1262" s="1830"/>
      <c r="C1262" s="1830"/>
      <c r="D1262" s="1830"/>
      <c r="E1262" s="1830"/>
      <c r="F1262" s="1830"/>
      <c r="G1262" s="1828"/>
    </row>
    <row r="1263" spans="1:7" ht="25.5" customHeight="1">
      <c r="A1263" s="66" t="s">
        <v>914</v>
      </c>
      <c r="B1263" s="1832" t="e">
        <f>+B1255</f>
        <v>#REF!</v>
      </c>
      <c r="C1263" s="1830"/>
      <c r="D1263" s="1828"/>
      <c r="E1263" s="1833" t="s">
        <v>218</v>
      </c>
      <c r="F1263" s="1834"/>
      <c r="G1263" s="70" t="e">
        <f>+#REF!</f>
        <v>#REF!</v>
      </c>
    </row>
    <row r="1264" spans="1:7" ht="27" customHeight="1">
      <c r="A1264" s="66" t="s">
        <v>917</v>
      </c>
      <c r="B1264" s="1863" t="e">
        <f>+#REF!</f>
        <v>#REF!</v>
      </c>
      <c r="C1264" s="1621"/>
      <c r="D1264" s="1621"/>
      <c r="E1264" s="1621"/>
      <c r="F1264" s="1621"/>
      <c r="G1264" s="1622"/>
    </row>
    <row r="1265" spans="1:7" ht="14.25" customHeight="1">
      <c r="A1265" s="1836" t="s">
        <v>220</v>
      </c>
      <c r="B1265" s="1830"/>
      <c r="C1265" s="1830"/>
      <c r="D1265" s="1830"/>
      <c r="E1265" s="1830"/>
      <c r="F1265" s="1830"/>
      <c r="G1265" s="1828"/>
    </row>
    <row r="1266" spans="1:7" ht="14.25" customHeight="1">
      <c r="A1266" s="1829" t="s">
        <v>221</v>
      </c>
      <c r="B1266" s="1828"/>
      <c r="C1266" s="63" t="s">
        <v>222</v>
      </c>
      <c r="D1266" s="63" t="s">
        <v>252</v>
      </c>
      <c r="E1266" s="63" t="s">
        <v>224</v>
      </c>
      <c r="F1266" s="63" t="s">
        <v>225</v>
      </c>
      <c r="G1266" s="63" t="s">
        <v>226</v>
      </c>
    </row>
    <row r="1267" spans="1:7" ht="14.25" customHeight="1">
      <c r="A1267" s="1827" t="s">
        <v>916</v>
      </c>
      <c r="B1267" s="1828"/>
      <c r="C1267" s="64">
        <f t="shared" ref="C1267:D1267" si="106">+C1259</f>
        <v>1</v>
      </c>
      <c r="D1267" s="64">
        <f t="shared" si="106"/>
        <v>1</v>
      </c>
      <c r="E1267" s="64">
        <v>1</v>
      </c>
      <c r="F1267" s="64"/>
      <c r="G1267" s="64">
        <f>+E1267*D1267*C1267</f>
        <v>1</v>
      </c>
    </row>
    <row r="1268" spans="1:7" ht="14.25" customHeight="1">
      <c r="A1268" s="1827"/>
      <c r="B1268" s="1828"/>
      <c r="C1268" s="64"/>
      <c r="D1268" s="64"/>
      <c r="E1268" s="64"/>
      <c r="F1268" s="64"/>
      <c r="G1268" s="64">
        <f>+F1268</f>
        <v>0</v>
      </c>
    </row>
    <row r="1269" spans="1:7" ht="14.25" customHeight="1">
      <c r="A1269" s="1829" t="s">
        <v>227</v>
      </c>
      <c r="B1269" s="1830"/>
      <c r="C1269" s="1830"/>
      <c r="D1269" s="1830"/>
      <c r="E1269" s="1830"/>
      <c r="F1269" s="1828"/>
      <c r="G1269" s="65">
        <f>SUM(G1267:G1268)</f>
        <v>1</v>
      </c>
    </row>
    <row r="1270" spans="1:7" ht="14.25" customHeight="1">
      <c r="A1270" s="1831"/>
      <c r="B1270" s="1830"/>
      <c r="C1270" s="1830"/>
      <c r="D1270" s="1830"/>
      <c r="E1270" s="1830"/>
      <c r="F1270" s="1830"/>
      <c r="G1270" s="1828"/>
    </row>
    <row r="1271" spans="1:7" ht="14.25" hidden="1" customHeight="1">
      <c r="A1271" s="66" t="s">
        <v>918</v>
      </c>
      <c r="B1271" s="1832" t="e">
        <f>+B1255</f>
        <v>#REF!</v>
      </c>
      <c r="C1271" s="1830"/>
      <c r="D1271" s="1828"/>
      <c r="E1271" s="1833" t="s">
        <v>218</v>
      </c>
      <c r="F1271" s="1834"/>
      <c r="G1271" s="70" t="s">
        <v>228</v>
      </c>
    </row>
    <row r="1272" spans="1:7" ht="61.5" hidden="1" customHeight="1">
      <c r="A1272" s="66" t="s">
        <v>919</v>
      </c>
      <c r="B1272" s="1863" t="e">
        <f>+#REF!</f>
        <v>#REF!</v>
      </c>
      <c r="C1272" s="1621"/>
      <c r="D1272" s="1621"/>
      <c r="E1272" s="1621"/>
      <c r="F1272" s="1621"/>
      <c r="G1272" s="1622"/>
    </row>
    <row r="1273" spans="1:7" ht="14.25" hidden="1" customHeight="1">
      <c r="A1273" s="1836" t="s">
        <v>220</v>
      </c>
      <c r="B1273" s="1830"/>
      <c r="C1273" s="1830"/>
      <c r="D1273" s="1830"/>
      <c r="E1273" s="1830"/>
      <c r="F1273" s="1830"/>
      <c r="G1273" s="1828"/>
    </row>
    <row r="1274" spans="1:7" ht="14.25" hidden="1" customHeight="1">
      <c r="A1274" s="1829" t="s">
        <v>221</v>
      </c>
      <c r="B1274" s="1828"/>
      <c r="C1274" s="63" t="s">
        <v>222</v>
      </c>
      <c r="D1274" s="63" t="s">
        <v>252</v>
      </c>
      <c r="E1274" s="63" t="s">
        <v>224</v>
      </c>
      <c r="F1274" s="63" t="s">
        <v>225</v>
      </c>
      <c r="G1274" s="63" t="s">
        <v>226</v>
      </c>
    </row>
    <row r="1275" spans="1:7" ht="14.25" hidden="1" customHeight="1">
      <c r="A1275" s="1827" t="s">
        <v>920</v>
      </c>
      <c r="B1275" s="1828"/>
      <c r="C1275" s="64">
        <f>+C1259</f>
        <v>1</v>
      </c>
      <c r="D1275" s="64">
        <v>88.19</v>
      </c>
      <c r="E1275" s="64"/>
      <c r="F1275" s="64"/>
      <c r="G1275" s="64">
        <f>+C1275*D1275</f>
        <v>88.19</v>
      </c>
    </row>
    <row r="1276" spans="1:7" ht="14.25" hidden="1" customHeight="1">
      <c r="A1276" s="1827"/>
      <c r="B1276" s="1828"/>
      <c r="C1276" s="64"/>
      <c r="D1276" s="64"/>
      <c r="E1276" s="64"/>
      <c r="F1276" s="64"/>
      <c r="G1276" s="64">
        <f>+F1276</f>
        <v>0</v>
      </c>
    </row>
    <row r="1277" spans="1:7" ht="14.25" hidden="1" customHeight="1">
      <c r="A1277" s="1829" t="s">
        <v>227</v>
      </c>
      <c r="B1277" s="1830"/>
      <c r="C1277" s="1830"/>
      <c r="D1277" s="1830"/>
      <c r="E1277" s="1830"/>
      <c r="F1277" s="1828"/>
      <c r="G1277" s="65">
        <f>SUM(G1275:G1276)</f>
        <v>88.19</v>
      </c>
    </row>
    <row r="1278" spans="1:7" ht="14.25" hidden="1" customHeight="1">
      <c r="A1278" s="1831"/>
      <c r="B1278" s="1830"/>
      <c r="C1278" s="1830"/>
      <c r="D1278" s="1830"/>
      <c r="E1278" s="1830"/>
      <c r="F1278" s="1830"/>
      <c r="G1278" s="1828"/>
    </row>
    <row r="1279" spans="1:7" ht="14.25" hidden="1" customHeight="1">
      <c r="A1279" s="66" t="s">
        <v>918</v>
      </c>
      <c r="B1279" s="1832" t="e">
        <f>+B1263</f>
        <v>#REF!</v>
      </c>
      <c r="C1279" s="1830"/>
      <c r="D1279" s="1828"/>
      <c r="E1279" s="1833" t="s">
        <v>218</v>
      </c>
      <c r="F1279" s="1834"/>
      <c r="G1279" s="70" t="s">
        <v>910</v>
      </c>
    </row>
    <row r="1280" spans="1:7" ht="78" hidden="1" customHeight="1">
      <c r="A1280" s="66" t="s">
        <v>921</v>
      </c>
      <c r="B1280" s="1863" t="e">
        <f>+#REF!</f>
        <v>#REF!</v>
      </c>
      <c r="C1280" s="1621"/>
      <c r="D1280" s="1621"/>
      <c r="E1280" s="1621"/>
      <c r="F1280" s="1621"/>
      <c r="G1280" s="1622"/>
    </row>
    <row r="1281" spans="1:7" ht="14.25" hidden="1" customHeight="1">
      <c r="A1281" s="1836" t="s">
        <v>220</v>
      </c>
      <c r="B1281" s="1830"/>
      <c r="C1281" s="1830"/>
      <c r="D1281" s="1830"/>
      <c r="E1281" s="1830"/>
      <c r="F1281" s="1830"/>
      <c r="G1281" s="1828"/>
    </row>
    <row r="1282" spans="1:7" ht="14.25" hidden="1" customHeight="1">
      <c r="A1282" s="1829" t="s">
        <v>221</v>
      </c>
      <c r="B1282" s="1828"/>
      <c r="C1282" s="63" t="s">
        <v>222</v>
      </c>
      <c r="D1282" s="63" t="s">
        <v>252</v>
      </c>
      <c r="E1282" s="63" t="s">
        <v>224</v>
      </c>
      <c r="F1282" s="63" t="s">
        <v>225</v>
      </c>
      <c r="G1282" s="63" t="s">
        <v>226</v>
      </c>
    </row>
    <row r="1283" spans="1:7" ht="14.25" hidden="1" customHeight="1">
      <c r="A1283" s="1827" t="s">
        <v>920</v>
      </c>
      <c r="B1283" s="1828"/>
      <c r="C1283" s="64"/>
      <c r="D1283" s="64"/>
      <c r="E1283" s="64"/>
      <c r="F1283" s="64">
        <v>6</v>
      </c>
      <c r="G1283" s="64">
        <f t="shared" ref="G1283:G1284" si="107">+F1283</f>
        <v>6</v>
      </c>
    </row>
    <row r="1284" spans="1:7" ht="14.25" hidden="1" customHeight="1">
      <c r="A1284" s="1827"/>
      <c r="B1284" s="1828"/>
      <c r="C1284" s="64"/>
      <c r="D1284" s="64"/>
      <c r="E1284" s="64"/>
      <c r="F1284" s="64"/>
      <c r="G1284" s="64">
        <f t="shared" si="107"/>
        <v>0</v>
      </c>
    </row>
    <row r="1285" spans="1:7" ht="14.25" hidden="1" customHeight="1">
      <c r="A1285" s="1829" t="s">
        <v>227</v>
      </c>
      <c r="B1285" s="1830"/>
      <c r="C1285" s="1830"/>
      <c r="D1285" s="1830"/>
      <c r="E1285" s="1830"/>
      <c r="F1285" s="1828"/>
      <c r="G1285" s="191">
        <f>SUM(G1283:G1284)</f>
        <v>6</v>
      </c>
    </row>
    <row r="1286" spans="1:7" ht="14.25" hidden="1" customHeight="1">
      <c r="A1286" s="1831"/>
      <c r="B1286" s="1830"/>
      <c r="C1286" s="1830"/>
      <c r="D1286" s="1830"/>
      <c r="E1286" s="1830"/>
      <c r="F1286" s="1830"/>
      <c r="G1286" s="1828"/>
    </row>
    <row r="1287" spans="1:7" ht="14.25" hidden="1" customHeight="1">
      <c r="A1287" s="66" t="s">
        <v>918</v>
      </c>
      <c r="B1287" s="1832" t="e">
        <f>+B1271</f>
        <v>#REF!</v>
      </c>
      <c r="C1287" s="1830"/>
      <c r="D1287" s="1828"/>
      <c r="E1287" s="1833" t="s">
        <v>218</v>
      </c>
      <c r="F1287" s="1834"/>
      <c r="G1287" s="70" t="e">
        <f>+#REF!</f>
        <v>#REF!</v>
      </c>
    </row>
    <row r="1288" spans="1:7" ht="92.25" hidden="1" customHeight="1">
      <c r="A1288" s="66" t="s">
        <v>922</v>
      </c>
      <c r="B1288" s="1863" t="e">
        <f>+#REF!</f>
        <v>#REF!</v>
      </c>
      <c r="C1288" s="1621"/>
      <c r="D1288" s="1621"/>
      <c r="E1288" s="1621"/>
      <c r="F1288" s="1621"/>
      <c r="G1288" s="1622"/>
    </row>
    <row r="1289" spans="1:7" ht="14.25" hidden="1" customHeight="1">
      <c r="A1289" s="1836" t="s">
        <v>220</v>
      </c>
      <c r="B1289" s="1830"/>
      <c r="C1289" s="1830"/>
      <c r="D1289" s="1830"/>
      <c r="E1289" s="1830"/>
      <c r="F1289" s="1830"/>
      <c r="G1289" s="1828"/>
    </row>
    <row r="1290" spans="1:7" ht="14.25" hidden="1" customHeight="1">
      <c r="A1290" s="1829" t="s">
        <v>221</v>
      </c>
      <c r="B1290" s="1828"/>
      <c r="C1290" s="63" t="s">
        <v>222</v>
      </c>
      <c r="D1290" s="63" t="s">
        <v>252</v>
      </c>
      <c r="E1290" s="63" t="s">
        <v>224</v>
      </c>
      <c r="F1290" s="63" t="s">
        <v>225</v>
      </c>
      <c r="G1290" s="63" t="s">
        <v>226</v>
      </c>
    </row>
    <row r="1291" spans="1:7" ht="14.25" hidden="1" customHeight="1">
      <c r="A1291" s="1827" t="s">
        <v>923</v>
      </c>
      <c r="B1291" s="1828"/>
      <c r="C1291" s="64">
        <v>112</v>
      </c>
      <c r="D1291" s="64">
        <v>74.22</v>
      </c>
      <c r="E1291" s="64">
        <v>0.1</v>
      </c>
      <c r="F1291" s="64"/>
      <c r="G1291" s="64">
        <f>+ROUND(E1291*D1291*C1291,2)</f>
        <v>831.26</v>
      </c>
    </row>
    <row r="1292" spans="1:7" ht="14.25" hidden="1" customHeight="1">
      <c r="A1292" s="1827"/>
      <c r="B1292" s="1828"/>
      <c r="C1292" s="64"/>
      <c r="D1292" s="64"/>
      <c r="E1292" s="64"/>
      <c r="F1292" s="64"/>
      <c r="G1292" s="64">
        <f>+F1292</f>
        <v>0</v>
      </c>
    </row>
    <row r="1293" spans="1:7" ht="14.25" hidden="1" customHeight="1">
      <c r="A1293" s="1829" t="s">
        <v>227</v>
      </c>
      <c r="B1293" s="1830"/>
      <c r="C1293" s="1830"/>
      <c r="D1293" s="1830"/>
      <c r="E1293" s="1830"/>
      <c r="F1293" s="1828"/>
      <c r="G1293" s="191">
        <f>SUM(G1291:G1292)</f>
        <v>831.26</v>
      </c>
    </row>
    <row r="1294" spans="1:7" ht="14.25" hidden="1" customHeight="1">
      <c r="A1294" s="1831"/>
      <c r="B1294" s="1830"/>
      <c r="C1294" s="1830"/>
      <c r="D1294" s="1830"/>
      <c r="E1294" s="1830"/>
      <c r="F1294" s="1830"/>
      <c r="G1294" s="1828"/>
    </row>
    <row r="1295" spans="1:7" ht="14.25" hidden="1" customHeight="1">
      <c r="A1295" s="66" t="s">
        <v>918</v>
      </c>
      <c r="B1295" s="1832" t="e">
        <f>+B1279</f>
        <v>#REF!</v>
      </c>
      <c r="C1295" s="1830"/>
      <c r="D1295" s="1828"/>
      <c r="E1295" s="1833" t="s">
        <v>218</v>
      </c>
      <c r="F1295" s="1834"/>
      <c r="G1295" s="70" t="s">
        <v>228</v>
      </c>
    </row>
    <row r="1296" spans="1:7" ht="57.75" hidden="1" customHeight="1">
      <c r="A1296" s="66" t="s">
        <v>924</v>
      </c>
      <c r="B1296" s="1864" t="e">
        <f>+#REF!</f>
        <v>#REF!</v>
      </c>
      <c r="C1296" s="1621"/>
      <c r="D1296" s="1621"/>
      <c r="E1296" s="1621"/>
      <c r="F1296" s="1621"/>
      <c r="G1296" s="1622"/>
    </row>
    <row r="1297" spans="1:7" ht="14.25" hidden="1" customHeight="1">
      <c r="A1297" s="1836" t="s">
        <v>220</v>
      </c>
      <c r="B1297" s="1830"/>
      <c r="C1297" s="1830"/>
      <c r="D1297" s="1830"/>
      <c r="E1297" s="1830"/>
      <c r="F1297" s="1830"/>
      <c r="G1297" s="1828"/>
    </row>
    <row r="1298" spans="1:7" ht="14.25" hidden="1" customHeight="1">
      <c r="A1298" s="1829" t="s">
        <v>221</v>
      </c>
      <c r="B1298" s="1828"/>
      <c r="C1298" s="63" t="s">
        <v>222</v>
      </c>
      <c r="D1298" s="63" t="s">
        <v>252</v>
      </c>
      <c r="E1298" s="63" t="s">
        <v>224</v>
      </c>
      <c r="F1298" s="63" t="s">
        <v>225</v>
      </c>
      <c r="G1298" s="63" t="s">
        <v>226</v>
      </c>
    </row>
    <row r="1299" spans="1:7" ht="14.25" hidden="1" customHeight="1">
      <c r="A1299" s="1827" t="s">
        <v>923</v>
      </c>
      <c r="B1299" s="1828"/>
      <c r="C1299" s="64">
        <v>112</v>
      </c>
      <c r="D1299" s="64">
        <v>74.22</v>
      </c>
      <c r="E1299" s="64"/>
      <c r="F1299" s="64"/>
      <c r="G1299" s="64">
        <f>+ROUND(D1299*C1299,2)</f>
        <v>8312.64</v>
      </c>
    </row>
    <row r="1300" spans="1:7" ht="14.25" hidden="1" customHeight="1">
      <c r="A1300" s="1827"/>
      <c r="B1300" s="1828"/>
      <c r="C1300" s="64"/>
      <c r="D1300" s="64"/>
      <c r="E1300" s="64"/>
      <c r="F1300" s="64"/>
      <c r="G1300" s="64">
        <f>+F1300</f>
        <v>0</v>
      </c>
    </row>
    <row r="1301" spans="1:7" ht="14.25" hidden="1" customHeight="1">
      <c r="A1301" s="1829" t="s">
        <v>227</v>
      </c>
      <c r="B1301" s="1830"/>
      <c r="C1301" s="1830"/>
      <c r="D1301" s="1830"/>
      <c r="E1301" s="1830"/>
      <c r="F1301" s="1828"/>
      <c r="G1301" s="65">
        <f>SUM(G1299:G1300)</f>
        <v>8312.64</v>
      </c>
    </row>
    <row r="1302" spans="1:7" ht="14.25" hidden="1" customHeight="1">
      <c r="A1302" s="1829"/>
      <c r="B1302" s="1830"/>
      <c r="C1302" s="1830"/>
      <c r="D1302" s="1830"/>
      <c r="E1302" s="1830"/>
      <c r="F1302" s="1830"/>
      <c r="G1302" s="1828"/>
    </row>
    <row r="1303" spans="1:7" ht="14.25" hidden="1" customHeight="1">
      <c r="A1303" s="66" t="s">
        <v>918</v>
      </c>
      <c r="B1303" s="1832" t="e">
        <f>+B1287</f>
        <v>#REF!</v>
      </c>
      <c r="C1303" s="1830"/>
      <c r="D1303" s="1828"/>
      <c r="E1303" s="1833" t="s">
        <v>218</v>
      </c>
      <c r="F1303" s="1834"/>
      <c r="G1303" s="70" t="e">
        <f>+#REF!</f>
        <v>#REF!</v>
      </c>
    </row>
    <row r="1304" spans="1:7" ht="103.5" hidden="1" customHeight="1">
      <c r="A1304" s="66" t="s">
        <v>925</v>
      </c>
      <c r="B1304" s="1863" t="e">
        <f>+#REF!</f>
        <v>#REF!</v>
      </c>
      <c r="C1304" s="1621"/>
      <c r="D1304" s="1621"/>
      <c r="E1304" s="1621"/>
      <c r="F1304" s="1621"/>
      <c r="G1304" s="1622"/>
    </row>
    <row r="1305" spans="1:7" ht="14.25" hidden="1" customHeight="1">
      <c r="A1305" s="1836" t="s">
        <v>220</v>
      </c>
      <c r="B1305" s="1830"/>
      <c r="C1305" s="1830"/>
      <c r="D1305" s="1830"/>
      <c r="E1305" s="1830"/>
      <c r="F1305" s="1830"/>
      <c r="G1305" s="1828"/>
    </row>
    <row r="1306" spans="1:7" ht="14.25" hidden="1" customHeight="1">
      <c r="A1306" s="1829" t="s">
        <v>221</v>
      </c>
      <c r="B1306" s="1828"/>
      <c r="C1306" s="63" t="s">
        <v>222</v>
      </c>
      <c r="D1306" s="63" t="s">
        <v>252</v>
      </c>
      <c r="E1306" s="63" t="s">
        <v>224</v>
      </c>
      <c r="F1306" s="63" t="s">
        <v>225</v>
      </c>
      <c r="G1306" s="63" t="s">
        <v>226</v>
      </c>
    </row>
    <row r="1307" spans="1:7" ht="14.25" hidden="1" customHeight="1">
      <c r="A1307" s="1827" t="s">
        <v>923</v>
      </c>
      <c r="B1307" s="1828"/>
      <c r="C1307" s="64">
        <v>112</v>
      </c>
      <c r="D1307" s="64">
        <v>74.22</v>
      </c>
      <c r="E1307" s="64"/>
      <c r="F1307" s="64"/>
      <c r="G1307" s="64">
        <f>+ROUND(D1307*C1307,2)</f>
        <v>8312.64</v>
      </c>
    </row>
    <row r="1308" spans="1:7" ht="14.25" hidden="1" customHeight="1">
      <c r="A1308" s="1827"/>
      <c r="B1308" s="1828"/>
      <c r="C1308" s="64"/>
      <c r="D1308" s="64"/>
      <c r="E1308" s="64"/>
      <c r="F1308" s="64"/>
      <c r="G1308" s="64">
        <f>+F1308</f>
        <v>0</v>
      </c>
    </row>
    <row r="1309" spans="1:7" ht="14.25" hidden="1" customHeight="1">
      <c r="A1309" s="1829" t="s">
        <v>227</v>
      </c>
      <c r="B1309" s="1830"/>
      <c r="C1309" s="1830"/>
      <c r="D1309" s="1830"/>
      <c r="E1309" s="1830"/>
      <c r="F1309" s="1828"/>
      <c r="G1309" s="65">
        <f>SUM(G1307:G1308)</f>
        <v>8312.64</v>
      </c>
    </row>
    <row r="1310" spans="1:7" ht="14.25" hidden="1" customHeight="1">
      <c r="A1310" s="1831"/>
      <c r="B1310" s="1830"/>
      <c r="C1310" s="1830"/>
      <c r="D1310" s="1830"/>
      <c r="E1310" s="1830"/>
      <c r="F1310" s="1830"/>
      <c r="G1310" s="1828"/>
    </row>
    <row r="1311" spans="1:7" ht="28.5" hidden="1" customHeight="1">
      <c r="A1311" s="66" t="s">
        <v>918</v>
      </c>
      <c r="B1311" s="1832" t="e">
        <f>+B1303</f>
        <v>#REF!</v>
      </c>
      <c r="C1311" s="1830"/>
      <c r="D1311" s="1828"/>
      <c r="E1311" s="1833" t="s">
        <v>218</v>
      </c>
      <c r="F1311" s="1834"/>
      <c r="G1311" s="70" t="e">
        <f>+#REF!</f>
        <v>#REF!</v>
      </c>
    </row>
    <row r="1312" spans="1:7" ht="14.25" hidden="1" customHeight="1">
      <c r="A1312" s="66" t="s">
        <v>926</v>
      </c>
      <c r="B1312" s="1835" t="e">
        <f>+#REF!</f>
        <v>#REF!</v>
      </c>
      <c r="C1312" s="1621"/>
      <c r="D1312" s="1621"/>
      <c r="E1312" s="1621"/>
      <c r="F1312" s="1621"/>
      <c r="G1312" s="1622"/>
    </row>
    <row r="1313" spans="1:7" ht="14.25" hidden="1" customHeight="1">
      <c r="A1313" s="1836" t="s">
        <v>220</v>
      </c>
      <c r="B1313" s="1830"/>
      <c r="C1313" s="1830"/>
      <c r="D1313" s="1830"/>
      <c r="E1313" s="1830"/>
      <c r="F1313" s="1830"/>
      <c r="G1313" s="1828"/>
    </row>
    <row r="1314" spans="1:7" ht="14.25" hidden="1" customHeight="1">
      <c r="A1314" s="1829" t="s">
        <v>221</v>
      </c>
      <c r="B1314" s="1828"/>
      <c r="C1314" s="63" t="s">
        <v>222</v>
      </c>
      <c r="D1314" s="63" t="s">
        <v>252</v>
      </c>
      <c r="E1314" s="63" t="s">
        <v>224</v>
      </c>
      <c r="F1314" s="63" t="s">
        <v>225</v>
      </c>
      <c r="G1314" s="63" t="s">
        <v>226</v>
      </c>
    </row>
    <row r="1315" spans="1:7" ht="14.25" hidden="1" customHeight="1">
      <c r="A1315" s="1827" t="s">
        <v>923</v>
      </c>
      <c r="B1315" s="1828"/>
      <c r="C1315" s="64"/>
      <c r="D1315" s="64"/>
      <c r="E1315" s="64"/>
      <c r="F1315" s="64">
        <v>24</v>
      </c>
      <c r="G1315" s="64">
        <f t="shared" ref="G1315:G1316" si="108">+F1315</f>
        <v>24</v>
      </c>
    </row>
    <row r="1316" spans="1:7" ht="14.25" hidden="1" customHeight="1">
      <c r="A1316" s="1827"/>
      <c r="B1316" s="1828"/>
      <c r="C1316" s="64"/>
      <c r="D1316" s="64"/>
      <c r="E1316" s="64"/>
      <c r="F1316" s="64"/>
      <c r="G1316" s="64">
        <f t="shared" si="108"/>
        <v>0</v>
      </c>
    </row>
    <row r="1317" spans="1:7" ht="14.25" hidden="1" customHeight="1">
      <c r="A1317" s="1829" t="s">
        <v>227</v>
      </c>
      <c r="B1317" s="1830"/>
      <c r="C1317" s="1830"/>
      <c r="D1317" s="1830"/>
      <c r="E1317" s="1830"/>
      <c r="F1317" s="1828"/>
      <c r="G1317" s="191">
        <f>SUM(G1315:G1316)</f>
        <v>24</v>
      </c>
    </row>
    <row r="1318" spans="1:7" ht="14.25" hidden="1" customHeight="1">
      <c r="A1318" s="1831"/>
      <c r="B1318" s="1830"/>
      <c r="C1318" s="1830"/>
      <c r="D1318" s="1830"/>
      <c r="E1318" s="1830"/>
      <c r="F1318" s="1830"/>
      <c r="G1318" s="1828"/>
    </row>
    <row r="1319" spans="1:7" ht="28.5" hidden="1" customHeight="1">
      <c r="A1319" s="66" t="s">
        <v>918</v>
      </c>
      <c r="B1319" s="1832" t="e">
        <f>+B1311</f>
        <v>#REF!</v>
      </c>
      <c r="C1319" s="1830"/>
      <c r="D1319" s="1828"/>
      <c r="E1319" s="1833" t="s">
        <v>218</v>
      </c>
      <c r="F1319" s="1834"/>
      <c r="G1319" s="70" t="e">
        <f>+#REF!</f>
        <v>#REF!</v>
      </c>
    </row>
    <row r="1320" spans="1:7" ht="27" hidden="1" customHeight="1">
      <c r="A1320" s="66" t="s">
        <v>927</v>
      </c>
      <c r="B1320" s="1835" t="e">
        <f>+#REF!</f>
        <v>#REF!</v>
      </c>
      <c r="C1320" s="1621"/>
      <c r="D1320" s="1621"/>
      <c r="E1320" s="1621"/>
      <c r="F1320" s="1621"/>
      <c r="G1320" s="1622"/>
    </row>
    <row r="1321" spans="1:7" ht="14.25" hidden="1" customHeight="1">
      <c r="A1321" s="1836" t="s">
        <v>220</v>
      </c>
      <c r="B1321" s="1830"/>
      <c r="C1321" s="1830"/>
      <c r="D1321" s="1830"/>
      <c r="E1321" s="1830"/>
      <c r="F1321" s="1830"/>
      <c r="G1321" s="1828"/>
    </row>
    <row r="1322" spans="1:7" ht="14.25" hidden="1" customHeight="1">
      <c r="A1322" s="1829" t="s">
        <v>221</v>
      </c>
      <c r="B1322" s="1828"/>
      <c r="C1322" s="63" t="s">
        <v>222</v>
      </c>
      <c r="D1322" s="63" t="s">
        <v>252</v>
      </c>
      <c r="E1322" s="63" t="s">
        <v>224</v>
      </c>
      <c r="F1322" s="63" t="s">
        <v>225</v>
      </c>
      <c r="G1322" s="63" t="s">
        <v>226</v>
      </c>
    </row>
    <row r="1323" spans="1:7" ht="14.25" hidden="1" customHeight="1">
      <c r="A1323" s="1827" t="s">
        <v>923</v>
      </c>
      <c r="B1323" s="1828"/>
      <c r="C1323" s="64"/>
      <c r="D1323" s="64"/>
      <c r="E1323" s="64"/>
      <c r="F1323" s="64">
        <v>7</v>
      </c>
      <c r="G1323" s="64">
        <f t="shared" ref="G1323:G1324" si="109">+F1323</f>
        <v>7</v>
      </c>
    </row>
    <row r="1324" spans="1:7" ht="14.25" hidden="1" customHeight="1">
      <c r="A1324" s="1827"/>
      <c r="B1324" s="1828"/>
      <c r="C1324" s="64"/>
      <c r="D1324" s="64"/>
      <c r="E1324" s="64"/>
      <c r="F1324" s="64"/>
      <c r="G1324" s="64">
        <f t="shared" si="109"/>
        <v>0</v>
      </c>
    </row>
    <row r="1325" spans="1:7" ht="14.25" hidden="1" customHeight="1">
      <c r="A1325" s="1829" t="s">
        <v>227</v>
      </c>
      <c r="B1325" s="1830"/>
      <c r="C1325" s="1830"/>
      <c r="D1325" s="1830"/>
      <c r="E1325" s="1830"/>
      <c r="F1325" s="1828"/>
      <c r="G1325" s="191">
        <f>SUM(G1323:G1324)</f>
        <v>7</v>
      </c>
    </row>
    <row r="1326" spans="1:7" ht="14.25" hidden="1" customHeight="1">
      <c r="A1326" s="1831"/>
      <c r="B1326" s="1830"/>
      <c r="C1326" s="1830"/>
      <c r="D1326" s="1830"/>
      <c r="E1326" s="1830"/>
      <c r="F1326" s="1830"/>
      <c r="G1326" s="1828"/>
    </row>
    <row r="1327" spans="1:7" ht="14.25" hidden="1" customHeight="1">
      <c r="A1327" s="66" t="s">
        <v>918</v>
      </c>
      <c r="B1327" s="1832" t="e">
        <f>+B1311</f>
        <v>#REF!</v>
      </c>
      <c r="C1327" s="1830"/>
      <c r="D1327" s="1828"/>
      <c r="E1327" s="1833" t="s">
        <v>218</v>
      </c>
      <c r="F1327" s="1834"/>
      <c r="G1327" s="70" t="e">
        <f>+#REF!</f>
        <v>#REF!</v>
      </c>
    </row>
    <row r="1328" spans="1:7" ht="14.25" hidden="1" customHeight="1">
      <c r="A1328" s="66" t="s">
        <v>928</v>
      </c>
      <c r="B1328" s="1835" t="e">
        <f>+#REF!</f>
        <v>#REF!</v>
      </c>
      <c r="C1328" s="1621"/>
      <c r="D1328" s="1621"/>
      <c r="E1328" s="1621"/>
      <c r="F1328" s="1621"/>
      <c r="G1328" s="1622"/>
    </row>
    <row r="1329" spans="1:7" ht="14.25" hidden="1" customHeight="1">
      <c r="A1329" s="1836" t="s">
        <v>220</v>
      </c>
      <c r="B1329" s="1830"/>
      <c r="C1329" s="1830"/>
      <c r="D1329" s="1830"/>
      <c r="E1329" s="1830"/>
      <c r="F1329" s="1830"/>
      <c r="G1329" s="1828"/>
    </row>
    <row r="1330" spans="1:7" ht="14.25" hidden="1" customHeight="1">
      <c r="A1330" s="1829" t="s">
        <v>221</v>
      </c>
      <c r="B1330" s="1828"/>
      <c r="C1330" s="63" t="s">
        <v>222</v>
      </c>
      <c r="D1330" s="63" t="s">
        <v>252</v>
      </c>
      <c r="E1330" s="63" t="s">
        <v>224</v>
      </c>
      <c r="F1330" s="63" t="s">
        <v>225</v>
      </c>
      <c r="G1330" s="63" t="s">
        <v>226</v>
      </c>
    </row>
    <row r="1331" spans="1:7" ht="14.25" hidden="1" customHeight="1">
      <c r="A1331" s="1827" t="s">
        <v>923</v>
      </c>
      <c r="B1331" s="1828"/>
      <c r="C1331" s="64"/>
      <c r="D1331" s="64"/>
      <c r="E1331" s="64"/>
      <c r="F1331" s="64">
        <v>483.16</v>
      </c>
      <c r="G1331" s="64">
        <f t="shared" ref="G1331:G1332" si="110">+F1331</f>
        <v>483.16</v>
      </c>
    </row>
    <row r="1332" spans="1:7" ht="14.25" hidden="1" customHeight="1">
      <c r="A1332" s="1827"/>
      <c r="B1332" s="1828"/>
      <c r="C1332" s="64"/>
      <c r="D1332" s="64"/>
      <c r="E1332" s="64"/>
      <c r="F1332" s="64"/>
      <c r="G1332" s="64">
        <f t="shared" si="110"/>
        <v>0</v>
      </c>
    </row>
    <row r="1333" spans="1:7" ht="14.25" hidden="1" customHeight="1">
      <c r="A1333" s="1829" t="s">
        <v>227</v>
      </c>
      <c r="B1333" s="1830"/>
      <c r="C1333" s="1830"/>
      <c r="D1333" s="1830"/>
      <c r="E1333" s="1830"/>
      <c r="F1333" s="1828"/>
      <c r="G1333" s="191">
        <f>SUM(G1331:G1332)</f>
        <v>483.16</v>
      </c>
    </row>
    <row r="1334" spans="1:7" ht="14.25" hidden="1" customHeight="1">
      <c r="A1334" s="1831"/>
      <c r="B1334" s="1830"/>
      <c r="C1334" s="1830"/>
      <c r="D1334" s="1830"/>
      <c r="E1334" s="1830"/>
      <c r="F1334" s="1830"/>
      <c r="G1334" s="1828"/>
    </row>
    <row r="1335" spans="1:7" ht="14.25" hidden="1" customHeight="1">
      <c r="A1335" s="66" t="s">
        <v>918</v>
      </c>
      <c r="B1335" s="1832" t="e">
        <f>+B1327</f>
        <v>#REF!</v>
      </c>
      <c r="C1335" s="1830"/>
      <c r="D1335" s="1828"/>
      <c r="E1335" s="1833" t="s">
        <v>218</v>
      </c>
      <c r="F1335" s="1834"/>
      <c r="G1335" s="70" t="e">
        <f>+#REF!</f>
        <v>#REF!</v>
      </c>
    </row>
    <row r="1336" spans="1:7" ht="14.25" hidden="1" customHeight="1">
      <c r="A1336" s="66" t="s">
        <v>929</v>
      </c>
      <c r="B1336" s="1835" t="e">
        <f>+#REF!</f>
        <v>#REF!</v>
      </c>
      <c r="C1336" s="1621"/>
      <c r="D1336" s="1621"/>
      <c r="E1336" s="1621"/>
      <c r="F1336" s="1621"/>
      <c r="G1336" s="1622"/>
    </row>
    <row r="1337" spans="1:7" ht="14.25" hidden="1" customHeight="1">
      <c r="A1337" s="1836" t="s">
        <v>220</v>
      </c>
      <c r="B1337" s="1830"/>
      <c r="C1337" s="1830"/>
      <c r="D1337" s="1830"/>
      <c r="E1337" s="1830"/>
      <c r="F1337" s="1830"/>
      <c r="G1337" s="1828"/>
    </row>
    <row r="1338" spans="1:7" ht="14.25" hidden="1" customHeight="1">
      <c r="A1338" s="1829" t="s">
        <v>221</v>
      </c>
      <c r="B1338" s="1828"/>
      <c r="C1338" s="63" t="s">
        <v>222</v>
      </c>
      <c r="D1338" s="63" t="s">
        <v>252</v>
      </c>
      <c r="E1338" s="63" t="s">
        <v>224</v>
      </c>
      <c r="F1338" s="63" t="s">
        <v>225</v>
      </c>
      <c r="G1338" s="63" t="s">
        <v>226</v>
      </c>
    </row>
    <row r="1339" spans="1:7" ht="14.25" hidden="1" customHeight="1">
      <c r="A1339" s="1827" t="s">
        <v>923</v>
      </c>
      <c r="B1339" s="1828"/>
      <c r="C1339" s="64"/>
      <c r="D1339" s="64"/>
      <c r="E1339" s="64"/>
      <c r="F1339" s="64">
        <v>31.91</v>
      </c>
      <c r="G1339" s="64">
        <f t="shared" ref="G1339:G1340" si="111">+F1339</f>
        <v>31.91</v>
      </c>
    </row>
    <row r="1340" spans="1:7" ht="14.25" hidden="1" customHeight="1">
      <c r="A1340" s="1827"/>
      <c r="B1340" s="1828"/>
      <c r="C1340" s="64"/>
      <c r="D1340" s="64"/>
      <c r="E1340" s="64"/>
      <c r="F1340" s="64"/>
      <c r="G1340" s="64">
        <f t="shared" si="111"/>
        <v>0</v>
      </c>
    </row>
    <row r="1341" spans="1:7" ht="14.25" hidden="1" customHeight="1">
      <c r="A1341" s="1829" t="s">
        <v>227</v>
      </c>
      <c r="B1341" s="1830"/>
      <c r="C1341" s="1830"/>
      <c r="D1341" s="1830"/>
      <c r="E1341" s="1830"/>
      <c r="F1341" s="1828"/>
      <c r="G1341" s="191">
        <f>SUM(G1339:G1340)</f>
        <v>31.91</v>
      </c>
    </row>
    <row r="1342" spans="1:7" ht="14.25" hidden="1" customHeight="1">
      <c r="A1342" s="1831"/>
      <c r="B1342" s="1830"/>
      <c r="C1342" s="1830"/>
      <c r="D1342" s="1830"/>
      <c r="E1342" s="1830"/>
      <c r="F1342" s="1830"/>
      <c r="G1342" s="1828"/>
    </row>
    <row r="1343" spans="1:7" ht="14.25" hidden="1" customHeight="1">
      <c r="A1343" s="1831"/>
      <c r="B1343" s="1830"/>
      <c r="C1343" s="1830"/>
      <c r="D1343" s="1830"/>
      <c r="E1343" s="1830"/>
      <c r="F1343" s="1830"/>
      <c r="G1343" s="1828"/>
    </row>
    <row r="1344" spans="1:7" ht="14.25" hidden="1" customHeight="1">
      <c r="A1344" s="66" t="s">
        <v>918</v>
      </c>
      <c r="B1344" s="1832" t="e">
        <f>+B1335</f>
        <v>#REF!</v>
      </c>
      <c r="C1344" s="1830"/>
      <c r="D1344" s="1828"/>
      <c r="E1344" s="1833" t="s">
        <v>218</v>
      </c>
      <c r="F1344" s="1834"/>
      <c r="G1344" s="70" t="e">
        <f>+#REF!</f>
        <v>#REF!</v>
      </c>
    </row>
    <row r="1345" spans="1:7" ht="48" hidden="1" customHeight="1">
      <c r="A1345" s="66" t="s">
        <v>930</v>
      </c>
      <c r="B1345" s="1863" t="e">
        <f>+#REF!</f>
        <v>#REF!</v>
      </c>
      <c r="C1345" s="1621"/>
      <c r="D1345" s="1621"/>
      <c r="E1345" s="1621"/>
      <c r="F1345" s="1621"/>
      <c r="G1345" s="1622"/>
    </row>
    <row r="1346" spans="1:7" ht="14.25" hidden="1" customHeight="1">
      <c r="A1346" s="1836" t="s">
        <v>220</v>
      </c>
      <c r="B1346" s="1830"/>
      <c r="C1346" s="1830"/>
      <c r="D1346" s="1830"/>
      <c r="E1346" s="1830"/>
      <c r="F1346" s="1830"/>
      <c r="G1346" s="1828"/>
    </row>
    <row r="1347" spans="1:7" ht="14.25" hidden="1" customHeight="1">
      <c r="A1347" s="1829" t="s">
        <v>221</v>
      </c>
      <c r="B1347" s="1828"/>
      <c r="C1347" s="63" t="s">
        <v>222</v>
      </c>
      <c r="D1347" s="63" t="s">
        <v>252</v>
      </c>
      <c r="E1347" s="63" t="s">
        <v>224</v>
      </c>
      <c r="F1347" s="63" t="s">
        <v>225</v>
      </c>
      <c r="G1347" s="63" t="s">
        <v>226</v>
      </c>
    </row>
    <row r="1348" spans="1:7" ht="14.25" hidden="1" customHeight="1">
      <c r="A1348" s="1827" t="s">
        <v>923</v>
      </c>
      <c r="B1348" s="1828"/>
      <c r="C1348" s="64"/>
      <c r="D1348" s="64"/>
      <c r="E1348" s="64"/>
      <c r="F1348" s="64">
        <v>1</v>
      </c>
      <c r="G1348" s="64">
        <f t="shared" ref="G1348:G1349" si="112">+F1348</f>
        <v>1</v>
      </c>
    </row>
    <row r="1349" spans="1:7" ht="14.25" hidden="1" customHeight="1">
      <c r="A1349" s="1827"/>
      <c r="B1349" s="1828"/>
      <c r="C1349" s="64"/>
      <c r="D1349" s="64"/>
      <c r="E1349" s="64"/>
      <c r="F1349" s="64"/>
      <c r="G1349" s="64">
        <f t="shared" si="112"/>
        <v>0</v>
      </c>
    </row>
    <row r="1350" spans="1:7" ht="14.25" hidden="1" customHeight="1">
      <c r="A1350" s="1829" t="s">
        <v>227</v>
      </c>
      <c r="B1350" s="1830"/>
      <c r="C1350" s="1830"/>
      <c r="D1350" s="1830"/>
      <c r="E1350" s="1830"/>
      <c r="F1350" s="1828"/>
      <c r="G1350" s="191">
        <f>SUM(G1348:G1349)</f>
        <v>1</v>
      </c>
    </row>
    <row r="1351" spans="1:7" ht="14.25" hidden="1" customHeight="1">
      <c r="A1351" s="1831"/>
      <c r="B1351" s="1830"/>
      <c r="C1351" s="1830"/>
      <c r="D1351" s="1830"/>
      <c r="E1351" s="1830"/>
      <c r="F1351" s="1830"/>
      <c r="G1351" s="1828"/>
    </row>
    <row r="1352" spans="1:7" ht="14.25" hidden="1" customHeight="1">
      <c r="A1352" s="66" t="s">
        <v>918</v>
      </c>
      <c r="B1352" s="1832" t="e">
        <f>+B1344</f>
        <v>#REF!</v>
      </c>
      <c r="C1352" s="1830"/>
      <c r="D1352" s="1828"/>
      <c r="E1352" s="1833" t="s">
        <v>218</v>
      </c>
      <c r="F1352" s="1834"/>
      <c r="G1352" s="70" t="e">
        <f>+#REF!</f>
        <v>#REF!</v>
      </c>
    </row>
    <row r="1353" spans="1:7" ht="32.25" hidden="1" customHeight="1">
      <c r="A1353" s="66" t="s">
        <v>931</v>
      </c>
      <c r="B1353" s="1863" t="e">
        <f>+#REF!</f>
        <v>#REF!</v>
      </c>
      <c r="C1353" s="1621"/>
      <c r="D1353" s="1621"/>
      <c r="E1353" s="1621"/>
      <c r="F1353" s="1621"/>
      <c r="G1353" s="1622"/>
    </row>
    <row r="1354" spans="1:7" ht="14.25" hidden="1" customHeight="1">
      <c r="A1354" s="1836" t="s">
        <v>220</v>
      </c>
      <c r="B1354" s="1830"/>
      <c r="C1354" s="1830"/>
      <c r="D1354" s="1830"/>
      <c r="E1354" s="1830"/>
      <c r="F1354" s="1830"/>
      <c r="G1354" s="1828"/>
    </row>
    <row r="1355" spans="1:7" ht="14.25" hidden="1" customHeight="1">
      <c r="A1355" s="1829" t="s">
        <v>221</v>
      </c>
      <c r="B1355" s="1828"/>
      <c r="C1355" s="63" t="s">
        <v>222</v>
      </c>
      <c r="D1355" s="63" t="s">
        <v>252</v>
      </c>
      <c r="E1355" s="63" t="s">
        <v>224</v>
      </c>
      <c r="F1355" s="63" t="s">
        <v>225</v>
      </c>
      <c r="G1355" s="63" t="s">
        <v>226</v>
      </c>
    </row>
    <row r="1356" spans="1:7" ht="14.25" hidden="1" customHeight="1">
      <c r="A1356" s="1827" t="s">
        <v>923</v>
      </c>
      <c r="B1356" s="1828"/>
      <c r="C1356" s="64"/>
      <c r="D1356" s="64"/>
      <c r="E1356" s="64"/>
      <c r="F1356" s="64">
        <v>1</v>
      </c>
      <c r="G1356" s="64">
        <f t="shared" ref="G1356:G1357" si="113">+F1356</f>
        <v>1</v>
      </c>
    </row>
    <row r="1357" spans="1:7" ht="14.25" hidden="1" customHeight="1">
      <c r="A1357" s="1827"/>
      <c r="B1357" s="1828"/>
      <c r="C1357" s="64"/>
      <c r="D1357" s="64"/>
      <c r="E1357" s="64"/>
      <c r="F1357" s="64"/>
      <c r="G1357" s="64">
        <f t="shared" si="113"/>
        <v>0</v>
      </c>
    </row>
    <row r="1358" spans="1:7" ht="14.25" hidden="1" customHeight="1">
      <c r="A1358" s="1829" t="s">
        <v>227</v>
      </c>
      <c r="B1358" s="1830"/>
      <c r="C1358" s="1830"/>
      <c r="D1358" s="1830"/>
      <c r="E1358" s="1830"/>
      <c r="F1358" s="1828"/>
      <c r="G1358" s="191">
        <f>SUM(G1356:G1357)</f>
        <v>1</v>
      </c>
    </row>
    <row r="1359" spans="1:7" ht="14.25" hidden="1" customHeight="1">
      <c r="A1359" s="1831"/>
      <c r="B1359" s="1830"/>
      <c r="C1359" s="1830"/>
      <c r="D1359" s="1830"/>
      <c r="E1359" s="1830"/>
      <c r="F1359" s="1830"/>
      <c r="G1359" s="1828"/>
    </row>
    <row r="1360" spans="1:7" ht="14.25" hidden="1" customHeight="1">
      <c r="A1360" s="66" t="s">
        <v>918</v>
      </c>
      <c r="B1360" s="1832" t="e">
        <f>+B1352</f>
        <v>#REF!</v>
      </c>
      <c r="C1360" s="1830"/>
      <c r="D1360" s="1828"/>
      <c r="E1360" s="1833" t="s">
        <v>218</v>
      </c>
      <c r="F1360" s="1834"/>
      <c r="G1360" s="70" t="e">
        <f>+#REF!</f>
        <v>#REF!</v>
      </c>
    </row>
    <row r="1361" spans="1:7" ht="28.5" hidden="1" customHeight="1">
      <c r="A1361" s="66" t="s">
        <v>932</v>
      </c>
      <c r="B1361" s="1863" t="e">
        <f>+#REF!</f>
        <v>#REF!</v>
      </c>
      <c r="C1361" s="1621"/>
      <c r="D1361" s="1621"/>
      <c r="E1361" s="1621"/>
      <c r="F1361" s="1621"/>
      <c r="G1361" s="1622"/>
    </row>
    <row r="1362" spans="1:7" ht="14.25" hidden="1" customHeight="1">
      <c r="A1362" s="1836" t="s">
        <v>220</v>
      </c>
      <c r="B1362" s="1830"/>
      <c r="C1362" s="1830"/>
      <c r="D1362" s="1830"/>
      <c r="E1362" s="1830"/>
      <c r="F1362" s="1830"/>
      <c r="G1362" s="1828"/>
    </row>
    <row r="1363" spans="1:7" ht="14.25" hidden="1" customHeight="1">
      <c r="A1363" s="1829" t="s">
        <v>221</v>
      </c>
      <c r="B1363" s="1828"/>
      <c r="C1363" s="63" t="s">
        <v>222</v>
      </c>
      <c r="D1363" s="63" t="s">
        <v>252</v>
      </c>
      <c r="E1363" s="63" t="s">
        <v>224</v>
      </c>
      <c r="F1363" s="63" t="s">
        <v>225</v>
      </c>
      <c r="G1363" s="63" t="s">
        <v>226</v>
      </c>
    </row>
    <row r="1364" spans="1:7" ht="14.25" hidden="1" customHeight="1">
      <c r="A1364" s="1827" t="s">
        <v>923</v>
      </c>
      <c r="B1364" s="1828"/>
      <c r="C1364" s="64">
        <f>+(C1259*2)+(D1259*2)</f>
        <v>4</v>
      </c>
      <c r="D1364" s="64"/>
      <c r="E1364" s="64"/>
      <c r="F1364" s="64">
        <f>+C1364</f>
        <v>4</v>
      </c>
      <c r="G1364" s="64">
        <f t="shared" ref="G1364:G1365" si="114">+F1364</f>
        <v>4</v>
      </c>
    </row>
    <row r="1365" spans="1:7" ht="14.25" hidden="1" customHeight="1">
      <c r="A1365" s="1827"/>
      <c r="B1365" s="1828"/>
      <c r="C1365" s="64"/>
      <c r="D1365" s="64"/>
      <c r="E1365" s="64"/>
      <c r="F1365" s="64"/>
      <c r="G1365" s="64">
        <f t="shared" si="114"/>
        <v>0</v>
      </c>
    </row>
    <row r="1366" spans="1:7" ht="14.25" hidden="1" customHeight="1">
      <c r="A1366" s="1829" t="s">
        <v>227</v>
      </c>
      <c r="B1366" s="1830"/>
      <c r="C1366" s="1830"/>
      <c r="D1366" s="1830"/>
      <c r="E1366" s="1830"/>
      <c r="F1366" s="1828"/>
      <c r="G1366" s="65">
        <f>SUM(G1364:G1365)</f>
        <v>4</v>
      </c>
    </row>
    <row r="1367" spans="1:7" ht="14.25" hidden="1" customHeight="1">
      <c r="A1367" s="1831"/>
      <c r="B1367" s="1830"/>
      <c r="C1367" s="1830"/>
      <c r="D1367" s="1830"/>
      <c r="E1367" s="1830"/>
      <c r="F1367" s="1830"/>
      <c r="G1367" s="1828"/>
    </row>
    <row r="1368" spans="1:7" ht="14.25" hidden="1" customHeight="1">
      <c r="A1368" s="66" t="s">
        <v>918</v>
      </c>
      <c r="B1368" s="1832" t="e">
        <f>+B1360</f>
        <v>#REF!</v>
      </c>
      <c r="C1368" s="1830"/>
      <c r="D1368" s="1828"/>
      <c r="E1368" s="1833" t="s">
        <v>218</v>
      </c>
      <c r="F1368" s="1834"/>
      <c r="G1368" s="70" t="e">
        <f>+#REF!</f>
        <v>#REF!</v>
      </c>
    </row>
    <row r="1369" spans="1:7" ht="26.25" hidden="1" customHeight="1">
      <c r="A1369" s="66" t="s">
        <v>933</v>
      </c>
      <c r="B1369" s="1835" t="e">
        <f>+#REF!</f>
        <v>#REF!</v>
      </c>
      <c r="C1369" s="1621"/>
      <c r="D1369" s="1621"/>
      <c r="E1369" s="1621"/>
      <c r="F1369" s="1621"/>
      <c r="G1369" s="1622"/>
    </row>
    <row r="1370" spans="1:7" ht="14.25" hidden="1" customHeight="1">
      <c r="A1370" s="1836" t="s">
        <v>220</v>
      </c>
      <c r="B1370" s="1830"/>
      <c r="C1370" s="1830"/>
      <c r="D1370" s="1830"/>
      <c r="E1370" s="1830"/>
      <c r="F1370" s="1830"/>
      <c r="G1370" s="1828"/>
    </row>
    <row r="1371" spans="1:7" ht="14.25" hidden="1" customHeight="1">
      <c r="A1371" s="1829" t="s">
        <v>221</v>
      </c>
      <c r="B1371" s="1828"/>
      <c r="C1371" s="63" t="s">
        <v>222</v>
      </c>
      <c r="D1371" s="63" t="s">
        <v>252</v>
      </c>
      <c r="E1371" s="63" t="s">
        <v>224</v>
      </c>
      <c r="F1371" s="63" t="s">
        <v>225</v>
      </c>
      <c r="G1371" s="63" t="s">
        <v>226</v>
      </c>
    </row>
    <row r="1372" spans="1:7" ht="14.25" hidden="1" customHeight="1">
      <c r="A1372" s="1827" t="s">
        <v>923</v>
      </c>
      <c r="B1372" s="1828"/>
      <c r="C1372" s="64">
        <f>48.04+52.26+42.28</f>
        <v>142.57999999999998</v>
      </c>
      <c r="D1372" s="64"/>
      <c r="E1372" s="64"/>
      <c r="F1372" s="64"/>
      <c r="G1372" s="64">
        <f>+C1372</f>
        <v>142.57999999999998</v>
      </c>
    </row>
    <row r="1373" spans="1:7" ht="14.25" hidden="1" customHeight="1">
      <c r="A1373" s="1827"/>
      <c r="B1373" s="1828"/>
      <c r="C1373" s="64"/>
      <c r="D1373" s="64"/>
      <c r="E1373" s="64"/>
      <c r="F1373" s="64"/>
      <c r="G1373" s="64">
        <f>+F1373</f>
        <v>0</v>
      </c>
    </row>
    <row r="1374" spans="1:7" ht="14.25" hidden="1" customHeight="1">
      <c r="A1374" s="1829" t="s">
        <v>227</v>
      </c>
      <c r="B1374" s="1830"/>
      <c r="C1374" s="1830"/>
      <c r="D1374" s="1830"/>
      <c r="E1374" s="1830"/>
      <c r="F1374" s="1828"/>
      <c r="G1374" s="191">
        <f>SUM(G1372:G1373)</f>
        <v>142.57999999999998</v>
      </c>
    </row>
    <row r="1375" spans="1:7" ht="14.25" hidden="1" customHeight="1">
      <c r="A1375" s="1831"/>
      <c r="B1375" s="1830"/>
      <c r="C1375" s="1830"/>
      <c r="D1375" s="1830"/>
      <c r="E1375" s="1830"/>
      <c r="F1375" s="1830"/>
      <c r="G1375" s="1828"/>
    </row>
    <row r="1376" spans="1:7" ht="14.25" hidden="1" customHeight="1">
      <c r="A1376" s="66" t="s">
        <v>918</v>
      </c>
      <c r="B1376" s="1832" t="e">
        <f>+B1360</f>
        <v>#REF!</v>
      </c>
      <c r="C1376" s="1830"/>
      <c r="D1376" s="1828"/>
      <c r="E1376" s="1833" t="s">
        <v>218</v>
      </c>
      <c r="F1376" s="1834"/>
      <c r="G1376" s="70" t="e">
        <f>+#REF!</f>
        <v>#REF!</v>
      </c>
    </row>
    <row r="1377" spans="1:7" ht="32.25" hidden="1" customHeight="1">
      <c r="A1377" s="66" t="s">
        <v>934</v>
      </c>
      <c r="B1377" s="1863" t="e">
        <f>+#REF!</f>
        <v>#REF!</v>
      </c>
      <c r="C1377" s="1621"/>
      <c r="D1377" s="1621"/>
      <c r="E1377" s="1621"/>
      <c r="F1377" s="1621"/>
      <c r="G1377" s="1622"/>
    </row>
    <row r="1378" spans="1:7" ht="14.25" hidden="1" customHeight="1">
      <c r="A1378" s="1836" t="s">
        <v>220</v>
      </c>
      <c r="B1378" s="1830"/>
      <c r="C1378" s="1830"/>
      <c r="D1378" s="1830"/>
      <c r="E1378" s="1830"/>
      <c r="F1378" s="1830"/>
      <c r="G1378" s="1828"/>
    </row>
    <row r="1379" spans="1:7" ht="14.25" hidden="1" customHeight="1">
      <c r="A1379" s="1829" t="s">
        <v>221</v>
      </c>
      <c r="B1379" s="1828"/>
      <c r="C1379" s="63" t="s">
        <v>222</v>
      </c>
      <c r="D1379" s="63" t="s">
        <v>252</v>
      </c>
      <c r="E1379" s="63" t="s">
        <v>224</v>
      </c>
      <c r="F1379" s="63" t="s">
        <v>225</v>
      </c>
      <c r="G1379" s="63" t="s">
        <v>226</v>
      </c>
    </row>
    <row r="1380" spans="1:7" ht="14.25" hidden="1" customHeight="1">
      <c r="A1380" s="1827" t="s">
        <v>923</v>
      </c>
      <c r="B1380" s="1828"/>
      <c r="C1380" s="64">
        <f>8.11+9.34+28.07+38.06+32.3+22.32+12.34</f>
        <v>150.54</v>
      </c>
      <c r="D1380" s="64"/>
      <c r="E1380" s="64"/>
      <c r="F1380" s="64"/>
      <c r="G1380" s="64">
        <f>+C1380</f>
        <v>150.54</v>
      </c>
    </row>
    <row r="1381" spans="1:7" ht="14.25" hidden="1" customHeight="1">
      <c r="A1381" s="1827"/>
      <c r="B1381" s="1828"/>
      <c r="C1381" s="64"/>
      <c r="D1381" s="64"/>
      <c r="E1381" s="64"/>
      <c r="F1381" s="64"/>
      <c r="G1381" s="64">
        <f>+F1381</f>
        <v>0</v>
      </c>
    </row>
    <row r="1382" spans="1:7" ht="14.25" hidden="1" customHeight="1">
      <c r="A1382" s="1829" t="s">
        <v>227</v>
      </c>
      <c r="B1382" s="1830"/>
      <c r="C1382" s="1830"/>
      <c r="D1382" s="1830"/>
      <c r="E1382" s="1830"/>
      <c r="F1382" s="1828"/>
      <c r="G1382" s="65">
        <f>SUM(G1380:G1381)</f>
        <v>150.54</v>
      </c>
    </row>
    <row r="1383" spans="1:7" ht="14.25" hidden="1" customHeight="1">
      <c r="A1383" s="1831"/>
      <c r="B1383" s="1830"/>
      <c r="C1383" s="1830"/>
      <c r="D1383" s="1830"/>
      <c r="E1383" s="1830"/>
      <c r="F1383" s="1830"/>
      <c r="G1383" s="1828"/>
    </row>
    <row r="1384" spans="1:7" ht="14.25" hidden="1" customHeight="1">
      <c r="A1384" s="66" t="s">
        <v>918</v>
      </c>
      <c r="B1384" s="1832" t="e">
        <f>+B1368</f>
        <v>#REF!</v>
      </c>
      <c r="C1384" s="1830"/>
      <c r="D1384" s="1828"/>
      <c r="E1384" s="1833" t="s">
        <v>218</v>
      </c>
      <c r="F1384" s="1834"/>
      <c r="G1384" s="70" t="e">
        <f>+#REF!</f>
        <v>#REF!</v>
      </c>
    </row>
    <row r="1385" spans="1:7" ht="30" hidden="1" customHeight="1">
      <c r="A1385" s="66" t="s">
        <v>935</v>
      </c>
      <c r="B1385" s="1863" t="e">
        <f>+#REF!</f>
        <v>#REF!</v>
      </c>
      <c r="C1385" s="1621"/>
      <c r="D1385" s="1621"/>
      <c r="E1385" s="1621"/>
      <c r="F1385" s="1621"/>
      <c r="G1385" s="1622"/>
    </row>
    <row r="1386" spans="1:7" ht="14.25" hidden="1" customHeight="1">
      <c r="A1386" s="1836" t="s">
        <v>220</v>
      </c>
      <c r="B1386" s="1830"/>
      <c r="C1386" s="1830"/>
      <c r="D1386" s="1830"/>
      <c r="E1386" s="1830"/>
      <c r="F1386" s="1830"/>
      <c r="G1386" s="1828"/>
    </row>
    <row r="1387" spans="1:7" ht="14.25" hidden="1" customHeight="1">
      <c r="A1387" s="1829" t="s">
        <v>221</v>
      </c>
      <c r="B1387" s="1828"/>
      <c r="C1387" s="63" t="s">
        <v>222</v>
      </c>
      <c r="D1387" s="63" t="s">
        <v>252</v>
      </c>
      <c r="E1387" s="63" t="s">
        <v>224</v>
      </c>
      <c r="F1387" s="63" t="s">
        <v>225</v>
      </c>
      <c r="G1387" s="63" t="s">
        <v>226</v>
      </c>
    </row>
    <row r="1388" spans="1:7" ht="14.25" hidden="1" customHeight="1">
      <c r="A1388" s="1827" t="s">
        <v>923</v>
      </c>
      <c r="B1388" s="1828"/>
      <c r="C1388" s="64">
        <f>+(C1259)</f>
        <v>1</v>
      </c>
      <c r="D1388" s="64"/>
      <c r="E1388" s="64"/>
      <c r="F1388" s="64">
        <f>+C1388</f>
        <v>1</v>
      </c>
      <c r="G1388" s="64">
        <f t="shared" ref="G1388:G1389" si="115">+F1388</f>
        <v>1</v>
      </c>
    </row>
    <row r="1389" spans="1:7" ht="14.25" hidden="1" customHeight="1">
      <c r="A1389" s="1827"/>
      <c r="B1389" s="1828"/>
      <c r="C1389" s="64"/>
      <c r="D1389" s="64"/>
      <c r="E1389" s="64"/>
      <c r="F1389" s="64"/>
      <c r="G1389" s="64">
        <f t="shared" si="115"/>
        <v>0</v>
      </c>
    </row>
    <row r="1390" spans="1:7" ht="14.25" hidden="1" customHeight="1">
      <c r="A1390" s="1829" t="s">
        <v>227</v>
      </c>
      <c r="B1390" s="1830"/>
      <c r="C1390" s="1830"/>
      <c r="D1390" s="1830"/>
      <c r="E1390" s="1830"/>
      <c r="F1390" s="1828"/>
      <c r="G1390" s="65">
        <f>SUM(G1388:G1389)</f>
        <v>1</v>
      </c>
    </row>
    <row r="1391" spans="1:7" ht="14.25" hidden="1" customHeight="1">
      <c r="A1391" s="1831"/>
      <c r="B1391" s="1830"/>
      <c r="C1391" s="1830"/>
      <c r="D1391" s="1830"/>
      <c r="E1391" s="1830"/>
      <c r="F1391" s="1830"/>
      <c r="G1391" s="1828"/>
    </row>
    <row r="1392" spans="1:7" ht="14.25" hidden="1" customHeight="1">
      <c r="A1392" s="66" t="s">
        <v>918</v>
      </c>
      <c r="B1392" s="1832" t="e">
        <f>+B1384</f>
        <v>#REF!</v>
      </c>
      <c r="C1392" s="1830"/>
      <c r="D1392" s="1828"/>
      <c r="E1392" s="1833" t="s">
        <v>218</v>
      </c>
      <c r="F1392" s="1834"/>
      <c r="G1392" s="70" t="e">
        <f>+#REF!</f>
        <v>#REF!</v>
      </c>
    </row>
    <row r="1393" spans="1:7" ht="34.5" hidden="1" customHeight="1">
      <c r="A1393" s="66" t="s">
        <v>936</v>
      </c>
      <c r="B1393" s="1835" t="e">
        <f>+#REF!</f>
        <v>#REF!</v>
      </c>
      <c r="C1393" s="1621"/>
      <c r="D1393" s="1621"/>
      <c r="E1393" s="1621"/>
      <c r="F1393" s="1621"/>
      <c r="G1393" s="1622"/>
    </row>
    <row r="1394" spans="1:7" ht="14.25" hidden="1" customHeight="1">
      <c r="A1394" s="1836" t="s">
        <v>220</v>
      </c>
      <c r="B1394" s="1830"/>
      <c r="C1394" s="1830"/>
      <c r="D1394" s="1830"/>
      <c r="E1394" s="1830"/>
      <c r="F1394" s="1830"/>
      <c r="G1394" s="1828"/>
    </row>
    <row r="1395" spans="1:7" ht="14.25" hidden="1" customHeight="1">
      <c r="A1395" s="1829" t="s">
        <v>221</v>
      </c>
      <c r="B1395" s="1828"/>
      <c r="C1395" s="63" t="s">
        <v>222</v>
      </c>
      <c r="D1395" s="63" t="s">
        <v>252</v>
      </c>
      <c r="E1395" s="63" t="s">
        <v>224</v>
      </c>
      <c r="F1395" s="63" t="s">
        <v>225</v>
      </c>
      <c r="G1395" s="63" t="s">
        <v>226</v>
      </c>
    </row>
    <row r="1396" spans="1:7" ht="14.25" hidden="1" customHeight="1">
      <c r="A1396" s="1827" t="s">
        <v>923</v>
      </c>
      <c r="B1396" s="1828"/>
      <c r="C1396" s="64"/>
      <c r="D1396" s="64"/>
      <c r="E1396" s="64"/>
      <c r="F1396" s="64">
        <v>2</v>
      </c>
      <c r="G1396" s="64">
        <f t="shared" ref="G1396:G1397" si="116">+F1396</f>
        <v>2</v>
      </c>
    </row>
    <row r="1397" spans="1:7" ht="14.25" hidden="1" customHeight="1">
      <c r="A1397" s="1827"/>
      <c r="B1397" s="1828"/>
      <c r="C1397" s="64"/>
      <c r="D1397" s="64"/>
      <c r="E1397" s="64"/>
      <c r="F1397" s="64"/>
      <c r="G1397" s="64">
        <f t="shared" si="116"/>
        <v>0</v>
      </c>
    </row>
    <row r="1398" spans="1:7" ht="14.25" hidden="1" customHeight="1">
      <c r="A1398" s="1829" t="s">
        <v>227</v>
      </c>
      <c r="B1398" s="1830"/>
      <c r="C1398" s="1830"/>
      <c r="D1398" s="1830"/>
      <c r="E1398" s="1830"/>
      <c r="F1398" s="1828"/>
      <c r="G1398" s="65">
        <f>SUM(G1396:G1397)</f>
        <v>2</v>
      </c>
    </row>
    <row r="1399" spans="1:7" ht="14.25" hidden="1" customHeight="1">
      <c r="A1399" s="1831"/>
      <c r="B1399" s="1830"/>
      <c r="C1399" s="1830"/>
      <c r="D1399" s="1830"/>
      <c r="E1399" s="1830"/>
      <c r="F1399" s="1830"/>
      <c r="G1399" s="1828"/>
    </row>
    <row r="1400" spans="1:7" ht="14.25" hidden="1" customHeight="1">
      <c r="A1400" s="66" t="s">
        <v>918</v>
      </c>
      <c r="B1400" s="1832" t="e">
        <f>+B1392</f>
        <v>#REF!</v>
      </c>
      <c r="C1400" s="1830"/>
      <c r="D1400" s="1828"/>
      <c r="E1400" s="1833" t="s">
        <v>218</v>
      </c>
      <c r="F1400" s="1834"/>
      <c r="G1400" s="70" t="e">
        <f>+#REF!</f>
        <v>#REF!</v>
      </c>
    </row>
    <row r="1401" spans="1:7" ht="36.75" hidden="1" customHeight="1">
      <c r="A1401" s="66" t="s">
        <v>937</v>
      </c>
      <c r="B1401" s="1835" t="e">
        <f>+#REF!</f>
        <v>#REF!</v>
      </c>
      <c r="C1401" s="1621"/>
      <c r="D1401" s="1621"/>
      <c r="E1401" s="1621"/>
      <c r="F1401" s="1621"/>
      <c r="G1401" s="1622"/>
    </row>
    <row r="1402" spans="1:7" ht="14.25" hidden="1" customHeight="1">
      <c r="A1402" s="1836" t="s">
        <v>220</v>
      </c>
      <c r="B1402" s="1830"/>
      <c r="C1402" s="1830"/>
      <c r="D1402" s="1830"/>
      <c r="E1402" s="1830"/>
      <c r="F1402" s="1830"/>
      <c r="G1402" s="1828"/>
    </row>
    <row r="1403" spans="1:7" ht="14.25" hidden="1" customHeight="1">
      <c r="A1403" s="1829" t="s">
        <v>221</v>
      </c>
      <c r="B1403" s="1828"/>
      <c r="C1403" s="63" t="s">
        <v>222</v>
      </c>
      <c r="D1403" s="63" t="s">
        <v>252</v>
      </c>
      <c r="E1403" s="63" t="s">
        <v>224</v>
      </c>
      <c r="F1403" s="63" t="s">
        <v>225</v>
      </c>
      <c r="G1403" s="63" t="s">
        <v>226</v>
      </c>
    </row>
    <row r="1404" spans="1:7" ht="14.25" hidden="1" customHeight="1">
      <c r="A1404" s="1827" t="s">
        <v>938</v>
      </c>
      <c r="B1404" s="1828"/>
      <c r="C1404" s="64">
        <f>+$G$1277</f>
        <v>88.19</v>
      </c>
      <c r="D1404" s="64"/>
      <c r="E1404" s="64"/>
      <c r="F1404" s="64">
        <f>-$G$1309</f>
        <v>-8312.64</v>
      </c>
      <c r="G1404" s="64">
        <f>+C1404+F1404</f>
        <v>-8224.4499999999989</v>
      </c>
    </row>
    <row r="1405" spans="1:7" ht="14.25" hidden="1" customHeight="1">
      <c r="A1405" s="1827"/>
      <c r="B1405" s="1828"/>
      <c r="C1405" s="64"/>
      <c r="D1405" s="64"/>
      <c r="E1405" s="64"/>
      <c r="F1405" s="64"/>
      <c r="G1405" s="64">
        <f>+F1405</f>
        <v>0</v>
      </c>
    </row>
    <row r="1406" spans="1:7" ht="14.25" hidden="1" customHeight="1">
      <c r="A1406" s="1829" t="s">
        <v>227</v>
      </c>
      <c r="B1406" s="1830"/>
      <c r="C1406" s="1830"/>
      <c r="D1406" s="1830"/>
      <c r="E1406" s="1830"/>
      <c r="F1406" s="1828"/>
      <c r="G1406" s="65">
        <f>SUM(G1404:G1405)</f>
        <v>-8224.4499999999989</v>
      </c>
    </row>
    <row r="1407" spans="1:7" ht="14.25" hidden="1" customHeight="1">
      <c r="A1407" s="1831"/>
      <c r="B1407" s="1830"/>
      <c r="C1407" s="1830"/>
      <c r="D1407" s="1830"/>
      <c r="E1407" s="1830"/>
      <c r="F1407" s="1830"/>
      <c r="G1407" s="1828"/>
    </row>
    <row r="1408" spans="1:7" ht="14.25" hidden="1" customHeight="1">
      <c r="A1408" s="66" t="s">
        <v>918</v>
      </c>
      <c r="B1408" s="1832" t="e">
        <f>+B1400</f>
        <v>#REF!</v>
      </c>
      <c r="C1408" s="1830"/>
      <c r="D1408" s="1828"/>
      <c r="E1408" s="1833" t="s">
        <v>218</v>
      </c>
      <c r="F1408" s="1834"/>
      <c r="G1408" s="70" t="e">
        <f>+#REF!</f>
        <v>#REF!</v>
      </c>
    </row>
    <row r="1409" spans="1:7" ht="33" hidden="1" customHeight="1">
      <c r="A1409" s="66" t="s">
        <v>939</v>
      </c>
      <c r="B1409" s="1835" t="e">
        <f>+#REF!</f>
        <v>#REF!</v>
      </c>
      <c r="C1409" s="1621"/>
      <c r="D1409" s="1621"/>
      <c r="E1409" s="1621"/>
      <c r="F1409" s="1621"/>
      <c r="G1409" s="1622"/>
    </row>
    <row r="1410" spans="1:7" ht="14.25" hidden="1" customHeight="1">
      <c r="A1410" s="1836" t="s">
        <v>220</v>
      </c>
      <c r="B1410" s="1830"/>
      <c r="C1410" s="1830"/>
      <c r="D1410" s="1830"/>
      <c r="E1410" s="1830"/>
      <c r="F1410" s="1830"/>
      <c r="G1410" s="1828"/>
    </row>
    <row r="1411" spans="1:7" ht="14.25" hidden="1" customHeight="1">
      <c r="A1411" s="1829" t="s">
        <v>221</v>
      </c>
      <c r="B1411" s="1828"/>
      <c r="C1411" s="63" t="s">
        <v>222</v>
      </c>
      <c r="D1411" s="63" t="s">
        <v>252</v>
      </c>
      <c r="E1411" s="63" t="s">
        <v>224</v>
      </c>
      <c r="F1411" s="63" t="s">
        <v>225</v>
      </c>
      <c r="G1411" s="63" t="s">
        <v>226</v>
      </c>
    </row>
    <row r="1412" spans="1:7" ht="14.25" hidden="1" customHeight="1">
      <c r="A1412" s="1827" t="s">
        <v>938</v>
      </c>
      <c r="B1412" s="1828"/>
      <c r="C1412" s="64">
        <f>+$G$1277</f>
        <v>88.19</v>
      </c>
      <c r="D1412" s="64"/>
      <c r="E1412" s="64"/>
      <c r="F1412" s="64">
        <f>-$G$1309</f>
        <v>-8312.64</v>
      </c>
      <c r="G1412" s="64">
        <f>+C1412+F1412</f>
        <v>-8224.4499999999989</v>
      </c>
    </row>
    <row r="1413" spans="1:7" ht="14.25" hidden="1" customHeight="1">
      <c r="A1413" s="1827"/>
      <c r="B1413" s="1828"/>
      <c r="C1413" s="64"/>
      <c r="D1413" s="64"/>
      <c r="E1413" s="64"/>
      <c r="F1413" s="64"/>
      <c r="G1413" s="64">
        <f>+F1413</f>
        <v>0</v>
      </c>
    </row>
    <row r="1414" spans="1:7" ht="14.25" hidden="1" customHeight="1">
      <c r="A1414" s="1829" t="s">
        <v>227</v>
      </c>
      <c r="B1414" s="1830"/>
      <c r="C1414" s="1830"/>
      <c r="D1414" s="1830"/>
      <c r="E1414" s="1830"/>
      <c r="F1414" s="1828"/>
      <c r="G1414" s="65">
        <f>SUM(G1412:G1413)</f>
        <v>-8224.4499999999989</v>
      </c>
    </row>
    <row r="1415" spans="1:7" ht="14.25" hidden="1" customHeight="1">
      <c r="A1415" s="1831"/>
      <c r="B1415" s="1830"/>
      <c r="C1415" s="1830"/>
      <c r="D1415" s="1830"/>
      <c r="E1415" s="1830"/>
      <c r="F1415" s="1830"/>
      <c r="G1415" s="1828"/>
    </row>
    <row r="1416" spans="1:7" ht="14.25" hidden="1" customHeight="1">
      <c r="A1416" s="66" t="s">
        <v>918</v>
      </c>
      <c r="B1416" s="1832" t="e">
        <f>+B1408</f>
        <v>#REF!</v>
      </c>
      <c r="C1416" s="1830"/>
      <c r="D1416" s="1828"/>
      <c r="E1416" s="1833" t="s">
        <v>218</v>
      </c>
      <c r="F1416" s="1834"/>
      <c r="G1416" s="70" t="e">
        <f>+#REF!</f>
        <v>#REF!</v>
      </c>
    </row>
    <row r="1417" spans="1:7" ht="33" hidden="1" customHeight="1">
      <c r="A1417" s="66" t="s">
        <v>940</v>
      </c>
      <c r="B1417" s="1835" t="e">
        <f>+#REF!</f>
        <v>#REF!</v>
      </c>
      <c r="C1417" s="1621"/>
      <c r="D1417" s="1621"/>
      <c r="E1417" s="1621"/>
      <c r="F1417" s="1621"/>
      <c r="G1417" s="1622"/>
    </row>
    <row r="1418" spans="1:7" ht="14.25" hidden="1" customHeight="1">
      <c r="A1418" s="1836" t="s">
        <v>220</v>
      </c>
      <c r="B1418" s="1830"/>
      <c r="C1418" s="1830"/>
      <c r="D1418" s="1830"/>
      <c r="E1418" s="1830"/>
      <c r="F1418" s="1830"/>
      <c r="G1418" s="1828"/>
    </row>
    <row r="1419" spans="1:7" ht="14.25" hidden="1" customHeight="1">
      <c r="A1419" s="1829" t="s">
        <v>221</v>
      </c>
      <c r="B1419" s="1828"/>
      <c r="C1419" s="63" t="s">
        <v>222</v>
      </c>
      <c r="D1419" s="63" t="s">
        <v>252</v>
      </c>
      <c r="E1419" s="63" t="s">
        <v>224</v>
      </c>
      <c r="F1419" s="63" t="s">
        <v>225</v>
      </c>
      <c r="G1419" s="63" t="s">
        <v>226</v>
      </c>
    </row>
    <row r="1420" spans="1:7" ht="14.25" hidden="1" customHeight="1">
      <c r="A1420" s="1827" t="s">
        <v>938</v>
      </c>
      <c r="B1420" s="1828"/>
      <c r="C1420" s="64"/>
      <c r="D1420" s="64"/>
      <c r="E1420" s="64"/>
      <c r="F1420" s="64">
        <v>2</v>
      </c>
      <c r="G1420" s="64">
        <f>+C1420+F1420</f>
        <v>2</v>
      </c>
    </row>
    <row r="1421" spans="1:7" ht="14.25" hidden="1" customHeight="1">
      <c r="A1421" s="1827"/>
      <c r="B1421" s="1828"/>
      <c r="C1421" s="64"/>
      <c r="D1421" s="64"/>
      <c r="E1421" s="64"/>
      <c r="F1421" s="64"/>
      <c r="G1421" s="64">
        <f>+F1421</f>
        <v>0</v>
      </c>
    </row>
    <row r="1422" spans="1:7" ht="14.25" hidden="1" customHeight="1">
      <c r="A1422" s="1829" t="s">
        <v>227</v>
      </c>
      <c r="B1422" s="1830"/>
      <c r="C1422" s="1830"/>
      <c r="D1422" s="1830"/>
      <c r="E1422" s="1830"/>
      <c r="F1422" s="1828"/>
      <c r="G1422" s="65">
        <f>SUM(G1420:G1421)</f>
        <v>2</v>
      </c>
    </row>
    <row r="1423" spans="1:7" ht="14.25" hidden="1" customHeight="1">
      <c r="A1423" s="1831"/>
      <c r="B1423" s="1830"/>
      <c r="C1423" s="1830"/>
      <c r="D1423" s="1830"/>
      <c r="E1423" s="1830"/>
      <c r="F1423" s="1830"/>
      <c r="G1423" s="1828"/>
    </row>
    <row r="1424" spans="1:7" ht="14.25" hidden="1" customHeight="1">
      <c r="A1424" s="66" t="s">
        <v>918</v>
      </c>
      <c r="B1424" s="1832" t="e">
        <f>+B1416</f>
        <v>#REF!</v>
      </c>
      <c r="C1424" s="1830"/>
      <c r="D1424" s="1828"/>
      <c r="E1424" s="1833" t="s">
        <v>218</v>
      </c>
      <c r="F1424" s="1834"/>
      <c r="G1424" s="70" t="e">
        <f>+#REF!</f>
        <v>#REF!</v>
      </c>
    </row>
    <row r="1425" spans="1:10" ht="33" hidden="1" customHeight="1">
      <c r="A1425" s="66" t="s">
        <v>941</v>
      </c>
      <c r="B1425" s="1835" t="e">
        <f>+#REF!</f>
        <v>#REF!</v>
      </c>
      <c r="C1425" s="1621"/>
      <c r="D1425" s="1621"/>
      <c r="E1425" s="1621"/>
      <c r="F1425" s="1621"/>
      <c r="G1425" s="1622"/>
      <c r="H1425" s="59"/>
      <c r="I1425" s="60"/>
      <c r="J1425" s="60"/>
    </row>
    <row r="1426" spans="1:10" ht="14.25" hidden="1" customHeight="1">
      <c r="A1426" s="1836" t="s">
        <v>220</v>
      </c>
      <c r="B1426" s="1830"/>
      <c r="C1426" s="1830"/>
      <c r="D1426" s="1830"/>
      <c r="E1426" s="1830"/>
      <c r="F1426" s="1830"/>
      <c r="G1426" s="1828"/>
      <c r="H1426" s="59"/>
      <c r="I1426" s="60"/>
      <c r="J1426" s="60"/>
    </row>
    <row r="1427" spans="1:10" ht="14.25" hidden="1" customHeight="1">
      <c r="A1427" s="1829" t="s">
        <v>221</v>
      </c>
      <c r="B1427" s="1828"/>
      <c r="C1427" s="63" t="s">
        <v>222</v>
      </c>
      <c r="D1427" s="63" t="s">
        <v>252</v>
      </c>
      <c r="E1427" s="63" t="s">
        <v>224</v>
      </c>
      <c r="F1427" s="63" t="s">
        <v>225</v>
      </c>
      <c r="G1427" s="63" t="s">
        <v>226</v>
      </c>
      <c r="H1427" s="59"/>
      <c r="I1427" s="60"/>
      <c r="J1427" s="60"/>
    </row>
    <row r="1428" spans="1:10" ht="14.25" hidden="1" customHeight="1">
      <c r="A1428" s="1827" t="s">
        <v>938</v>
      </c>
      <c r="B1428" s="1828"/>
      <c r="C1428" s="64"/>
      <c r="D1428" s="64"/>
      <c r="E1428" s="64"/>
      <c r="F1428" s="64">
        <v>2</v>
      </c>
      <c r="G1428" s="64">
        <f>+C1428+F1428</f>
        <v>2</v>
      </c>
      <c r="H1428" s="59"/>
      <c r="I1428" s="60"/>
      <c r="J1428" s="60"/>
    </row>
    <row r="1429" spans="1:10" ht="14.25" hidden="1" customHeight="1">
      <c r="A1429" s="1827"/>
      <c r="B1429" s="1828"/>
      <c r="C1429" s="64"/>
      <c r="D1429" s="64"/>
      <c r="E1429" s="64"/>
      <c r="F1429" s="64"/>
      <c r="G1429" s="64">
        <f>+F1429</f>
        <v>0</v>
      </c>
      <c r="H1429" s="59"/>
      <c r="I1429" s="60"/>
      <c r="J1429" s="60"/>
    </row>
    <row r="1430" spans="1:10" ht="14.25" hidden="1" customHeight="1">
      <c r="A1430" s="1829" t="s">
        <v>227</v>
      </c>
      <c r="B1430" s="1830"/>
      <c r="C1430" s="1830"/>
      <c r="D1430" s="1830"/>
      <c r="E1430" s="1830"/>
      <c r="F1430" s="1828"/>
      <c r="G1430" s="65">
        <f>SUM(G1428:G1429)</f>
        <v>2</v>
      </c>
      <c r="H1430" s="59"/>
      <c r="I1430" s="60"/>
      <c r="J1430" s="60"/>
    </row>
    <row r="1431" spans="1:10" ht="14.25" customHeight="1">
      <c r="A1431" s="59"/>
      <c r="B1431" s="59"/>
      <c r="C1431" s="59"/>
      <c r="D1431" s="59"/>
      <c r="E1431" s="59"/>
      <c r="F1431" s="59"/>
      <c r="G1431" s="59"/>
      <c r="H1431" s="59"/>
      <c r="I1431" s="60"/>
      <c r="J1431" s="60"/>
    </row>
    <row r="1432" spans="1:10" ht="14.25" customHeight="1">
      <c r="A1432" s="59"/>
      <c r="B1432" s="59"/>
      <c r="C1432" s="59"/>
      <c r="D1432" s="59"/>
      <c r="E1432" s="59"/>
      <c r="F1432" s="59"/>
      <c r="G1432" s="59"/>
      <c r="H1432" s="59"/>
      <c r="I1432" s="60"/>
      <c r="J1432" s="60"/>
    </row>
    <row r="1433" spans="1:10" ht="14.25" customHeight="1">
      <c r="A1433" s="59"/>
      <c r="B1433" s="59"/>
      <c r="C1433" s="59"/>
      <c r="D1433" s="59"/>
      <c r="E1433" s="59"/>
      <c r="F1433" s="59"/>
      <c r="G1433" s="59"/>
      <c r="H1433" s="59"/>
      <c r="I1433" s="60"/>
      <c r="J1433" s="60" t="s">
        <v>368</v>
      </c>
    </row>
    <row r="1434" spans="1:10" ht="14.25" customHeight="1">
      <c r="A1434" s="59"/>
      <c r="B1434" s="59"/>
      <c r="C1434" s="59"/>
      <c r="D1434" s="59"/>
      <c r="E1434" s="59"/>
      <c r="F1434" s="59"/>
      <c r="G1434" s="59"/>
      <c r="H1434" s="59"/>
      <c r="I1434" s="60"/>
      <c r="J1434" s="60"/>
    </row>
    <row r="1435" spans="1:10" ht="14.25" customHeight="1">
      <c r="A1435" s="168" t="s">
        <v>558</v>
      </c>
      <c r="B1435" s="59"/>
      <c r="C1435" s="59"/>
      <c r="D1435" s="59"/>
      <c r="E1435" s="59"/>
      <c r="F1435" s="59"/>
      <c r="G1435" s="59"/>
      <c r="H1435" s="59"/>
      <c r="I1435" s="60"/>
      <c r="J1435" s="60"/>
    </row>
    <row r="1436" spans="1:10" ht="14.25" customHeight="1">
      <c r="A1436" s="76" t="s">
        <v>559</v>
      </c>
      <c r="B1436" s="59"/>
      <c r="C1436" s="59"/>
      <c r="D1436" s="59"/>
      <c r="E1436" s="59"/>
      <c r="F1436" s="59"/>
      <c r="G1436" s="59"/>
      <c r="H1436" s="59"/>
      <c r="I1436" s="60"/>
      <c r="J1436" s="60"/>
    </row>
    <row r="1437" spans="1:10" ht="14.25" customHeight="1">
      <c r="A1437" s="76" t="s">
        <v>560</v>
      </c>
      <c r="B1437" s="59"/>
      <c r="C1437" s="59"/>
      <c r="D1437" s="59"/>
      <c r="E1437" s="59"/>
      <c r="F1437" s="59"/>
      <c r="G1437" s="59"/>
      <c r="H1437" s="59"/>
      <c r="I1437" s="60"/>
      <c r="J1437" s="60"/>
    </row>
  </sheetData>
  <mergeCells count="1518">
    <mergeCell ref="A2:A5"/>
    <mergeCell ref="B2:D2"/>
    <mergeCell ref="E2:G3"/>
    <mergeCell ref="B3:D4"/>
    <mergeCell ref="E4:G4"/>
    <mergeCell ref="E5:G5"/>
    <mergeCell ref="A6:G6"/>
    <mergeCell ref="B5:D5"/>
    <mergeCell ref="B7:D7"/>
    <mergeCell ref="E7:F7"/>
    <mergeCell ref="B8:G8"/>
    <mergeCell ref="A9:G9"/>
    <mergeCell ref="A10:B10"/>
    <mergeCell ref="A11:B11"/>
    <mergeCell ref="A12:B12"/>
    <mergeCell ref="A13:F13"/>
    <mergeCell ref="A14:G14"/>
    <mergeCell ref="A64:G64"/>
    <mergeCell ref="B65:D65"/>
    <mergeCell ref="E65:F65"/>
    <mergeCell ref="B66:G66"/>
    <mergeCell ref="A67:G67"/>
    <mergeCell ref="A68:B68"/>
    <mergeCell ref="A69:B69"/>
    <mergeCell ref="A70:B70"/>
    <mergeCell ref="A71:B71"/>
    <mergeCell ref="A72:B72"/>
    <mergeCell ref="A73:B73"/>
    <mergeCell ref="A74:B74"/>
    <mergeCell ref="A75:B75"/>
    <mergeCell ref="A76:B76"/>
    <mergeCell ref="A77:F77"/>
    <mergeCell ref="A15:G15"/>
    <mergeCell ref="B16:D16"/>
    <mergeCell ref="E16:F16"/>
    <mergeCell ref="B17:G17"/>
    <mergeCell ref="A18:G18"/>
    <mergeCell ref="A19:B19"/>
    <mergeCell ref="A20:B20"/>
    <mergeCell ref="A21:B21"/>
    <mergeCell ref="A22:B22"/>
    <mergeCell ref="A23:B23"/>
    <mergeCell ref="A24:B24"/>
    <mergeCell ref="A25:B25"/>
    <mergeCell ref="A26:B26"/>
    <mergeCell ref="A27:B27"/>
    <mergeCell ref="A28:B28"/>
    <mergeCell ref="A29:B29"/>
    <mergeCell ref="A30:B30"/>
    <mergeCell ref="A61:B61"/>
    <mergeCell ref="A62:B62"/>
    <mergeCell ref="A63:F63"/>
    <mergeCell ref="A31:B31"/>
    <mergeCell ref="A32:B32"/>
    <mergeCell ref="A33:B33"/>
    <mergeCell ref="A34:B34"/>
    <mergeCell ref="A35:F35"/>
    <mergeCell ref="A36:G36"/>
    <mergeCell ref="B37:D37"/>
    <mergeCell ref="E37:F37"/>
    <mergeCell ref="B38:G38"/>
    <mergeCell ref="A39:G39"/>
    <mergeCell ref="A40:B40"/>
    <mergeCell ref="A41:B41"/>
    <mergeCell ref="A42:B42"/>
    <mergeCell ref="A43:B43"/>
    <mergeCell ref="A44:B44"/>
    <mergeCell ref="A45:B45"/>
    <mergeCell ref="A46:B46"/>
    <mergeCell ref="A47:B47"/>
    <mergeCell ref="A48:B48"/>
    <mergeCell ref="A49:F49"/>
    <mergeCell ref="A50:G50"/>
    <mergeCell ref="E51:F51"/>
    <mergeCell ref="B51:D51"/>
    <mergeCell ref="B52:G52"/>
    <mergeCell ref="A53:G53"/>
    <mergeCell ref="A54:B54"/>
    <mergeCell ref="A55:B55"/>
    <mergeCell ref="A56:B56"/>
    <mergeCell ref="A57:B57"/>
    <mergeCell ref="A58:B58"/>
    <mergeCell ref="A59:B59"/>
    <mergeCell ref="A60:B60"/>
    <mergeCell ref="B123:G123"/>
    <mergeCell ref="A124:G124"/>
    <mergeCell ref="A125:B125"/>
    <mergeCell ref="A126:B126"/>
    <mergeCell ref="A127:B127"/>
    <mergeCell ref="A128:B128"/>
    <mergeCell ref="A129:B129"/>
    <mergeCell ref="A130:B130"/>
    <mergeCell ref="A131:B131"/>
    <mergeCell ref="A132:B132"/>
    <mergeCell ref="A133:B133"/>
    <mergeCell ref="A134:B134"/>
    <mergeCell ref="A135:B135"/>
    <mergeCell ref="A136:B136"/>
    <mergeCell ref="A86:B86"/>
    <mergeCell ref="A87:B87"/>
    <mergeCell ref="A88:B88"/>
    <mergeCell ref="A89:F89"/>
    <mergeCell ref="A90:G90"/>
    <mergeCell ref="B91:D91"/>
    <mergeCell ref="E91:F91"/>
    <mergeCell ref="B92:G92"/>
    <mergeCell ref="A93:G93"/>
    <mergeCell ref="A94:B94"/>
    <mergeCell ref="A95:B95"/>
    <mergeCell ref="A96:B96"/>
    <mergeCell ref="A119:B119"/>
    <mergeCell ref="A120:F120"/>
    <mergeCell ref="A121:G121"/>
    <mergeCell ref="A78:G78"/>
    <mergeCell ref="B79:D79"/>
    <mergeCell ref="E79:F79"/>
    <mergeCell ref="B80:G80"/>
    <mergeCell ref="A81:G81"/>
    <mergeCell ref="A82:B82"/>
    <mergeCell ref="A83:B83"/>
    <mergeCell ref="A97:B97"/>
    <mergeCell ref="A98:F98"/>
    <mergeCell ref="A99:G99"/>
    <mergeCell ref="B100:D100"/>
    <mergeCell ref="E100:F100"/>
    <mergeCell ref="B101:G101"/>
    <mergeCell ref="A102:G102"/>
    <mergeCell ref="B122:D122"/>
    <mergeCell ref="A84:B84"/>
    <mergeCell ref="A85:B85"/>
    <mergeCell ref="A103:B103"/>
    <mergeCell ref="A104:B104"/>
    <mergeCell ref="A105:B105"/>
    <mergeCell ref="A106:B106"/>
    <mergeCell ref="A107:B107"/>
    <mergeCell ref="A108:B108"/>
    <mergeCell ref="A109:F109"/>
    <mergeCell ref="A110:G110"/>
    <mergeCell ref="B111:D111"/>
    <mergeCell ref="E111:F111"/>
    <mergeCell ref="B112:G112"/>
    <mergeCell ref="A113:G113"/>
    <mergeCell ref="A114:B114"/>
    <mergeCell ref="A115:B115"/>
    <mergeCell ref="A116:B116"/>
    <mergeCell ref="A117:B117"/>
    <mergeCell ref="A118:B118"/>
    <mergeCell ref="A137:B137"/>
    <mergeCell ref="A138:B138"/>
    <mergeCell ref="A139:B139"/>
    <mergeCell ref="A140:B140"/>
    <mergeCell ref="A141:B141"/>
    <mergeCell ref="A142:F142"/>
    <mergeCell ref="A156:B156"/>
    <mergeCell ref="A157:B157"/>
    <mergeCell ref="A158:B158"/>
    <mergeCell ref="A159:B159"/>
    <mergeCell ref="A160:B160"/>
    <mergeCell ref="A161:B161"/>
    <mergeCell ref="A162:B162"/>
    <mergeCell ref="A163:B163"/>
    <mergeCell ref="E122:F122"/>
    <mergeCell ref="A164:B164"/>
    <mergeCell ref="A165:B165"/>
    <mergeCell ref="A166:B166"/>
    <mergeCell ref="B145:G145"/>
    <mergeCell ref="A146:G146"/>
    <mergeCell ref="A147:B147"/>
    <mergeCell ref="A148:B148"/>
    <mergeCell ref="A149:B149"/>
    <mergeCell ref="A151:F151"/>
    <mergeCell ref="A152:G152"/>
    <mergeCell ref="B153:D153"/>
    <mergeCell ref="E153:F153"/>
    <mergeCell ref="B154:G154"/>
    <mergeCell ref="A155:G155"/>
    <mergeCell ref="A143:G143"/>
    <mergeCell ref="B144:D144"/>
    <mergeCell ref="E144:F144"/>
    <mergeCell ref="A167:B167"/>
    <mergeCell ref="A168:B168"/>
    <mergeCell ref="A169:B169"/>
    <mergeCell ref="A170:B170"/>
    <mergeCell ref="A171:B171"/>
    <mergeCell ref="A172:B172"/>
    <mergeCell ref="A173:B173"/>
    <mergeCell ref="A174:B174"/>
    <mergeCell ref="A175:F175"/>
    <mergeCell ref="A176:G176"/>
    <mergeCell ref="B177:D177"/>
    <mergeCell ref="E177:F177"/>
    <mergeCell ref="B178:G178"/>
    <mergeCell ref="A179:G179"/>
    <mergeCell ref="A180:B180"/>
    <mergeCell ref="A181:B181"/>
    <mergeCell ref="A182:B182"/>
    <mergeCell ref="A183:B183"/>
    <mergeCell ref="A184:B184"/>
    <mergeCell ref="A185:F185"/>
    <mergeCell ref="A186:G186"/>
    <mergeCell ref="B187:D187"/>
    <mergeCell ref="E187:F187"/>
    <mergeCell ref="B188:G188"/>
    <mergeCell ref="A189:G189"/>
    <mergeCell ref="A190:B190"/>
    <mergeCell ref="A191:B191"/>
    <mergeCell ref="A192:B192"/>
    <mergeCell ref="A193:B193"/>
    <mergeCell ref="A194:B194"/>
    <mergeCell ref="A195:B195"/>
    <mergeCell ref="A196:F196"/>
    <mergeCell ref="A197:G197"/>
    <mergeCell ref="B198:D198"/>
    <mergeCell ref="E198:F198"/>
    <mergeCell ref="B199:G199"/>
    <mergeCell ref="A200:G200"/>
    <mergeCell ref="A201:B201"/>
    <mergeCell ref="A202:B202"/>
    <mergeCell ref="A203:B203"/>
    <mergeCell ref="A204:B204"/>
    <mergeCell ref="A205:B205"/>
    <mergeCell ref="A206:B206"/>
    <mergeCell ref="A207:B207"/>
    <mergeCell ref="A208:B208"/>
    <mergeCell ref="A209:B209"/>
    <mergeCell ref="A210:F210"/>
    <mergeCell ref="A211:G211"/>
    <mergeCell ref="B212:D212"/>
    <mergeCell ref="E212:F212"/>
    <mergeCell ref="B213:G213"/>
    <mergeCell ref="A214:G214"/>
    <mergeCell ref="A215:B215"/>
    <mergeCell ref="A216:B216"/>
    <mergeCell ref="A217:B217"/>
    <mergeCell ref="A218:B218"/>
    <mergeCell ref="A219:B219"/>
    <mergeCell ref="A220:B220"/>
    <mergeCell ref="A221:B221"/>
    <mergeCell ref="A222:F222"/>
    <mergeCell ref="A223:G223"/>
    <mergeCell ref="B224:D224"/>
    <mergeCell ref="E224:F224"/>
    <mergeCell ref="B225:G225"/>
    <mergeCell ref="A226:G226"/>
    <mergeCell ref="A227:B227"/>
    <mergeCell ref="A228:B228"/>
    <mergeCell ref="A229:B229"/>
    <mergeCell ref="A230:B230"/>
    <mergeCell ref="A231:B231"/>
    <mergeCell ref="A232:B232"/>
    <mergeCell ref="A233:B233"/>
    <mergeCell ref="A234:F234"/>
    <mergeCell ref="A235:G235"/>
    <mergeCell ref="B236:D236"/>
    <mergeCell ref="E236:F236"/>
    <mergeCell ref="B237:G237"/>
    <mergeCell ref="A238:G238"/>
    <mergeCell ref="A239:B239"/>
    <mergeCell ref="A240:B240"/>
    <mergeCell ref="A241:B241"/>
    <mergeCell ref="A242:B242"/>
    <mergeCell ref="A243:B243"/>
    <mergeCell ref="A244:B244"/>
    <mergeCell ref="A245:B245"/>
    <mergeCell ref="A246:B246"/>
    <mergeCell ref="A247:B247"/>
    <mergeCell ref="A248:B248"/>
    <mergeCell ref="A249:B249"/>
    <mergeCell ref="A250:F250"/>
    <mergeCell ref="A251:G251"/>
    <mergeCell ref="B252:D252"/>
    <mergeCell ref="E252:F252"/>
    <mergeCell ref="B253:G253"/>
    <mergeCell ref="A586:B586"/>
    <mergeCell ref="A587:B587"/>
    <mergeCell ref="A588:B588"/>
    <mergeCell ref="A589:B589"/>
    <mergeCell ref="A590:B590"/>
    <mergeCell ref="A591:F591"/>
    <mergeCell ref="A592:G592"/>
    <mergeCell ref="B593:D593"/>
    <mergeCell ref="E593:F593"/>
    <mergeCell ref="B572:G572"/>
    <mergeCell ref="A573:G573"/>
    <mergeCell ref="A574:B574"/>
    <mergeCell ref="A575:B575"/>
    <mergeCell ref="A576:B576"/>
    <mergeCell ref="A577:B577"/>
    <mergeCell ref="A578:B578"/>
    <mergeCell ref="A579:B579"/>
    <mergeCell ref="A580:B580"/>
    <mergeCell ref="A581:F581"/>
    <mergeCell ref="A582:G582"/>
    <mergeCell ref="B583:D583"/>
    <mergeCell ref="E583:F583"/>
    <mergeCell ref="B584:G584"/>
    <mergeCell ref="A585:G585"/>
    <mergeCell ref="A270:B270"/>
    <mergeCell ref="A271:B271"/>
    <mergeCell ref="A272:B272"/>
    <mergeCell ref="A273:F273"/>
    <mergeCell ref="A274:G274"/>
    <mergeCell ref="B275:D275"/>
    <mergeCell ref="E275:F275"/>
    <mergeCell ref="B276:G276"/>
    <mergeCell ref="B594:G594"/>
    <mergeCell ref="A595:G595"/>
    <mergeCell ref="A596:B596"/>
    <mergeCell ref="A597:B597"/>
    <mergeCell ref="A598:B598"/>
    <mergeCell ref="A548:B548"/>
    <mergeCell ref="A549:B549"/>
    <mergeCell ref="A550:B550"/>
    <mergeCell ref="A551:B551"/>
    <mergeCell ref="A552:F552"/>
    <mergeCell ref="A553:G553"/>
    <mergeCell ref="E554:F554"/>
    <mergeCell ref="B554:D554"/>
    <mergeCell ref="B555:G555"/>
    <mergeCell ref="A556:G556"/>
    <mergeCell ref="A557:B557"/>
    <mergeCell ref="A558:B558"/>
    <mergeCell ref="A559:B559"/>
    <mergeCell ref="A560:B560"/>
    <mergeCell ref="A561:F561"/>
    <mergeCell ref="A562:G562"/>
    <mergeCell ref="B563:D563"/>
    <mergeCell ref="E563:F563"/>
    <mergeCell ref="B564:G564"/>
    <mergeCell ref="A254:G254"/>
    <mergeCell ref="A255:B255"/>
    <mergeCell ref="A256:B256"/>
    <mergeCell ref="A257:B257"/>
    <mergeCell ref="A258:B258"/>
    <mergeCell ref="A259:B259"/>
    <mergeCell ref="A260:B260"/>
    <mergeCell ref="A261:F261"/>
    <mergeCell ref="A262:G262"/>
    <mergeCell ref="A263:G263"/>
    <mergeCell ref="B264:D264"/>
    <mergeCell ref="E264:F264"/>
    <mergeCell ref="B265:G265"/>
    <mergeCell ref="A266:G266"/>
    <mergeCell ref="A267:B267"/>
    <mergeCell ref="A268:B268"/>
    <mergeCell ref="A269:B269"/>
    <mergeCell ref="A277:G277"/>
    <mergeCell ref="B278:D278"/>
    <mergeCell ref="A283:F283"/>
    <mergeCell ref="A284:G284"/>
    <mergeCell ref="B285:D285"/>
    <mergeCell ref="E285:F285"/>
    <mergeCell ref="B286:G286"/>
    <mergeCell ref="A287:G287"/>
    <mergeCell ref="B288:D288"/>
    <mergeCell ref="A294:F294"/>
    <mergeCell ref="A295:G295"/>
    <mergeCell ref="B296:D296"/>
    <mergeCell ref="E296:F296"/>
    <mergeCell ref="B297:G297"/>
    <mergeCell ref="A298:G298"/>
    <mergeCell ref="B299:D299"/>
    <mergeCell ref="A305:F305"/>
    <mergeCell ref="A306:G306"/>
    <mergeCell ref="B307:D307"/>
    <mergeCell ref="E307:F307"/>
    <mergeCell ref="B308:G308"/>
    <mergeCell ref="A309:G309"/>
    <mergeCell ref="B310:D310"/>
    <mergeCell ref="A316:F316"/>
    <mergeCell ref="A317:G317"/>
    <mergeCell ref="B318:D318"/>
    <mergeCell ref="E318:F318"/>
    <mergeCell ref="B319:G319"/>
    <mergeCell ref="A320:G320"/>
    <mergeCell ref="B321:D321"/>
    <mergeCell ref="A327:F327"/>
    <mergeCell ref="A328:G328"/>
    <mergeCell ref="B329:D329"/>
    <mergeCell ref="E329:F329"/>
    <mergeCell ref="B330:G330"/>
    <mergeCell ref="A331:G331"/>
    <mergeCell ref="A332:B332"/>
    <mergeCell ref="A333:B333"/>
    <mergeCell ref="A334:B334"/>
    <mergeCell ref="A335:B335"/>
    <mergeCell ref="A336:B336"/>
    <mergeCell ref="A337:F337"/>
    <mergeCell ref="A338:G338"/>
    <mergeCell ref="B339:D339"/>
    <mergeCell ref="E339:F339"/>
    <mergeCell ref="B340:G340"/>
    <mergeCell ref="A341:G341"/>
    <mergeCell ref="A342:B342"/>
    <mergeCell ref="A343:B343"/>
    <mergeCell ref="A344:B344"/>
    <mergeCell ref="A345:B345"/>
    <mergeCell ref="A346:B346"/>
    <mergeCell ref="A347:F347"/>
    <mergeCell ref="A348:G348"/>
    <mergeCell ref="B349:D349"/>
    <mergeCell ref="E349:F349"/>
    <mergeCell ref="B350:G350"/>
    <mergeCell ref="A351:G351"/>
    <mergeCell ref="A352:B352"/>
    <mergeCell ref="A353:B353"/>
    <mergeCell ref="A354:B354"/>
    <mergeCell ref="A355:B355"/>
    <mergeCell ref="A356:B356"/>
    <mergeCell ref="A357:B357"/>
    <mergeCell ref="A358:B358"/>
    <mergeCell ref="A359:B359"/>
    <mergeCell ref="A360:B360"/>
    <mergeCell ref="A361:B361"/>
    <mergeCell ref="A362:B362"/>
    <mergeCell ref="A363:B363"/>
    <mergeCell ref="A364:B364"/>
    <mergeCell ref="A365:B365"/>
    <mergeCell ref="A366:B366"/>
    <mergeCell ref="A367:B367"/>
    <mergeCell ref="A368:B368"/>
    <mergeCell ref="A369:B369"/>
    <mergeCell ref="A370:B370"/>
    <mergeCell ref="A371:B371"/>
    <mergeCell ref="A372:B372"/>
    <mergeCell ref="A373:B373"/>
    <mergeCell ref="A374:B374"/>
    <mergeCell ref="A375:B375"/>
    <mergeCell ref="A376:B376"/>
    <mergeCell ref="A377:B377"/>
    <mergeCell ref="A378:B378"/>
    <mergeCell ref="A379:B379"/>
    <mergeCell ref="A380:B380"/>
    <mergeCell ref="A381:B381"/>
    <mergeCell ref="A382:B382"/>
    <mergeCell ref="A383:B383"/>
    <mergeCell ref="A384:F384"/>
    <mergeCell ref="A385:G385"/>
    <mergeCell ref="B386:D386"/>
    <mergeCell ref="E386:F386"/>
    <mergeCell ref="B387:G387"/>
    <mergeCell ref="A388:G388"/>
    <mergeCell ref="A389:B389"/>
    <mergeCell ref="A390:B390"/>
    <mergeCell ref="A391:B391"/>
    <mergeCell ref="A392:B392"/>
    <mergeCell ref="A393:B393"/>
    <mergeCell ref="A394:F394"/>
    <mergeCell ref="A395:G395"/>
    <mergeCell ref="B396:D396"/>
    <mergeCell ref="E396:F396"/>
    <mergeCell ref="B397:G397"/>
    <mergeCell ref="A398:G398"/>
    <mergeCell ref="A399:B399"/>
    <mergeCell ref="A400:B400"/>
    <mergeCell ref="A401:B401"/>
    <mergeCell ref="A402:F402"/>
    <mergeCell ref="A403:G403"/>
    <mergeCell ref="B404:D404"/>
    <mergeCell ref="E404:F404"/>
    <mergeCell ref="B405:G405"/>
    <mergeCell ref="A406:G406"/>
    <mergeCell ref="A407:B407"/>
    <mergeCell ref="A408:B408"/>
    <mergeCell ref="A409:B409"/>
    <mergeCell ref="A410:B410"/>
    <mergeCell ref="A411:F411"/>
    <mergeCell ref="A412:G412"/>
    <mergeCell ref="B413:D413"/>
    <mergeCell ref="E413:F413"/>
    <mergeCell ref="B414:G414"/>
    <mergeCell ref="A415:G415"/>
    <mergeCell ref="A416:B416"/>
    <mergeCell ref="A417:B417"/>
    <mergeCell ref="A418:B418"/>
    <mergeCell ref="A419:F419"/>
    <mergeCell ref="A420:G420"/>
    <mergeCell ref="B421:D421"/>
    <mergeCell ref="E421:F421"/>
    <mergeCell ref="B422:G422"/>
    <mergeCell ref="A423:G423"/>
    <mergeCell ref="A424:B424"/>
    <mergeCell ref="A425:B425"/>
    <mergeCell ref="A426:B426"/>
    <mergeCell ref="A427:F427"/>
    <mergeCell ref="A428:G428"/>
    <mergeCell ref="B429:D429"/>
    <mergeCell ref="E429:F429"/>
    <mergeCell ref="B430:G430"/>
    <mergeCell ref="A431:G431"/>
    <mergeCell ref="A432:B432"/>
    <mergeCell ref="A433:B433"/>
    <mergeCell ref="A434:B434"/>
    <mergeCell ref="A435:F435"/>
    <mergeCell ref="A436:G436"/>
    <mergeCell ref="E437:F437"/>
    <mergeCell ref="B437:D437"/>
    <mergeCell ref="B438:G438"/>
    <mergeCell ref="A439:G439"/>
    <mergeCell ref="A440:B440"/>
    <mergeCell ref="A441:B441"/>
    <mergeCell ref="A442:B442"/>
    <mergeCell ref="A443:F443"/>
    <mergeCell ref="A444:G444"/>
    <mergeCell ref="B445:D445"/>
    <mergeCell ref="E445:F445"/>
    <mergeCell ref="B446:G446"/>
    <mergeCell ref="A447:G447"/>
    <mergeCell ref="A448:B448"/>
    <mergeCell ref="A449:B449"/>
    <mergeCell ref="A450:B450"/>
    <mergeCell ref="A451:F451"/>
    <mergeCell ref="A452:G452"/>
    <mergeCell ref="B453:D453"/>
    <mergeCell ref="E453:F453"/>
    <mergeCell ref="B454:G454"/>
    <mergeCell ref="A455:G455"/>
    <mergeCell ref="A456:B456"/>
    <mergeCell ref="A457:B457"/>
    <mergeCell ref="A458:B458"/>
    <mergeCell ref="A459:B459"/>
    <mergeCell ref="A460:F460"/>
    <mergeCell ref="A461:G461"/>
    <mergeCell ref="E462:F462"/>
    <mergeCell ref="B462:D462"/>
    <mergeCell ref="B463:G463"/>
    <mergeCell ref="A464:G464"/>
    <mergeCell ref="A465:B465"/>
    <mergeCell ref="A466:B466"/>
    <mergeCell ref="A467:B467"/>
    <mergeCell ref="A468:F468"/>
    <mergeCell ref="A469:G469"/>
    <mergeCell ref="B470:D470"/>
    <mergeCell ref="E470:F470"/>
    <mergeCell ref="B471:G471"/>
    <mergeCell ref="A472:G472"/>
    <mergeCell ref="A473:B473"/>
    <mergeCell ref="A474:B474"/>
    <mergeCell ref="A475:B475"/>
    <mergeCell ref="A476:F476"/>
    <mergeCell ref="A477:G477"/>
    <mergeCell ref="B478:D478"/>
    <mergeCell ref="E478:F478"/>
    <mergeCell ref="B479:G479"/>
    <mergeCell ref="A480:G480"/>
    <mergeCell ref="A481:B481"/>
    <mergeCell ref="A482:B482"/>
    <mergeCell ref="A483:B483"/>
    <mergeCell ref="A484:B484"/>
    <mergeCell ref="A485:B485"/>
    <mergeCell ref="A486:B486"/>
    <mergeCell ref="A487:B487"/>
    <mergeCell ref="A488:B488"/>
    <mergeCell ref="A489:B489"/>
    <mergeCell ref="A490:F490"/>
    <mergeCell ref="A491:G491"/>
    <mergeCell ref="B492:D492"/>
    <mergeCell ref="E492:F492"/>
    <mergeCell ref="B493:G493"/>
    <mergeCell ref="A494:G494"/>
    <mergeCell ref="A495:B495"/>
    <mergeCell ref="A496:B496"/>
    <mergeCell ref="A497:B497"/>
    <mergeCell ref="A498:B498"/>
    <mergeCell ref="A499:B499"/>
    <mergeCell ref="A500:B500"/>
    <mergeCell ref="A501:B501"/>
    <mergeCell ref="A502:B502"/>
    <mergeCell ref="A503:B503"/>
    <mergeCell ref="A504:F504"/>
    <mergeCell ref="A505:G505"/>
    <mergeCell ref="B506:D506"/>
    <mergeCell ref="E506:F506"/>
    <mergeCell ref="B507:G507"/>
    <mergeCell ref="A508:G508"/>
    <mergeCell ref="A509:B509"/>
    <mergeCell ref="A510:B510"/>
    <mergeCell ref="A511:B511"/>
    <mergeCell ref="A512:B512"/>
    <mergeCell ref="A513:B513"/>
    <mergeCell ref="A514:B514"/>
    <mergeCell ref="A515:B515"/>
    <mergeCell ref="A516:B516"/>
    <mergeCell ref="A517:B517"/>
    <mergeCell ref="A518:B518"/>
    <mergeCell ref="A519:B519"/>
    <mergeCell ref="A520:B520"/>
    <mergeCell ref="A521:B521"/>
    <mergeCell ref="A522:B522"/>
    <mergeCell ref="A523:B523"/>
    <mergeCell ref="A524:B524"/>
    <mergeCell ref="A525:B525"/>
    <mergeCell ref="A526:B526"/>
    <mergeCell ref="A527:B527"/>
    <mergeCell ref="A528:B528"/>
    <mergeCell ref="A529:B529"/>
    <mergeCell ref="A530:B530"/>
    <mergeCell ref="A531:B531"/>
    <mergeCell ref="A532:B532"/>
    <mergeCell ref="A533:B533"/>
    <mergeCell ref="A534:B534"/>
    <mergeCell ref="A535:B535"/>
    <mergeCell ref="A536:B536"/>
    <mergeCell ref="A537:B537"/>
    <mergeCell ref="A538:B538"/>
    <mergeCell ref="A539:B539"/>
    <mergeCell ref="A540:B540"/>
    <mergeCell ref="A541:B541"/>
    <mergeCell ref="A542:B542"/>
    <mergeCell ref="A543:F543"/>
    <mergeCell ref="A544:G544"/>
    <mergeCell ref="B545:D545"/>
    <mergeCell ref="E545:F545"/>
    <mergeCell ref="B546:G546"/>
    <mergeCell ref="A547:G547"/>
    <mergeCell ref="A605:B605"/>
    <mergeCell ref="A606:B606"/>
    <mergeCell ref="A607:B607"/>
    <mergeCell ref="A608:B608"/>
    <mergeCell ref="A599:B599"/>
    <mergeCell ref="A600:F600"/>
    <mergeCell ref="A601:G601"/>
    <mergeCell ref="B602:D602"/>
    <mergeCell ref="E602:F602"/>
    <mergeCell ref="B603:G603"/>
    <mergeCell ref="A604:G604"/>
    <mergeCell ref="A565:G565"/>
    <mergeCell ref="A566:B566"/>
    <mergeCell ref="A567:B567"/>
    <mergeCell ref="A568:B568"/>
    <mergeCell ref="A569:F569"/>
    <mergeCell ref="A570:G570"/>
    <mergeCell ref="B571:D571"/>
    <mergeCell ref="E571:F571"/>
    <mergeCell ref="A609:B609"/>
    <mergeCell ref="A610:B610"/>
    <mergeCell ref="A611:F611"/>
    <mergeCell ref="A612:G612"/>
    <mergeCell ref="B613:D613"/>
    <mergeCell ref="E613:F613"/>
    <mergeCell ref="B614:G614"/>
    <mergeCell ref="A615:G615"/>
    <mergeCell ref="A616:B616"/>
    <mergeCell ref="A617:B617"/>
    <mergeCell ref="A618:B618"/>
    <mergeCell ref="A619:F619"/>
    <mergeCell ref="A620:G620"/>
    <mergeCell ref="B621:D621"/>
    <mergeCell ref="E621:F621"/>
    <mergeCell ref="B622:G622"/>
    <mergeCell ref="A623:G623"/>
    <mergeCell ref="A678:F678"/>
    <mergeCell ref="A679:G679"/>
    <mergeCell ref="E680:F680"/>
    <mergeCell ref="B680:D680"/>
    <mergeCell ref="B681:G681"/>
    <mergeCell ref="A682:G682"/>
    <mergeCell ref="A683:B683"/>
    <mergeCell ref="A684:B684"/>
    <mergeCell ref="A685:B685"/>
    <mergeCell ref="A686:B686"/>
    <mergeCell ref="A687:F687"/>
    <mergeCell ref="A688:G688"/>
    <mergeCell ref="B689:D689"/>
    <mergeCell ref="E689:F689"/>
    <mergeCell ref="A624:B624"/>
    <mergeCell ref="A625:B625"/>
    <mergeCell ref="A626:B626"/>
    <mergeCell ref="A627:B627"/>
    <mergeCell ref="A628:B628"/>
    <mergeCell ref="A629:B629"/>
    <mergeCell ref="A630:B630"/>
    <mergeCell ref="A631:F631"/>
    <mergeCell ref="A633:G633"/>
    <mergeCell ref="B634:D634"/>
    <mergeCell ref="E634:F634"/>
    <mergeCell ref="B635:G635"/>
    <mergeCell ref="A636:G636"/>
    <mergeCell ref="A637:B637"/>
    <mergeCell ref="A638:B638"/>
    <mergeCell ref="A639:B639"/>
    <mergeCell ref="A640:B640"/>
    <mergeCell ref="B670:G670"/>
    <mergeCell ref="A671:G671"/>
    <mergeCell ref="A672:B672"/>
    <mergeCell ref="A673:B673"/>
    <mergeCell ref="A674:B674"/>
    <mergeCell ref="A675:B675"/>
    <mergeCell ref="A676:B676"/>
    <mergeCell ref="A677:B677"/>
    <mergeCell ref="A641:B641"/>
    <mergeCell ref="A642:B642"/>
    <mergeCell ref="A643:B643"/>
    <mergeCell ref="A644:B644"/>
    <mergeCell ref="A645:B645"/>
    <mergeCell ref="A646:B646"/>
    <mergeCell ref="A647:B647"/>
    <mergeCell ref="A648:B648"/>
    <mergeCell ref="A649:B649"/>
    <mergeCell ref="A650:B650"/>
    <mergeCell ref="A651:B651"/>
    <mergeCell ref="A652:B652"/>
    <mergeCell ref="A653:B653"/>
    <mergeCell ref="A654:B654"/>
    <mergeCell ref="A655:B656"/>
    <mergeCell ref="A657:B657"/>
    <mergeCell ref="A658:B658"/>
    <mergeCell ref="A659:B660"/>
    <mergeCell ref="A661:B661"/>
    <mergeCell ref="A662:B662"/>
    <mergeCell ref="A663:B663"/>
    <mergeCell ref="A664:B664"/>
    <mergeCell ref="A665:B665"/>
    <mergeCell ref="A666:B666"/>
    <mergeCell ref="A667:F667"/>
    <mergeCell ref="A668:G668"/>
    <mergeCell ref="B669:D669"/>
    <mergeCell ref="E669:F669"/>
    <mergeCell ref="A759:B762"/>
    <mergeCell ref="A763:F763"/>
    <mergeCell ref="A764:G764"/>
    <mergeCell ref="B765:D765"/>
    <mergeCell ref="E765:F765"/>
    <mergeCell ref="B766:G766"/>
    <mergeCell ref="A767:G767"/>
    <mergeCell ref="A768:B768"/>
    <mergeCell ref="A769:B769"/>
    <mergeCell ref="A770:B770"/>
    <mergeCell ref="A771:B771"/>
    <mergeCell ref="A772:B772"/>
    <mergeCell ref="A773:B773"/>
    <mergeCell ref="A774:B774"/>
    <mergeCell ref="E698:F698"/>
    <mergeCell ref="A717:B718"/>
    <mergeCell ref="A719:B720"/>
    <mergeCell ref="A721:B721"/>
    <mergeCell ref="A722:B727"/>
    <mergeCell ref="A728:B729"/>
    <mergeCell ref="A730:B730"/>
    <mergeCell ref="A731:B731"/>
    <mergeCell ref="A732:B732"/>
    <mergeCell ref="A733:B733"/>
    <mergeCell ref="A734:B734"/>
    <mergeCell ref="A735:B735"/>
    <mergeCell ref="A736:B738"/>
    <mergeCell ref="A739:B739"/>
    <mergeCell ref="A740:B740"/>
    <mergeCell ref="A775:F775"/>
    <mergeCell ref="B699:G699"/>
    <mergeCell ref="A700:G700"/>
    <mergeCell ref="A701:B701"/>
    <mergeCell ref="A702:B702"/>
    <mergeCell ref="A703:B703"/>
    <mergeCell ref="A704:F704"/>
    <mergeCell ref="A705:G705"/>
    <mergeCell ref="A746:B746"/>
    <mergeCell ref="A747:B748"/>
    <mergeCell ref="A749:B750"/>
    <mergeCell ref="A751:B751"/>
    <mergeCell ref="A752:B755"/>
    <mergeCell ref="A756:B756"/>
    <mergeCell ref="A757:B757"/>
    <mergeCell ref="A758:B758"/>
    <mergeCell ref="B690:G690"/>
    <mergeCell ref="A691:G691"/>
    <mergeCell ref="A692:B692"/>
    <mergeCell ref="B706:D706"/>
    <mergeCell ref="E706:F706"/>
    <mergeCell ref="B707:G707"/>
    <mergeCell ref="A708:G708"/>
    <mergeCell ref="A709:B709"/>
    <mergeCell ref="A710:B710"/>
    <mergeCell ref="A711:B716"/>
    <mergeCell ref="A693:B693"/>
    <mergeCell ref="A694:B694"/>
    <mergeCell ref="A695:B695"/>
    <mergeCell ref="A696:F696"/>
    <mergeCell ref="A697:G697"/>
    <mergeCell ref="B698:D698"/>
    <mergeCell ref="A741:B741"/>
    <mergeCell ref="A742:B742"/>
    <mergeCell ref="A743:B745"/>
    <mergeCell ref="A821:B821"/>
    <mergeCell ref="A822:B822"/>
    <mergeCell ref="A823:B823"/>
    <mergeCell ref="A824:F824"/>
    <mergeCell ref="A825:G825"/>
    <mergeCell ref="B826:D826"/>
    <mergeCell ref="E826:F826"/>
    <mergeCell ref="B827:G827"/>
    <mergeCell ref="A828:G828"/>
    <mergeCell ref="A829:B829"/>
    <mergeCell ref="A830:B830"/>
    <mergeCell ref="A831:B831"/>
    <mergeCell ref="A832:F832"/>
    <mergeCell ref="A833:G833"/>
    <mergeCell ref="A776:G776"/>
    <mergeCell ref="E777:F777"/>
    <mergeCell ref="B777:D777"/>
    <mergeCell ref="B778:G778"/>
    <mergeCell ref="A779:G779"/>
    <mergeCell ref="A780:B780"/>
    <mergeCell ref="A781:B781"/>
    <mergeCell ref="A782:B782"/>
    <mergeCell ref="A783:F783"/>
    <mergeCell ref="A805:B805"/>
    <mergeCell ref="A806:B806"/>
    <mergeCell ref="A807:B807"/>
    <mergeCell ref="A808:B808"/>
    <mergeCell ref="A809:F809"/>
    <mergeCell ref="A810:G810"/>
    <mergeCell ref="A784:G784"/>
    <mergeCell ref="B785:D785"/>
    <mergeCell ref="E785:F785"/>
    <mergeCell ref="B786:G786"/>
    <mergeCell ref="A787:G787"/>
    <mergeCell ref="A788:B788"/>
    <mergeCell ref="A789:B789"/>
    <mergeCell ref="A813:G813"/>
    <mergeCell ref="A814:B814"/>
    <mergeCell ref="A815:B815"/>
    <mergeCell ref="A816:F816"/>
    <mergeCell ref="A817:G817"/>
    <mergeCell ref="B818:D818"/>
    <mergeCell ref="E818:F818"/>
    <mergeCell ref="B819:G819"/>
    <mergeCell ref="A820:G820"/>
    <mergeCell ref="A790:B790"/>
    <mergeCell ref="A791:B791"/>
    <mergeCell ref="A792:B792"/>
    <mergeCell ref="A793:B793"/>
    <mergeCell ref="A794:B794"/>
    <mergeCell ref="A795:B795"/>
    <mergeCell ref="A796:B796"/>
    <mergeCell ref="A797:B797"/>
    <mergeCell ref="A798:B798"/>
    <mergeCell ref="A800:F800"/>
    <mergeCell ref="A801:G801"/>
    <mergeCell ref="B802:D802"/>
    <mergeCell ref="E802:F802"/>
    <mergeCell ref="B803:G803"/>
    <mergeCell ref="A804:G804"/>
    <mergeCell ref="B811:D811"/>
    <mergeCell ref="E811:F811"/>
    <mergeCell ref="B812:G812"/>
    <mergeCell ref="E834:F834"/>
    <mergeCell ref="B848:D848"/>
    <mergeCell ref="E848:F848"/>
    <mergeCell ref="B849:G849"/>
    <mergeCell ref="A850:G850"/>
    <mergeCell ref="A851:B851"/>
    <mergeCell ref="A852:B852"/>
    <mergeCell ref="A853:F853"/>
    <mergeCell ref="A854:G854"/>
    <mergeCell ref="B855:D855"/>
    <mergeCell ref="E855:F855"/>
    <mergeCell ref="B856:G856"/>
    <mergeCell ref="A857:G857"/>
    <mergeCell ref="A858:B858"/>
    <mergeCell ref="B834:D834"/>
    <mergeCell ref="A859:B859"/>
    <mergeCell ref="A860:F860"/>
    <mergeCell ref="A861:G861"/>
    <mergeCell ref="B842:G842"/>
    <mergeCell ref="A843:G843"/>
    <mergeCell ref="A844:B844"/>
    <mergeCell ref="A845:B845"/>
    <mergeCell ref="A846:F846"/>
    <mergeCell ref="A847:G847"/>
    <mergeCell ref="B835:G835"/>
    <mergeCell ref="A836:G836"/>
    <mergeCell ref="A837:B837"/>
    <mergeCell ref="A838:B838"/>
    <mergeCell ref="A839:F839"/>
    <mergeCell ref="A840:G840"/>
    <mergeCell ref="E841:F841"/>
    <mergeCell ref="B841:D841"/>
    <mergeCell ref="B862:D862"/>
    <mergeCell ref="E862:F862"/>
    <mergeCell ref="B863:G863"/>
    <mergeCell ref="A864:G864"/>
    <mergeCell ref="A865:B865"/>
    <mergeCell ref="A866:B866"/>
    <mergeCell ref="A867:F867"/>
    <mergeCell ref="A868:G868"/>
    <mergeCell ref="B869:D869"/>
    <mergeCell ref="E869:F869"/>
    <mergeCell ref="B870:G870"/>
    <mergeCell ref="A871:G871"/>
    <mergeCell ref="A872:B872"/>
    <mergeCell ref="A873:B873"/>
    <mergeCell ref="A874:F874"/>
    <mergeCell ref="A875:G875"/>
    <mergeCell ref="B876:D876"/>
    <mergeCell ref="E876:F876"/>
    <mergeCell ref="B877:G877"/>
    <mergeCell ref="A878:G878"/>
    <mergeCell ref="A879:B879"/>
    <mergeCell ref="A880:B880"/>
    <mergeCell ref="A881:F881"/>
    <mergeCell ref="A882:G882"/>
    <mergeCell ref="B883:D883"/>
    <mergeCell ref="E883:F883"/>
    <mergeCell ref="B884:G884"/>
    <mergeCell ref="A885:G885"/>
    <mergeCell ref="A886:B886"/>
    <mergeCell ref="A887:B887"/>
    <mergeCell ref="A888:F888"/>
    <mergeCell ref="A889:G889"/>
    <mergeCell ref="E890:F890"/>
    <mergeCell ref="B890:D890"/>
    <mergeCell ref="B891:G891"/>
    <mergeCell ref="A892:G892"/>
    <mergeCell ref="A893:B893"/>
    <mergeCell ref="A894:B894"/>
    <mergeCell ref="A895:F895"/>
    <mergeCell ref="A896:G896"/>
    <mergeCell ref="B897:D897"/>
    <mergeCell ref="E897:F897"/>
    <mergeCell ref="B898:G898"/>
    <mergeCell ref="A899:G899"/>
    <mergeCell ref="A900:B900"/>
    <mergeCell ref="A901:B901"/>
    <mergeCell ref="A902:F902"/>
    <mergeCell ref="A903:G903"/>
    <mergeCell ref="B904:D904"/>
    <mergeCell ref="E904:F904"/>
    <mergeCell ref="B905:G905"/>
    <mergeCell ref="A906:G906"/>
    <mergeCell ref="A907:B907"/>
    <mergeCell ref="A908:B908"/>
    <mergeCell ref="A909:F909"/>
    <mergeCell ref="A910:G910"/>
    <mergeCell ref="B911:D911"/>
    <mergeCell ref="E911:F911"/>
    <mergeCell ref="B912:G912"/>
    <mergeCell ref="A913:G913"/>
    <mergeCell ref="A914:B914"/>
    <mergeCell ref="A915:B915"/>
    <mergeCell ref="A916:F916"/>
    <mergeCell ref="A917:G917"/>
    <mergeCell ref="B918:D918"/>
    <mergeCell ref="E918:F918"/>
    <mergeCell ref="B919:G919"/>
    <mergeCell ref="A920:G920"/>
    <mergeCell ref="A921:B921"/>
    <mergeCell ref="A922:B922"/>
    <mergeCell ref="A923:F923"/>
    <mergeCell ref="A924:G924"/>
    <mergeCell ref="B925:D925"/>
    <mergeCell ref="E925:F925"/>
    <mergeCell ref="B926:G926"/>
    <mergeCell ref="A927:G927"/>
    <mergeCell ref="A928:B928"/>
    <mergeCell ref="A929:B929"/>
    <mergeCell ref="A930:B930"/>
    <mergeCell ref="A931:F931"/>
    <mergeCell ref="A932:G932"/>
    <mergeCell ref="E933:F933"/>
    <mergeCell ref="B933:D933"/>
    <mergeCell ref="B934:G934"/>
    <mergeCell ref="A935:G935"/>
    <mergeCell ref="A936:B936"/>
    <mergeCell ref="A937:B937"/>
    <mergeCell ref="A938:B938"/>
    <mergeCell ref="A939:F939"/>
    <mergeCell ref="B977:D977"/>
    <mergeCell ref="E977:F977"/>
    <mergeCell ref="B978:G978"/>
    <mergeCell ref="A979:G979"/>
    <mergeCell ref="A980:B980"/>
    <mergeCell ref="A981:B981"/>
    <mergeCell ref="A982:B982"/>
    <mergeCell ref="A983:F983"/>
    <mergeCell ref="A984:G984"/>
    <mergeCell ref="B985:D985"/>
    <mergeCell ref="E985:F985"/>
    <mergeCell ref="B986:G986"/>
    <mergeCell ref="A987:G987"/>
    <mergeCell ref="A988:B988"/>
    <mergeCell ref="A940:G940"/>
    <mergeCell ref="B941:D941"/>
    <mergeCell ref="E941:F941"/>
    <mergeCell ref="B942:G942"/>
    <mergeCell ref="A943:G943"/>
    <mergeCell ref="A944:B944"/>
    <mergeCell ref="A945:B945"/>
    <mergeCell ref="A946:F946"/>
    <mergeCell ref="A947:G947"/>
    <mergeCell ref="B948:D948"/>
    <mergeCell ref="E948:F948"/>
    <mergeCell ref="B949:G949"/>
    <mergeCell ref="A950:G950"/>
    <mergeCell ref="A951:B951"/>
    <mergeCell ref="A952:B952"/>
    <mergeCell ref="A953:F953"/>
    <mergeCell ref="A954:G954"/>
    <mergeCell ref="B955:D955"/>
    <mergeCell ref="E955:F955"/>
    <mergeCell ref="B956:G956"/>
    <mergeCell ref="A957:G957"/>
    <mergeCell ref="A958:B958"/>
    <mergeCell ref="A959:B959"/>
    <mergeCell ref="A960:F960"/>
    <mergeCell ref="A961:G961"/>
    <mergeCell ref="B962:D962"/>
    <mergeCell ref="E962:F962"/>
    <mergeCell ref="B963:G963"/>
    <mergeCell ref="A964:G964"/>
    <mergeCell ref="A965:B965"/>
    <mergeCell ref="A966:B966"/>
    <mergeCell ref="A967:B967"/>
    <mergeCell ref="A968:F968"/>
    <mergeCell ref="A969:G969"/>
    <mergeCell ref="E970:F970"/>
    <mergeCell ref="B970:D970"/>
    <mergeCell ref="B971:G971"/>
    <mergeCell ref="A972:G972"/>
    <mergeCell ref="A973:B973"/>
    <mergeCell ref="A974:B974"/>
    <mergeCell ref="A975:F975"/>
    <mergeCell ref="A976:G976"/>
    <mergeCell ref="A989:B989"/>
    <mergeCell ref="A990:B990"/>
    <mergeCell ref="A991:F991"/>
    <mergeCell ref="A992:G992"/>
    <mergeCell ref="B993:D993"/>
    <mergeCell ref="E993:F993"/>
    <mergeCell ref="B994:G994"/>
    <mergeCell ref="A995:G995"/>
    <mergeCell ref="A996:B996"/>
    <mergeCell ref="A997:B997"/>
    <mergeCell ref="A998:F998"/>
    <mergeCell ref="A999:G999"/>
    <mergeCell ref="B1000:D1000"/>
    <mergeCell ref="E1000:F1000"/>
    <mergeCell ref="B1001:G1001"/>
    <mergeCell ref="A1002:G1002"/>
    <mergeCell ref="A1003:B1003"/>
    <mergeCell ref="A1004:B1004"/>
    <mergeCell ref="A1005:F1005"/>
    <mergeCell ref="A1007:G1007"/>
    <mergeCell ref="E1008:F1008"/>
    <mergeCell ref="B1008:D1008"/>
    <mergeCell ref="B1009:G1009"/>
    <mergeCell ref="A1010:G1010"/>
    <mergeCell ref="A1011:B1011"/>
    <mergeCell ref="A1012:B1012"/>
    <mergeCell ref="A1013:F1013"/>
    <mergeCell ref="A1014:G1014"/>
    <mergeCell ref="B1015:D1015"/>
    <mergeCell ref="E1015:F1015"/>
    <mergeCell ref="B1016:G1016"/>
    <mergeCell ref="A1017:G1017"/>
    <mergeCell ref="A1018:B1018"/>
    <mergeCell ref="A1019:B1019"/>
    <mergeCell ref="A1020:F1020"/>
    <mergeCell ref="A1021:G1021"/>
    <mergeCell ref="B1022:D1022"/>
    <mergeCell ref="E1022:F1022"/>
    <mergeCell ref="B1023:G1023"/>
    <mergeCell ref="A1024:G1024"/>
    <mergeCell ref="A1025:B1025"/>
    <mergeCell ref="A1026:B1026"/>
    <mergeCell ref="A1027:F1027"/>
    <mergeCell ref="A1028:G1028"/>
    <mergeCell ref="B1029:D1029"/>
    <mergeCell ref="E1029:F1029"/>
    <mergeCell ref="B1030:G1030"/>
    <mergeCell ref="A1031:G1031"/>
    <mergeCell ref="A1032:B1032"/>
    <mergeCell ref="A1033:B1033"/>
    <mergeCell ref="A1034:F1034"/>
    <mergeCell ref="A1035:G1035"/>
    <mergeCell ref="B1036:D1036"/>
    <mergeCell ref="E1036:F1036"/>
    <mergeCell ref="B1037:G1037"/>
    <mergeCell ref="A1038:G1038"/>
    <mergeCell ref="A1039:B1039"/>
    <mergeCell ref="A1040:B1040"/>
    <mergeCell ref="A1041:F1041"/>
    <mergeCell ref="A1042:G1042"/>
    <mergeCell ref="B1043:D1043"/>
    <mergeCell ref="E1043:F1043"/>
    <mergeCell ref="B1044:G1044"/>
    <mergeCell ref="A1045:G1045"/>
    <mergeCell ref="A1046:B1046"/>
    <mergeCell ref="A1047:B1047"/>
    <mergeCell ref="A1048:F1048"/>
    <mergeCell ref="A1049:G1049"/>
    <mergeCell ref="B1050:D1050"/>
    <mergeCell ref="E1050:F1050"/>
    <mergeCell ref="B1051:G1051"/>
    <mergeCell ref="A1052:G1052"/>
    <mergeCell ref="A1053:B1053"/>
    <mergeCell ref="A1054:B1054"/>
    <mergeCell ref="A1055:F1055"/>
    <mergeCell ref="A1056:G1056"/>
    <mergeCell ref="E1057:F1057"/>
    <mergeCell ref="B1057:D1057"/>
    <mergeCell ref="B1058:G1058"/>
    <mergeCell ref="A1059:G1059"/>
    <mergeCell ref="A1060:B1060"/>
    <mergeCell ref="A1061:B1061"/>
    <mergeCell ref="A1062:F1062"/>
    <mergeCell ref="A1063:G1063"/>
    <mergeCell ref="B1064:D1064"/>
    <mergeCell ref="E1064:F1064"/>
    <mergeCell ref="B1065:G1065"/>
    <mergeCell ref="A1066:G1066"/>
    <mergeCell ref="A1067:B1067"/>
    <mergeCell ref="A1068:B1068"/>
    <mergeCell ref="A1069:F1069"/>
    <mergeCell ref="A1071:G1071"/>
    <mergeCell ref="B1072:D1072"/>
    <mergeCell ref="E1072:F1072"/>
    <mergeCell ref="B1073:G1073"/>
    <mergeCell ref="A1074:G1074"/>
    <mergeCell ref="A1075:B1075"/>
    <mergeCell ref="A1076:B1076"/>
    <mergeCell ref="A1077:B1077"/>
    <mergeCell ref="A1078:F1078"/>
    <mergeCell ref="B1079:D1079"/>
    <mergeCell ref="E1079:F1079"/>
    <mergeCell ref="B1080:G1080"/>
    <mergeCell ref="A1081:G1081"/>
    <mergeCell ref="A1082:B1082"/>
    <mergeCell ref="A1083:B1083"/>
    <mergeCell ref="A1084:B1084"/>
    <mergeCell ref="A1085:F1085"/>
    <mergeCell ref="A1086:G1086"/>
    <mergeCell ref="B1087:D1087"/>
    <mergeCell ref="E1087:F1087"/>
    <mergeCell ref="B1088:G1088"/>
    <mergeCell ref="A1089:G1089"/>
    <mergeCell ref="A1090:B1090"/>
    <mergeCell ref="A1091:B1091"/>
    <mergeCell ref="A1092:B1092"/>
    <mergeCell ref="A1093:F1093"/>
    <mergeCell ref="A1094:G1094"/>
    <mergeCell ref="E1095:F1095"/>
    <mergeCell ref="B1095:D1095"/>
    <mergeCell ref="B1096:G1096"/>
    <mergeCell ref="A1097:G1097"/>
    <mergeCell ref="A1098:B1098"/>
    <mergeCell ref="A1099:B1099"/>
    <mergeCell ref="A1100:B1100"/>
    <mergeCell ref="A1101:F1101"/>
    <mergeCell ref="A1102:G1102"/>
    <mergeCell ref="B1103:D1103"/>
    <mergeCell ref="E1103:F1103"/>
    <mergeCell ref="B1104:G1104"/>
    <mergeCell ref="A1105:G1105"/>
    <mergeCell ref="A1106:B1106"/>
    <mergeCell ref="A1107:B1107"/>
    <mergeCell ref="A1108:B1108"/>
    <mergeCell ref="A1109:F1109"/>
    <mergeCell ref="A1110:G1110"/>
    <mergeCell ref="B1111:D1111"/>
    <mergeCell ref="E1111:F1111"/>
    <mergeCell ref="B1112:G1112"/>
    <mergeCell ref="A1113:G1113"/>
    <mergeCell ref="A1114:B1114"/>
    <mergeCell ref="A1115:B1115"/>
    <mergeCell ref="A1116:B1116"/>
    <mergeCell ref="A1117:F1117"/>
    <mergeCell ref="A1118:G1118"/>
    <mergeCell ref="B1119:D1119"/>
    <mergeCell ref="E1119:F1119"/>
    <mergeCell ref="B1120:G1120"/>
    <mergeCell ref="A1121:G1121"/>
    <mergeCell ref="A1122:B1122"/>
    <mergeCell ref="A1123:B1123"/>
    <mergeCell ref="A1124:B1124"/>
    <mergeCell ref="A1125:F1125"/>
    <mergeCell ref="A1126:G1126"/>
    <mergeCell ref="B1127:D1127"/>
    <mergeCell ref="E1127:F1127"/>
    <mergeCell ref="B1128:G1128"/>
    <mergeCell ref="A1129:G1129"/>
    <mergeCell ref="A1130:B1130"/>
    <mergeCell ref="A1131:B1131"/>
    <mergeCell ref="A1132:B1132"/>
    <mergeCell ref="A1133:F1133"/>
    <mergeCell ref="A1134:G1134"/>
    <mergeCell ref="B1135:D1135"/>
    <mergeCell ref="E1135:F1135"/>
    <mergeCell ref="B1136:G1136"/>
    <mergeCell ref="A1137:G1137"/>
    <mergeCell ref="A1138:B1138"/>
    <mergeCell ref="A1139:B1139"/>
    <mergeCell ref="A1140:B1140"/>
    <mergeCell ref="A1141:F1141"/>
    <mergeCell ref="A1142:G1142"/>
    <mergeCell ref="B1143:D1143"/>
    <mergeCell ref="E1143:F1143"/>
    <mergeCell ref="B1144:G1144"/>
    <mergeCell ref="A1145:G1145"/>
    <mergeCell ref="A1146:B1146"/>
    <mergeCell ref="A1147:B1147"/>
    <mergeCell ref="A1148:B1148"/>
    <mergeCell ref="A1149:F1149"/>
    <mergeCell ref="A1150:G1150"/>
    <mergeCell ref="E1151:F1151"/>
    <mergeCell ref="B1151:D1151"/>
    <mergeCell ref="B1152:G1152"/>
    <mergeCell ref="A1153:G1153"/>
    <mergeCell ref="A1154:B1154"/>
    <mergeCell ref="A1155:B1155"/>
    <mergeCell ref="A1156:B1156"/>
    <mergeCell ref="A1157:F1157"/>
    <mergeCell ref="A1158:G1158"/>
    <mergeCell ref="B1159:D1159"/>
    <mergeCell ref="E1159:F1159"/>
    <mergeCell ref="B1160:G1160"/>
    <mergeCell ref="A1161:G1161"/>
    <mergeCell ref="A1162:B1162"/>
    <mergeCell ref="A1163:B1163"/>
    <mergeCell ref="A1164:B1164"/>
    <mergeCell ref="A1165:F1165"/>
    <mergeCell ref="A1166:G1166"/>
    <mergeCell ref="B1167:D1167"/>
    <mergeCell ref="E1167:F1167"/>
    <mergeCell ref="B1168:G1168"/>
    <mergeCell ref="A1169:G1169"/>
    <mergeCell ref="B1376:D1376"/>
    <mergeCell ref="E1376:F1376"/>
    <mergeCell ref="B1377:G1377"/>
    <mergeCell ref="A1378:G1378"/>
    <mergeCell ref="A1379:B1379"/>
    <mergeCell ref="A1380:B1380"/>
    <mergeCell ref="A1381:B1381"/>
    <mergeCell ref="A1382:F1382"/>
    <mergeCell ref="B1361:G1361"/>
    <mergeCell ref="A1362:G1362"/>
    <mergeCell ref="A1363:B1363"/>
    <mergeCell ref="A1364:B1364"/>
    <mergeCell ref="A1365:B1365"/>
    <mergeCell ref="A1366:F1366"/>
    <mergeCell ref="A1367:G1367"/>
    <mergeCell ref="B1368:D1368"/>
    <mergeCell ref="E1368:F1368"/>
    <mergeCell ref="B1369:G1369"/>
    <mergeCell ref="A1370:G1370"/>
    <mergeCell ref="A1371:B1371"/>
    <mergeCell ref="A1372:B1372"/>
    <mergeCell ref="A1373:B1373"/>
    <mergeCell ref="A1374:F1374"/>
    <mergeCell ref="B1271:D1271"/>
    <mergeCell ref="E1271:F1271"/>
    <mergeCell ref="B1272:G1272"/>
    <mergeCell ref="A1273:G1273"/>
    <mergeCell ref="A1383:G1383"/>
    <mergeCell ref="B1384:D1384"/>
    <mergeCell ref="E1384:F1384"/>
    <mergeCell ref="B1385:G1385"/>
    <mergeCell ref="A1386:G1386"/>
    <mergeCell ref="A1387:B1387"/>
    <mergeCell ref="A1338:B1338"/>
    <mergeCell ref="A1339:B1339"/>
    <mergeCell ref="A1340:B1340"/>
    <mergeCell ref="A1341:F1341"/>
    <mergeCell ref="A1342:G1342"/>
    <mergeCell ref="A1343:G1343"/>
    <mergeCell ref="E1344:F1344"/>
    <mergeCell ref="B1344:D1344"/>
    <mergeCell ref="B1345:G1345"/>
    <mergeCell ref="A1346:G1346"/>
    <mergeCell ref="A1347:B1347"/>
    <mergeCell ref="A1348:B1348"/>
    <mergeCell ref="A1349:B1349"/>
    <mergeCell ref="A1350:F1350"/>
    <mergeCell ref="A1351:G1351"/>
    <mergeCell ref="B1352:D1352"/>
    <mergeCell ref="E1352:F1352"/>
    <mergeCell ref="B1353:G1353"/>
    <mergeCell ref="A1354:G1354"/>
    <mergeCell ref="A1355:B1355"/>
    <mergeCell ref="A1356:B1356"/>
    <mergeCell ref="A1357:B1357"/>
    <mergeCell ref="A1210:B1210"/>
    <mergeCell ref="A1211:B1211"/>
    <mergeCell ref="A1212:B1212"/>
    <mergeCell ref="A1213:F1213"/>
    <mergeCell ref="A1214:G1214"/>
    <mergeCell ref="B1215:D1215"/>
    <mergeCell ref="E1215:F1215"/>
    <mergeCell ref="B1216:G1216"/>
    <mergeCell ref="A1217:G1217"/>
    <mergeCell ref="A1218:B1218"/>
    <mergeCell ref="A1219:B1219"/>
    <mergeCell ref="A1265:G1265"/>
    <mergeCell ref="A1266:B1266"/>
    <mergeCell ref="A1267:B1267"/>
    <mergeCell ref="A1268:B1268"/>
    <mergeCell ref="A1269:F1269"/>
    <mergeCell ref="A1270:G1270"/>
    <mergeCell ref="A1170:B1170"/>
    <mergeCell ref="A1171:B1171"/>
    <mergeCell ref="A1172:B1172"/>
    <mergeCell ref="A1173:F1173"/>
    <mergeCell ref="A1174:G1174"/>
    <mergeCell ref="B1175:D1175"/>
    <mergeCell ref="E1175:F1175"/>
    <mergeCell ref="B1176:G1176"/>
    <mergeCell ref="A1177:G1177"/>
    <mergeCell ref="A1178:B1178"/>
    <mergeCell ref="A1179:B1179"/>
    <mergeCell ref="A1180:B1180"/>
    <mergeCell ref="A1181:F1181"/>
    <mergeCell ref="A1182:G1182"/>
    <mergeCell ref="B1183:D1183"/>
    <mergeCell ref="E1183:F1183"/>
    <mergeCell ref="B1184:G1184"/>
    <mergeCell ref="A1185:G1185"/>
    <mergeCell ref="A1186:B1186"/>
    <mergeCell ref="A1187:B1187"/>
    <mergeCell ref="A1188:B1188"/>
    <mergeCell ref="A1189:F1189"/>
    <mergeCell ref="A1190:G1190"/>
    <mergeCell ref="B1191:D1191"/>
    <mergeCell ref="E1191:F1191"/>
    <mergeCell ref="B1192:G1192"/>
    <mergeCell ref="A1193:G1193"/>
    <mergeCell ref="A1194:B1194"/>
    <mergeCell ref="A1195:B1195"/>
    <mergeCell ref="A1196:B1196"/>
    <mergeCell ref="A1197:F1197"/>
    <mergeCell ref="A1198:G1198"/>
    <mergeCell ref="B1199:D1199"/>
    <mergeCell ref="E1199:F1199"/>
    <mergeCell ref="B1200:G1200"/>
    <mergeCell ref="A1201:G1201"/>
    <mergeCell ref="A1202:B1202"/>
    <mergeCell ref="A1203:B1203"/>
    <mergeCell ref="A1204:B1204"/>
    <mergeCell ref="A1205:F1205"/>
    <mergeCell ref="A1206:G1206"/>
    <mergeCell ref="E1207:F1207"/>
    <mergeCell ref="A1220:B1220"/>
    <mergeCell ref="A1221:F1221"/>
    <mergeCell ref="A1222:G1222"/>
    <mergeCell ref="B1223:D1223"/>
    <mergeCell ref="E1223:F1223"/>
    <mergeCell ref="B1224:G1224"/>
    <mergeCell ref="A1225:G1225"/>
    <mergeCell ref="B1263:D1263"/>
    <mergeCell ref="B1264:G1264"/>
    <mergeCell ref="A1253:F1253"/>
    <mergeCell ref="A1254:G1254"/>
    <mergeCell ref="B1255:D1255"/>
    <mergeCell ref="E1255:F1255"/>
    <mergeCell ref="B1256:G1256"/>
    <mergeCell ref="A1257:G1257"/>
    <mergeCell ref="A1258:B1258"/>
    <mergeCell ref="A1259:B1259"/>
    <mergeCell ref="A1260:B1260"/>
    <mergeCell ref="A1261:F1261"/>
    <mergeCell ref="A1262:G1262"/>
    <mergeCell ref="E1263:F1263"/>
    <mergeCell ref="B1207:D1207"/>
    <mergeCell ref="B1208:G1208"/>
    <mergeCell ref="A1209:G1209"/>
    <mergeCell ref="A1274:B1274"/>
    <mergeCell ref="A1275:B1275"/>
    <mergeCell ref="A1226:B1226"/>
    <mergeCell ref="A1227:B1227"/>
    <mergeCell ref="A1228:B1228"/>
    <mergeCell ref="A1229:F1229"/>
    <mergeCell ref="A1230:G1230"/>
    <mergeCell ref="B1231:D1231"/>
    <mergeCell ref="E1231:F1231"/>
    <mergeCell ref="B1232:G1232"/>
    <mergeCell ref="A1233:G1233"/>
    <mergeCell ref="A1234:B1234"/>
    <mergeCell ref="A1235:B1235"/>
    <mergeCell ref="A1236:B1236"/>
    <mergeCell ref="A1237:F1237"/>
    <mergeCell ref="A1238:G1238"/>
    <mergeCell ref="B1239:D1239"/>
    <mergeCell ref="E1239:F1239"/>
    <mergeCell ref="B1240:G1240"/>
    <mergeCell ref="A1241:G1241"/>
    <mergeCell ref="A1242:B1242"/>
    <mergeCell ref="A1243:B1243"/>
    <mergeCell ref="A1244:B1244"/>
    <mergeCell ref="A1245:F1245"/>
    <mergeCell ref="A1246:G1246"/>
    <mergeCell ref="B1247:D1247"/>
    <mergeCell ref="E1247:F1247"/>
    <mergeCell ref="B1248:G1248"/>
    <mergeCell ref="A1249:G1249"/>
    <mergeCell ref="A1250:B1250"/>
    <mergeCell ref="A1251:B1251"/>
    <mergeCell ref="A1252:B1252"/>
    <mergeCell ref="A1276:B1276"/>
    <mergeCell ref="A1277:F1277"/>
    <mergeCell ref="A1278:G1278"/>
    <mergeCell ref="B1279:D1279"/>
    <mergeCell ref="E1279:F1279"/>
    <mergeCell ref="B1280:G1280"/>
    <mergeCell ref="A1281:G1281"/>
    <mergeCell ref="B1319:D1319"/>
    <mergeCell ref="B1320:G1320"/>
    <mergeCell ref="A1321:G1321"/>
    <mergeCell ref="A1322:B1322"/>
    <mergeCell ref="A1323:B1323"/>
    <mergeCell ref="A1324:B1324"/>
    <mergeCell ref="A1325:F1325"/>
    <mergeCell ref="A1326:G1326"/>
    <mergeCell ref="B1327:D1327"/>
    <mergeCell ref="E1327:F1327"/>
    <mergeCell ref="A1307:B1307"/>
    <mergeCell ref="A1308:B1308"/>
    <mergeCell ref="A1309:F1309"/>
    <mergeCell ref="A1310:G1310"/>
    <mergeCell ref="B1311:D1311"/>
    <mergeCell ref="E1311:F1311"/>
    <mergeCell ref="B1312:G1312"/>
    <mergeCell ref="A1313:G1313"/>
    <mergeCell ref="A1314:B1314"/>
    <mergeCell ref="A1315:B1315"/>
    <mergeCell ref="A1316:B1316"/>
    <mergeCell ref="A1317:F1317"/>
    <mergeCell ref="A1318:G1318"/>
    <mergeCell ref="E1319:F1319"/>
    <mergeCell ref="B1328:G1328"/>
    <mergeCell ref="A1329:G1329"/>
    <mergeCell ref="A1330:B1330"/>
    <mergeCell ref="A1331:B1331"/>
    <mergeCell ref="A1282:B1282"/>
    <mergeCell ref="A1283:B1283"/>
    <mergeCell ref="A1284:B1284"/>
    <mergeCell ref="A1285:F1285"/>
    <mergeCell ref="A1286:G1286"/>
    <mergeCell ref="B1287:D1287"/>
    <mergeCell ref="E1287:F1287"/>
    <mergeCell ref="B1288:G1288"/>
    <mergeCell ref="A1289:G1289"/>
    <mergeCell ref="A1290:B1290"/>
    <mergeCell ref="A1291:B1291"/>
    <mergeCell ref="A1292:B1292"/>
    <mergeCell ref="A1293:F1293"/>
    <mergeCell ref="A1294:G1294"/>
    <mergeCell ref="B1295:D1295"/>
    <mergeCell ref="E1295:F1295"/>
    <mergeCell ref="B1296:G1296"/>
    <mergeCell ref="A1297:G1297"/>
    <mergeCell ref="A1298:B1298"/>
    <mergeCell ref="A1299:B1299"/>
    <mergeCell ref="A1300:B1300"/>
    <mergeCell ref="A1301:F1301"/>
    <mergeCell ref="A1302:G1302"/>
    <mergeCell ref="B1303:D1303"/>
    <mergeCell ref="E1303:F1303"/>
    <mergeCell ref="B1304:G1304"/>
    <mergeCell ref="A1305:G1305"/>
    <mergeCell ref="A1306:B1306"/>
    <mergeCell ref="A1332:B1332"/>
    <mergeCell ref="A1333:F1333"/>
    <mergeCell ref="A1334:G1334"/>
    <mergeCell ref="B1335:D1335"/>
    <mergeCell ref="E1335:F1335"/>
    <mergeCell ref="B1336:G1336"/>
    <mergeCell ref="A1337:G1337"/>
    <mergeCell ref="A1394:G1394"/>
    <mergeCell ref="A1395:B1395"/>
    <mergeCell ref="A1396:B1396"/>
    <mergeCell ref="A1397:B1397"/>
    <mergeCell ref="A1398:F1398"/>
    <mergeCell ref="A1399:G1399"/>
    <mergeCell ref="E1400:F1400"/>
    <mergeCell ref="B1400:D1400"/>
    <mergeCell ref="B1401:G1401"/>
    <mergeCell ref="A1402:G1402"/>
    <mergeCell ref="A1375:G1375"/>
    <mergeCell ref="A1388:B1388"/>
    <mergeCell ref="A1389:B1389"/>
    <mergeCell ref="A1390:F1390"/>
    <mergeCell ref="A1391:G1391"/>
    <mergeCell ref="B1392:D1392"/>
    <mergeCell ref="E1392:F1392"/>
    <mergeCell ref="B1393:G1393"/>
    <mergeCell ref="A1358:F1358"/>
    <mergeCell ref="A1359:G1359"/>
    <mergeCell ref="B1360:D1360"/>
    <mergeCell ref="E1360:F1360"/>
    <mergeCell ref="A1418:G1418"/>
    <mergeCell ref="B1425:G1425"/>
    <mergeCell ref="A1426:G1426"/>
    <mergeCell ref="A1427:B1427"/>
    <mergeCell ref="A1428:B1428"/>
    <mergeCell ref="A1429:B1429"/>
    <mergeCell ref="A1430:F1430"/>
    <mergeCell ref="A1419:B1419"/>
    <mergeCell ref="A1420:B1420"/>
    <mergeCell ref="A1421:B1421"/>
    <mergeCell ref="A1422:F1422"/>
    <mergeCell ref="A1423:G1423"/>
    <mergeCell ref="B1424:D1424"/>
    <mergeCell ref="E1424:F1424"/>
    <mergeCell ref="A1403:B1403"/>
    <mergeCell ref="A1404:B1404"/>
    <mergeCell ref="A1405:B1405"/>
    <mergeCell ref="A1406:F1406"/>
    <mergeCell ref="A1407:G1407"/>
    <mergeCell ref="B1408:D1408"/>
    <mergeCell ref="E1408:F1408"/>
    <mergeCell ref="B1409:G1409"/>
    <mergeCell ref="A1410:G1410"/>
    <mergeCell ref="A1411:B1411"/>
    <mergeCell ref="A1412:B1412"/>
    <mergeCell ref="A1413:B1413"/>
    <mergeCell ref="A1414:F1414"/>
    <mergeCell ref="A1415:G1415"/>
    <mergeCell ref="B1416:D1416"/>
    <mergeCell ref="E1416:F1416"/>
    <mergeCell ref="B1417:G1417"/>
  </mergeCells>
  <pageMargins left="0.70866141732283472" right="0.70866141732283472" top="0.74803149606299213" bottom="0.74803149606299213" header="0" footer="0"/>
  <pageSetup orientation="portrait"/>
  <colBreaks count="1" manualBreakCount="1">
    <brk id="7" man="1"/>
  </colBreaks>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IV1448"/>
  <sheetViews>
    <sheetView workbookViewId="0"/>
  </sheetViews>
  <sheetFormatPr baseColWidth="10" defaultColWidth="14.44140625" defaultRowHeight="15" customHeight="1"/>
  <cols>
    <col min="1" max="1" width="19.88671875" customWidth="1"/>
    <col min="2" max="4" width="15.33203125" customWidth="1"/>
    <col min="5" max="6" width="11.44140625" customWidth="1"/>
    <col min="7" max="7" width="14.109375" customWidth="1"/>
    <col min="8" max="8" width="11.44140625" customWidth="1"/>
    <col min="9" max="9" width="11.88671875" customWidth="1"/>
    <col min="10" max="10" width="14.5546875" customWidth="1"/>
    <col min="11" max="11" width="16.33203125" customWidth="1"/>
    <col min="12" max="256" width="11.44140625" customWidth="1"/>
  </cols>
  <sheetData>
    <row r="2" spans="1:11" ht="14.25" customHeight="1">
      <c r="A2" s="1854"/>
      <c r="B2" s="1857" t="s">
        <v>373</v>
      </c>
      <c r="C2" s="1830"/>
      <c r="D2" s="1828"/>
      <c r="E2" s="1858" t="s">
        <v>561</v>
      </c>
      <c r="F2" s="1859"/>
      <c r="G2" s="1843"/>
      <c r="H2" s="59"/>
      <c r="I2" s="60"/>
      <c r="J2" s="60"/>
      <c r="K2" s="61"/>
    </row>
    <row r="3" spans="1:11" ht="14.25" customHeight="1">
      <c r="A3" s="1855"/>
      <c r="B3" s="1848" t="s">
        <v>562</v>
      </c>
      <c r="C3" s="1859"/>
      <c r="D3" s="1843"/>
      <c r="E3" s="1620"/>
      <c r="F3" s="1621"/>
      <c r="G3" s="1622"/>
      <c r="H3" s="59"/>
      <c r="I3" s="60"/>
      <c r="J3" s="60"/>
      <c r="K3" s="61"/>
    </row>
    <row r="4" spans="1:11" ht="14.25" customHeight="1">
      <c r="A4" s="1855"/>
      <c r="B4" s="1620"/>
      <c r="C4" s="1621"/>
      <c r="D4" s="1622"/>
      <c r="E4" s="1829"/>
      <c r="F4" s="1830"/>
      <c r="G4" s="1828"/>
      <c r="H4" s="59"/>
      <c r="I4" s="60"/>
      <c r="J4" s="60"/>
      <c r="K4" s="61"/>
    </row>
    <row r="5" spans="1:11" ht="30.75" customHeight="1">
      <c r="A5" s="1856"/>
      <c r="B5" s="1860" t="s">
        <v>563</v>
      </c>
      <c r="C5" s="1830"/>
      <c r="D5" s="1828"/>
      <c r="E5" s="1829" t="s">
        <v>564</v>
      </c>
      <c r="F5" s="1830"/>
      <c r="G5" s="1828"/>
      <c r="H5" s="59"/>
      <c r="I5" s="60"/>
      <c r="J5" s="60"/>
      <c r="K5" s="61"/>
    </row>
    <row r="6" spans="1:11" ht="40.5" customHeight="1">
      <c r="A6" s="1860" t="s">
        <v>565</v>
      </c>
      <c r="B6" s="1830"/>
      <c r="C6" s="1830"/>
      <c r="D6" s="1830"/>
      <c r="E6" s="1830"/>
      <c r="F6" s="1830"/>
      <c r="G6" s="1828"/>
      <c r="H6" s="59"/>
      <c r="I6" s="60"/>
      <c r="J6" s="60"/>
      <c r="K6" s="61"/>
    </row>
    <row r="7" spans="1:11" ht="14.25" hidden="1" customHeight="1">
      <c r="A7" s="66" t="s">
        <v>217</v>
      </c>
      <c r="B7" s="1832" t="s">
        <v>379</v>
      </c>
      <c r="C7" s="1830"/>
      <c r="D7" s="1828"/>
      <c r="E7" s="1833" t="s">
        <v>218</v>
      </c>
      <c r="F7" s="1828"/>
      <c r="G7" s="62" t="s">
        <v>228</v>
      </c>
      <c r="H7" s="59"/>
      <c r="I7" s="60"/>
      <c r="J7" s="60"/>
      <c r="K7" s="61"/>
    </row>
    <row r="8" spans="1:11" ht="14.25" hidden="1" customHeight="1">
      <c r="A8" s="66" t="s">
        <v>219</v>
      </c>
      <c r="B8" s="1840" t="s">
        <v>566</v>
      </c>
      <c r="C8" s="1830"/>
      <c r="D8" s="1830"/>
      <c r="E8" s="1830"/>
      <c r="F8" s="1830"/>
      <c r="G8" s="1828"/>
      <c r="H8" s="59"/>
      <c r="I8" s="60"/>
      <c r="J8" s="60"/>
      <c r="K8" s="61"/>
    </row>
    <row r="9" spans="1:11" ht="14.25" hidden="1" customHeight="1">
      <c r="A9" s="1836" t="s">
        <v>220</v>
      </c>
      <c r="B9" s="1830"/>
      <c r="C9" s="1830"/>
      <c r="D9" s="1830"/>
      <c r="E9" s="1830"/>
      <c r="F9" s="1830"/>
      <c r="G9" s="1828"/>
      <c r="H9" s="59"/>
      <c r="I9" s="60"/>
      <c r="J9" s="60"/>
      <c r="K9" s="61"/>
    </row>
    <row r="10" spans="1:11" ht="14.25" hidden="1" customHeight="1">
      <c r="A10" s="1829" t="s">
        <v>221</v>
      </c>
      <c r="B10" s="1828"/>
      <c r="C10" s="63" t="s">
        <v>222</v>
      </c>
      <c r="D10" s="63" t="s">
        <v>223</v>
      </c>
      <c r="E10" s="63" t="s">
        <v>224</v>
      </c>
      <c r="F10" s="63" t="s">
        <v>225</v>
      </c>
      <c r="G10" s="63" t="s">
        <v>226</v>
      </c>
      <c r="H10" s="59"/>
      <c r="I10" s="60"/>
      <c r="J10" s="60"/>
      <c r="K10" s="61"/>
    </row>
    <row r="11" spans="1:11" ht="14.25" hidden="1" customHeight="1">
      <c r="A11" s="1844" t="s">
        <v>567</v>
      </c>
      <c r="B11" s="1828"/>
      <c r="C11" s="64">
        <v>111.37</v>
      </c>
      <c r="D11" s="64">
        <v>76.22</v>
      </c>
      <c r="E11" s="64"/>
      <c r="F11" s="64">
        <v>1</v>
      </c>
      <c r="G11" s="64">
        <f>+ROUND(C11*D11,2)</f>
        <v>8488.6200000000008</v>
      </c>
      <c r="H11" s="59"/>
      <c r="I11" s="60">
        <f>+PPTOETAPAS!F7</f>
        <v>40261694</v>
      </c>
      <c r="J11" s="60"/>
      <c r="K11" s="61">
        <f>10812.64+3314.27</f>
        <v>14126.91</v>
      </c>
    </row>
    <row r="12" spans="1:11" ht="14.25" hidden="1" customHeight="1">
      <c r="A12" s="1845"/>
      <c r="B12" s="1828"/>
      <c r="C12" s="64"/>
      <c r="D12" s="64"/>
      <c r="E12" s="64"/>
      <c r="F12" s="64"/>
      <c r="G12" s="64"/>
      <c r="H12" s="59"/>
      <c r="I12" s="60">
        <f>+G35*24550</f>
        <v>0</v>
      </c>
      <c r="J12" s="60"/>
      <c r="K12" s="61"/>
    </row>
    <row r="13" spans="1:11" ht="14.25" hidden="1" customHeight="1">
      <c r="A13" s="1829" t="s">
        <v>227</v>
      </c>
      <c r="B13" s="1830"/>
      <c r="C13" s="1830"/>
      <c r="D13" s="1830"/>
      <c r="E13" s="1830"/>
      <c r="F13" s="1828"/>
      <c r="G13" s="65"/>
      <c r="H13" s="59"/>
      <c r="I13" s="60">
        <f>+G49*14750</f>
        <v>0</v>
      </c>
      <c r="J13" s="60"/>
      <c r="K13" s="61"/>
    </row>
    <row r="14" spans="1:11" ht="14.25" hidden="1" customHeight="1">
      <c r="A14" s="1861"/>
      <c r="B14" s="1830"/>
      <c r="C14" s="1830"/>
      <c r="D14" s="1830"/>
      <c r="E14" s="1830"/>
      <c r="F14" s="1830"/>
      <c r="G14" s="1828"/>
      <c r="H14" s="59"/>
      <c r="I14" s="60">
        <f>+G63*17550</f>
        <v>0</v>
      </c>
      <c r="J14" s="60"/>
      <c r="K14" s="61"/>
    </row>
    <row r="15" spans="1:11" ht="14.25" hidden="1" customHeight="1">
      <c r="A15" s="1837"/>
      <c r="B15" s="1838"/>
      <c r="C15" s="1838"/>
      <c r="D15" s="1838"/>
      <c r="E15" s="1838"/>
      <c r="F15" s="1838"/>
      <c r="G15" s="1839"/>
      <c r="H15" s="59"/>
      <c r="I15" s="60">
        <f>+G89*25000</f>
        <v>0</v>
      </c>
      <c r="J15" s="60"/>
      <c r="K15" s="61"/>
    </row>
    <row r="16" spans="1:11" ht="14.25" hidden="1" customHeight="1">
      <c r="A16" s="66" t="str">
        <f>+$A$7</f>
        <v>CAPITULO 1:</v>
      </c>
      <c r="B16" s="1832" t="str">
        <f>+$B$7</f>
        <v>ACTIVIDADES PRELIMINARES</v>
      </c>
      <c r="C16" s="1830"/>
      <c r="D16" s="1828"/>
      <c r="E16" s="1833" t="s">
        <v>218</v>
      </c>
      <c r="F16" s="1828"/>
      <c r="G16" s="62" t="s">
        <v>116</v>
      </c>
      <c r="H16" s="59"/>
      <c r="I16" s="60">
        <f>+G98*27550</f>
        <v>0</v>
      </c>
      <c r="J16" s="60"/>
      <c r="K16" s="61"/>
    </row>
    <row r="17" spans="1:11" ht="30.75" hidden="1" customHeight="1">
      <c r="A17" s="66" t="s">
        <v>229</v>
      </c>
      <c r="B17" s="1840" t="s">
        <v>568</v>
      </c>
      <c r="C17" s="1830"/>
      <c r="D17" s="1830"/>
      <c r="E17" s="1830"/>
      <c r="F17" s="1830"/>
      <c r="G17" s="1828"/>
      <c r="H17" s="59"/>
      <c r="I17" s="60">
        <f>+G124*30550</f>
        <v>13333853</v>
      </c>
      <c r="J17" s="60"/>
      <c r="K17" s="61"/>
    </row>
    <row r="18" spans="1:11" ht="14.25" hidden="1" customHeight="1">
      <c r="A18" s="1836" t="s">
        <v>220</v>
      </c>
      <c r="B18" s="1830"/>
      <c r="C18" s="1830"/>
      <c r="D18" s="1830"/>
      <c r="E18" s="1830"/>
      <c r="F18" s="1830"/>
      <c r="G18" s="1828"/>
      <c r="H18" s="59"/>
      <c r="I18" s="60">
        <f>+G135*56500</f>
        <v>0</v>
      </c>
      <c r="J18" s="60"/>
      <c r="K18" s="61"/>
    </row>
    <row r="19" spans="1:11" ht="14.25" hidden="1" customHeight="1">
      <c r="A19" s="1829" t="s">
        <v>221</v>
      </c>
      <c r="B19" s="1828"/>
      <c r="C19" s="63" t="s">
        <v>222</v>
      </c>
      <c r="D19" s="63" t="s">
        <v>223</v>
      </c>
      <c r="E19" s="63" t="s">
        <v>224</v>
      </c>
      <c r="F19" s="63" t="s">
        <v>225</v>
      </c>
      <c r="G19" s="63" t="s">
        <v>226</v>
      </c>
      <c r="H19" s="59"/>
      <c r="I19" s="60">
        <f>ROUND(SUM(I11:I18),0)</f>
        <v>53595547</v>
      </c>
      <c r="J19" s="60" t="s">
        <v>230</v>
      </c>
      <c r="K19" s="61"/>
    </row>
    <row r="20" spans="1:11" ht="14.25" hidden="1" customHeight="1">
      <c r="A20" s="1847" t="s">
        <v>569</v>
      </c>
      <c r="B20" s="1828"/>
      <c r="C20" s="64"/>
      <c r="D20" s="64"/>
      <c r="E20" s="64"/>
      <c r="F20" s="64"/>
      <c r="G20" s="64"/>
      <c r="H20" s="59"/>
      <c r="I20" s="60"/>
      <c r="J20" s="60"/>
      <c r="K20" s="61"/>
    </row>
    <row r="21" spans="1:11" ht="14.25" hidden="1" customHeight="1">
      <c r="A21" s="1845" t="s">
        <v>570</v>
      </c>
      <c r="B21" s="1828"/>
      <c r="C21" s="64">
        <f>120.53+71.17+36.41+9.12+26.18</f>
        <v>263.40999999999997</v>
      </c>
      <c r="D21" s="64">
        <v>0.1</v>
      </c>
      <c r="E21" s="64">
        <v>0.1</v>
      </c>
      <c r="F21" s="64">
        <v>1</v>
      </c>
      <c r="G21" s="64">
        <f t="shared" ref="G21:G23" si="0">+C21*D21*E21*F21</f>
        <v>2.6341000000000001</v>
      </c>
      <c r="H21" s="59"/>
      <c r="I21" s="60"/>
      <c r="J21" s="60"/>
      <c r="K21" s="61"/>
    </row>
    <row r="22" spans="1:11" ht="14.25" hidden="1" customHeight="1">
      <c r="A22" s="1845" t="s">
        <v>571</v>
      </c>
      <c r="B22" s="1828"/>
      <c r="C22" s="64">
        <f>+C21</f>
        <v>263.40999999999997</v>
      </c>
      <c r="D22" s="64">
        <v>0.25</v>
      </c>
      <c r="E22" s="64">
        <v>0.25</v>
      </c>
      <c r="F22" s="64">
        <v>1</v>
      </c>
      <c r="G22" s="64">
        <f t="shared" si="0"/>
        <v>16.463124999999998</v>
      </c>
      <c r="H22" s="59"/>
      <c r="I22" s="60"/>
      <c r="J22" s="60"/>
      <c r="K22" s="61"/>
    </row>
    <row r="23" spans="1:11" ht="14.25" hidden="1" customHeight="1">
      <c r="A23" s="1845" t="s">
        <v>572</v>
      </c>
      <c r="B23" s="1828"/>
      <c r="C23" s="64">
        <v>0.8</v>
      </c>
      <c r="D23" s="64">
        <v>0.25</v>
      </c>
      <c r="E23" s="64">
        <v>0.25</v>
      </c>
      <c r="F23" s="64">
        <f>+ROUND(C22/3,0)</f>
        <v>88</v>
      </c>
      <c r="G23" s="64">
        <f t="shared" si="0"/>
        <v>4.4000000000000004</v>
      </c>
      <c r="H23" s="59"/>
      <c r="I23" s="60"/>
      <c r="J23" s="60"/>
      <c r="K23" s="61"/>
    </row>
    <row r="24" spans="1:11" ht="14.25" hidden="1" customHeight="1">
      <c r="A24" s="1847" t="s">
        <v>573</v>
      </c>
      <c r="B24" s="1828"/>
      <c r="C24" s="64"/>
      <c r="D24" s="64"/>
      <c r="E24" s="64"/>
      <c r="F24" s="64"/>
      <c r="G24" s="64"/>
      <c r="H24" s="59"/>
      <c r="I24" s="60"/>
      <c r="J24" s="60"/>
      <c r="K24" s="61"/>
    </row>
    <row r="25" spans="1:11" ht="14.25" hidden="1" customHeight="1">
      <c r="A25" s="1845" t="s">
        <v>574</v>
      </c>
      <c r="B25" s="1828"/>
      <c r="C25" s="64">
        <f>20+9.72+12.2+40.6+20+10.6+20+12.2+9.8+14.43+7.8+12.4+5.1+9.6+3.3+3.3+3.1+2+17.9+(1.25*7)+0.9+8.05+5.45+1.1+3.3+20+6.15+(6.75*3)+7.45+2.65+2.65+5+1.55</f>
        <v>327.3</v>
      </c>
      <c r="D25" s="64">
        <v>0.3</v>
      </c>
      <c r="E25" s="64">
        <v>0.3</v>
      </c>
      <c r="F25" s="64">
        <v>2</v>
      </c>
      <c r="G25" s="64">
        <f t="shared" ref="G25:G27" si="1">+C25*D25*E25*F25</f>
        <v>58.913999999999994</v>
      </c>
      <c r="H25" s="59"/>
      <c r="I25" s="60"/>
      <c r="J25" s="60"/>
      <c r="K25" s="61"/>
    </row>
    <row r="26" spans="1:11" ht="14.25" hidden="1" customHeight="1">
      <c r="A26" s="1845" t="s">
        <v>575</v>
      </c>
      <c r="B26" s="1828"/>
      <c r="C26" s="64">
        <v>7.35</v>
      </c>
      <c r="D26" s="64">
        <v>0.3</v>
      </c>
      <c r="E26" s="64">
        <v>0.3</v>
      </c>
      <c r="F26" s="64">
        <v>40</v>
      </c>
      <c r="G26" s="64">
        <f t="shared" si="1"/>
        <v>26.459999999999994</v>
      </c>
      <c r="H26" s="59"/>
      <c r="I26" s="60"/>
      <c r="J26" s="60"/>
      <c r="K26" s="61"/>
    </row>
    <row r="27" spans="1:11" ht="15" hidden="1" customHeight="1">
      <c r="A27" s="1845" t="s">
        <v>576</v>
      </c>
      <c r="B27" s="1828"/>
      <c r="C27" s="64">
        <v>1.2</v>
      </c>
      <c r="D27" s="64">
        <v>1.2</v>
      </c>
      <c r="E27" s="64">
        <v>0.3</v>
      </c>
      <c r="F27" s="64">
        <v>40</v>
      </c>
      <c r="G27" s="64">
        <f t="shared" si="1"/>
        <v>17.28</v>
      </c>
      <c r="H27" s="59"/>
      <c r="I27" s="60"/>
      <c r="J27" s="60"/>
      <c r="K27" s="61"/>
    </row>
    <row r="28" spans="1:11" ht="14.25" hidden="1" customHeight="1">
      <c r="A28" s="1847" t="s">
        <v>577</v>
      </c>
      <c r="B28" s="1828"/>
      <c r="C28" s="64"/>
      <c r="D28" s="64"/>
      <c r="E28" s="64"/>
      <c r="F28" s="64"/>
      <c r="G28" s="64"/>
      <c r="H28" s="59"/>
      <c r="I28" s="60"/>
      <c r="J28" s="60"/>
      <c r="K28" s="61"/>
    </row>
    <row r="29" spans="1:11" ht="14.25" hidden="1" customHeight="1">
      <c r="A29" s="1845" t="s">
        <v>574</v>
      </c>
      <c r="B29" s="1828"/>
      <c r="C29" s="64">
        <f>16.15+16.15+5.37+5.37+5.37+4.6+(4.9*5)+4.6+(4.9*8)+(7.85*4)+3.33+(5.2*4)+21+(4.85*2)+5+(1.95*3*0.2)+(2.2*6)+(10.45*2)+(6.45*3)+(4.6*2)+(1.4*20)+(1.65*10)</f>
        <v>320.85999999999996</v>
      </c>
      <c r="D29" s="64">
        <v>0.3</v>
      </c>
      <c r="E29" s="64">
        <v>0.3</v>
      </c>
      <c r="F29" s="64">
        <v>2</v>
      </c>
      <c r="G29" s="64">
        <f t="shared" ref="G29:G33" si="2">+C29*D29*E29*F29</f>
        <v>57.754799999999989</v>
      </c>
      <c r="H29" s="59"/>
      <c r="I29" s="60"/>
      <c r="J29" s="60"/>
      <c r="K29" s="61"/>
    </row>
    <row r="30" spans="1:11" ht="14.25" hidden="1" customHeight="1">
      <c r="A30" s="1845" t="s">
        <v>575</v>
      </c>
      <c r="B30" s="1828"/>
      <c r="C30" s="64">
        <v>6.09</v>
      </c>
      <c r="D30" s="64">
        <v>0.3</v>
      </c>
      <c r="E30" s="64">
        <v>0.3</v>
      </c>
      <c r="F30" s="64">
        <v>32</v>
      </c>
      <c r="G30" s="64">
        <f t="shared" si="2"/>
        <v>17.539199999999997</v>
      </c>
      <c r="H30" s="59"/>
      <c r="I30" s="60"/>
      <c r="J30" s="60"/>
      <c r="K30" s="61"/>
    </row>
    <row r="31" spans="1:11" ht="14.25" hidden="1" customHeight="1">
      <c r="A31" s="1845" t="s">
        <v>576</v>
      </c>
      <c r="B31" s="1828"/>
      <c r="C31" s="64">
        <v>1.2</v>
      </c>
      <c r="D31" s="64">
        <v>1.2</v>
      </c>
      <c r="E31" s="64">
        <v>0.3</v>
      </c>
      <c r="F31" s="64">
        <v>32</v>
      </c>
      <c r="G31" s="64">
        <f t="shared" si="2"/>
        <v>13.824</v>
      </c>
      <c r="H31" s="59"/>
      <c r="I31" s="60"/>
      <c r="J31" s="60"/>
      <c r="K31" s="61"/>
    </row>
    <row r="32" spans="1:11" ht="14.25" hidden="1" customHeight="1">
      <c r="A32" s="1845" t="s">
        <v>578</v>
      </c>
      <c r="B32" s="1828"/>
      <c r="C32" s="64">
        <f>8.44/3</f>
        <v>2.813333333333333</v>
      </c>
      <c r="D32" s="64">
        <v>3</v>
      </c>
      <c r="E32" s="64">
        <v>0.2</v>
      </c>
      <c r="F32" s="64">
        <v>2</v>
      </c>
      <c r="G32" s="64">
        <f t="shared" si="2"/>
        <v>3.3759999999999999</v>
      </c>
      <c r="H32" s="59"/>
      <c r="I32" s="60"/>
      <c r="J32" s="60"/>
      <c r="K32" s="61"/>
    </row>
    <row r="33" spans="1:7" ht="14.25" hidden="1" customHeight="1">
      <c r="A33" s="1845" t="s">
        <v>579</v>
      </c>
      <c r="B33" s="1828"/>
      <c r="C33" s="64">
        <v>3</v>
      </c>
      <c r="D33" s="64">
        <v>0.6</v>
      </c>
      <c r="E33" s="64">
        <v>0.2</v>
      </c>
      <c r="F33" s="64">
        <v>2</v>
      </c>
      <c r="G33" s="64">
        <f t="shared" si="2"/>
        <v>0.72</v>
      </c>
    </row>
    <row r="34" spans="1:7" ht="14.25" hidden="1" customHeight="1">
      <c r="A34" s="1845"/>
      <c r="B34" s="1828"/>
      <c r="C34" s="64"/>
      <c r="D34" s="64"/>
      <c r="E34" s="64"/>
      <c r="F34" s="64"/>
      <c r="G34" s="64"/>
    </row>
    <row r="35" spans="1:7" ht="14.25" hidden="1" customHeight="1">
      <c r="A35" s="1829" t="s">
        <v>227</v>
      </c>
      <c r="B35" s="1830"/>
      <c r="C35" s="1830"/>
      <c r="D35" s="1830"/>
      <c r="E35" s="1830"/>
      <c r="F35" s="1828"/>
      <c r="G35" s="65"/>
    </row>
    <row r="36" spans="1:7" ht="14.25" hidden="1" customHeight="1">
      <c r="A36" s="1837"/>
      <c r="B36" s="1838"/>
      <c r="C36" s="1838"/>
      <c r="D36" s="1838"/>
      <c r="E36" s="1838"/>
      <c r="F36" s="1838"/>
      <c r="G36" s="1839"/>
    </row>
    <row r="37" spans="1:7" ht="14.25" hidden="1" customHeight="1">
      <c r="A37" s="66" t="str">
        <f>+$A$7</f>
        <v>CAPITULO 1:</v>
      </c>
      <c r="B37" s="1832" t="str">
        <f>+$B$7</f>
        <v>ACTIVIDADES PRELIMINARES</v>
      </c>
      <c r="C37" s="1830"/>
      <c r="D37" s="1828"/>
      <c r="E37" s="1833" t="s">
        <v>218</v>
      </c>
      <c r="F37" s="1828"/>
      <c r="G37" s="62" t="s">
        <v>228</v>
      </c>
    </row>
    <row r="38" spans="1:7" ht="23.25" hidden="1" customHeight="1">
      <c r="A38" s="66" t="s">
        <v>231</v>
      </c>
      <c r="B38" s="1840" t="s">
        <v>580</v>
      </c>
      <c r="C38" s="1830"/>
      <c r="D38" s="1830"/>
      <c r="E38" s="1830"/>
      <c r="F38" s="1830"/>
      <c r="G38" s="1828"/>
    </row>
    <row r="39" spans="1:7" ht="14.25" hidden="1" customHeight="1">
      <c r="A39" s="1836" t="s">
        <v>220</v>
      </c>
      <c r="B39" s="1830"/>
      <c r="C39" s="1830"/>
      <c r="D39" s="1830"/>
      <c r="E39" s="1830"/>
      <c r="F39" s="1830"/>
      <c r="G39" s="1828"/>
    </row>
    <row r="40" spans="1:7" ht="14.25" hidden="1" customHeight="1">
      <c r="A40" s="1829" t="s">
        <v>221</v>
      </c>
      <c r="B40" s="1828"/>
      <c r="C40" s="63" t="s">
        <v>222</v>
      </c>
      <c r="D40" s="63" t="s">
        <v>223</v>
      </c>
      <c r="E40" s="63" t="s">
        <v>224</v>
      </c>
      <c r="F40" s="63" t="s">
        <v>225</v>
      </c>
      <c r="G40" s="63" t="s">
        <v>226</v>
      </c>
    </row>
    <row r="41" spans="1:7" ht="14.25" hidden="1" customHeight="1">
      <c r="A41" s="1847" t="s">
        <v>569</v>
      </c>
      <c r="B41" s="1828"/>
      <c r="C41" s="64"/>
      <c r="D41" s="64"/>
      <c r="E41" s="64"/>
      <c r="F41" s="64"/>
      <c r="G41" s="64"/>
    </row>
    <row r="42" spans="1:7" ht="14.25" hidden="1" customHeight="1">
      <c r="A42" s="1845" t="s">
        <v>581</v>
      </c>
      <c r="B42" s="1828"/>
      <c r="C42" s="64">
        <f>+C22</f>
        <v>263.40999999999997</v>
      </c>
      <c r="D42" s="64">
        <v>0.4</v>
      </c>
      <c r="E42" s="64"/>
      <c r="F42" s="64"/>
      <c r="G42" s="64">
        <f>+C42*D42</f>
        <v>105.36399999999999</v>
      </c>
    </row>
    <row r="43" spans="1:7" ht="14.25" hidden="1" customHeight="1">
      <c r="A43" s="1847" t="s">
        <v>573</v>
      </c>
      <c r="B43" s="1828"/>
      <c r="C43" s="64"/>
      <c r="D43" s="64"/>
      <c r="E43" s="64"/>
      <c r="F43" s="64"/>
      <c r="G43" s="64"/>
    </row>
    <row r="44" spans="1:7" ht="14.25" hidden="1" customHeight="1">
      <c r="A44" s="1845" t="s">
        <v>582</v>
      </c>
      <c r="B44" s="1828"/>
      <c r="C44" s="64">
        <f>20+9.72+12.2+40.6+20+10.6+20+12.2+9.8</f>
        <v>155.12</v>
      </c>
      <c r="D44" s="64">
        <f>+(3.9+4.65+2.95)/3</f>
        <v>3.8333333333333335</v>
      </c>
      <c r="E44" s="64"/>
      <c r="F44" s="64"/>
      <c r="G44" s="64">
        <f>+D44*C44</f>
        <v>594.62666666666667</v>
      </c>
    </row>
    <row r="45" spans="1:7" ht="14.25" hidden="1" customHeight="1">
      <c r="A45" s="1845" t="s">
        <v>583</v>
      </c>
      <c r="B45" s="1828"/>
      <c r="C45" s="64">
        <f>14.43+7.8+12.4+5.1+9.6+3.3+3.3+3.1+2+17.9+(1.25*7)+0.9+8.05+5.45+1.1+3.3+20+6.15+(6.75*3)+7.45+2.65+2.65+5+1.55</f>
        <v>172.18</v>
      </c>
      <c r="D45" s="64">
        <v>4.7</v>
      </c>
      <c r="E45" s="64"/>
      <c r="F45" s="64"/>
      <c r="G45" s="64">
        <f>+C45*D45</f>
        <v>809.24600000000009</v>
      </c>
    </row>
    <row r="46" spans="1:7" ht="14.25" hidden="1" customHeight="1">
      <c r="A46" s="1847" t="s">
        <v>577</v>
      </c>
      <c r="B46" s="1828"/>
      <c r="C46" s="64"/>
      <c r="D46" s="64"/>
      <c r="E46" s="64"/>
      <c r="F46" s="64"/>
      <c r="G46" s="64"/>
    </row>
    <row r="47" spans="1:7" ht="14.25" hidden="1" customHeight="1">
      <c r="A47" s="1845" t="s">
        <v>584</v>
      </c>
      <c r="B47" s="1828"/>
      <c r="C47" s="64">
        <f>+C29</f>
        <v>320.85999999999996</v>
      </c>
      <c r="D47" s="64">
        <v>2.5</v>
      </c>
      <c r="E47" s="64"/>
      <c r="F47" s="64"/>
      <c r="G47" s="64">
        <f>+D47*C47</f>
        <v>802.14999999999986</v>
      </c>
    </row>
    <row r="48" spans="1:7" ht="14.25" hidden="1" customHeight="1">
      <c r="A48" s="1845"/>
      <c r="B48" s="1828"/>
      <c r="C48" s="64"/>
      <c r="D48" s="64"/>
      <c r="E48" s="64"/>
      <c r="F48" s="64"/>
      <c r="G48" s="64"/>
    </row>
    <row r="49" spans="1:7" ht="14.25" hidden="1" customHeight="1">
      <c r="A49" s="1829" t="s">
        <v>227</v>
      </c>
      <c r="B49" s="1830"/>
      <c r="C49" s="1830"/>
      <c r="D49" s="1830"/>
      <c r="E49" s="1830"/>
      <c r="F49" s="1828"/>
      <c r="G49" s="65"/>
    </row>
    <row r="50" spans="1:7" ht="14.25" hidden="1" customHeight="1">
      <c r="A50" s="1837"/>
      <c r="B50" s="1838"/>
      <c r="C50" s="1838"/>
      <c r="D50" s="1838"/>
      <c r="E50" s="1838"/>
      <c r="F50" s="1838"/>
      <c r="G50" s="1839"/>
    </row>
    <row r="51" spans="1:7" ht="14.25" hidden="1" customHeight="1">
      <c r="A51" s="66" t="str">
        <f>+$A$7</f>
        <v>CAPITULO 1:</v>
      </c>
      <c r="B51" s="1832" t="str">
        <f>+$B$7</f>
        <v>ACTIVIDADES PRELIMINARES</v>
      </c>
      <c r="C51" s="1830"/>
      <c r="D51" s="1828"/>
      <c r="E51" s="1833" t="s">
        <v>218</v>
      </c>
      <c r="F51" s="1828"/>
      <c r="G51" s="62" t="s">
        <v>228</v>
      </c>
    </row>
    <row r="52" spans="1:7" ht="23.25" hidden="1" customHeight="1">
      <c r="A52" s="66" t="s">
        <v>585</v>
      </c>
      <c r="B52" s="1840" t="s">
        <v>586</v>
      </c>
      <c r="C52" s="1830"/>
      <c r="D52" s="1830"/>
      <c r="E52" s="1830"/>
      <c r="F52" s="1830"/>
      <c r="G52" s="1828"/>
    </row>
    <row r="53" spans="1:7" ht="14.25" hidden="1" customHeight="1">
      <c r="A53" s="1836" t="s">
        <v>220</v>
      </c>
      <c r="B53" s="1830"/>
      <c r="C53" s="1830"/>
      <c r="D53" s="1830"/>
      <c r="E53" s="1830"/>
      <c r="F53" s="1830"/>
      <c r="G53" s="1828"/>
    </row>
    <row r="54" spans="1:7" ht="14.25" hidden="1" customHeight="1">
      <c r="A54" s="1829" t="s">
        <v>221</v>
      </c>
      <c r="B54" s="1828"/>
      <c r="C54" s="63" t="s">
        <v>222</v>
      </c>
      <c r="D54" s="63" t="s">
        <v>223</v>
      </c>
      <c r="E54" s="63" t="s">
        <v>224</v>
      </c>
      <c r="F54" s="63" t="s">
        <v>225</v>
      </c>
      <c r="G54" s="63" t="s">
        <v>226</v>
      </c>
    </row>
    <row r="55" spans="1:7" ht="14.25" hidden="1" customHeight="1">
      <c r="A55" s="1847" t="s">
        <v>573</v>
      </c>
      <c r="B55" s="1828"/>
      <c r="C55" s="64"/>
      <c r="D55" s="64"/>
      <c r="E55" s="64"/>
      <c r="F55" s="64"/>
      <c r="G55" s="64"/>
    </row>
    <row r="56" spans="1:7" ht="14.25" hidden="1" customHeight="1">
      <c r="A56" s="1845" t="s">
        <v>587</v>
      </c>
      <c r="B56" s="1828"/>
      <c r="C56" s="64">
        <v>41.34</v>
      </c>
      <c r="D56" s="64">
        <v>39.979999999999997</v>
      </c>
      <c r="E56" s="64"/>
      <c r="F56" s="64"/>
      <c r="G56" s="64">
        <f>+D56*C56</f>
        <v>1652.7732000000001</v>
      </c>
    </row>
    <row r="57" spans="1:7" ht="5.25" hidden="1" customHeight="1">
      <c r="A57" s="1845"/>
      <c r="B57" s="1828"/>
      <c r="C57" s="64"/>
      <c r="D57" s="64"/>
      <c r="E57" s="64"/>
      <c r="F57" s="64"/>
      <c r="G57" s="64"/>
    </row>
    <row r="58" spans="1:7" ht="14.25" hidden="1" customHeight="1">
      <c r="A58" s="1847" t="s">
        <v>577</v>
      </c>
      <c r="B58" s="1828"/>
      <c r="C58" s="64"/>
      <c r="D58" s="64"/>
      <c r="E58" s="64"/>
      <c r="F58" s="64"/>
      <c r="G58" s="64"/>
    </row>
    <row r="59" spans="1:7" ht="14.25" hidden="1" customHeight="1">
      <c r="A59" s="1845" t="s">
        <v>588</v>
      </c>
      <c r="B59" s="1828"/>
      <c r="C59" s="64">
        <v>16.149999999999999</v>
      </c>
      <c r="D59" s="64">
        <v>5.4</v>
      </c>
      <c r="E59" s="64"/>
      <c r="F59" s="64"/>
      <c r="G59" s="64">
        <f t="shared" ref="G59:G62" si="3">+D59*C59</f>
        <v>87.21</v>
      </c>
    </row>
    <row r="60" spans="1:7" ht="14.25" hidden="1" customHeight="1">
      <c r="A60" s="1845" t="s">
        <v>589</v>
      </c>
      <c r="B60" s="1828"/>
      <c r="C60" s="64">
        <f>20.21+25.25</f>
        <v>45.46</v>
      </c>
      <c r="D60" s="64">
        <v>8</v>
      </c>
      <c r="E60" s="64"/>
      <c r="F60" s="64"/>
      <c r="G60" s="64">
        <f t="shared" si="3"/>
        <v>363.68</v>
      </c>
    </row>
    <row r="61" spans="1:7" ht="14.25" hidden="1" customHeight="1">
      <c r="A61" s="1845" t="s">
        <v>590</v>
      </c>
      <c r="B61" s="1828"/>
      <c r="C61" s="64">
        <v>11.7</v>
      </c>
      <c r="D61" s="64">
        <v>13.8</v>
      </c>
      <c r="E61" s="64"/>
      <c r="F61" s="64"/>
      <c r="G61" s="64">
        <f t="shared" si="3"/>
        <v>161.46</v>
      </c>
    </row>
    <row r="62" spans="1:7" ht="14.25" hidden="1" customHeight="1">
      <c r="A62" s="1845" t="s">
        <v>591</v>
      </c>
      <c r="B62" s="1828"/>
      <c r="C62" s="64">
        <v>23.4</v>
      </c>
      <c r="D62" s="64">
        <v>9.0500000000000007</v>
      </c>
      <c r="E62" s="64"/>
      <c r="F62" s="64"/>
      <c r="G62" s="64">
        <f t="shared" si="3"/>
        <v>211.77</v>
      </c>
    </row>
    <row r="63" spans="1:7" ht="14.25" hidden="1" customHeight="1">
      <c r="A63" s="1829" t="s">
        <v>227</v>
      </c>
      <c r="B63" s="1830"/>
      <c r="C63" s="1830"/>
      <c r="D63" s="1830"/>
      <c r="E63" s="1830"/>
      <c r="F63" s="1828"/>
      <c r="G63" s="65"/>
    </row>
    <row r="64" spans="1:7" ht="14.25" hidden="1" customHeight="1">
      <c r="A64" s="1837"/>
      <c r="B64" s="1838"/>
      <c r="C64" s="1838"/>
      <c r="D64" s="1838"/>
      <c r="E64" s="1838"/>
      <c r="F64" s="1838"/>
      <c r="G64" s="1839"/>
    </row>
    <row r="65" spans="1:7" ht="14.25" hidden="1" customHeight="1">
      <c r="A65" s="66" t="str">
        <f>+$A$7</f>
        <v>CAPITULO 1:</v>
      </c>
      <c r="B65" s="1832" t="str">
        <f>+$B$7</f>
        <v>ACTIVIDADES PRELIMINARES</v>
      </c>
      <c r="C65" s="1830"/>
      <c r="D65" s="1828"/>
      <c r="E65" s="1833" t="s">
        <v>218</v>
      </c>
      <c r="F65" s="1828"/>
      <c r="G65" s="62" t="s">
        <v>228</v>
      </c>
    </row>
    <row r="66" spans="1:7" ht="23.25" hidden="1" customHeight="1">
      <c r="A66" s="66" t="s">
        <v>592</v>
      </c>
      <c r="B66" s="1840" t="s">
        <v>593</v>
      </c>
      <c r="C66" s="1830"/>
      <c r="D66" s="1830"/>
      <c r="E66" s="1830"/>
      <c r="F66" s="1830"/>
      <c r="G66" s="1828"/>
    </row>
    <row r="67" spans="1:7" ht="14.25" hidden="1" customHeight="1">
      <c r="A67" s="1836" t="s">
        <v>220</v>
      </c>
      <c r="B67" s="1830"/>
      <c r="C67" s="1830"/>
      <c r="D67" s="1830"/>
      <c r="E67" s="1830"/>
      <c r="F67" s="1830"/>
      <c r="G67" s="1828"/>
    </row>
    <row r="68" spans="1:7" ht="14.25" hidden="1" customHeight="1">
      <c r="A68" s="1829" t="s">
        <v>221</v>
      </c>
      <c r="B68" s="1828"/>
      <c r="C68" s="63" t="s">
        <v>222</v>
      </c>
      <c r="D68" s="63" t="s">
        <v>223</v>
      </c>
      <c r="E68" s="63" t="s">
        <v>224</v>
      </c>
      <c r="F68" s="63" t="s">
        <v>225</v>
      </c>
      <c r="G68" s="63" t="s">
        <v>226</v>
      </c>
    </row>
    <row r="69" spans="1:7" ht="14.25" hidden="1" customHeight="1">
      <c r="A69" s="1847" t="s">
        <v>573</v>
      </c>
      <c r="B69" s="1828"/>
      <c r="C69" s="64"/>
      <c r="D69" s="64"/>
      <c r="E69" s="64"/>
      <c r="F69" s="64"/>
      <c r="G69" s="64"/>
    </row>
    <row r="70" spans="1:7" ht="14.25" hidden="1" customHeight="1">
      <c r="A70" s="1845" t="s">
        <v>587</v>
      </c>
      <c r="B70" s="1828"/>
      <c r="C70" s="64">
        <v>41.34</v>
      </c>
      <c r="D70" s="64">
        <v>39.979999999999997</v>
      </c>
      <c r="E70" s="64"/>
      <c r="F70" s="64"/>
      <c r="G70" s="64">
        <f>+D70*C70</f>
        <v>1652.7732000000001</v>
      </c>
    </row>
    <row r="71" spans="1:7" ht="5.25" hidden="1" customHeight="1">
      <c r="A71" s="1845"/>
      <c r="B71" s="1828"/>
      <c r="C71" s="64"/>
      <c r="D71" s="64"/>
      <c r="E71" s="64"/>
      <c r="F71" s="64"/>
      <c r="G71" s="64"/>
    </row>
    <row r="72" spans="1:7" ht="14.25" hidden="1" customHeight="1">
      <c r="A72" s="1847" t="s">
        <v>577</v>
      </c>
      <c r="B72" s="1828"/>
      <c r="C72" s="64"/>
      <c r="D72" s="64"/>
      <c r="E72" s="64"/>
      <c r="F72" s="64"/>
      <c r="G72" s="64"/>
    </row>
    <row r="73" spans="1:7" ht="14.25" hidden="1" customHeight="1">
      <c r="A73" s="1845" t="s">
        <v>588</v>
      </c>
      <c r="B73" s="1828"/>
      <c r="C73" s="64">
        <v>16.149999999999999</v>
      </c>
      <c r="D73" s="64">
        <v>5.4</v>
      </c>
      <c r="E73" s="64"/>
      <c r="F73" s="64"/>
      <c r="G73" s="64">
        <f t="shared" ref="G73:G75" si="4">+D73*C73</f>
        <v>87.21</v>
      </c>
    </row>
    <row r="74" spans="1:7" ht="14.25" hidden="1" customHeight="1">
      <c r="A74" s="1845" t="s">
        <v>589</v>
      </c>
      <c r="B74" s="1828"/>
      <c r="C74" s="64">
        <f>20.21+25.25</f>
        <v>45.46</v>
      </c>
      <c r="D74" s="64">
        <v>8</v>
      </c>
      <c r="E74" s="64"/>
      <c r="F74" s="64"/>
      <c r="G74" s="64">
        <f t="shared" si="4"/>
        <v>363.68</v>
      </c>
    </row>
    <row r="75" spans="1:7" ht="14.25" hidden="1" customHeight="1">
      <c r="A75" s="1845" t="s">
        <v>590</v>
      </c>
      <c r="B75" s="1828"/>
      <c r="C75" s="64">
        <v>11.7</v>
      </c>
      <c r="D75" s="64">
        <v>13.8</v>
      </c>
      <c r="E75" s="64"/>
      <c r="F75" s="64"/>
      <c r="G75" s="64">
        <f t="shared" si="4"/>
        <v>161.46</v>
      </c>
    </row>
    <row r="76" spans="1:7" ht="14.25" hidden="1" customHeight="1">
      <c r="A76" s="1845" t="s">
        <v>591</v>
      </c>
      <c r="B76" s="1828"/>
      <c r="C76" s="64">
        <v>23.4</v>
      </c>
      <c r="D76" s="64">
        <v>9.0500000000000007</v>
      </c>
      <c r="E76" s="64">
        <f>-8.95*6.4</f>
        <v>-57.28</v>
      </c>
      <c r="F76" s="64"/>
      <c r="G76" s="64">
        <f>+D76*C76+E76</f>
        <v>154.49</v>
      </c>
    </row>
    <row r="77" spans="1:7" ht="14.25" hidden="1" customHeight="1">
      <c r="A77" s="1829" t="s">
        <v>227</v>
      </c>
      <c r="B77" s="1830"/>
      <c r="C77" s="1830"/>
      <c r="D77" s="1830"/>
      <c r="E77" s="1830"/>
      <c r="F77" s="1828"/>
      <c r="G77" s="65"/>
    </row>
    <row r="78" spans="1:7" ht="14.25" hidden="1" customHeight="1">
      <c r="A78" s="1837"/>
      <c r="B78" s="1838"/>
      <c r="C78" s="1838"/>
      <c r="D78" s="1838"/>
      <c r="E78" s="1838"/>
      <c r="F78" s="1838"/>
      <c r="G78" s="1839"/>
    </row>
    <row r="79" spans="1:7" ht="14.25" hidden="1" customHeight="1">
      <c r="A79" s="66" t="str">
        <f>+$A$7</f>
        <v>CAPITULO 1:</v>
      </c>
      <c r="B79" s="1832" t="str">
        <f>+$B$7</f>
        <v>ACTIVIDADES PRELIMINARES</v>
      </c>
      <c r="C79" s="1830"/>
      <c r="D79" s="1828"/>
      <c r="E79" s="1833" t="s">
        <v>218</v>
      </c>
      <c r="F79" s="1828"/>
      <c r="G79" s="62" t="s">
        <v>127</v>
      </c>
    </row>
    <row r="80" spans="1:7" ht="23.25" hidden="1" customHeight="1">
      <c r="A80" s="66" t="s">
        <v>594</v>
      </c>
      <c r="B80" s="1840" t="s">
        <v>595</v>
      </c>
      <c r="C80" s="1830"/>
      <c r="D80" s="1830"/>
      <c r="E80" s="1830"/>
      <c r="F80" s="1830"/>
      <c r="G80" s="1828"/>
    </row>
    <row r="81" spans="1:10" ht="14.25" hidden="1" customHeight="1">
      <c r="A81" s="1836" t="s">
        <v>220</v>
      </c>
      <c r="B81" s="1830"/>
      <c r="C81" s="1830"/>
      <c r="D81" s="1830"/>
      <c r="E81" s="1830"/>
      <c r="F81" s="1830"/>
      <c r="G81" s="1828"/>
      <c r="H81" s="59"/>
      <c r="I81" s="60"/>
      <c r="J81" s="60"/>
    </row>
    <row r="82" spans="1:10" ht="14.25" hidden="1" customHeight="1">
      <c r="A82" s="1829" t="s">
        <v>221</v>
      </c>
      <c r="B82" s="1828"/>
      <c r="C82" s="63" t="s">
        <v>222</v>
      </c>
      <c r="D82" s="63" t="s">
        <v>223</v>
      </c>
      <c r="E82" s="63" t="s">
        <v>224</v>
      </c>
      <c r="F82" s="63" t="s">
        <v>225</v>
      </c>
      <c r="G82" s="63" t="s">
        <v>226</v>
      </c>
      <c r="H82" s="59"/>
      <c r="I82" s="60"/>
      <c r="J82" s="60">
        <f>4.83+4.01</f>
        <v>8.84</v>
      </c>
    </row>
    <row r="83" spans="1:10" ht="14.25" hidden="1" customHeight="1">
      <c r="A83" s="1847" t="s">
        <v>573</v>
      </c>
      <c r="B83" s="1828"/>
      <c r="C83" s="64"/>
      <c r="D83" s="64"/>
      <c r="E83" s="64"/>
      <c r="F83" s="64"/>
      <c r="G83" s="64"/>
      <c r="H83" s="59"/>
      <c r="I83" s="60"/>
      <c r="J83" s="60"/>
    </row>
    <row r="84" spans="1:10" ht="14.25" hidden="1" customHeight="1">
      <c r="A84" s="1845" t="s">
        <v>587</v>
      </c>
      <c r="B84" s="1828"/>
      <c r="C84" s="64"/>
      <c r="D84" s="64"/>
      <c r="E84" s="64"/>
      <c r="F84" s="64">
        <v>14</v>
      </c>
      <c r="G84" s="64">
        <f>+F84</f>
        <v>14</v>
      </c>
      <c r="H84" s="59"/>
      <c r="I84" s="60"/>
      <c r="J84" s="60"/>
    </row>
    <row r="85" spans="1:10" ht="5.25" hidden="1" customHeight="1">
      <c r="A85" s="1845"/>
      <c r="B85" s="1828"/>
      <c r="C85" s="64"/>
      <c r="D85" s="64"/>
      <c r="E85" s="64"/>
      <c r="F85" s="64"/>
      <c r="G85" s="64"/>
      <c r="H85" s="59"/>
      <c r="I85" s="60"/>
      <c r="J85" s="60"/>
    </row>
    <row r="86" spans="1:10" ht="14.25" hidden="1" customHeight="1">
      <c r="A86" s="1847" t="s">
        <v>577</v>
      </c>
      <c r="B86" s="1828"/>
      <c r="C86" s="64"/>
      <c r="D86" s="64"/>
      <c r="E86" s="64"/>
      <c r="F86" s="64"/>
      <c r="G86" s="64"/>
      <c r="H86" s="59"/>
      <c r="I86" s="60"/>
      <c r="J86" s="60"/>
    </row>
    <row r="87" spans="1:10" ht="14.25" hidden="1" customHeight="1">
      <c r="A87" s="1845" t="s">
        <v>587</v>
      </c>
      <c r="B87" s="1828"/>
      <c r="C87" s="64"/>
      <c r="D87" s="64"/>
      <c r="E87" s="64"/>
      <c r="F87" s="64">
        <v>54</v>
      </c>
      <c r="G87" s="64">
        <f>+F87</f>
        <v>54</v>
      </c>
      <c r="H87" s="59"/>
      <c r="I87" s="60"/>
      <c r="J87" s="60"/>
    </row>
    <row r="88" spans="1:10" ht="14.25" hidden="1" customHeight="1">
      <c r="A88" s="1845"/>
      <c r="B88" s="1828"/>
      <c r="C88" s="64"/>
      <c r="D88" s="64"/>
      <c r="E88" s="64"/>
      <c r="F88" s="64"/>
      <c r="G88" s="64"/>
      <c r="H88" s="59"/>
      <c r="I88" s="60"/>
      <c r="J88" s="60"/>
    </row>
    <row r="89" spans="1:10" ht="14.25" hidden="1" customHeight="1">
      <c r="A89" s="1829" t="s">
        <v>227</v>
      </c>
      <c r="B89" s="1830"/>
      <c r="C89" s="1830"/>
      <c r="D89" s="1830"/>
      <c r="E89" s="1830"/>
      <c r="F89" s="1828"/>
      <c r="G89" s="65"/>
      <c r="H89" s="59"/>
      <c r="I89" s="60"/>
      <c r="J89" s="60"/>
    </row>
    <row r="90" spans="1:10" ht="14.25" hidden="1" customHeight="1">
      <c r="A90" s="1837"/>
      <c r="B90" s="1838"/>
      <c r="C90" s="1838"/>
      <c r="D90" s="1838"/>
      <c r="E90" s="1838"/>
      <c r="F90" s="1838"/>
      <c r="G90" s="1839"/>
      <c r="H90" s="59"/>
      <c r="I90" s="60"/>
      <c r="J90" s="60"/>
    </row>
    <row r="91" spans="1:10" ht="14.25" hidden="1" customHeight="1">
      <c r="A91" s="66" t="str">
        <f>+$A$7</f>
        <v>CAPITULO 1:</v>
      </c>
      <c r="B91" s="1832" t="str">
        <f>+$B$7</f>
        <v>ACTIVIDADES PRELIMINARES</v>
      </c>
      <c r="C91" s="1830"/>
      <c r="D91" s="1828"/>
      <c r="E91" s="1833" t="s">
        <v>218</v>
      </c>
      <c r="F91" s="1828"/>
      <c r="G91" s="62" t="s">
        <v>127</v>
      </c>
      <c r="H91" s="59"/>
      <c r="I91" s="60"/>
      <c r="J91" s="60"/>
    </row>
    <row r="92" spans="1:10" ht="23.25" hidden="1" customHeight="1">
      <c r="A92" s="66" t="s">
        <v>596</v>
      </c>
      <c r="B92" s="1840" t="s">
        <v>597</v>
      </c>
      <c r="C92" s="1830"/>
      <c r="D92" s="1830"/>
      <c r="E92" s="1830"/>
      <c r="F92" s="1830"/>
      <c r="G92" s="1828"/>
      <c r="H92" s="59"/>
      <c r="I92" s="60"/>
      <c r="J92" s="60"/>
    </row>
    <row r="93" spans="1:10" ht="14.25" hidden="1" customHeight="1">
      <c r="A93" s="1836" t="s">
        <v>220</v>
      </c>
      <c r="B93" s="1830"/>
      <c r="C93" s="1830"/>
      <c r="D93" s="1830"/>
      <c r="E93" s="1830"/>
      <c r="F93" s="1830"/>
      <c r="G93" s="1828"/>
      <c r="H93" s="59"/>
      <c r="I93" s="60"/>
      <c r="J93" s="60"/>
    </row>
    <row r="94" spans="1:10" ht="14.25" hidden="1" customHeight="1">
      <c r="A94" s="1829" t="s">
        <v>221</v>
      </c>
      <c r="B94" s="1828"/>
      <c r="C94" s="63" t="s">
        <v>222</v>
      </c>
      <c r="D94" s="63" t="s">
        <v>223</v>
      </c>
      <c r="E94" s="63" t="s">
        <v>224</v>
      </c>
      <c r="F94" s="63" t="s">
        <v>225</v>
      </c>
      <c r="G94" s="63" t="s">
        <v>226</v>
      </c>
      <c r="H94" s="59"/>
      <c r="I94" s="60"/>
      <c r="J94" s="60"/>
    </row>
    <row r="95" spans="1:10" ht="14.25" hidden="1" customHeight="1">
      <c r="A95" s="1845" t="s">
        <v>598</v>
      </c>
      <c r="B95" s="1828"/>
      <c r="C95" s="64"/>
      <c r="D95" s="64"/>
      <c r="E95" s="64"/>
      <c r="F95" s="64">
        <v>7</v>
      </c>
      <c r="G95" s="64">
        <f t="shared" ref="G95:G97" si="5">+F95</f>
        <v>7</v>
      </c>
      <c r="H95" s="59"/>
      <c r="I95" s="60"/>
      <c r="J95" s="60"/>
    </row>
    <row r="96" spans="1:10" ht="14.25" hidden="1" customHeight="1">
      <c r="A96" s="1845" t="s">
        <v>599</v>
      </c>
      <c r="B96" s="1828"/>
      <c r="C96" s="64"/>
      <c r="D96" s="64"/>
      <c r="E96" s="64"/>
      <c r="F96" s="64">
        <f>7+10</f>
        <v>17</v>
      </c>
      <c r="G96" s="64">
        <f t="shared" si="5"/>
        <v>17</v>
      </c>
      <c r="H96" s="59"/>
      <c r="I96" s="60"/>
      <c r="J96" s="60"/>
    </row>
    <row r="97" spans="1:7" ht="14.25" hidden="1" customHeight="1">
      <c r="A97" s="1845" t="s">
        <v>600</v>
      </c>
      <c r="B97" s="1828"/>
      <c r="C97" s="64"/>
      <c r="D97" s="64"/>
      <c r="E97" s="64"/>
      <c r="F97" s="64">
        <v>20</v>
      </c>
      <c r="G97" s="64">
        <f t="shared" si="5"/>
        <v>20</v>
      </c>
    </row>
    <row r="98" spans="1:7" ht="14.25" hidden="1" customHeight="1">
      <c r="A98" s="1829" t="s">
        <v>227</v>
      </c>
      <c r="B98" s="1830"/>
      <c r="C98" s="1830"/>
      <c r="D98" s="1830"/>
      <c r="E98" s="1830"/>
      <c r="F98" s="1828"/>
      <c r="G98" s="65"/>
    </row>
    <row r="99" spans="1:7" ht="14.25" hidden="1" customHeight="1">
      <c r="A99" s="1837"/>
      <c r="B99" s="1838"/>
      <c r="C99" s="1838"/>
      <c r="D99" s="1838"/>
      <c r="E99" s="1838"/>
      <c r="F99" s="1838"/>
      <c r="G99" s="1839"/>
    </row>
    <row r="100" spans="1:7" ht="19.5" customHeight="1">
      <c r="A100" s="66" t="str">
        <f t="shared" ref="A100:B100" si="6">+A7</f>
        <v>CAPITULO 1:</v>
      </c>
      <c r="B100" s="1832" t="str">
        <f t="shared" si="6"/>
        <v>ACTIVIDADES PRELIMINARES</v>
      </c>
      <c r="C100" s="1830"/>
      <c r="D100" s="1828"/>
      <c r="E100" s="1833" t="s">
        <v>218</v>
      </c>
      <c r="F100" s="1828"/>
      <c r="G100" s="62" t="s">
        <v>116</v>
      </c>
    </row>
    <row r="101" spans="1:7" ht="32.25" customHeight="1">
      <c r="A101" s="66" t="s">
        <v>601</v>
      </c>
      <c r="B101" s="1832" t="s">
        <v>602</v>
      </c>
      <c r="C101" s="1830"/>
      <c r="D101" s="1830"/>
      <c r="E101" s="1830"/>
      <c r="F101" s="1830"/>
      <c r="G101" s="1828"/>
    </row>
    <row r="102" spans="1:7" ht="14.25" customHeight="1">
      <c r="A102" s="1836" t="s">
        <v>220</v>
      </c>
      <c r="B102" s="1830"/>
      <c r="C102" s="1830"/>
      <c r="D102" s="1830"/>
      <c r="E102" s="1830"/>
      <c r="F102" s="1830"/>
      <c r="G102" s="1828"/>
    </row>
    <row r="103" spans="1:7" ht="14.25" customHeight="1">
      <c r="A103" s="1829" t="s">
        <v>221</v>
      </c>
      <c r="B103" s="1828"/>
      <c r="C103" s="63" t="s">
        <v>222</v>
      </c>
      <c r="D103" s="63" t="s">
        <v>223</v>
      </c>
      <c r="E103" s="63" t="s">
        <v>224</v>
      </c>
      <c r="F103" s="63" t="s">
        <v>225</v>
      </c>
      <c r="G103" s="63" t="s">
        <v>226</v>
      </c>
    </row>
    <row r="104" spans="1:7" ht="14.25" hidden="1" customHeight="1">
      <c r="A104" s="1847" t="s">
        <v>603</v>
      </c>
      <c r="B104" s="1828"/>
      <c r="C104" s="64"/>
      <c r="D104" s="64"/>
      <c r="E104" s="64"/>
      <c r="F104" s="64"/>
      <c r="G104" s="64"/>
    </row>
    <row r="105" spans="1:7" ht="14.25" hidden="1" customHeight="1">
      <c r="A105" s="1845" t="s">
        <v>604</v>
      </c>
      <c r="B105" s="1828"/>
      <c r="C105" s="64">
        <v>1.8</v>
      </c>
      <c r="D105" s="64">
        <v>1.8</v>
      </c>
      <c r="E105" s="64">
        <v>1.2</v>
      </c>
      <c r="F105" s="64">
        <v>6</v>
      </c>
      <c r="G105" s="64"/>
    </row>
    <row r="106" spans="1:7" ht="14.25" hidden="1" customHeight="1">
      <c r="A106" s="1845" t="s">
        <v>605</v>
      </c>
      <c r="B106" s="1828"/>
      <c r="C106" s="64">
        <v>1.9</v>
      </c>
      <c r="D106" s="64">
        <v>1.9</v>
      </c>
      <c r="E106" s="64">
        <v>1.2</v>
      </c>
      <c r="F106" s="64">
        <v>10</v>
      </c>
      <c r="G106" s="64"/>
    </row>
    <row r="107" spans="1:7" ht="14.25" hidden="1" customHeight="1">
      <c r="A107" s="1845" t="s">
        <v>606</v>
      </c>
      <c r="B107" s="1828"/>
      <c r="C107" s="64">
        <v>3.9</v>
      </c>
      <c r="D107" s="64">
        <v>2</v>
      </c>
      <c r="E107" s="64">
        <v>1.2</v>
      </c>
      <c r="F107" s="64">
        <v>2</v>
      </c>
      <c r="G107" s="64"/>
    </row>
    <row r="108" spans="1:7" ht="14.25" hidden="1" customHeight="1">
      <c r="A108" s="1845" t="s">
        <v>607</v>
      </c>
      <c r="B108" s="1828"/>
      <c r="C108" s="64">
        <v>2.15</v>
      </c>
      <c r="D108" s="64">
        <v>2.15</v>
      </c>
      <c r="E108" s="64">
        <v>1.2</v>
      </c>
      <c r="F108" s="64">
        <v>13</v>
      </c>
      <c r="G108" s="64"/>
    </row>
    <row r="109" spans="1:7" ht="14.25" hidden="1" customHeight="1">
      <c r="A109" s="1845" t="s">
        <v>608</v>
      </c>
      <c r="B109" s="1828"/>
      <c r="C109" s="64">
        <v>3.1</v>
      </c>
      <c r="D109" s="64">
        <v>1.8</v>
      </c>
      <c r="E109" s="64">
        <v>1.2</v>
      </c>
      <c r="F109" s="64">
        <v>1</v>
      </c>
      <c r="G109" s="64"/>
    </row>
    <row r="110" spans="1:7" ht="14.25" hidden="1" customHeight="1">
      <c r="A110" s="1847" t="s">
        <v>944</v>
      </c>
      <c r="B110" s="1828"/>
      <c r="C110" s="64"/>
      <c r="D110" s="64"/>
      <c r="E110" s="64"/>
      <c r="F110" s="64"/>
      <c r="G110" s="64"/>
    </row>
    <row r="111" spans="1:7" ht="14.25" hidden="1" customHeight="1">
      <c r="A111" s="1845" t="s">
        <v>945</v>
      </c>
      <c r="B111" s="1828"/>
      <c r="C111" s="64">
        <v>36.868027475952218</v>
      </c>
      <c r="D111" s="64">
        <v>36.200000000000003</v>
      </c>
      <c r="E111" s="64">
        <v>2.5</v>
      </c>
      <c r="F111" s="64">
        <v>1</v>
      </c>
      <c r="G111" s="64"/>
    </row>
    <row r="112" spans="1:7" ht="14.25" customHeight="1">
      <c r="A112" s="1847" t="s">
        <v>950</v>
      </c>
      <c r="B112" s="1828"/>
      <c r="C112" s="64"/>
      <c r="D112" s="64"/>
      <c r="E112" s="64"/>
      <c r="F112" s="64"/>
      <c r="G112" s="64"/>
    </row>
    <row r="113" spans="1:7" ht="14.25" customHeight="1">
      <c r="A113" s="1845" t="s">
        <v>951</v>
      </c>
      <c r="B113" s="1828"/>
      <c r="C113" s="64">
        <v>2</v>
      </c>
      <c r="D113" s="64">
        <v>2</v>
      </c>
      <c r="E113" s="64">
        <v>2</v>
      </c>
      <c r="F113" s="64">
        <v>4</v>
      </c>
      <c r="G113" s="64">
        <f t="shared" ref="G113:G122" si="7">+C113*D113*F113*E113</f>
        <v>32</v>
      </c>
    </row>
    <row r="114" spans="1:7" ht="14.25" customHeight="1">
      <c r="A114" s="1845" t="s">
        <v>952</v>
      </c>
      <c r="B114" s="1828"/>
      <c r="C114" s="64">
        <v>2.1</v>
      </c>
      <c r="D114" s="64">
        <v>2.1</v>
      </c>
      <c r="E114" s="64">
        <v>2</v>
      </c>
      <c r="F114" s="64">
        <v>10</v>
      </c>
      <c r="G114" s="64">
        <f t="shared" si="7"/>
        <v>88.2</v>
      </c>
    </row>
    <row r="115" spans="1:7" ht="14.25" customHeight="1">
      <c r="A115" s="1845" t="s">
        <v>953</v>
      </c>
      <c r="B115" s="1828"/>
      <c r="C115" s="64">
        <v>2.2000000000000002</v>
      </c>
      <c r="D115" s="64">
        <v>2.2000000000000002</v>
      </c>
      <c r="E115" s="64">
        <v>2</v>
      </c>
      <c r="F115" s="64">
        <v>2</v>
      </c>
      <c r="G115" s="64">
        <f t="shared" si="7"/>
        <v>19.360000000000003</v>
      </c>
    </row>
    <row r="116" spans="1:7" ht="14.25" customHeight="1">
      <c r="A116" s="1845" t="s">
        <v>954</v>
      </c>
      <c r="B116" s="1828"/>
      <c r="C116" s="64">
        <v>2.2999999999999998</v>
      </c>
      <c r="D116" s="64">
        <v>2.2999999999999998</v>
      </c>
      <c r="E116" s="64">
        <v>2</v>
      </c>
      <c r="F116" s="64">
        <v>3</v>
      </c>
      <c r="G116" s="64">
        <f t="shared" si="7"/>
        <v>31.739999999999995</v>
      </c>
    </row>
    <row r="117" spans="1:7" ht="14.25" customHeight="1">
      <c r="A117" s="1845" t="s">
        <v>969</v>
      </c>
      <c r="B117" s="1828"/>
      <c r="C117" s="64">
        <v>2.4</v>
      </c>
      <c r="D117" s="64">
        <v>2.4</v>
      </c>
      <c r="E117" s="64">
        <v>2</v>
      </c>
      <c r="F117" s="64">
        <v>2</v>
      </c>
      <c r="G117" s="64">
        <f t="shared" si="7"/>
        <v>23.04</v>
      </c>
    </row>
    <row r="118" spans="1:7" ht="14.25" customHeight="1">
      <c r="A118" s="1845" t="s">
        <v>970</v>
      </c>
      <c r="B118" s="1828"/>
      <c r="C118" s="64">
        <v>2.5</v>
      </c>
      <c r="D118" s="64">
        <v>2.5</v>
      </c>
      <c r="E118" s="64">
        <v>2</v>
      </c>
      <c r="F118" s="64">
        <v>4</v>
      </c>
      <c r="G118" s="64">
        <f t="shared" si="7"/>
        <v>50</v>
      </c>
    </row>
    <row r="119" spans="1:7" ht="14.25" customHeight="1">
      <c r="A119" s="1845" t="s">
        <v>971</v>
      </c>
      <c r="B119" s="1828"/>
      <c r="C119" s="64">
        <v>2.6</v>
      </c>
      <c r="D119" s="64">
        <v>2.6</v>
      </c>
      <c r="E119" s="64">
        <v>2</v>
      </c>
      <c r="F119" s="64">
        <v>2</v>
      </c>
      <c r="G119" s="64">
        <f t="shared" si="7"/>
        <v>27.040000000000003</v>
      </c>
    </row>
    <row r="120" spans="1:7" ht="14.25" customHeight="1">
      <c r="A120" s="1845" t="s">
        <v>972</v>
      </c>
      <c r="B120" s="1828"/>
      <c r="C120" s="64">
        <v>2.7</v>
      </c>
      <c r="D120" s="64">
        <v>2.7</v>
      </c>
      <c r="E120" s="64">
        <v>2</v>
      </c>
      <c r="F120" s="64">
        <v>6</v>
      </c>
      <c r="G120" s="64">
        <f t="shared" si="7"/>
        <v>87.480000000000018</v>
      </c>
    </row>
    <row r="121" spans="1:7" ht="14.25" customHeight="1">
      <c r="A121" s="1845" t="s">
        <v>973</v>
      </c>
      <c r="B121" s="1828"/>
      <c r="C121" s="64">
        <v>2.8</v>
      </c>
      <c r="D121" s="64">
        <v>2.8</v>
      </c>
      <c r="E121" s="64">
        <v>2</v>
      </c>
      <c r="F121" s="64">
        <v>2</v>
      </c>
      <c r="G121" s="64">
        <f t="shared" si="7"/>
        <v>31.359999999999996</v>
      </c>
    </row>
    <row r="122" spans="1:7" ht="14.25" customHeight="1">
      <c r="A122" s="1845" t="s">
        <v>974</v>
      </c>
      <c r="B122" s="1828"/>
      <c r="C122" s="64">
        <v>1.7</v>
      </c>
      <c r="D122" s="64">
        <v>1.7</v>
      </c>
      <c r="E122" s="64">
        <v>2</v>
      </c>
      <c r="F122" s="64">
        <v>8</v>
      </c>
      <c r="G122" s="64">
        <f t="shared" si="7"/>
        <v>46.239999999999995</v>
      </c>
    </row>
    <row r="123" spans="1:7" ht="14.25" customHeight="1">
      <c r="A123" s="1845"/>
      <c r="B123" s="1828"/>
      <c r="C123" s="64"/>
      <c r="D123" s="64"/>
      <c r="E123" s="64"/>
      <c r="F123" s="64"/>
      <c r="G123" s="64"/>
    </row>
    <row r="124" spans="1:7" ht="14.25" customHeight="1">
      <c r="A124" s="1829" t="s">
        <v>227</v>
      </c>
      <c r="B124" s="1830"/>
      <c r="C124" s="1830"/>
      <c r="D124" s="1830"/>
      <c r="E124" s="1830"/>
      <c r="F124" s="1828"/>
      <c r="G124" s="65">
        <f>ROUND(SUM(G105:G123),2)</f>
        <v>436.46</v>
      </c>
    </row>
    <row r="125" spans="1:7" ht="14.25" customHeight="1">
      <c r="A125" s="1837"/>
      <c r="B125" s="1838"/>
      <c r="C125" s="1838"/>
      <c r="D125" s="1838"/>
      <c r="E125" s="1838"/>
      <c r="F125" s="1838"/>
      <c r="G125" s="1839"/>
    </row>
    <row r="126" spans="1:7" ht="14.25" hidden="1" customHeight="1">
      <c r="A126" s="66" t="str">
        <f t="shared" ref="A126:B126" si="8">+A100</f>
        <v>CAPITULO 1:</v>
      </c>
      <c r="B126" s="1832" t="str">
        <f t="shared" si="8"/>
        <v>ACTIVIDADES PRELIMINARES</v>
      </c>
      <c r="C126" s="1830"/>
      <c r="D126" s="1828"/>
      <c r="E126" s="1833" t="s">
        <v>218</v>
      </c>
      <c r="F126" s="1828"/>
      <c r="G126" s="62" t="s">
        <v>116</v>
      </c>
    </row>
    <row r="127" spans="1:7" ht="14.25" hidden="1" customHeight="1">
      <c r="A127" s="66" t="s">
        <v>612</v>
      </c>
      <c r="B127" s="1840" t="s">
        <v>613</v>
      </c>
      <c r="C127" s="1830"/>
      <c r="D127" s="1830"/>
      <c r="E127" s="1830"/>
      <c r="F127" s="1830"/>
      <c r="G127" s="1828"/>
    </row>
    <row r="128" spans="1:7" ht="14.25" hidden="1" customHeight="1">
      <c r="A128" s="1836" t="s">
        <v>220</v>
      </c>
      <c r="B128" s="1830"/>
      <c r="C128" s="1830"/>
      <c r="D128" s="1830"/>
      <c r="E128" s="1830"/>
      <c r="F128" s="1830"/>
      <c r="G128" s="1828"/>
    </row>
    <row r="129" spans="1:7" ht="14.25" hidden="1" customHeight="1">
      <c r="A129" s="1829" t="s">
        <v>221</v>
      </c>
      <c r="B129" s="1828"/>
      <c r="C129" s="63" t="s">
        <v>222</v>
      </c>
      <c r="D129" s="63" t="s">
        <v>223</v>
      </c>
      <c r="E129" s="63" t="s">
        <v>224</v>
      </c>
      <c r="F129" s="63" t="s">
        <v>225</v>
      </c>
      <c r="G129" s="63" t="s">
        <v>235</v>
      </c>
    </row>
    <row r="130" spans="1:7" ht="14.25" hidden="1" customHeight="1">
      <c r="A130" s="1845" t="s">
        <v>614</v>
      </c>
      <c r="B130" s="1828"/>
      <c r="C130" s="64">
        <v>6108.38</v>
      </c>
      <c r="D130" s="64"/>
      <c r="E130" s="64">
        <v>0.65</v>
      </c>
      <c r="F130" s="64">
        <v>1</v>
      </c>
      <c r="G130" s="64">
        <f t="shared" ref="G130:G132" si="9">+F130*E130*C130</f>
        <v>3970.4470000000001</v>
      </c>
    </row>
    <row r="131" spans="1:7" ht="14.25" hidden="1" customHeight="1">
      <c r="A131" s="1845" t="s">
        <v>615</v>
      </c>
      <c r="B131" s="1828"/>
      <c r="C131" s="64">
        <v>795.54</v>
      </c>
      <c r="D131" s="64"/>
      <c r="E131" s="64">
        <v>0.45</v>
      </c>
      <c r="F131" s="64">
        <v>1</v>
      </c>
      <c r="G131" s="64">
        <f t="shared" si="9"/>
        <v>357.99299999999999</v>
      </c>
    </row>
    <row r="132" spans="1:7" ht="14.25" hidden="1" customHeight="1">
      <c r="A132" s="1845" t="s">
        <v>616</v>
      </c>
      <c r="B132" s="1828"/>
      <c r="C132" s="64">
        <f>+SUM(G105:G118)+G120</f>
        <v>331.82000000000005</v>
      </c>
      <c r="D132" s="64"/>
      <c r="E132" s="64">
        <v>0.3</v>
      </c>
      <c r="F132" s="64">
        <v>1</v>
      </c>
      <c r="G132" s="64">
        <f t="shared" si="9"/>
        <v>99.546000000000006</v>
      </c>
    </row>
    <row r="133" spans="1:7" ht="14.25" hidden="1" customHeight="1">
      <c r="A133" s="1845"/>
      <c r="B133" s="1828"/>
      <c r="C133" s="64"/>
      <c r="D133" s="64"/>
      <c r="E133" s="64"/>
      <c r="F133" s="64"/>
      <c r="G133" s="64"/>
    </row>
    <row r="134" spans="1:7" ht="14.25" hidden="1" customHeight="1">
      <c r="A134" s="1845"/>
      <c r="B134" s="1828"/>
      <c r="C134" s="64"/>
      <c r="D134" s="64"/>
      <c r="E134" s="64"/>
      <c r="F134" s="64"/>
      <c r="G134" s="64"/>
    </row>
    <row r="135" spans="1:7" ht="14.25" hidden="1" customHeight="1">
      <c r="A135" s="1829" t="s">
        <v>227</v>
      </c>
      <c r="B135" s="1830"/>
      <c r="C135" s="1830"/>
      <c r="D135" s="1830"/>
      <c r="E135" s="1830"/>
      <c r="F135" s="1828"/>
      <c r="G135" s="65"/>
    </row>
    <row r="136" spans="1:7" ht="14.25" hidden="1" customHeight="1">
      <c r="A136" s="1837"/>
      <c r="B136" s="1838"/>
      <c r="C136" s="1838"/>
      <c r="D136" s="1838"/>
      <c r="E136" s="1838"/>
      <c r="F136" s="1838"/>
      <c r="G136" s="1839"/>
    </row>
    <row r="137" spans="1:7" ht="14.25" customHeight="1">
      <c r="A137" s="66" t="s">
        <v>232</v>
      </c>
      <c r="B137" s="1832" t="s">
        <v>35</v>
      </c>
      <c r="C137" s="1830"/>
      <c r="D137" s="1828"/>
      <c r="E137" s="1833" t="s">
        <v>218</v>
      </c>
      <c r="F137" s="1828"/>
      <c r="G137" s="62" t="s">
        <v>228</v>
      </c>
    </row>
    <row r="138" spans="1:7" ht="14.25" customHeight="1">
      <c r="A138" s="66" t="s">
        <v>233</v>
      </c>
      <c r="B138" s="1840" t="s">
        <v>975</v>
      </c>
      <c r="C138" s="1830"/>
      <c r="D138" s="1830"/>
      <c r="E138" s="1830"/>
      <c r="F138" s="1830"/>
      <c r="G138" s="1828"/>
    </row>
    <row r="139" spans="1:7" ht="14.25" customHeight="1">
      <c r="A139" s="1836" t="s">
        <v>220</v>
      </c>
      <c r="B139" s="1830"/>
      <c r="C139" s="1830"/>
      <c r="D139" s="1830"/>
      <c r="E139" s="1830"/>
      <c r="F139" s="1830"/>
      <c r="G139" s="1828"/>
    </row>
    <row r="140" spans="1:7" ht="14.25" customHeight="1">
      <c r="A140" s="1829" t="s">
        <v>221</v>
      </c>
      <c r="B140" s="1828"/>
      <c r="C140" s="63" t="s">
        <v>222</v>
      </c>
      <c r="D140" s="63" t="s">
        <v>223</v>
      </c>
      <c r="E140" s="63" t="s">
        <v>224</v>
      </c>
      <c r="F140" s="63" t="s">
        <v>225</v>
      </c>
      <c r="G140" s="63" t="s">
        <v>226</v>
      </c>
    </row>
    <row r="141" spans="1:7" ht="14.25" customHeight="1">
      <c r="A141" s="1847" t="s">
        <v>950</v>
      </c>
      <c r="B141" s="1828"/>
      <c r="C141" s="64"/>
      <c r="D141" s="64"/>
      <c r="E141" s="64"/>
      <c r="F141" s="64"/>
      <c r="G141" s="64"/>
    </row>
    <row r="142" spans="1:7" ht="14.25" customHeight="1">
      <c r="A142" s="1845" t="s">
        <v>951</v>
      </c>
      <c r="B142" s="1828"/>
      <c r="C142" s="64">
        <v>2</v>
      </c>
      <c r="D142" s="64">
        <v>2</v>
      </c>
      <c r="E142" s="64"/>
      <c r="F142" s="64">
        <v>4</v>
      </c>
      <c r="G142" s="64">
        <f t="shared" ref="G142:G151" si="10">+C142*D142*F142</f>
        <v>16</v>
      </c>
    </row>
    <row r="143" spans="1:7" ht="14.25" customHeight="1">
      <c r="A143" s="1845" t="s">
        <v>952</v>
      </c>
      <c r="B143" s="1828"/>
      <c r="C143" s="64">
        <v>2.1</v>
      </c>
      <c r="D143" s="64">
        <v>2.1</v>
      </c>
      <c r="E143" s="64"/>
      <c r="F143" s="64">
        <v>10</v>
      </c>
      <c r="G143" s="64">
        <f t="shared" si="10"/>
        <v>44.1</v>
      </c>
    </row>
    <row r="144" spans="1:7" ht="14.25" customHeight="1">
      <c r="A144" s="1845" t="s">
        <v>953</v>
      </c>
      <c r="B144" s="1828"/>
      <c r="C144" s="64">
        <v>2.2000000000000002</v>
      </c>
      <c r="D144" s="64">
        <v>2.2000000000000002</v>
      </c>
      <c r="E144" s="64"/>
      <c r="F144" s="64">
        <v>2</v>
      </c>
      <c r="G144" s="64">
        <f t="shared" si="10"/>
        <v>9.6800000000000015</v>
      </c>
    </row>
    <row r="145" spans="1:7" ht="14.25" customHeight="1">
      <c r="A145" s="1845" t="s">
        <v>954</v>
      </c>
      <c r="B145" s="1828"/>
      <c r="C145" s="64">
        <v>2.2999999999999998</v>
      </c>
      <c r="D145" s="64">
        <v>2.2999999999999998</v>
      </c>
      <c r="E145" s="64"/>
      <c r="F145" s="64">
        <v>3</v>
      </c>
      <c r="G145" s="64">
        <f t="shared" si="10"/>
        <v>15.869999999999997</v>
      </c>
    </row>
    <row r="146" spans="1:7" ht="14.25" customHeight="1">
      <c r="A146" s="1845" t="s">
        <v>969</v>
      </c>
      <c r="B146" s="1828"/>
      <c r="C146" s="64">
        <v>2.4</v>
      </c>
      <c r="D146" s="64">
        <v>2.4</v>
      </c>
      <c r="E146" s="64"/>
      <c r="F146" s="64">
        <v>2</v>
      </c>
      <c r="G146" s="64">
        <f t="shared" si="10"/>
        <v>11.52</v>
      </c>
    </row>
    <row r="147" spans="1:7" ht="14.25" customHeight="1">
      <c r="A147" s="1845" t="s">
        <v>970</v>
      </c>
      <c r="B147" s="1828"/>
      <c r="C147" s="64">
        <v>2.5</v>
      </c>
      <c r="D147" s="64">
        <v>2.5</v>
      </c>
      <c r="E147" s="64"/>
      <c r="F147" s="64">
        <v>4</v>
      </c>
      <c r="G147" s="64">
        <f t="shared" si="10"/>
        <v>25</v>
      </c>
    </row>
    <row r="148" spans="1:7" ht="14.25" customHeight="1">
      <c r="A148" s="1845" t="s">
        <v>971</v>
      </c>
      <c r="B148" s="1828"/>
      <c r="C148" s="64">
        <v>2.6</v>
      </c>
      <c r="D148" s="64">
        <v>2.6</v>
      </c>
      <c r="E148" s="64"/>
      <c r="F148" s="64">
        <v>2</v>
      </c>
      <c r="G148" s="64">
        <f t="shared" si="10"/>
        <v>13.520000000000001</v>
      </c>
    </row>
    <row r="149" spans="1:7" ht="14.25" customHeight="1">
      <c r="A149" s="1845" t="s">
        <v>972</v>
      </c>
      <c r="B149" s="1828"/>
      <c r="C149" s="64">
        <v>2.7</v>
      </c>
      <c r="D149" s="64">
        <v>2.7</v>
      </c>
      <c r="E149" s="64"/>
      <c r="F149" s="64">
        <v>6</v>
      </c>
      <c r="G149" s="64">
        <f t="shared" si="10"/>
        <v>43.740000000000009</v>
      </c>
    </row>
    <row r="150" spans="1:7" ht="14.25" customHeight="1">
      <c r="A150" s="1845" t="s">
        <v>973</v>
      </c>
      <c r="B150" s="1828"/>
      <c r="C150" s="64">
        <v>2.8</v>
      </c>
      <c r="D150" s="64">
        <v>2.8</v>
      </c>
      <c r="E150" s="64"/>
      <c r="F150" s="64">
        <v>2</v>
      </c>
      <c r="G150" s="64">
        <f t="shared" si="10"/>
        <v>15.679999999999998</v>
      </c>
    </row>
    <row r="151" spans="1:7" ht="14.25" customHeight="1">
      <c r="A151" s="1845" t="s">
        <v>974</v>
      </c>
      <c r="B151" s="1828"/>
      <c r="C151" s="64">
        <v>1.7</v>
      </c>
      <c r="D151" s="64">
        <v>1.7</v>
      </c>
      <c r="E151" s="64"/>
      <c r="F151" s="64">
        <v>8</v>
      </c>
      <c r="G151" s="64">
        <f t="shared" si="10"/>
        <v>23.119999999999997</v>
      </c>
    </row>
    <row r="152" spans="1:7" ht="15" customHeight="1">
      <c r="A152" s="1845"/>
      <c r="B152" s="1828"/>
      <c r="C152" s="64"/>
      <c r="D152" s="64"/>
      <c r="E152" s="64"/>
      <c r="F152" s="64"/>
      <c r="G152" s="64"/>
    </row>
    <row r="153" spans="1:7" ht="15" customHeight="1">
      <c r="A153" s="1845"/>
      <c r="B153" s="1828"/>
      <c r="C153" s="64"/>
      <c r="D153" s="64"/>
      <c r="E153" s="64"/>
      <c r="F153" s="64"/>
      <c r="G153" s="64"/>
    </row>
    <row r="154" spans="1:7" ht="14.25" customHeight="1">
      <c r="A154" s="1829" t="s">
        <v>227</v>
      </c>
      <c r="B154" s="1830"/>
      <c r="C154" s="1830"/>
      <c r="D154" s="1830"/>
      <c r="E154" s="1830"/>
      <c r="F154" s="1828"/>
      <c r="G154" s="65">
        <f>ROUND(SUM(G141:G153),2)</f>
        <v>218.23</v>
      </c>
    </row>
    <row r="155" spans="1:7" ht="14.25" customHeight="1">
      <c r="A155" s="1837"/>
      <c r="B155" s="1838"/>
      <c r="C155" s="1838"/>
      <c r="D155" s="1838"/>
      <c r="E155" s="1838"/>
      <c r="F155" s="1838"/>
      <c r="G155" s="1839"/>
    </row>
    <row r="156" spans="1:7" ht="14.25" hidden="1" customHeight="1">
      <c r="A156" s="66" t="str">
        <f t="shared" ref="A156:B156" si="11">+A137</f>
        <v>CAPITULO 2:</v>
      </c>
      <c r="B156" s="1832" t="str">
        <f t="shared" si="11"/>
        <v>CONCRETOS</v>
      </c>
      <c r="C156" s="1830"/>
      <c r="D156" s="1828"/>
      <c r="E156" s="1833" t="s">
        <v>218</v>
      </c>
      <c r="F156" s="1828"/>
      <c r="G156" s="62" t="s">
        <v>116</v>
      </c>
    </row>
    <row r="157" spans="1:7" ht="34.5" hidden="1" customHeight="1">
      <c r="A157" s="66" t="s">
        <v>234</v>
      </c>
      <c r="B157" s="1840" t="s">
        <v>389</v>
      </c>
      <c r="C157" s="1830"/>
      <c r="D157" s="1830"/>
      <c r="E157" s="1830"/>
      <c r="F157" s="1830"/>
      <c r="G157" s="1828"/>
    </row>
    <row r="158" spans="1:7" ht="14.25" hidden="1" customHeight="1">
      <c r="A158" s="1836" t="s">
        <v>220</v>
      </c>
      <c r="B158" s="1830"/>
      <c r="C158" s="1830"/>
      <c r="D158" s="1830"/>
      <c r="E158" s="1830"/>
      <c r="F158" s="1830"/>
      <c r="G158" s="1828"/>
    </row>
    <row r="159" spans="1:7" ht="14.25" hidden="1" customHeight="1">
      <c r="A159" s="1829" t="s">
        <v>221</v>
      </c>
      <c r="B159" s="1828"/>
      <c r="C159" s="63" t="s">
        <v>222</v>
      </c>
      <c r="D159" s="63" t="s">
        <v>223</v>
      </c>
      <c r="E159" s="63" t="s">
        <v>224</v>
      </c>
      <c r="F159" s="63" t="s">
        <v>225</v>
      </c>
      <c r="G159" s="63" t="s">
        <v>226</v>
      </c>
    </row>
    <row r="160" spans="1:7" ht="14.25" hidden="1" customHeight="1">
      <c r="A160" s="1845" t="s">
        <v>618</v>
      </c>
      <c r="B160" s="1828"/>
      <c r="C160" s="64">
        <f>+C118</f>
        <v>2.5</v>
      </c>
      <c r="D160" s="64">
        <v>0.3</v>
      </c>
      <c r="E160" s="64">
        <v>0.2</v>
      </c>
      <c r="F160" s="64">
        <v>1</v>
      </c>
      <c r="G160" s="64">
        <f>+C160*D160*E160*F160</f>
        <v>0.15000000000000002</v>
      </c>
    </row>
    <row r="161" spans="1:7" ht="14.25" hidden="1" customHeight="1">
      <c r="A161" s="1845"/>
      <c r="B161" s="1828"/>
      <c r="C161" s="64"/>
      <c r="D161" s="64"/>
      <c r="E161" s="64"/>
      <c r="F161" s="64"/>
      <c r="G161" s="64"/>
    </row>
    <row r="162" spans="1:7" ht="14.25" hidden="1" customHeight="1">
      <c r="A162" s="68"/>
      <c r="B162" s="180"/>
      <c r="C162" s="64"/>
      <c r="D162" s="64"/>
      <c r="E162" s="64"/>
      <c r="F162" s="64"/>
      <c r="G162" s="64"/>
    </row>
    <row r="163" spans="1:7" ht="14.25" hidden="1" customHeight="1">
      <c r="A163" s="1829" t="s">
        <v>227</v>
      </c>
      <c r="B163" s="1830"/>
      <c r="C163" s="1830"/>
      <c r="D163" s="1830"/>
      <c r="E163" s="1830"/>
      <c r="F163" s="1828"/>
      <c r="G163" s="65"/>
    </row>
    <row r="164" spans="1:7" ht="14.25" hidden="1" customHeight="1">
      <c r="A164" s="1837"/>
      <c r="B164" s="1838"/>
      <c r="C164" s="1838"/>
      <c r="D164" s="1838"/>
      <c r="E164" s="1838"/>
      <c r="F164" s="1838"/>
      <c r="G164" s="1839"/>
    </row>
    <row r="165" spans="1:7" ht="14.25" customHeight="1">
      <c r="A165" s="66" t="str">
        <f t="shared" ref="A165:B165" si="12">+A156</f>
        <v>CAPITULO 2:</v>
      </c>
      <c r="B165" s="1832" t="str">
        <f t="shared" si="12"/>
        <v>CONCRETOS</v>
      </c>
      <c r="C165" s="1830"/>
      <c r="D165" s="1828"/>
      <c r="E165" s="1833" t="s">
        <v>218</v>
      </c>
      <c r="F165" s="1828"/>
      <c r="G165" s="62" t="s">
        <v>116</v>
      </c>
    </row>
    <row r="166" spans="1:7" ht="14.25" customHeight="1">
      <c r="A166" s="66" t="s">
        <v>236</v>
      </c>
      <c r="B166" s="1840" t="s">
        <v>619</v>
      </c>
      <c r="C166" s="1830"/>
      <c r="D166" s="1830"/>
      <c r="E166" s="1830"/>
      <c r="F166" s="1830"/>
      <c r="G166" s="1828"/>
    </row>
    <row r="167" spans="1:7" ht="14.25" customHeight="1">
      <c r="A167" s="1836" t="s">
        <v>220</v>
      </c>
      <c r="B167" s="1830"/>
      <c r="C167" s="1830"/>
      <c r="D167" s="1830"/>
      <c r="E167" s="1830"/>
      <c r="F167" s="1830"/>
      <c r="G167" s="1828"/>
    </row>
    <row r="168" spans="1:7" ht="14.25" customHeight="1">
      <c r="A168" s="1829" t="s">
        <v>221</v>
      </c>
      <c r="B168" s="1828"/>
      <c r="C168" s="63" t="s">
        <v>222</v>
      </c>
      <c r="D168" s="63" t="s">
        <v>223</v>
      </c>
      <c r="E168" s="63" t="s">
        <v>224</v>
      </c>
      <c r="F168" s="63" t="s">
        <v>225</v>
      </c>
      <c r="G168" s="63" t="s">
        <v>226</v>
      </c>
    </row>
    <row r="169" spans="1:7" ht="14.25" customHeight="1">
      <c r="A169" s="1847" t="s">
        <v>950</v>
      </c>
      <c r="B169" s="1828"/>
      <c r="C169" s="64"/>
      <c r="D169" s="64"/>
      <c r="E169" s="64"/>
      <c r="F169" s="64"/>
      <c r="G169" s="64"/>
    </row>
    <row r="170" spans="1:7" ht="14.25" customHeight="1">
      <c r="A170" s="1845" t="s">
        <v>951</v>
      </c>
      <c r="B170" s="1828"/>
      <c r="C170" s="64">
        <v>2</v>
      </c>
      <c r="D170" s="64">
        <v>2</v>
      </c>
      <c r="E170" s="64">
        <v>0.4</v>
      </c>
      <c r="F170" s="64">
        <v>4</v>
      </c>
      <c r="G170" s="64">
        <f t="shared" ref="G170:G179" si="13">+C170*D170*F170*E170</f>
        <v>6.4</v>
      </c>
    </row>
    <row r="171" spans="1:7" ht="14.25" customHeight="1">
      <c r="A171" s="1845" t="s">
        <v>952</v>
      </c>
      <c r="B171" s="1828"/>
      <c r="C171" s="64">
        <v>2.1</v>
      </c>
      <c r="D171" s="64">
        <v>2.1</v>
      </c>
      <c r="E171" s="64">
        <v>0.4</v>
      </c>
      <c r="F171" s="64">
        <v>10</v>
      </c>
      <c r="G171" s="64">
        <f t="shared" si="13"/>
        <v>17.64</v>
      </c>
    </row>
    <row r="172" spans="1:7" ht="14.25" customHeight="1">
      <c r="A172" s="1845" t="s">
        <v>953</v>
      </c>
      <c r="B172" s="1828"/>
      <c r="C172" s="64">
        <v>2.2000000000000002</v>
      </c>
      <c r="D172" s="64">
        <v>2.2000000000000002</v>
      </c>
      <c r="E172" s="64">
        <v>0.4</v>
      </c>
      <c r="F172" s="64">
        <v>2</v>
      </c>
      <c r="G172" s="64">
        <f t="shared" si="13"/>
        <v>3.8720000000000008</v>
      </c>
    </row>
    <row r="173" spans="1:7" ht="14.25" customHeight="1">
      <c r="A173" s="1845" t="s">
        <v>954</v>
      </c>
      <c r="B173" s="1828"/>
      <c r="C173" s="64">
        <v>2.2999999999999998</v>
      </c>
      <c r="D173" s="64">
        <v>2.2999999999999998</v>
      </c>
      <c r="E173" s="64">
        <v>0.4</v>
      </c>
      <c r="F173" s="64">
        <v>3</v>
      </c>
      <c r="G173" s="64">
        <f t="shared" si="13"/>
        <v>6.347999999999999</v>
      </c>
    </row>
    <row r="174" spans="1:7" ht="14.25" customHeight="1">
      <c r="A174" s="1845" t="s">
        <v>969</v>
      </c>
      <c r="B174" s="1828"/>
      <c r="C174" s="64">
        <v>2.4</v>
      </c>
      <c r="D174" s="64">
        <v>2.4</v>
      </c>
      <c r="E174" s="64">
        <v>0.4</v>
      </c>
      <c r="F174" s="64">
        <v>2</v>
      </c>
      <c r="G174" s="64">
        <f t="shared" si="13"/>
        <v>4.6079999999999997</v>
      </c>
    </row>
    <row r="175" spans="1:7" ht="14.25" customHeight="1">
      <c r="A175" s="1845" t="s">
        <v>970</v>
      </c>
      <c r="B175" s="1828"/>
      <c r="C175" s="64">
        <v>2.5</v>
      </c>
      <c r="D175" s="64">
        <v>2.5</v>
      </c>
      <c r="E175" s="64">
        <v>0.4</v>
      </c>
      <c r="F175" s="64">
        <v>4</v>
      </c>
      <c r="G175" s="64">
        <f t="shared" si="13"/>
        <v>10</v>
      </c>
    </row>
    <row r="176" spans="1:7" ht="14.25" customHeight="1">
      <c r="A176" s="1845" t="s">
        <v>971</v>
      </c>
      <c r="B176" s="1828"/>
      <c r="C176" s="64">
        <v>2.6</v>
      </c>
      <c r="D176" s="64">
        <v>2.6</v>
      </c>
      <c r="E176" s="64">
        <v>0.4</v>
      </c>
      <c r="F176" s="64">
        <v>2</v>
      </c>
      <c r="G176" s="64">
        <f t="shared" si="13"/>
        <v>5.4080000000000013</v>
      </c>
    </row>
    <row r="177" spans="1:7" ht="14.25" customHeight="1">
      <c r="A177" s="1845" t="s">
        <v>972</v>
      </c>
      <c r="B177" s="1828"/>
      <c r="C177" s="64">
        <v>2.7</v>
      </c>
      <c r="D177" s="64">
        <v>2.7</v>
      </c>
      <c r="E177" s="64">
        <v>0.4</v>
      </c>
      <c r="F177" s="64">
        <v>6</v>
      </c>
      <c r="G177" s="64">
        <f t="shared" si="13"/>
        <v>17.496000000000006</v>
      </c>
    </row>
    <row r="178" spans="1:7" ht="14.25" customHeight="1">
      <c r="A178" s="1845" t="s">
        <v>973</v>
      </c>
      <c r="B178" s="1828"/>
      <c r="C178" s="64">
        <v>2.8</v>
      </c>
      <c r="D178" s="64">
        <v>2.8</v>
      </c>
      <c r="E178" s="64">
        <v>0.4</v>
      </c>
      <c r="F178" s="64">
        <v>2</v>
      </c>
      <c r="G178" s="64">
        <f t="shared" si="13"/>
        <v>6.2719999999999994</v>
      </c>
    </row>
    <row r="179" spans="1:7" ht="14.25" customHeight="1">
      <c r="A179" s="1845" t="s">
        <v>974</v>
      </c>
      <c r="B179" s="1828"/>
      <c r="C179" s="64">
        <v>1.7</v>
      </c>
      <c r="D179" s="64">
        <v>1.7</v>
      </c>
      <c r="E179" s="64">
        <v>0.4</v>
      </c>
      <c r="F179" s="64">
        <v>8</v>
      </c>
      <c r="G179" s="64">
        <f t="shared" si="13"/>
        <v>9.2479999999999993</v>
      </c>
    </row>
    <row r="180" spans="1:7" ht="14.25" customHeight="1">
      <c r="A180" s="1845"/>
      <c r="B180" s="1828"/>
      <c r="C180" s="64"/>
      <c r="D180" s="64"/>
      <c r="E180" s="64"/>
      <c r="F180" s="64"/>
      <c r="G180" s="64"/>
    </row>
    <row r="181" spans="1:7" ht="14.25" customHeight="1">
      <c r="A181" s="1845"/>
      <c r="B181" s="1828"/>
      <c r="C181" s="64"/>
      <c r="D181" s="64"/>
      <c r="E181" s="64"/>
      <c r="F181" s="64"/>
      <c r="G181" s="64"/>
    </row>
    <row r="182" spans="1:7" ht="15" customHeight="1">
      <c r="A182" s="1847"/>
      <c r="B182" s="1828"/>
      <c r="C182" s="64"/>
      <c r="D182" s="64"/>
      <c r="E182" s="64"/>
      <c r="F182" s="64"/>
      <c r="G182" s="64"/>
    </row>
    <row r="183" spans="1:7" ht="15" customHeight="1">
      <c r="A183" s="1845"/>
      <c r="B183" s="1828"/>
      <c r="C183" s="64"/>
      <c r="D183" s="64"/>
      <c r="E183" s="64"/>
      <c r="F183" s="64"/>
      <c r="G183" s="64"/>
    </row>
    <row r="184" spans="1:7" ht="15" customHeight="1">
      <c r="A184" s="1845"/>
      <c r="B184" s="1828"/>
      <c r="C184" s="64"/>
      <c r="D184" s="64"/>
      <c r="E184" s="64"/>
      <c r="F184" s="64"/>
      <c r="G184" s="64"/>
    </row>
    <row r="185" spans="1:7" ht="15" customHeight="1">
      <c r="A185" s="1845"/>
      <c r="B185" s="1828"/>
      <c r="C185" s="64"/>
      <c r="D185" s="64"/>
      <c r="E185" s="64"/>
      <c r="F185" s="64"/>
      <c r="G185" s="64"/>
    </row>
    <row r="186" spans="1:7" ht="14.25" customHeight="1">
      <c r="A186" s="1829" t="s">
        <v>227</v>
      </c>
      <c r="B186" s="1830"/>
      <c r="C186" s="1830"/>
      <c r="D186" s="1830"/>
      <c r="E186" s="1830"/>
      <c r="F186" s="1828"/>
      <c r="G186" s="65">
        <f>ROUND((SUM(G169:G185)),2)</f>
        <v>87.29</v>
      </c>
    </row>
    <row r="187" spans="1:7" ht="14.25" customHeight="1">
      <c r="A187" s="1837"/>
      <c r="B187" s="1838"/>
      <c r="C187" s="1838"/>
      <c r="D187" s="1838"/>
      <c r="E187" s="1838"/>
      <c r="F187" s="1838"/>
      <c r="G187" s="1839"/>
    </row>
    <row r="188" spans="1:7" ht="14.25" customHeight="1">
      <c r="A188" s="66" t="s">
        <v>232</v>
      </c>
      <c r="B188" s="1832" t="str">
        <f>+B165</f>
        <v>CONCRETOS</v>
      </c>
      <c r="C188" s="1830"/>
      <c r="D188" s="1828"/>
      <c r="E188" s="1833" t="s">
        <v>218</v>
      </c>
      <c r="F188" s="1828"/>
      <c r="G188" s="62" t="s">
        <v>116</v>
      </c>
    </row>
    <row r="189" spans="1:7" ht="14.25" customHeight="1">
      <c r="A189" s="66" t="s">
        <v>237</v>
      </c>
      <c r="B189" s="1840" t="s">
        <v>621</v>
      </c>
      <c r="C189" s="1830"/>
      <c r="D189" s="1830"/>
      <c r="E189" s="1830"/>
      <c r="F189" s="1830"/>
      <c r="G189" s="1828"/>
    </row>
    <row r="190" spans="1:7" ht="14.25" customHeight="1">
      <c r="A190" s="1836" t="s">
        <v>220</v>
      </c>
      <c r="B190" s="1830"/>
      <c r="C190" s="1830"/>
      <c r="D190" s="1830"/>
      <c r="E190" s="1830"/>
      <c r="F190" s="1830"/>
      <c r="G190" s="1828"/>
    </row>
    <row r="191" spans="1:7" ht="14.25" customHeight="1">
      <c r="A191" s="1829" t="s">
        <v>221</v>
      </c>
      <c r="B191" s="1828"/>
      <c r="C191" s="63" t="s">
        <v>222</v>
      </c>
      <c r="D191" s="63" t="s">
        <v>223</v>
      </c>
      <c r="E191" s="63" t="s">
        <v>224</v>
      </c>
      <c r="F191" s="63" t="s">
        <v>225</v>
      </c>
      <c r="G191" s="63" t="s">
        <v>226</v>
      </c>
    </row>
    <row r="192" spans="1:7" ht="14.25" customHeight="1">
      <c r="A192" s="1845"/>
      <c r="B192" s="1828"/>
      <c r="C192" s="64"/>
      <c r="D192" s="64"/>
      <c r="E192" s="64"/>
      <c r="F192" s="64"/>
      <c r="G192" s="64"/>
    </row>
    <row r="193" spans="1:7" ht="14.25" customHeight="1">
      <c r="A193" s="1845" t="s">
        <v>956</v>
      </c>
      <c r="B193" s="1828"/>
      <c r="C193" s="64">
        <v>355.19499999999999</v>
      </c>
      <c r="D193" s="64">
        <v>0.4</v>
      </c>
      <c r="E193" s="64">
        <v>0.6</v>
      </c>
      <c r="F193" s="64">
        <v>1</v>
      </c>
      <c r="G193" s="64">
        <f>+C193*D193*E193*F193</f>
        <v>85.246799999999993</v>
      </c>
    </row>
    <row r="194" spans="1:7" ht="15" customHeight="1">
      <c r="A194" s="1847"/>
      <c r="B194" s="1828"/>
      <c r="C194" s="64"/>
      <c r="D194" s="64"/>
      <c r="E194" s="64"/>
      <c r="F194" s="64"/>
      <c r="G194" s="64"/>
    </row>
    <row r="195" spans="1:7" ht="15" customHeight="1">
      <c r="A195" s="1845"/>
      <c r="B195" s="1828"/>
      <c r="C195" s="64"/>
      <c r="D195" s="64"/>
      <c r="E195" s="64"/>
      <c r="F195" s="64"/>
      <c r="G195" s="64"/>
    </row>
    <row r="196" spans="1:7" ht="14.25" customHeight="1">
      <c r="A196" s="1829" t="s">
        <v>227</v>
      </c>
      <c r="B196" s="1830"/>
      <c r="C196" s="1830"/>
      <c r="D196" s="1830"/>
      <c r="E196" s="1830"/>
      <c r="F196" s="1828"/>
      <c r="G196" s="65">
        <f>ROUND((SUM(G192:G195)),2)</f>
        <v>85.25</v>
      </c>
    </row>
    <row r="197" spans="1:7" ht="14.25" customHeight="1">
      <c r="A197" s="1837"/>
      <c r="B197" s="1838"/>
      <c r="C197" s="1838"/>
      <c r="D197" s="1838"/>
      <c r="E197" s="1838"/>
      <c r="F197" s="1838"/>
      <c r="G197" s="1839"/>
    </row>
    <row r="198" spans="1:7" ht="14.25" customHeight="1">
      <c r="A198" s="66" t="s">
        <v>232</v>
      </c>
      <c r="B198" s="1832" t="s">
        <v>35</v>
      </c>
      <c r="C198" s="1830"/>
      <c r="D198" s="1828"/>
      <c r="E198" s="1833" t="s">
        <v>218</v>
      </c>
      <c r="F198" s="1828"/>
      <c r="G198" s="62" t="s">
        <v>116</v>
      </c>
    </row>
    <row r="199" spans="1:7" ht="14.25" customHeight="1">
      <c r="A199" s="66" t="s">
        <v>238</v>
      </c>
      <c r="B199" s="1840" t="s">
        <v>623</v>
      </c>
      <c r="C199" s="1830"/>
      <c r="D199" s="1830"/>
      <c r="E199" s="1830"/>
      <c r="F199" s="1830"/>
      <c r="G199" s="1828"/>
    </row>
    <row r="200" spans="1:7" ht="14.25" customHeight="1">
      <c r="A200" s="1836" t="s">
        <v>220</v>
      </c>
      <c r="B200" s="1830"/>
      <c r="C200" s="1830"/>
      <c r="D200" s="1830"/>
      <c r="E200" s="1830"/>
      <c r="F200" s="1830"/>
      <c r="G200" s="1828"/>
    </row>
    <row r="201" spans="1:7" ht="14.25" customHeight="1">
      <c r="A201" s="1829" t="s">
        <v>221</v>
      </c>
      <c r="B201" s="1828"/>
      <c r="C201" s="63" t="s">
        <v>222</v>
      </c>
      <c r="D201" s="63" t="s">
        <v>223</v>
      </c>
      <c r="E201" s="63" t="s">
        <v>224</v>
      </c>
      <c r="F201" s="63" t="s">
        <v>225</v>
      </c>
      <c r="G201" s="63" t="s">
        <v>226</v>
      </c>
    </row>
    <row r="202" spans="1:7" ht="14.25" customHeight="1">
      <c r="A202" s="1847"/>
      <c r="B202" s="1828"/>
      <c r="C202" s="64"/>
      <c r="D202" s="64"/>
      <c r="E202" s="64"/>
      <c r="F202" s="64"/>
      <c r="G202" s="64"/>
    </row>
    <row r="203" spans="1:7" ht="14.25" customHeight="1">
      <c r="A203" s="1845"/>
      <c r="B203" s="1828"/>
      <c r="C203" s="64"/>
      <c r="D203" s="64"/>
      <c r="E203" s="64"/>
      <c r="F203" s="64"/>
      <c r="G203" s="64"/>
    </row>
    <row r="204" spans="1:7" ht="14.25" customHeight="1">
      <c r="A204" s="1847" t="s">
        <v>699</v>
      </c>
      <c r="B204" s="1828"/>
      <c r="C204" s="64"/>
      <c r="D204" s="64"/>
      <c r="E204" s="64"/>
      <c r="F204" s="64"/>
      <c r="G204" s="64"/>
    </row>
    <row r="205" spans="1:7" ht="14.25" customHeight="1">
      <c r="A205" s="1845" t="s">
        <v>957</v>
      </c>
      <c r="B205" s="1828"/>
      <c r="C205" s="64"/>
      <c r="D205" s="64"/>
      <c r="E205" s="64"/>
      <c r="F205" s="64">
        <v>0</v>
      </c>
      <c r="G205" s="64">
        <f>+F205</f>
        <v>0</v>
      </c>
    </row>
    <row r="206" spans="1:7" ht="14.25" customHeight="1">
      <c r="A206" s="1845"/>
      <c r="B206" s="1828"/>
      <c r="C206" s="64"/>
      <c r="D206" s="64"/>
      <c r="E206" s="64"/>
      <c r="F206" s="64"/>
      <c r="G206" s="64"/>
    </row>
    <row r="207" spans="1:7" ht="14.25" customHeight="1">
      <c r="A207" s="1829" t="s">
        <v>227</v>
      </c>
      <c r="B207" s="1830"/>
      <c r="C207" s="1830"/>
      <c r="D207" s="1830"/>
      <c r="E207" s="1830"/>
      <c r="F207" s="1828"/>
      <c r="G207" s="65">
        <f>ROUND((SUM(G203:G206)),2)</f>
        <v>0</v>
      </c>
    </row>
    <row r="208" spans="1:7" ht="14.25" customHeight="1">
      <c r="A208" s="1837"/>
      <c r="B208" s="1838"/>
      <c r="C208" s="1838"/>
      <c r="D208" s="1838"/>
      <c r="E208" s="1838"/>
      <c r="F208" s="1838"/>
      <c r="G208" s="1839"/>
    </row>
    <row r="209" spans="1:7" ht="14.25" customHeight="1">
      <c r="A209" s="66" t="s">
        <v>232</v>
      </c>
      <c r="B209" s="1832" t="str">
        <f>+B198</f>
        <v>CONCRETOS</v>
      </c>
      <c r="C209" s="1830"/>
      <c r="D209" s="1828"/>
      <c r="E209" s="1833" t="s">
        <v>218</v>
      </c>
      <c r="F209" s="1828"/>
      <c r="G209" s="62" t="s">
        <v>116</v>
      </c>
    </row>
    <row r="210" spans="1:7" ht="14.25" customHeight="1">
      <c r="A210" s="66" t="s">
        <v>239</v>
      </c>
      <c r="B210" s="1840" t="s">
        <v>625</v>
      </c>
      <c r="C210" s="1830"/>
      <c r="D210" s="1830"/>
      <c r="E210" s="1830"/>
      <c r="F210" s="1830"/>
      <c r="G210" s="1828"/>
    </row>
    <row r="211" spans="1:7" ht="14.25" customHeight="1">
      <c r="A211" s="1836" t="s">
        <v>220</v>
      </c>
      <c r="B211" s="1830"/>
      <c r="C211" s="1830"/>
      <c r="D211" s="1830"/>
      <c r="E211" s="1830"/>
      <c r="F211" s="1830"/>
      <c r="G211" s="1828"/>
    </row>
    <row r="212" spans="1:7" ht="14.25" customHeight="1">
      <c r="A212" s="1829" t="s">
        <v>221</v>
      </c>
      <c r="B212" s="1828"/>
      <c r="C212" s="63" t="s">
        <v>222</v>
      </c>
      <c r="D212" s="63" t="s">
        <v>223</v>
      </c>
      <c r="E212" s="63" t="s">
        <v>224</v>
      </c>
      <c r="F212" s="63" t="s">
        <v>225</v>
      </c>
      <c r="G212" s="63" t="s">
        <v>226</v>
      </c>
    </row>
    <row r="213" spans="1:7" ht="14.25" customHeight="1">
      <c r="A213" s="1847"/>
      <c r="B213" s="1828"/>
      <c r="C213" s="64"/>
      <c r="D213" s="64"/>
      <c r="E213" s="64"/>
      <c r="F213" s="64"/>
      <c r="G213" s="64"/>
    </row>
    <row r="214" spans="1:7" ht="14.25" customHeight="1">
      <c r="A214" s="1845"/>
      <c r="B214" s="1828"/>
      <c r="C214" s="64"/>
      <c r="D214" s="64"/>
      <c r="E214" s="64"/>
      <c r="F214" s="64"/>
      <c r="G214" s="64"/>
    </row>
    <row r="215" spans="1:7" ht="14.25" customHeight="1">
      <c r="A215" s="1847"/>
      <c r="B215" s="1828"/>
      <c r="C215" s="64"/>
      <c r="D215" s="64"/>
      <c r="E215" s="64"/>
      <c r="F215" s="64"/>
      <c r="G215" s="64"/>
    </row>
    <row r="216" spans="1:7" ht="14.25" customHeight="1">
      <c r="A216" s="1845"/>
      <c r="B216" s="1828"/>
      <c r="C216" s="64"/>
      <c r="D216" s="64"/>
      <c r="E216" s="64"/>
      <c r="F216" s="64"/>
      <c r="G216" s="64"/>
    </row>
    <row r="217" spans="1:7" ht="14.25" customHeight="1">
      <c r="A217" s="1847" t="s">
        <v>699</v>
      </c>
      <c r="B217" s="1828"/>
      <c r="C217" s="64"/>
      <c r="D217" s="64"/>
      <c r="E217" s="64"/>
      <c r="F217" s="64"/>
      <c r="G217" s="64"/>
    </row>
    <row r="218" spans="1:7" ht="14.25" customHeight="1">
      <c r="A218" s="1845" t="s">
        <v>959</v>
      </c>
      <c r="B218" s="1828"/>
      <c r="C218" s="64"/>
      <c r="D218" s="64"/>
      <c r="E218" s="64"/>
      <c r="F218" s="64">
        <v>47.18</v>
      </c>
      <c r="G218" s="64">
        <f>+F218</f>
        <v>47.18</v>
      </c>
    </row>
    <row r="219" spans="1:7" ht="14.25" customHeight="1">
      <c r="A219" s="1845"/>
      <c r="B219" s="1828"/>
      <c r="C219" s="64"/>
      <c r="D219" s="64"/>
      <c r="E219" s="64"/>
      <c r="F219" s="64"/>
      <c r="G219" s="64"/>
    </row>
    <row r="220" spans="1:7" ht="14.25" customHeight="1">
      <c r="A220" s="1845"/>
      <c r="B220" s="1828"/>
      <c r="C220" s="64"/>
      <c r="D220" s="64"/>
      <c r="E220" s="64"/>
      <c r="F220" s="64"/>
      <c r="G220" s="64"/>
    </row>
    <row r="221" spans="1:7" ht="14.25" customHeight="1">
      <c r="A221" s="1829" t="s">
        <v>227</v>
      </c>
      <c r="B221" s="1830"/>
      <c r="C221" s="1830"/>
      <c r="D221" s="1830"/>
      <c r="E221" s="1830"/>
      <c r="F221" s="1828"/>
      <c r="G221" s="65">
        <f>ROUND((SUM(G213:G220)),2)</f>
        <v>47.18</v>
      </c>
    </row>
    <row r="222" spans="1:7" ht="14.25" customHeight="1">
      <c r="A222" s="1837"/>
      <c r="B222" s="1838"/>
      <c r="C222" s="1838"/>
      <c r="D222" s="1838"/>
      <c r="E222" s="1838"/>
      <c r="F222" s="1838"/>
      <c r="G222" s="1839"/>
    </row>
    <row r="223" spans="1:7" ht="14.25" hidden="1" customHeight="1">
      <c r="A223" s="66" t="s">
        <v>232</v>
      </c>
      <c r="B223" s="1832" t="str">
        <f>+B198</f>
        <v>CONCRETOS</v>
      </c>
      <c r="C223" s="1830"/>
      <c r="D223" s="1828"/>
      <c r="E223" s="1833" t="s">
        <v>218</v>
      </c>
      <c r="F223" s="1828"/>
      <c r="G223" s="62" t="s">
        <v>116</v>
      </c>
    </row>
    <row r="224" spans="1:7" ht="14.25" hidden="1" customHeight="1">
      <c r="A224" s="66" t="s">
        <v>627</v>
      </c>
      <c r="B224" s="1840" t="s">
        <v>628</v>
      </c>
      <c r="C224" s="1830"/>
      <c r="D224" s="1830"/>
      <c r="E224" s="1830"/>
      <c r="F224" s="1830"/>
      <c r="G224" s="1828"/>
    </row>
    <row r="225" spans="1:12" ht="14.25" hidden="1" customHeight="1">
      <c r="A225" s="1836" t="s">
        <v>220</v>
      </c>
      <c r="B225" s="1830"/>
      <c r="C225" s="1830"/>
      <c r="D225" s="1830"/>
      <c r="E225" s="1830"/>
      <c r="F225" s="1830"/>
      <c r="G225" s="1828"/>
      <c r="H225" s="59"/>
      <c r="I225" s="60"/>
      <c r="J225" s="60"/>
      <c r="K225" s="61"/>
      <c r="L225" s="59"/>
    </row>
    <row r="226" spans="1:12" ht="14.25" hidden="1" customHeight="1">
      <c r="A226" s="1829" t="s">
        <v>221</v>
      </c>
      <c r="B226" s="1828"/>
      <c r="C226" s="63" t="s">
        <v>222</v>
      </c>
      <c r="D226" s="63" t="s">
        <v>223</v>
      </c>
      <c r="E226" s="63" t="s">
        <v>224</v>
      </c>
      <c r="F226" s="63" t="s">
        <v>225</v>
      </c>
      <c r="G226" s="63" t="s">
        <v>226</v>
      </c>
      <c r="H226" s="59"/>
      <c r="I226" s="60"/>
      <c r="J226" s="60"/>
      <c r="K226" s="61"/>
      <c r="L226" s="59"/>
    </row>
    <row r="227" spans="1:12" ht="14.25" hidden="1" customHeight="1">
      <c r="A227" s="1845" t="s">
        <v>629</v>
      </c>
      <c r="B227" s="1828"/>
      <c r="C227" s="64">
        <f>+(61.61+6.24)/0.4</f>
        <v>169.62499999999997</v>
      </c>
      <c r="D227" s="64">
        <v>0.4</v>
      </c>
      <c r="E227" s="64">
        <v>0.6</v>
      </c>
      <c r="F227" s="64">
        <v>2</v>
      </c>
      <c r="G227" s="64">
        <f t="shared" ref="G227:G232" si="14">+C227*D227*E227*F227</f>
        <v>81.419999999999987</v>
      </c>
      <c r="H227" s="59"/>
      <c r="I227" s="60"/>
      <c r="J227" s="60"/>
      <c r="K227" s="61"/>
      <c r="L227" s="59"/>
    </row>
    <row r="228" spans="1:12" ht="14.25" hidden="1" customHeight="1">
      <c r="A228" s="1845" t="s">
        <v>630</v>
      </c>
      <c r="B228" s="1828"/>
      <c r="C228" s="64">
        <f>21.016/0.4</f>
        <v>52.539999999999992</v>
      </c>
      <c r="D228" s="64">
        <v>0.4</v>
      </c>
      <c r="E228" s="64">
        <v>0.6</v>
      </c>
      <c r="F228" s="64">
        <v>2</v>
      </c>
      <c r="G228" s="64">
        <f t="shared" si="14"/>
        <v>25.219199999999997</v>
      </c>
      <c r="H228" s="59"/>
      <c r="I228" s="60"/>
      <c r="J228" s="60"/>
      <c r="K228" s="61"/>
      <c r="L228" s="59"/>
    </row>
    <row r="229" spans="1:12" ht="14.25" hidden="1" customHeight="1">
      <c r="A229" s="1845" t="s">
        <v>631</v>
      </c>
      <c r="B229" s="1828"/>
      <c r="C229" s="64">
        <f>+(12.48+72.46)/0.4</f>
        <v>212.35</v>
      </c>
      <c r="D229" s="64">
        <v>0.4</v>
      </c>
      <c r="E229" s="64">
        <v>0.6</v>
      </c>
      <c r="F229" s="64">
        <v>1</v>
      </c>
      <c r="G229" s="64">
        <f t="shared" si="14"/>
        <v>50.963999999999999</v>
      </c>
      <c r="H229" s="59"/>
      <c r="I229" s="60"/>
      <c r="J229" s="60"/>
      <c r="K229" s="61"/>
      <c r="L229" s="59"/>
    </row>
    <row r="230" spans="1:12" ht="14.25" hidden="1" customHeight="1">
      <c r="A230" s="1845" t="s">
        <v>632</v>
      </c>
      <c r="B230" s="1828"/>
      <c r="C230" s="64">
        <f>28.471/0.4</f>
        <v>71.177499999999995</v>
      </c>
      <c r="D230" s="64">
        <v>0.4</v>
      </c>
      <c r="E230" s="64">
        <v>0.6</v>
      </c>
      <c r="F230" s="64">
        <v>1</v>
      </c>
      <c r="G230" s="64">
        <f t="shared" si="14"/>
        <v>17.082599999999999</v>
      </c>
      <c r="H230" s="59"/>
      <c r="I230" s="61"/>
      <c r="J230" s="60"/>
      <c r="K230" s="61"/>
      <c r="L230" s="59"/>
    </row>
    <row r="231" spans="1:12" ht="14.25" hidden="1" customHeight="1">
      <c r="A231" s="1845" t="s">
        <v>633</v>
      </c>
      <c r="B231" s="1828"/>
      <c r="C231" s="64">
        <f>49.2/0.4</f>
        <v>123</v>
      </c>
      <c r="D231" s="64">
        <v>0.4</v>
      </c>
      <c r="E231" s="64">
        <v>0.55000000000000004</v>
      </c>
      <c r="F231" s="64">
        <v>1</v>
      </c>
      <c r="G231" s="64">
        <f t="shared" si="14"/>
        <v>27.060000000000002</v>
      </c>
      <c r="H231" s="59"/>
      <c r="I231" s="59"/>
      <c r="J231" s="60"/>
      <c r="K231" s="61"/>
      <c r="L231" s="59"/>
    </row>
    <row r="232" spans="1:12" ht="14.25" hidden="1" customHeight="1">
      <c r="A232" s="1845" t="s">
        <v>634</v>
      </c>
      <c r="B232" s="1828"/>
      <c r="C232" s="64">
        <f>+(11.4*4)+(15.2*3)</f>
        <v>91.199999999999989</v>
      </c>
      <c r="D232" s="64">
        <v>0.3</v>
      </c>
      <c r="E232" s="64">
        <v>0.6</v>
      </c>
      <c r="F232" s="64">
        <v>1</v>
      </c>
      <c r="G232" s="64">
        <f t="shared" si="14"/>
        <v>16.415999999999997</v>
      </c>
      <c r="H232" s="59"/>
      <c r="I232" s="60"/>
      <c r="J232" s="60"/>
      <c r="K232" s="61"/>
      <c r="L232" s="59"/>
    </row>
    <row r="233" spans="1:12" ht="14.25" hidden="1" customHeight="1">
      <c r="A233" s="1829" t="s">
        <v>227</v>
      </c>
      <c r="B233" s="1830"/>
      <c r="C233" s="1830"/>
      <c r="D233" s="1830"/>
      <c r="E233" s="1830"/>
      <c r="F233" s="1828"/>
      <c r="G233" s="65"/>
      <c r="H233" s="59"/>
      <c r="I233" s="60"/>
      <c r="J233" s="60"/>
      <c r="K233" s="61"/>
      <c r="L233" s="59"/>
    </row>
    <row r="234" spans="1:12" ht="14.25" hidden="1" customHeight="1">
      <c r="A234" s="1837"/>
      <c r="B234" s="1838"/>
      <c r="C234" s="1838"/>
      <c r="D234" s="1838"/>
      <c r="E234" s="1838"/>
      <c r="F234" s="1838"/>
      <c r="G234" s="1839"/>
      <c r="H234" s="59"/>
      <c r="I234" s="60"/>
      <c r="J234" s="60"/>
      <c r="K234" s="61"/>
      <c r="L234" s="59"/>
    </row>
    <row r="235" spans="1:12" ht="14.25" customHeight="1">
      <c r="A235" s="66" t="s">
        <v>232</v>
      </c>
      <c r="B235" s="1832" t="str">
        <f>+B223</f>
        <v>CONCRETOS</v>
      </c>
      <c r="C235" s="1830"/>
      <c r="D235" s="1828"/>
      <c r="E235" s="1833" t="s">
        <v>218</v>
      </c>
      <c r="F235" s="1828"/>
      <c r="G235" s="62" t="s">
        <v>116</v>
      </c>
      <c r="H235" s="59"/>
      <c r="I235" s="60"/>
      <c r="J235" s="60"/>
      <c r="K235" s="61"/>
      <c r="L235" s="59"/>
    </row>
    <row r="236" spans="1:12" ht="33.75" customHeight="1">
      <c r="A236" s="66" t="s">
        <v>627</v>
      </c>
      <c r="B236" s="1840" t="s">
        <v>635</v>
      </c>
      <c r="C236" s="1830"/>
      <c r="D236" s="1830"/>
      <c r="E236" s="1830"/>
      <c r="F236" s="1830"/>
      <c r="G236" s="1828"/>
      <c r="H236" s="59"/>
      <c r="I236" s="60"/>
      <c r="J236" s="60"/>
      <c r="K236" s="61"/>
      <c r="L236" s="59"/>
    </row>
    <row r="237" spans="1:12" ht="14.25" customHeight="1">
      <c r="A237" s="1836" t="s">
        <v>220</v>
      </c>
      <c r="B237" s="1830"/>
      <c r="C237" s="1830"/>
      <c r="D237" s="1830"/>
      <c r="E237" s="1830"/>
      <c r="F237" s="1830"/>
      <c r="G237" s="1828"/>
      <c r="H237" s="59"/>
      <c r="I237" s="60"/>
      <c r="J237" s="60"/>
      <c r="K237" s="61">
        <f>62+31.66</f>
        <v>93.66</v>
      </c>
      <c r="L237" s="59">
        <f>+K237*0.4*0.6</f>
        <v>22.478399999999997</v>
      </c>
    </row>
    <row r="238" spans="1:12" ht="14.25" customHeight="1">
      <c r="A238" s="1829" t="s">
        <v>221</v>
      </c>
      <c r="B238" s="1828"/>
      <c r="C238" s="63" t="s">
        <v>222</v>
      </c>
      <c r="D238" s="63" t="s">
        <v>223</v>
      </c>
      <c r="E238" s="63" t="s">
        <v>224</v>
      </c>
      <c r="F238" s="63" t="s">
        <v>225</v>
      </c>
      <c r="G238" s="63" t="s">
        <v>226</v>
      </c>
      <c r="H238" s="59"/>
      <c r="I238" s="60"/>
      <c r="J238" s="60"/>
      <c r="K238" s="61"/>
      <c r="L238" s="181">
        <f>+K239+L237</f>
        <v>61.178399999999996</v>
      </c>
    </row>
    <row r="239" spans="1:12" ht="14.25" customHeight="1">
      <c r="A239" s="1845" t="s">
        <v>636</v>
      </c>
      <c r="B239" s="1828"/>
      <c r="C239" s="64">
        <v>1.0995238095238022</v>
      </c>
      <c r="D239" s="64">
        <v>0.35</v>
      </c>
      <c r="E239" s="64">
        <v>2</v>
      </c>
      <c r="F239" s="64">
        <v>60</v>
      </c>
      <c r="G239" s="64">
        <f>+C239*D239*E239*F239</f>
        <v>46.179999999999687</v>
      </c>
      <c r="H239" s="59"/>
      <c r="I239" s="60">
        <f>+(41.86+35.74+8.19+54.21+55.19)*2</f>
        <v>390.38</v>
      </c>
      <c r="J239" s="60"/>
      <c r="K239" s="61">
        <f>31+7.7</f>
        <v>38.700000000000003</v>
      </c>
      <c r="L239" s="59">
        <f>41.86-L237</f>
        <v>19.381600000000002</v>
      </c>
    </row>
    <row r="240" spans="1:12" ht="14.25" customHeight="1">
      <c r="A240" s="1845"/>
      <c r="B240" s="1828"/>
      <c r="C240" s="64"/>
      <c r="D240" s="64"/>
      <c r="E240" s="64"/>
      <c r="F240" s="64"/>
      <c r="G240" s="64"/>
      <c r="H240" s="59"/>
      <c r="I240" s="60"/>
      <c r="J240" s="60"/>
      <c r="K240" s="61"/>
      <c r="L240" s="182"/>
    </row>
    <row r="241" spans="1:9" ht="14.25" customHeight="1">
      <c r="A241" s="1845"/>
      <c r="B241" s="1828"/>
      <c r="C241" s="64"/>
      <c r="D241" s="64"/>
      <c r="E241" s="64"/>
      <c r="F241" s="64"/>
      <c r="G241" s="64"/>
      <c r="H241" s="59"/>
      <c r="I241" s="183"/>
    </row>
    <row r="242" spans="1:9" ht="14.25" customHeight="1">
      <c r="A242" s="1845"/>
      <c r="B242" s="1828"/>
      <c r="C242" s="64"/>
      <c r="D242" s="64"/>
      <c r="E242" s="64"/>
      <c r="F242" s="64"/>
      <c r="G242" s="64"/>
      <c r="H242" s="59"/>
      <c r="I242" s="60"/>
    </row>
    <row r="243" spans="1:9" ht="14.25" customHeight="1">
      <c r="A243" s="1845"/>
      <c r="B243" s="1828"/>
      <c r="C243" s="64"/>
      <c r="D243" s="64"/>
      <c r="E243" s="64"/>
      <c r="F243" s="64"/>
      <c r="G243" s="64"/>
      <c r="H243" s="59"/>
      <c r="I243" s="60"/>
    </row>
    <row r="244" spans="1:9" ht="14.25" customHeight="1">
      <c r="A244" s="1845"/>
      <c r="B244" s="1828"/>
      <c r="C244" s="64"/>
      <c r="D244" s="64"/>
      <c r="E244" s="64"/>
      <c r="F244" s="64"/>
      <c r="G244" s="64"/>
      <c r="H244" s="59"/>
      <c r="I244" s="60"/>
    </row>
    <row r="245" spans="1:9" ht="14.25" customHeight="1">
      <c r="A245" s="1829" t="s">
        <v>227</v>
      </c>
      <c r="B245" s="1830"/>
      <c r="C245" s="1830"/>
      <c r="D245" s="1830"/>
      <c r="E245" s="1830"/>
      <c r="F245" s="1828"/>
      <c r="G245" s="65"/>
      <c r="H245" s="59"/>
      <c r="I245" s="60"/>
    </row>
    <row r="246" spans="1:9" ht="14.25" customHeight="1">
      <c r="A246" s="1837"/>
      <c r="B246" s="1838"/>
      <c r="C246" s="1838"/>
      <c r="D246" s="1838"/>
      <c r="E246" s="1838"/>
      <c r="F246" s="1838"/>
      <c r="G246" s="1839"/>
      <c r="H246" s="59"/>
      <c r="I246" s="60"/>
    </row>
    <row r="247" spans="1:9" ht="14.25" customHeight="1">
      <c r="A247" s="66" t="s">
        <v>232</v>
      </c>
      <c r="B247" s="1832" t="str">
        <f>+B235</f>
        <v>CONCRETOS</v>
      </c>
      <c r="C247" s="1830"/>
      <c r="D247" s="1828"/>
      <c r="E247" s="1833" t="s">
        <v>218</v>
      </c>
      <c r="F247" s="1828"/>
      <c r="G247" s="62" t="s">
        <v>228</v>
      </c>
      <c r="H247" s="59"/>
      <c r="I247" s="60"/>
    </row>
    <row r="248" spans="1:9" ht="14.25" customHeight="1">
      <c r="A248" s="66" t="s">
        <v>637</v>
      </c>
      <c r="B248" s="1840" t="s">
        <v>638</v>
      </c>
      <c r="C248" s="1830"/>
      <c r="D248" s="1830"/>
      <c r="E248" s="1830"/>
      <c r="F248" s="1830"/>
      <c r="G248" s="1828"/>
      <c r="H248" s="59"/>
      <c r="I248" s="60">
        <v>19.09</v>
      </c>
    </row>
    <row r="249" spans="1:9" ht="14.25" customHeight="1">
      <c r="A249" s="1836" t="s">
        <v>220</v>
      </c>
      <c r="B249" s="1830"/>
      <c r="C249" s="1830"/>
      <c r="D249" s="1830"/>
      <c r="E249" s="1830"/>
      <c r="F249" s="1830"/>
      <c r="G249" s="1828"/>
      <c r="H249" s="59"/>
      <c r="I249" s="60">
        <v>9.0500000000000007</v>
      </c>
    </row>
    <row r="250" spans="1:9" ht="14.25" customHeight="1">
      <c r="A250" s="1829" t="s">
        <v>221</v>
      </c>
      <c r="B250" s="1828"/>
      <c r="C250" s="63" t="s">
        <v>222</v>
      </c>
      <c r="D250" s="63" t="s">
        <v>223</v>
      </c>
      <c r="E250" s="63" t="s">
        <v>224</v>
      </c>
      <c r="F250" s="63" t="s">
        <v>225</v>
      </c>
      <c r="G250" s="63" t="s">
        <v>226</v>
      </c>
      <c r="H250" s="59"/>
      <c r="I250" s="183">
        <f>SUM(I248:I249)</f>
        <v>28.14</v>
      </c>
    </row>
    <row r="251" spans="1:9" ht="14.25" customHeight="1">
      <c r="A251" s="1847"/>
      <c r="B251" s="1828"/>
      <c r="C251" s="64"/>
      <c r="D251" s="64"/>
      <c r="E251" s="64"/>
      <c r="F251" s="64"/>
      <c r="G251" s="64"/>
      <c r="H251" s="59"/>
      <c r="I251" s="60"/>
    </row>
    <row r="252" spans="1:9" ht="14.25" customHeight="1">
      <c r="A252" s="1845"/>
      <c r="B252" s="1828"/>
      <c r="C252" s="64"/>
      <c r="D252" s="64"/>
      <c r="E252" s="64"/>
      <c r="F252" s="64"/>
      <c r="G252" s="64"/>
      <c r="H252" s="59"/>
      <c r="I252" s="60"/>
    </row>
    <row r="253" spans="1:9" ht="14.25" customHeight="1">
      <c r="A253" s="1845"/>
      <c r="B253" s="1828"/>
      <c r="C253" s="64"/>
      <c r="D253" s="64"/>
      <c r="E253" s="64"/>
      <c r="F253" s="64"/>
      <c r="G253" s="64"/>
      <c r="H253" s="59"/>
      <c r="I253" s="60"/>
    </row>
    <row r="254" spans="1:9" ht="15" customHeight="1">
      <c r="A254" s="1845"/>
      <c r="B254" s="1828"/>
      <c r="C254" s="64"/>
      <c r="D254" s="64"/>
      <c r="E254" s="64"/>
      <c r="F254" s="64"/>
      <c r="G254" s="64"/>
      <c r="H254" s="59"/>
      <c r="I254" s="60"/>
    </row>
    <row r="255" spans="1:9" ht="14.25" customHeight="1">
      <c r="A255" s="1847" t="s">
        <v>699</v>
      </c>
      <c r="B255" s="1828"/>
      <c r="C255" s="64"/>
      <c r="D255" s="64"/>
      <c r="E255" s="64"/>
      <c r="F255" s="64"/>
      <c r="G255" s="64"/>
      <c r="H255" s="59"/>
      <c r="I255" s="60"/>
    </row>
    <row r="256" spans="1:9" ht="14.25" customHeight="1">
      <c r="A256" s="1845" t="s">
        <v>960</v>
      </c>
      <c r="B256" s="1828"/>
      <c r="C256" s="64"/>
      <c r="D256" s="64"/>
      <c r="E256" s="64"/>
      <c r="F256" s="64">
        <f>1047.47+97.93</f>
        <v>1145.4000000000001</v>
      </c>
      <c r="G256" s="64">
        <f t="shared" ref="G256:G258" si="15">+F256</f>
        <v>1145.4000000000001</v>
      </c>
      <c r="H256" s="59"/>
      <c r="I256" s="60"/>
    </row>
    <row r="257" spans="1:12" ht="14.25" customHeight="1">
      <c r="A257" s="1845" t="s">
        <v>961</v>
      </c>
      <c r="B257" s="1828"/>
      <c r="C257" s="64"/>
      <c r="D257" s="64"/>
      <c r="E257" s="64"/>
      <c r="F257" s="64">
        <f>109.04+1781.76</f>
        <v>1890.8</v>
      </c>
      <c r="G257" s="64">
        <f t="shared" si="15"/>
        <v>1890.8</v>
      </c>
      <c r="H257" s="59"/>
      <c r="I257" s="60"/>
      <c r="J257" s="60"/>
      <c r="K257" s="61"/>
      <c r="L257" s="59"/>
    </row>
    <row r="258" spans="1:12" ht="15" customHeight="1">
      <c r="A258" s="1845" t="s">
        <v>962</v>
      </c>
      <c r="B258" s="1828"/>
      <c r="C258" s="64"/>
      <c r="D258" s="64"/>
      <c r="E258" s="64"/>
      <c r="F258" s="64">
        <f>328.08+109.04</f>
        <v>437.12</v>
      </c>
      <c r="G258" s="64">
        <f t="shared" si="15"/>
        <v>437.12</v>
      </c>
      <c r="H258" s="59"/>
      <c r="I258" s="60"/>
      <c r="J258" s="60"/>
      <c r="K258" s="61"/>
      <c r="L258" s="59"/>
    </row>
    <row r="259" spans="1:12" ht="14.25" customHeight="1">
      <c r="A259" s="1845"/>
      <c r="B259" s="1828"/>
      <c r="C259" s="184"/>
      <c r="D259" s="64"/>
      <c r="E259" s="64"/>
      <c r="F259" s="64"/>
      <c r="G259" s="64"/>
      <c r="H259" s="59"/>
      <c r="I259" s="60"/>
      <c r="J259" s="60"/>
      <c r="K259" s="61"/>
      <c r="L259" s="59"/>
    </row>
    <row r="260" spans="1:12" ht="14.25" customHeight="1">
      <c r="A260" s="1845"/>
      <c r="B260" s="1828"/>
      <c r="C260" s="64"/>
      <c r="D260" s="64"/>
      <c r="E260" s="64"/>
      <c r="F260" s="64"/>
      <c r="G260" s="64"/>
      <c r="H260" s="59"/>
      <c r="I260" s="60"/>
      <c r="J260" s="60"/>
      <c r="K260" s="61"/>
      <c r="L260" s="59"/>
    </row>
    <row r="261" spans="1:12" ht="14.25" customHeight="1">
      <c r="A261" s="1829" t="s">
        <v>227</v>
      </c>
      <c r="B261" s="1830"/>
      <c r="C261" s="1830"/>
      <c r="D261" s="1830"/>
      <c r="E261" s="1830"/>
      <c r="F261" s="1828"/>
      <c r="G261" s="65">
        <f>SUM(G251:G260)</f>
        <v>3473.3199999999997</v>
      </c>
      <c r="H261" s="59"/>
      <c r="I261" s="60"/>
      <c r="J261" s="60"/>
      <c r="K261" s="61"/>
      <c r="L261" s="59"/>
    </row>
    <row r="262" spans="1:12" ht="14.25" customHeight="1">
      <c r="A262" s="1837"/>
      <c r="B262" s="1838"/>
      <c r="C262" s="1838"/>
      <c r="D262" s="1838"/>
      <c r="E262" s="1838"/>
      <c r="F262" s="1838"/>
      <c r="G262" s="1839"/>
      <c r="H262" s="59"/>
      <c r="I262" s="60"/>
      <c r="J262" s="60"/>
      <c r="K262" s="61"/>
      <c r="L262" s="59"/>
    </row>
    <row r="263" spans="1:12" ht="14.25" customHeight="1">
      <c r="A263" s="66" t="s">
        <v>232</v>
      </c>
      <c r="B263" s="1832" t="str">
        <f>+B247</f>
        <v>CONCRETOS</v>
      </c>
      <c r="C263" s="1830"/>
      <c r="D263" s="1828"/>
      <c r="E263" s="1833" t="s">
        <v>218</v>
      </c>
      <c r="F263" s="1828"/>
      <c r="G263" s="62" t="s">
        <v>116</v>
      </c>
      <c r="H263" s="59"/>
      <c r="I263" s="60"/>
      <c r="J263" s="60"/>
      <c r="K263" s="61"/>
      <c r="L263" s="59"/>
    </row>
    <row r="264" spans="1:12" ht="14.25" customHeight="1">
      <c r="A264" s="66" t="s">
        <v>642</v>
      </c>
      <c r="B264" s="1840" t="s">
        <v>643</v>
      </c>
      <c r="C264" s="1830"/>
      <c r="D264" s="1830"/>
      <c r="E264" s="1830"/>
      <c r="F264" s="1830"/>
      <c r="G264" s="1828"/>
      <c r="H264" s="59"/>
      <c r="I264" s="60"/>
      <c r="J264" s="60"/>
      <c r="K264" s="61"/>
      <c r="L264" s="59"/>
    </row>
    <row r="265" spans="1:12" ht="14.25" customHeight="1">
      <c r="A265" s="1836" t="s">
        <v>220</v>
      </c>
      <c r="B265" s="1830"/>
      <c r="C265" s="1830"/>
      <c r="D265" s="1830"/>
      <c r="E265" s="1830"/>
      <c r="F265" s="1830"/>
      <c r="G265" s="1828"/>
      <c r="H265" s="59"/>
      <c r="I265" s="60">
        <v>11.43</v>
      </c>
      <c r="J265" s="60"/>
      <c r="K265" s="61"/>
      <c r="L265" s="59"/>
    </row>
    <row r="266" spans="1:12" ht="14.25" customHeight="1">
      <c r="A266" s="1829" t="s">
        <v>221</v>
      </c>
      <c r="B266" s="1828"/>
      <c r="C266" s="63" t="s">
        <v>644</v>
      </c>
      <c r="D266" s="63" t="s">
        <v>223</v>
      </c>
      <c r="E266" s="63" t="s">
        <v>224</v>
      </c>
      <c r="F266" s="63" t="s">
        <v>225</v>
      </c>
      <c r="G266" s="63" t="s">
        <v>226</v>
      </c>
      <c r="H266" s="59"/>
      <c r="I266" s="60">
        <v>12.13</v>
      </c>
      <c r="J266" s="60"/>
      <c r="K266" s="61"/>
      <c r="L266" s="59"/>
    </row>
    <row r="267" spans="1:12" ht="14.25" customHeight="1">
      <c r="A267" s="1845" t="s">
        <v>645</v>
      </c>
      <c r="B267" s="1828"/>
      <c r="C267" s="184">
        <v>2.823</v>
      </c>
      <c r="D267" s="64">
        <v>1.35</v>
      </c>
      <c r="E267" s="64"/>
      <c r="F267" s="64">
        <v>6</v>
      </c>
      <c r="G267" s="64">
        <f t="shared" ref="G267:G269" si="16">+F267*C267*D267</f>
        <v>22.866299999999999</v>
      </c>
      <c r="H267" s="59"/>
      <c r="I267" s="183">
        <f>SUM(I265:I266)</f>
        <v>23.560000000000002</v>
      </c>
      <c r="J267" s="60"/>
      <c r="K267" s="61">
        <f>+I267+I250+I241+G233+G221+G207+G196+G186+G163</f>
        <v>271.42</v>
      </c>
      <c r="L267" s="59"/>
    </row>
    <row r="268" spans="1:12" ht="14.25" customHeight="1">
      <c r="A268" s="1845" t="s">
        <v>646</v>
      </c>
      <c r="B268" s="1828"/>
      <c r="C268" s="64">
        <f>5.3+1.4</f>
        <v>6.6999999999999993</v>
      </c>
      <c r="D268" s="64">
        <v>1.81</v>
      </c>
      <c r="E268" s="64"/>
      <c r="F268" s="64">
        <v>1</v>
      </c>
      <c r="G268" s="64">
        <f t="shared" si="16"/>
        <v>12.126999999999999</v>
      </c>
      <c r="H268" s="59"/>
      <c r="I268" s="60"/>
      <c r="J268" s="60"/>
      <c r="K268" s="61">
        <f>+K267*655000</f>
        <v>177780100</v>
      </c>
      <c r="L268" s="59"/>
    </row>
    <row r="269" spans="1:12" ht="14.25" customHeight="1">
      <c r="A269" s="1845" t="s">
        <v>647</v>
      </c>
      <c r="B269" s="1828"/>
      <c r="C269" s="64">
        <f>1.28+1.25</f>
        <v>2.5300000000000002</v>
      </c>
      <c r="D269" s="64">
        <v>1.25</v>
      </c>
      <c r="E269" s="64"/>
      <c r="F269" s="64">
        <v>1</v>
      </c>
      <c r="G269" s="64">
        <f t="shared" si="16"/>
        <v>3.1625000000000005</v>
      </c>
      <c r="H269" s="59"/>
      <c r="I269" s="60"/>
      <c r="J269" s="60"/>
      <c r="K269" s="61">
        <f>+G154*35000</f>
        <v>7638050</v>
      </c>
      <c r="L269" s="59"/>
    </row>
    <row r="270" spans="1:12" ht="15" customHeight="1">
      <c r="A270" s="1845"/>
      <c r="B270" s="1828"/>
      <c r="C270" s="64"/>
      <c r="D270" s="64"/>
      <c r="E270" s="64"/>
      <c r="F270" s="64"/>
      <c r="G270" s="64"/>
      <c r="H270" s="59"/>
      <c r="I270" s="60"/>
      <c r="J270" s="60"/>
      <c r="K270" s="61">
        <f>+ROUND(K269+K268,0)</f>
        <v>185418150</v>
      </c>
      <c r="L270" s="59" t="s">
        <v>648</v>
      </c>
    </row>
    <row r="271" spans="1:12" ht="14.25" customHeight="1">
      <c r="A271" s="1845"/>
      <c r="B271" s="1828"/>
      <c r="C271" s="64"/>
      <c r="D271" s="64"/>
      <c r="E271" s="64"/>
      <c r="F271" s="64"/>
      <c r="G271" s="64"/>
      <c r="H271" s="59"/>
      <c r="I271" s="60"/>
      <c r="J271" s="60"/>
      <c r="K271" s="61"/>
      <c r="L271" s="59"/>
    </row>
    <row r="272" spans="1:12" ht="14.25" customHeight="1">
      <c r="A272" s="1829" t="s">
        <v>227</v>
      </c>
      <c r="B272" s="1830"/>
      <c r="C272" s="1830"/>
      <c r="D272" s="1830"/>
      <c r="E272" s="1830"/>
      <c r="F272" s="1828"/>
      <c r="G272" s="65"/>
      <c r="H272" s="59"/>
      <c r="I272" s="60"/>
      <c r="J272" s="60"/>
      <c r="K272" s="61">
        <v>204977.23950000003</v>
      </c>
      <c r="L272" s="59"/>
    </row>
    <row r="273" spans="1:12" ht="14.25" customHeight="1">
      <c r="A273" s="1837"/>
      <c r="B273" s="1838"/>
      <c r="C273" s="1838"/>
      <c r="D273" s="1838"/>
      <c r="E273" s="1838"/>
      <c r="F273" s="1838"/>
      <c r="G273" s="1839"/>
      <c r="H273" s="59"/>
      <c r="I273" s="60"/>
      <c r="J273" s="60"/>
      <c r="K273" s="61">
        <f>+ROUND(K272*4050,0)</f>
        <v>830157820</v>
      </c>
      <c r="L273" s="59" t="s">
        <v>649</v>
      </c>
    </row>
    <row r="274" spans="1:12" ht="14.25" customHeight="1">
      <c r="A274" s="1837"/>
      <c r="B274" s="1838"/>
      <c r="C274" s="1838"/>
      <c r="D274" s="1838"/>
      <c r="E274" s="1838"/>
      <c r="F274" s="1838"/>
      <c r="G274" s="1839"/>
      <c r="H274" s="59"/>
      <c r="I274" s="60"/>
      <c r="J274" s="60"/>
      <c r="K274" s="61"/>
      <c r="L274" s="59"/>
    </row>
    <row r="275" spans="1:12" ht="14.25" customHeight="1">
      <c r="A275" s="66" t="s">
        <v>232</v>
      </c>
      <c r="B275" s="1832" t="str">
        <f>+B263</f>
        <v>CONCRETOS</v>
      </c>
      <c r="C275" s="1830"/>
      <c r="D275" s="1828"/>
      <c r="E275" s="1833" t="s">
        <v>218</v>
      </c>
      <c r="F275" s="1828"/>
      <c r="G275" s="62" t="s">
        <v>228</v>
      </c>
      <c r="H275" s="59"/>
      <c r="I275" s="60"/>
      <c r="J275" s="60"/>
      <c r="K275" s="61"/>
      <c r="L275" s="59"/>
    </row>
    <row r="276" spans="1:12" ht="33.75" customHeight="1">
      <c r="A276" s="66" t="s">
        <v>650</v>
      </c>
      <c r="B276" s="1840" t="s">
        <v>651</v>
      </c>
      <c r="C276" s="1830"/>
      <c r="D276" s="1830"/>
      <c r="E276" s="1830"/>
      <c r="F276" s="1830"/>
      <c r="G276" s="1828"/>
      <c r="H276" s="59"/>
      <c r="I276" s="60"/>
      <c r="J276" s="60"/>
      <c r="K276" s="61"/>
      <c r="L276" s="59"/>
    </row>
    <row r="277" spans="1:12" ht="14.25" customHeight="1">
      <c r="A277" s="1836" t="s">
        <v>220</v>
      </c>
      <c r="B277" s="1830"/>
      <c r="C277" s="1830"/>
      <c r="D277" s="1830"/>
      <c r="E277" s="1830"/>
      <c r="F277" s="1830"/>
      <c r="G277" s="1828"/>
      <c r="H277" s="59"/>
      <c r="I277" s="60"/>
      <c r="J277" s="60"/>
      <c r="K277" s="61">
        <f>62+31.66</f>
        <v>93.66</v>
      </c>
      <c r="L277" s="59">
        <f>+K277*0.4*0.6</f>
        <v>22.478399999999997</v>
      </c>
    </row>
    <row r="278" spans="1:12" ht="14.25" customHeight="1">
      <c r="A278" s="1829" t="s">
        <v>221</v>
      </c>
      <c r="B278" s="1828"/>
      <c r="C278" s="63" t="s">
        <v>222</v>
      </c>
      <c r="D278" s="63" t="s">
        <v>223</v>
      </c>
      <c r="E278" s="63" t="s">
        <v>224</v>
      </c>
      <c r="F278" s="63" t="s">
        <v>225</v>
      </c>
      <c r="G278" s="63" t="s">
        <v>226</v>
      </c>
      <c r="H278" s="59"/>
      <c r="I278" s="60"/>
      <c r="J278" s="60"/>
      <c r="K278" s="61"/>
      <c r="L278" s="181">
        <f>+K279+L277</f>
        <v>61.178399999999996</v>
      </c>
    </row>
    <row r="279" spans="1:12" ht="14.25" customHeight="1">
      <c r="A279" s="1845" t="s">
        <v>652</v>
      </c>
      <c r="B279" s="1828"/>
      <c r="C279" s="64">
        <v>209.4</v>
      </c>
      <c r="D279" s="64"/>
      <c r="E279" s="64"/>
      <c r="F279" s="64"/>
      <c r="G279" s="64">
        <f>+C279-F279</f>
        <v>209.4</v>
      </c>
      <c r="H279" s="59"/>
      <c r="I279" s="60">
        <f>+(41.86+35.74+8.19+54.21+55.19)*2</f>
        <v>390.38</v>
      </c>
      <c r="J279" s="60"/>
      <c r="K279" s="61">
        <f>31+7.7</f>
        <v>38.700000000000003</v>
      </c>
      <c r="L279" s="59">
        <f>41.86-L277</f>
        <v>19.381600000000002</v>
      </c>
    </row>
    <row r="280" spans="1:12" ht="14.25" customHeight="1">
      <c r="A280" s="1845"/>
      <c r="B280" s="1828"/>
      <c r="C280" s="64"/>
      <c r="D280" s="64"/>
      <c r="E280" s="64"/>
      <c r="F280" s="64"/>
      <c r="G280" s="64"/>
      <c r="H280" s="59"/>
      <c r="I280" s="60"/>
      <c r="J280" s="60"/>
      <c r="K280" s="61"/>
      <c r="L280" s="182"/>
    </row>
    <row r="281" spans="1:12" ht="14.25" customHeight="1">
      <c r="A281" s="1845"/>
      <c r="B281" s="1828"/>
      <c r="C281" s="64"/>
      <c r="D281" s="64"/>
      <c r="E281" s="64"/>
      <c r="F281" s="64"/>
      <c r="G281" s="64"/>
      <c r="H281" s="59"/>
      <c r="I281" s="183"/>
      <c r="J281" s="60"/>
      <c r="K281" s="61"/>
      <c r="L281" s="59"/>
    </row>
    <row r="282" spans="1:12" ht="14.25" customHeight="1">
      <c r="A282" s="1845"/>
      <c r="B282" s="1828"/>
      <c r="C282" s="64"/>
      <c r="D282" s="64"/>
      <c r="E282" s="64"/>
      <c r="F282" s="64"/>
      <c r="G282" s="64"/>
      <c r="H282" s="59"/>
      <c r="I282" s="60"/>
      <c r="J282" s="60"/>
      <c r="K282" s="61"/>
      <c r="L282" s="59"/>
    </row>
    <row r="283" spans="1:12" ht="14.25" customHeight="1">
      <c r="A283" s="1845"/>
      <c r="B283" s="1828"/>
      <c r="C283" s="64"/>
      <c r="D283" s="64"/>
      <c r="E283" s="64"/>
      <c r="F283" s="64"/>
      <c r="G283" s="64"/>
      <c r="H283" s="59"/>
      <c r="I283" s="60"/>
      <c r="J283" s="60"/>
      <c r="K283" s="61"/>
      <c r="L283" s="59"/>
    </row>
    <row r="284" spans="1:12" ht="14.25" customHeight="1">
      <c r="A284" s="1829" t="s">
        <v>227</v>
      </c>
      <c r="B284" s="1830"/>
      <c r="C284" s="1830"/>
      <c r="D284" s="1830"/>
      <c r="E284" s="1830"/>
      <c r="F284" s="1828"/>
      <c r="G284" s="65"/>
      <c r="H284" s="59"/>
      <c r="I284" s="60"/>
      <c r="J284" s="60"/>
      <c r="K284" s="61"/>
      <c r="L284" s="59"/>
    </row>
    <row r="285" spans="1:12" ht="14.25" customHeight="1">
      <c r="A285" s="1831"/>
      <c r="B285" s="1830"/>
      <c r="C285" s="1830"/>
      <c r="D285" s="1830"/>
      <c r="E285" s="1830"/>
      <c r="F285" s="1830"/>
      <c r="G285" s="1828"/>
      <c r="H285" s="59"/>
      <c r="I285" s="60"/>
      <c r="J285" s="60"/>
      <c r="K285" s="61"/>
      <c r="L285" s="59"/>
    </row>
    <row r="286" spans="1:12" ht="14.25" customHeight="1">
      <c r="A286" s="66" t="s">
        <v>240</v>
      </c>
      <c r="B286" s="1832" t="s">
        <v>392</v>
      </c>
      <c r="C286" s="1830"/>
      <c r="D286" s="1828"/>
      <c r="E286" s="1833" t="s">
        <v>218</v>
      </c>
      <c r="F286" s="1828"/>
      <c r="G286" s="62" t="s">
        <v>171</v>
      </c>
      <c r="H286" s="59"/>
      <c r="I286" s="60"/>
      <c r="J286" s="60"/>
      <c r="K286" s="61" t="e">
        <f>+#REF!*0.07</f>
        <v>#REF!</v>
      </c>
      <c r="L286" s="59"/>
    </row>
    <row r="287" spans="1:12" ht="39" customHeight="1">
      <c r="A287" s="66" t="s">
        <v>241</v>
      </c>
      <c r="B287" s="1832" t="s">
        <v>653</v>
      </c>
      <c r="C287" s="1830"/>
      <c r="D287" s="1830"/>
      <c r="E287" s="1830"/>
      <c r="F287" s="1830"/>
      <c r="G287" s="1828"/>
      <c r="H287" s="59"/>
      <c r="I287" s="60"/>
      <c r="J287" s="60"/>
      <c r="K287" s="61"/>
      <c r="L287" s="59"/>
    </row>
    <row r="288" spans="1:12" ht="14.25" customHeight="1">
      <c r="A288" s="1836" t="s">
        <v>220</v>
      </c>
      <c r="B288" s="1830"/>
      <c r="C288" s="1830"/>
      <c r="D288" s="1830"/>
      <c r="E288" s="1830"/>
      <c r="F288" s="1830"/>
      <c r="G288" s="1828"/>
      <c r="H288" s="59"/>
      <c r="I288" s="60"/>
      <c r="J288" s="60"/>
      <c r="K288" s="61"/>
      <c r="L288" s="59"/>
    </row>
    <row r="289" spans="1:11" ht="14.25" customHeight="1">
      <c r="A289" s="185" t="s">
        <v>376</v>
      </c>
      <c r="B289" s="1853" t="s">
        <v>654</v>
      </c>
      <c r="C289" s="1830"/>
      <c r="D289" s="1828"/>
      <c r="E289" s="186"/>
      <c r="F289" s="186"/>
      <c r="G289" s="186"/>
      <c r="H289" s="59"/>
      <c r="I289" s="60"/>
      <c r="J289" s="60"/>
      <c r="K289" s="61"/>
    </row>
    <row r="290" spans="1:11" ht="14.25" customHeight="1">
      <c r="A290" s="187" t="s">
        <v>655</v>
      </c>
      <c r="B290" s="63" t="s">
        <v>656</v>
      </c>
      <c r="C290" s="63" t="s">
        <v>657</v>
      </c>
      <c r="D290" s="63" t="s">
        <v>658</v>
      </c>
      <c r="E290" s="63" t="s">
        <v>659</v>
      </c>
      <c r="F290" s="63" t="s">
        <v>660</v>
      </c>
      <c r="G290" s="63" t="s">
        <v>661</v>
      </c>
      <c r="H290" s="59"/>
      <c r="I290" s="60"/>
      <c r="J290" s="60"/>
      <c r="K290" s="61"/>
    </row>
    <row r="291" spans="1:11" ht="14.25" customHeight="1">
      <c r="A291" s="188"/>
      <c r="B291" s="68"/>
      <c r="C291" s="64"/>
      <c r="D291" s="64"/>
      <c r="E291" s="189"/>
      <c r="F291" s="64"/>
      <c r="G291" s="64"/>
      <c r="H291" s="59"/>
      <c r="I291" s="60"/>
      <c r="J291" s="60"/>
      <c r="K291" s="61"/>
    </row>
    <row r="292" spans="1:11" ht="14.25" customHeight="1">
      <c r="A292" s="68" t="s">
        <v>699</v>
      </c>
      <c r="B292" s="68"/>
      <c r="C292" s="64"/>
      <c r="D292" s="64"/>
      <c r="E292" s="189"/>
      <c r="F292" s="64"/>
      <c r="G292" s="64" t="e">
        <v>#REF!</v>
      </c>
      <c r="H292" s="59"/>
      <c r="I292" s="60"/>
      <c r="J292" s="60"/>
      <c r="K292" s="61"/>
    </row>
    <row r="293" spans="1:11" ht="14.25" customHeight="1">
      <c r="A293" s="68"/>
      <c r="B293" s="68"/>
      <c r="C293" s="64"/>
      <c r="D293" s="64"/>
      <c r="E293" s="189"/>
      <c r="F293" s="64"/>
      <c r="G293" s="64"/>
      <c r="H293" s="59"/>
      <c r="I293" s="60"/>
      <c r="J293" s="60"/>
      <c r="K293" s="61"/>
    </row>
    <row r="294" spans="1:11" ht="14.25" customHeight="1">
      <c r="A294" s="1829" t="s">
        <v>227</v>
      </c>
      <c r="B294" s="1830"/>
      <c r="C294" s="1830"/>
      <c r="D294" s="1830"/>
      <c r="E294" s="1830"/>
      <c r="F294" s="1828"/>
      <c r="G294" s="65" t="e">
        <f>ROUND(SUM(G291:G293),2)</f>
        <v>#REF!</v>
      </c>
      <c r="H294" s="59"/>
      <c r="I294" s="60"/>
      <c r="J294" s="60"/>
      <c r="K294" s="61"/>
    </row>
    <row r="295" spans="1:11" ht="14.25" customHeight="1">
      <c r="A295" s="1831"/>
      <c r="B295" s="1830"/>
      <c r="C295" s="1830"/>
      <c r="D295" s="1830"/>
      <c r="E295" s="1830"/>
      <c r="F295" s="1830"/>
      <c r="G295" s="1828"/>
      <c r="H295" s="59"/>
      <c r="I295" s="60"/>
      <c r="J295" s="60"/>
      <c r="K295" s="61"/>
    </row>
    <row r="296" spans="1:11" ht="14.25" customHeight="1">
      <c r="A296" s="66" t="s">
        <v>240</v>
      </c>
      <c r="B296" s="1832" t="s">
        <v>392</v>
      </c>
      <c r="C296" s="1830"/>
      <c r="D296" s="1828"/>
      <c r="E296" s="1833" t="s">
        <v>218</v>
      </c>
      <c r="F296" s="1828"/>
      <c r="G296" s="62" t="s">
        <v>171</v>
      </c>
      <c r="H296" s="59"/>
      <c r="I296" s="60"/>
      <c r="J296" s="60"/>
      <c r="K296" s="61" t="e">
        <f>+#REF!*0.07</f>
        <v>#REF!</v>
      </c>
    </row>
    <row r="297" spans="1:11" ht="39" customHeight="1">
      <c r="A297" s="66" t="s">
        <v>243</v>
      </c>
      <c r="B297" s="1832" t="s">
        <v>662</v>
      </c>
      <c r="C297" s="1830"/>
      <c r="D297" s="1830"/>
      <c r="E297" s="1830"/>
      <c r="F297" s="1830"/>
      <c r="G297" s="1828"/>
      <c r="H297" s="59"/>
      <c r="I297" s="60"/>
      <c r="J297" s="60"/>
      <c r="K297" s="61"/>
    </row>
    <row r="298" spans="1:11" ht="14.25" customHeight="1">
      <c r="A298" s="1836" t="s">
        <v>220</v>
      </c>
      <c r="B298" s="1830"/>
      <c r="C298" s="1830"/>
      <c r="D298" s="1830"/>
      <c r="E298" s="1830"/>
      <c r="F298" s="1830"/>
      <c r="G298" s="1828"/>
      <c r="H298" s="59"/>
      <c r="I298" s="60"/>
      <c r="J298" s="60"/>
      <c r="K298" s="61"/>
    </row>
    <row r="299" spans="1:11" ht="14.25" customHeight="1">
      <c r="A299" s="185" t="s">
        <v>376</v>
      </c>
      <c r="B299" s="1853" t="s">
        <v>654</v>
      </c>
      <c r="C299" s="1830"/>
      <c r="D299" s="1828"/>
      <c r="E299" s="186"/>
      <c r="F299" s="186"/>
      <c r="G299" s="186"/>
      <c r="H299" s="59"/>
      <c r="I299" s="60"/>
      <c r="J299" s="60"/>
      <c r="K299" s="61"/>
    </row>
    <row r="300" spans="1:11" ht="14.25" customHeight="1">
      <c r="A300" s="187" t="s">
        <v>655</v>
      </c>
      <c r="B300" s="63" t="s">
        <v>656</v>
      </c>
      <c r="C300" s="63" t="s">
        <v>657</v>
      </c>
      <c r="D300" s="63" t="s">
        <v>658</v>
      </c>
      <c r="E300" s="63" t="s">
        <v>659</v>
      </c>
      <c r="F300" s="63" t="s">
        <v>660</v>
      </c>
      <c r="G300" s="63" t="s">
        <v>661</v>
      </c>
      <c r="H300" s="59"/>
      <c r="I300" s="60"/>
      <c r="J300" s="60"/>
      <c r="K300" s="61"/>
    </row>
    <row r="301" spans="1:11" ht="14.25" customHeight="1">
      <c r="A301" s="188"/>
      <c r="B301" s="68"/>
      <c r="C301" s="64"/>
      <c r="D301" s="64"/>
      <c r="E301" s="189"/>
      <c r="F301" s="64"/>
      <c r="G301" s="64"/>
      <c r="H301" s="59"/>
      <c r="I301" s="60"/>
      <c r="J301" s="60"/>
      <c r="K301" s="61"/>
    </row>
    <row r="302" spans="1:11" ht="14.25" customHeight="1">
      <c r="A302" s="68"/>
      <c r="B302" s="68"/>
      <c r="C302" s="64"/>
      <c r="D302" s="64"/>
      <c r="E302" s="189"/>
      <c r="F302" s="64"/>
      <c r="G302" s="64"/>
      <c r="H302" s="59"/>
      <c r="I302" s="60"/>
      <c r="J302" s="60"/>
      <c r="K302" s="61"/>
    </row>
    <row r="303" spans="1:11" ht="14.25" customHeight="1">
      <c r="A303" s="68" t="s">
        <v>699</v>
      </c>
      <c r="B303" s="68"/>
      <c r="C303" s="64"/>
      <c r="D303" s="64"/>
      <c r="E303" s="189"/>
      <c r="F303" s="64"/>
      <c r="G303" s="64" t="e">
        <v>#REF!</v>
      </c>
      <c r="H303" s="59"/>
      <c r="I303" s="60"/>
      <c r="J303" s="60"/>
      <c r="K303" s="61"/>
    </row>
    <row r="305" spans="1:11" ht="14.25" customHeight="1">
      <c r="A305" s="1829" t="s">
        <v>227</v>
      </c>
      <c r="B305" s="1830"/>
      <c r="C305" s="1830"/>
      <c r="D305" s="1830"/>
      <c r="E305" s="1830"/>
      <c r="F305" s="1828"/>
      <c r="G305" s="65" t="e">
        <f>ROUND(SUM(G301:G304),2)</f>
        <v>#REF!</v>
      </c>
      <c r="H305" s="59"/>
      <c r="I305" s="60"/>
      <c r="J305" s="60"/>
      <c r="K305" s="61"/>
    </row>
    <row r="306" spans="1:11" ht="14.25" customHeight="1">
      <c r="A306" s="1831"/>
      <c r="B306" s="1830"/>
      <c r="C306" s="1830"/>
      <c r="D306" s="1830"/>
      <c r="E306" s="1830"/>
      <c r="F306" s="1830"/>
      <c r="G306" s="1828"/>
      <c r="H306" s="59"/>
      <c r="I306" s="60"/>
      <c r="J306" s="60"/>
      <c r="K306" s="61"/>
    </row>
    <row r="307" spans="1:11" ht="14.25" customHeight="1">
      <c r="A307" s="66" t="s">
        <v>240</v>
      </c>
      <c r="B307" s="1832" t="s">
        <v>392</v>
      </c>
      <c r="C307" s="1830"/>
      <c r="D307" s="1828"/>
      <c r="E307" s="1833" t="s">
        <v>218</v>
      </c>
      <c r="F307" s="1828"/>
      <c r="G307" s="62" t="s">
        <v>171</v>
      </c>
      <c r="H307" s="59"/>
      <c r="I307" s="60"/>
      <c r="J307" s="60"/>
      <c r="K307" s="61" t="e">
        <f>+#REF!*0.07</f>
        <v>#REF!</v>
      </c>
    </row>
    <row r="308" spans="1:11" ht="42" customHeight="1">
      <c r="A308" s="66" t="s">
        <v>244</v>
      </c>
      <c r="B308" s="1832" t="s">
        <v>663</v>
      </c>
      <c r="C308" s="1830"/>
      <c r="D308" s="1830"/>
      <c r="E308" s="1830"/>
      <c r="F308" s="1830"/>
      <c r="G308" s="1828"/>
      <c r="H308" s="59"/>
      <c r="I308" s="60"/>
      <c r="J308" s="60"/>
      <c r="K308" s="61"/>
    </row>
    <row r="309" spans="1:11" ht="14.25" customHeight="1">
      <c r="A309" s="1836" t="s">
        <v>220</v>
      </c>
      <c r="B309" s="1830"/>
      <c r="C309" s="1830"/>
      <c r="D309" s="1830"/>
      <c r="E309" s="1830"/>
      <c r="F309" s="1830"/>
      <c r="G309" s="1828"/>
      <c r="H309" s="59"/>
      <c r="I309" s="60"/>
      <c r="J309" s="60"/>
      <c r="K309" s="61"/>
    </row>
    <row r="310" spans="1:11" ht="14.25" customHeight="1">
      <c r="A310" s="185" t="s">
        <v>376</v>
      </c>
      <c r="B310" s="1853" t="s">
        <v>654</v>
      </c>
      <c r="C310" s="1830"/>
      <c r="D310" s="1828"/>
      <c r="E310" s="186"/>
      <c r="F310" s="186"/>
      <c r="G310" s="186"/>
      <c r="H310" s="59"/>
      <c r="I310" s="60"/>
      <c r="J310" s="60"/>
      <c r="K310" s="61"/>
    </row>
    <row r="311" spans="1:11" ht="14.25" customHeight="1">
      <c r="A311" s="187" t="s">
        <v>655</v>
      </c>
      <c r="B311" s="63" t="s">
        <v>656</v>
      </c>
      <c r="C311" s="63" t="s">
        <v>657</v>
      </c>
      <c r="D311" s="63" t="s">
        <v>658</v>
      </c>
      <c r="E311" s="63" t="s">
        <v>659</v>
      </c>
      <c r="F311" s="63" t="s">
        <v>660</v>
      </c>
      <c r="G311" s="63" t="s">
        <v>661</v>
      </c>
      <c r="H311" s="59"/>
      <c r="I311" s="60"/>
      <c r="J311" s="60"/>
      <c r="K311" s="61"/>
    </row>
    <row r="312" spans="1:11" ht="14.25" customHeight="1">
      <c r="A312" s="188"/>
      <c r="B312" s="68"/>
      <c r="C312" s="64"/>
      <c r="D312" s="64"/>
      <c r="E312" s="189"/>
      <c r="F312" s="64"/>
      <c r="G312" s="64"/>
      <c r="H312" s="59"/>
      <c r="I312" s="60"/>
      <c r="J312" s="60"/>
      <c r="K312" s="61"/>
    </row>
    <row r="313" spans="1:11" ht="14.25" customHeight="1">
      <c r="A313" s="68"/>
      <c r="B313" s="68"/>
      <c r="C313" s="64"/>
      <c r="D313" s="64"/>
      <c r="E313" s="189"/>
      <c r="F313" s="64"/>
      <c r="G313" s="64"/>
      <c r="H313" s="59"/>
      <c r="I313" s="60"/>
      <c r="J313" s="60"/>
      <c r="K313" s="61"/>
    </row>
    <row r="314" spans="1:11" ht="14.25" customHeight="1">
      <c r="A314" s="68" t="s">
        <v>699</v>
      </c>
      <c r="B314" s="68"/>
      <c r="C314" s="64"/>
      <c r="D314" s="64"/>
      <c r="E314" s="189"/>
      <c r="F314" s="64"/>
      <c r="G314" s="64" t="e">
        <v>#REF!</v>
      </c>
      <c r="H314" s="59"/>
      <c r="I314" s="60"/>
      <c r="J314" s="60"/>
      <c r="K314" s="61"/>
    </row>
    <row r="315" spans="1:11" ht="14.25" customHeight="1">
      <c r="A315" s="68"/>
      <c r="B315" s="68"/>
      <c r="C315" s="64"/>
      <c r="D315" s="64"/>
      <c r="E315" s="189"/>
      <c r="F315" s="64"/>
      <c r="G315" s="64"/>
      <c r="H315" s="59"/>
      <c r="I315" s="60"/>
      <c r="J315" s="60"/>
      <c r="K315" s="61"/>
    </row>
    <row r="316" spans="1:11" ht="14.25" customHeight="1">
      <c r="A316" s="1829" t="s">
        <v>227</v>
      </c>
      <c r="B316" s="1830"/>
      <c r="C316" s="1830"/>
      <c r="D316" s="1830"/>
      <c r="E316" s="1830"/>
      <c r="F316" s="1828"/>
      <c r="G316" s="65" t="e">
        <f>ROUND(SUM(G312:G315),2)</f>
        <v>#REF!</v>
      </c>
      <c r="H316" s="59"/>
      <c r="I316" s="61" t="e">
        <f>+G316+G305+G294</f>
        <v>#REF!</v>
      </c>
      <c r="J316" s="60" t="e">
        <f>+I316*13500</f>
        <v>#REF!</v>
      </c>
      <c r="K316" s="61"/>
    </row>
    <row r="317" spans="1:11" ht="14.25" customHeight="1">
      <c r="A317" s="1831"/>
      <c r="B317" s="1830"/>
      <c r="C317" s="1830"/>
      <c r="D317" s="1830"/>
      <c r="E317" s="1830"/>
      <c r="F317" s="1830"/>
      <c r="G317" s="1828"/>
      <c r="H317" s="59"/>
      <c r="I317" s="60"/>
      <c r="J317" s="60"/>
      <c r="K317" s="61"/>
    </row>
    <row r="318" spans="1:11" ht="14.25" customHeight="1">
      <c r="A318" s="66" t="s">
        <v>240</v>
      </c>
      <c r="B318" s="1832" t="s">
        <v>392</v>
      </c>
      <c r="C318" s="1830"/>
      <c r="D318" s="1828"/>
      <c r="E318" s="1833" t="s">
        <v>218</v>
      </c>
      <c r="F318" s="1828"/>
      <c r="G318" s="62" t="s">
        <v>127</v>
      </c>
      <c r="H318" s="59"/>
      <c r="I318" s="60"/>
      <c r="J318" s="60"/>
      <c r="K318" s="61" t="e">
        <f>+#REF!*0.07</f>
        <v>#REF!</v>
      </c>
    </row>
    <row r="319" spans="1:11" ht="42" customHeight="1">
      <c r="A319" s="66" t="s">
        <v>245</v>
      </c>
      <c r="B319" s="1832" t="s">
        <v>664</v>
      </c>
      <c r="C319" s="1830"/>
      <c r="D319" s="1830"/>
      <c r="E319" s="1830"/>
      <c r="F319" s="1830"/>
      <c r="G319" s="1828"/>
      <c r="H319" s="59"/>
      <c r="I319" s="60"/>
      <c r="J319" s="60"/>
      <c r="K319" s="61"/>
    </row>
    <row r="320" spans="1:11" ht="14.25" customHeight="1">
      <c r="A320" s="1836" t="s">
        <v>220</v>
      </c>
      <c r="B320" s="1830"/>
      <c r="C320" s="1830"/>
      <c r="D320" s="1830"/>
      <c r="E320" s="1830"/>
      <c r="F320" s="1830"/>
      <c r="G320" s="1828"/>
      <c r="H320" s="59"/>
      <c r="I320" s="60"/>
      <c r="J320" s="60"/>
      <c r="K320" s="61"/>
    </row>
    <row r="321" spans="1:11" ht="14.25" customHeight="1">
      <c r="A321" s="185" t="s">
        <v>376</v>
      </c>
      <c r="B321" s="1853" t="s">
        <v>654</v>
      </c>
      <c r="C321" s="1830"/>
      <c r="D321" s="1828"/>
      <c r="E321" s="186"/>
      <c r="F321" s="186"/>
      <c r="G321" s="186"/>
      <c r="H321" s="59"/>
      <c r="I321" s="60"/>
      <c r="J321" s="60"/>
      <c r="K321" s="61"/>
    </row>
    <row r="322" spans="1:11" ht="14.25" customHeight="1">
      <c r="A322" s="187" t="s">
        <v>655</v>
      </c>
      <c r="B322" s="63" t="s">
        <v>656</v>
      </c>
      <c r="C322" s="63" t="s">
        <v>657</v>
      </c>
      <c r="D322" s="63" t="s">
        <v>658</v>
      </c>
      <c r="E322" s="63" t="s">
        <v>659</v>
      </c>
      <c r="F322" s="63" t="s">
        <v>660</v>
      </c>
      <c r="G322" s="63" t="s">
        <v>226</v>
      </c>
      <c r="H322" s="59"/>
      <c r="I322" s="60"/>
      <c r="J322" s="60"/>
      <c r="K322" s="61"/>
    </row>
    <row r="323" spans="1:11" ht="14.25" customHeight="1">
      <c r="A323" s="188"/>
      <c r="B323" s="68"/>
      <c r="C323" s="64"/>
      <c r="D323" s="64"/>
      <c r="E323" s="189"/>
      <c r="F323" s="64"/>
      <c r="G323" s="64"/>
      <c r="H323" s="59"/>
      <c r="I323" s="60"/>
      <c r="J323" s="60"/>
      <c r="K323" s="61"/>
    </row>
    <row r="324" spans="1:11" ht="14.25" customHeight="1">
      <c r="A324" s="68" t="s">
        <v>699</v>
      </c>
      <c r="B324" s="68"/>
      <c r="C324" s="64"/>
      <c r="D324" s="64"/>
      <c r="E324" s="189"/>
      <c r="F324" s="64"/>
      <c r="G324" s="64" t="e">
        <v>#REF!</v>
      </c>
      <c r="H324" s="59"/>
      <c r="I324" s="60"/>
      <c r="J324" s="60"/>
      <c r="K324" s="61"/>
    </row>
    <row r="325" spans="1:11" ht="14.25" customHeight="1">
      <c r="A325" s="68"/>
      <c r="B325" s="68"/>
      <c r="C325" s="64"/>
      <c r="D325" s="64"/>
      <c r="E325" s="189"/>
      <c r="F325" s="64"/>
      <c r="G325" s="64"/>
      <c r="H325" s="59"/>
      <c r="I325" s="60"/>
      <c r="J325" s="60"/>
      <c r="K325" s="61"/>
    </row>
    <row r="326" spans="1:11" ht="14.25" customHeight="1">
      <c r="A326" s="68"/>
      <c r="B326" s="68"/>
      <c r="C326" s="64"/>
      <c r="D326" s="64"/>
      <c r="E326" s="189"/>
      <c r="F326" s="64"/>
      <c r="G326" s="64"/>
      <c r="H326" s="59"/>
      <c r="I326" s="60"/>
      <c r="J326" s="60"/>
      <c r="K326" s="61"/>
    </row>
    <row r="327" spans="1:11" ht="14.25" customHeight="1">
      <c r="A327" s="1829" t="s">
        <v>227</v>
      </c>
      <c r="B327" s="1830"/>
      <c r="C327" s="1830"/>
      <c r="D327" s="1830"/>
      <c r="E327" s="1830"/>
      <c r="F327" s="1828"/>
      <c r="G327" s="65" t="e">
        <f>ROUND(SUM(G323:G326),2)</f>
        <v>#REF!</v>
      </c>
      <c r="H327" s="59"/>
      <c r="I327" s="61" t="e">
        <f>+G327+G316+G305</f>
        <v>#REF!</v>
      </c>
      <c r="J327" s="60" t="e">
        <f>+I327*13500</f>
        <v>#REF!</v>
      </c>
      <c r="K327" s="61"/>
    </row>
    <row r="328" spans="1:11" ht="14.25" customHeight="1">
      <c r="A328" s="1831"/>
      <c r="B328" s="1830"/>
      <c r="C328" s="1830"/>
      <c r="D328" s="1830"/>
      <c r="E328" s="1830"/>
      <c r="F328" s="1830"/>
      <c r="G328" s="1828"/>
      <c r="H328" s="59"/>
      <c r="I328" s="60"/>
      <c r="J328" s="60"/>
      <c r="K328" s="61"/>
    </row>
    <row r="329" spans="1:11" ht="14.25" customHeight="1">
      <c r="A329" s="66" t="s">
        <v>240</v>
      </c>
      <c r="B329" s="1832" t="s">
        <v>392</v>
      </c>
      <c r="C329" s="1830"/>
      <c r="D329" s="1828"/>
      <c r="E329" s="1833" t="s">
        <v>218</v>
      </c>
      <c r="F329" s="1828"/>
      <c r="G329" s="62" t="s">
        <v>171</v>
      </c>
      <c r="H329" s="59"/>
      <c r="I329" s="60"/>
      <c r="J329" s="60"/>
      <c r="K329" s="61" t="e">
        <f>+#REF!*0.07</f>
        <v>#REF!</v>
      </c>
    </row>
    <row r="330" spans="1:11" ht="27.75" customHeight="1">
      <c r="A330" s="66" t="s">
        <v>246</v>
      </c>
      <c r="B330" s="1832" t="s">
        <v>665</v>
      </c>
      <c r="C330" s="1830"/>
      <c r="D330" s="1830"/>
      <c r="E330" s="1830"/>
      <c r="F330" s="1830"/>
      <c r="G330" s="1828"/>
      <c r="H330" s="59"/>
      <c r="I330" s="60"/>
      <c r="J330" s="60"/>
      <c r="K330" s="61"/>
    </row>
    <row r="331" spans="1:11" ht="14.25" customHeight="1">
      <c r="A331" s="1836" t="s">
        <v>220</v>
      </c>
      <c r="B331" s="1830"/>
      <c r="C331" s="1830"/>
      <c r="D331" s="1830"/>
      <c r="E331" s="1830"/>
      <c r="F331" s="1830"/>
      <c r="G331" s="1828"/>
      <c r="H331" s="59"/>
      <c r="I331" s="60"/>
      <c r="J331" s="60"/>
      <c r="K331" s="61"/>
    </row>
    <row r="332" spans="1:11" ht="14.25" customHeight="1">
      <c r="A332" s="185" t="s">
        <v>376</v>
      </c>
      <c r="B332" s="1853" t="s">
        <v>654</v>
      </c>
      <c r="C332" s="1830"/>
      <c r="D332" s="1828"/>
      <c r="E332" s="186"/>
      <c r="F332" s="186"/>
      <c r="G332" s="186"/>
      <c r="H332" s="59"/>
      <c r="I332" s="60"/>
      <c r="J332" s="60"/>
      <c r="K332" s="61"/>
    </row>
    <row r="333" spans="1:11" ht="14.25" customHeight="1">
      <c r="A333" s="187" t="s">
        <v>655</v>
      </c>
      <c r="B333" s="63" t="s">
        <v>656</v>
      </c>
      <c r="C333" s="63" t="s">
        <v>657</v>
      </c>
      <c r="D333" s="63" t="s">
        <v>658</v>
      </c>
      <c r="E333" s="63" t="s">
        <v>659</v>
      </c>
      <c r="F333" s="63" t="s">
        <v>660</v>
      </c>
      <c r="G333" s="63" t="s">
        <v>661</v>
      </c>
      <c r="H333" s="59"/>
      <c r="I333" s="60"/>
      <c r="J333" s="60"/>
      <c r="K333" s="61"/>
    </row>
    <row r="334" spans="1:11" ht="14.25" customHeight="1">
      <c r="A334" s="188"/>
      <c r="B334" s="68"/>
      <c r="C334" s="64"/>
      <c r="D334" s="64"/>
      <c r="E334" s="189"/>
      <c r="F334" s="64"/>
      <c r="G334" s="64"/>
      <c r="H334" s="59"/>
      <c r="I334" s="60"/>
      <c r="J334" s="60"/>
      <c r="K334" s="61"/>
    </row>
    <row r="335" spans="1:11" ht="14.25" customHeight="1">
      <c r="A335" s="68"/>
      <c r="B335" s="68"/>
      <c r="C335" s="64"/>
      <c r="D335" s="64"/>
      <c r="E335" s="189"/>
      <c r="F335" s="64"/>
      <c r="G335" s="64"/>
      <c r="H335" s="59"/>
      <c r="I335" s="60"/>
      <c r="J335" s="60"/>
      <c r="K335" s="61"/>
    </row>
    <row r="336" spans="1:11" ht="14.25" customHeight="1">
      <c r="A336" s="68" t="s">
        <v>699</v>
      </c>
      <c r="B336" s="68"/>
      <c r="C336" s="64"/>
      <c r="D336" s="64"/>
      <c r="E336" s="189"/>
      <c r="F336" s="64"/>
      <c r="G336" s="64">
        <v>29288.862499999996</v>
      </c>
      <c r="H336" s="59"/>
      <c r="I336" s="60"/>
      <c r="J336" s="60"/>
      <c r="K336" s="61"/>
    </row>
    <row r="338" spans="1:7" ht="14.25" customHeight="1">
      <c r="A338" s="1829" t="s">
        <v>227</v>
      </c>
      <c r="B338" s="1830"/>
      <c r="C338" s="1830"/>
      <c r="D338" s="1830"/>
      <c r="E338" s="1830"/>
      <c r="F338" s="1828"/>
      <c r="G338" s="65">
        <f>ROUND(SUM(G334:G337),2)</f>
        <v>29288.86</v>
      </c>
    </row>
    <row r="339" spans="1:7" ht="14.25" customHeight="1">
      <c r="A339" s="1831"/>
      <c r="B339" s="1830"/>
      <c r="C339" s="1830"/>
      <c r="D339" s="1830"/>
      <c r="E339" s="1830"/>
      <c r="F339" s="1830"/>
      <c r="G339" s="1828"/>
    </row>
    <row r="340" spans="1:7" ht="14.25" customHeight="1">
      <c r="A340" s="66" t="s">
        <v>240</v>
      </c>
      <c r="B340" s="1832" t="str">
        <f>+B329</f>
        <v>ESTRUCTURA METÁLICA</v>
      </c>
      <c r="C340" s="1830"/>
      <c r="D340" s="1828"/>
      <c r="E340" s="1833" t="s">
        <v>218</v>
      </c>
      <c r="F340" s="1828"/>
      <c r="G340" s="62" t="s">
        <v>228</v>
      </c>
    </row>
    <row r="341" spans="1:7" ht="27" customHeight="1">
      <c r="A341" s="66" t="s">
        <v>247</v>
      </c>
      <c r="B341" s="1840" t="s">
        <v>666</v>
      </c>
      <c r="C341" s="1830"/>
      <c r="D341" s="1830"/>
      <c r="E341" s="1830"/>
      <c r="F341" s="1830"/>
      <c r="G341" s="1828"/>
    </row>
    <row r="342" spans="1:7" ht="14.25" customHeight="1">
      <c r="A342" s="1836" t="s">
        <v>220</v>
      </c>
      <c r="B342" s="1830"/>
      <c r="C342" s="1830"/>
      <c r="D342" s="1830"/>
      <c r="E342" s="1830"/>
      <c r="F342" s="1830"/>
      <c r="G342" s="1828"/>
    </row>
    <row r="343" spans="1:7" ht="14.25" customHeight="1">
      <c r="A343" s="1829" t="s">
        <v>221</v>
      </c>
      <c r="B343" s="1828"/>
      <c r="C343" s="63" t="s">
        <v>222</v>
      </c>
      <c r="D343" s="63" t="s">
        <v>223</v>
      </c>
      <c r="E343" s="63" t="s">
        <v>224</v>
      </c>
      <c r="F343" s="63" t="s">
        <v>225</v>
      </c>
      <c r="G343" s="63" t="s">
        <v>226</v>
      </c>
    </row>
    <row r="344" spans="1:7" ht="14.25" customHeight="1">
      <c r="A344" s="1844"/>
      <c r="B344" s="1828"/>
      <c r="C344" s="64"/>
      <c r="D344" s="64"/>
      <c r="E344" s="189"/>
      <c r="F344" s="64"/>
      <c r="G344" s="64"/>
    </row>
    <row r="345" spans="1:7" ht="14.25" customHeight="1">
      <c r="A345" s="1844" t="s">
        <v>699</v>
      </c>
      <c r="B345" s="1828"/>
      <c r="C345" s="64"/>
      <c r="D345" s="64" t="e">
        <v>#REF!</v>
      </c>
      <c r="E345" s="189"/>
      <c r="F345" s="64"/>
      <c r="G345" s="64" t="e">
        <f>+D345</f>
        <v>#REF!</v>
      </c>
    </row>
    <row r="346" spans="1:7" ht="14.25" customHeight="1">
      <c r="A346" s="1845"/>
      <c r="B346" s="1828"/>
      <c r="C346" s="64"/>
      <c r="D346" s="64"/>
      <c r="E346" s="64"/>
      <c r="F346" s="64"/>
      <c r="G346" s="64"/>
    </row>
    <row r="347" spans="1:7" ht="14.25" customHeight="1">
      <c r="A347" s="1845"/>
      <c r="B347" s="1828"/>
      <c r="C347" s="64"/>
      <c r="D347" s="64"/>
      <c r="E347" s="64"/>
      <c r="F347" s="64"/>
      <c r="G347" s="64"/>
    </row>
    <row r="348" spans="1:7" ht="14.25" customHeight="1">
      <c r="A348" s="1829" t="s">
        <v>227</v>
      </c>
      <c r="B348" s="1830"/>
      <c r="C348" s="1830"/>
      <c r="D348" s="1830"/>
      <c r="E348" s="1830"/>
      <c r="F348" s="1828"/>
      <c r="G348" s="65" t="e">
        <f>SUM(G344:G347)</f>
        <v>#REF!</v>
      </c>
    </row>
    <row r="349" spans="1:7" ht="14.25" customHeight="1">
      <c r="A349" s="1831"/>
      <c r="B349" s="1830"/>
      <c r="C349" s="1830"/>
      <c r="D349" s="1830"/>
      <c r="E349" s="1830"/>
      <c r="F349" s="1830"/>
      <c r="G349" s="1828"/>
    </row>
    <row r="350" spans="1:7" ht="14.25" customHeight="1">
      <c r="A350" s="66" t="s">
        <v>240</v>
      </c>
      <c r="B350" s="1832" t="str">
        <f>+B286</f>
        <v>ESTRUCTURA METÁLICA</v>
      </c>
      <c r="C350" s="1830"/>
      <c r="D350" s="1828"/>
      <c r="E350" s="1833" t="s">
        <v>218</v>
      </c>
      <c r="F350" s="1828"/>
      <c r="G350" s="62" t="s">
        <v>228</v>
      </c>
    </row>
    <row r="351" spans="1:7" ht="26.25" customHeight="1">
      <c r="A351" s="66" t="s">
        <v>667</v>
      </c>
      <c r="B351" s="1840" t="s">
        <v>668</v>
      </c>
      <c r="C351" s="1830"/>
      <c r="D351" s="1830"/>
      <c r="E351" s="1830"/>
      <c r="F351" s="1830"/>
      <c r="G351" s="1828"/>
    </row>
    <row r="352" spans="1:7" ht="14.25" customHeight="1">
      <c r="A352" s="1836" t="s">
        <v>220</v>
      </c>
      <c r="B352" s="1830"/>
      <c r="C352" s="1830"/>
      <c r="D352" s="1830"/>
      <c r="E352" s="1830"/>
      <c r="F352" s="1830"/>
      <c r="G352" s="1828"/>
    </row>
    <row r="353" spans="1:7" ht="14.25" customHeight="1">
      <c r="A353" s="1829" t="s">
        <v>221</v>
      </c>
      <c r="B353" s="1828"/>
      <c r="C353" s="63" t="s">
        <v>222</v>
      </c>
      <c r="D353" s="63" t="s">
        <v>223</v>
      </c>
      <c r="E353" s="63" t="s">
        <v>224</v>
      </c>
      <c r="F353" s="63" t="s">
        <v>225</v>
      </c>
      <c r="G353" s="63" t="s">
        <v>226</v>
      </c>
    </row>
    <row r="354" spans="1:7" ht="14.25" customHeight="1">
      <c r="A354" s="1844"/>
      <c r="B354" s="1828"/>
      <c r="C354" s="64"/>
      <c r="D354" s="64"/>
      <c r="E354" s="189"/>
      <c r="F354" s="64"/>
      <c r="G354" s="64"/>
    </row>
    <row r="355" spans="1:7" ht="14.25" customHeight="1">
      <c r="A355" s="1844" t="s">
        <v>699</v>
      </c>
      <c r="B355" s="1828"/>
      <c r="C355" s="64"/>
      <c r="D355" s="64" t="e">
        <v>#REF!</v>
      </c>
      <c r="E355" s="189"/>
      <c r="F355" s="64"/>
      <c r="G355" s="64" t="e">
        <f>+D355</f>
        <v>#REF!</v>
      </c>
    </row>
    <row r="356" spans="1:7" ht="14.25" customHeight="1">
      <c r="A356" s="1845"/>
      <c r="B356" s="1828"/>
      <c r="C356" s="64"/>
      <c r="D356" s="64"/>
      <c r="E356" s="64"/>
      <c r="F356" s="64"/>
      <c r="G356" s="64"/>
    </row>
    <row r="357" spans="1:7" ht="14.25" customHeight="1">
      <c r="A357" s="1845"/>
      <c r="B357" s="1828"/>
      <c r="C357" s="64"/>
      <c r="D357" s="64"/>
      <c r="E357" s="64"/>
      <c r="F357" s="64"/>
      <c r="G357" s="64"/>
    </row>
    <row r="358" spans="1:7" ht="14.25" customHeight="1">
      <c r="A358" s="1829" t="s">
        <v>227</v>
      </c>
      <c r="B358" s="1830"/>
      <c r="C358" s="1830"/>
      <c r="D358" s="1830"/>
      <c r="E358" s="1830"/>
      <c r="F358" s="1828"/>
      <c r="G358" s="65" t="e">
        <f>SUM(G354:G357)</f>
        <v>#REF!</v>
      </c>
    </row>
    <row r="359" spans="1:7" ht="14.25" hidden="1" customHeight="1">
      <c r="A359" s="1831"/>
      <c r="B359" s="1830"/>
      <c r="C359" s="1830"/>
      <c r="D359" s="1830"/>
      <c r="E359" s="1830"/>
      <c r="F359" s="1830"/>
      <c r="G359" s="1828"/>
    </row>
    <row r="360" spans="1:7" ht="14.25" hidden="1" customHeight="1">
      <c r="A360" s="66" t="s">
        <v>240</v>
      </c>
      <c r="B360" s="1832" t="str">
        <f>+B350</f>
        <v>ESTRUCTURA METÁLICA</v>
      </c>
      <c r="C360" s="1830"/>
      <c r="D360" s="1828"/>
      <c r="E360" s="1833" t="s">
        <v>218</v>
      </c>
      <c r="F360" s="1828"/>
      <c r="G360" s="62" t="s">
        <v>50</v>
      </c>
    </row>
    <row r="361" spans="1:7" ht="65.25" hidden="1" customHeight="1">
      <c r="A361" s="66" t="s">
        <v>244</v>
      </c>
      <c r="B361" s="1840" t="s">
        <v>669</v>
      </c>
      <c r="C361" s="1830"/>
      <c r="D361" s="1830"/>
      <c r="E361" s="1830"/>
      <c r="F361" s="1830"/>
      <c r="G361" s="1828"/>
    </row>
    <row r="362" spans="1:7" ht="14.25" hidden="1" customHeight="1">
      <c r="A362" s="1836" t="s">
        <v>220</v>
      </c>
      <c r="B362" s="1830"/>
      <c r="C362" s="1830"/>
      <c r="D362" s="1830"/>
      <c r="E362" s="1830"/>
      <c r="F362" s="1830"/>
      <c r="G362" s="1828"/>
    </row>
    <row r="363" spans="1:7" ht="14.25" hidden="1" customHeight="1">
      <c r="A363" s="1829" t="s">
        <v>221</v>
      </c>
      <c r="B363" s="1828"/>
      <c r="C363" s="63" t="s">
        <v>670</v>
      </c>
      <c r="D363" s="63" t="s">
        <v>671</v>
      </c>
      <c r="E363" s="63" t="s">
        <v>672</v>
      </c>
      <c r="F363" s="63" t="s">
        <v>673</v>
      </c>
      <c r="G363" s="63" t="s">
        <v>226</v>
      </c>
    </row>
    <row r="364" spans="1:7" ht="14.25" hidden="1" customHeight="1">
      <c r="A364" s="1847" t="s">
        <v>674</v>
      </c>
      <c r="B364" s="1828"/>
      <c r="C364" s="64"/>
      <c r="D364" s="64"/>
      <c r="E364" s="64"/>
      <c r="F364" s="64"/>
      <c r="G364" s="64"/>
    </row>
    <row r="365" spans="1:7" ht="14.25" hidden="1" customHeight="1">
      <c r="A365" s="1845" t="s">
        <v>675</v>
      </c>
      <c r="B365" s="1828"/>
      <c r="C365" s="190" t="s">
        <v>676</v>
      </c>
      <c r="D365" s="64">
        <v>77.010000000000005</v>
      </c>
      <c r="E365" s="64">
        <v>6.43</v>
      </c>
      <c r="F365" s="64"/>
      <c r="G365" s="64">
        <f t="shared" ref="G365:G372" si="17">+D365*E365*F365</f>
        <v>0</v>
      </c>
    </row>
    <row r="366" spans="1:7" ht="14.25" hidden="1" customHeight="1">
      <c r="A366" s="1845" t="s">
        <v>677</v>
      </c>
      <c r="B366" s="1828"/>
      <c r="C366" s="190" t="s">
        <v>676</v>
      </c>
      <c r="D366" s="64">
        <v>19.16</v>
      </c>
      <c r="E366" s="64">
        <v>6.43</v>
      </c>
      <c r="F366" s="64"/>
      <c r="G366" s="64">
        <f t="shared" si="17"/>
        <v>0</v>
      </c>
    </row>
    <row r="367" spans="1:7" ht="14.25" hidden="1" customHeight="1">
      <c r="A367" s="1845" t="s">
        <v>677</v>
      </c>
      <c r="B367" s="1828"/>
      <c r="C367" s="190" t="s">
        <v>678</v>
      </c>
      <c r="D367" s="64">
        <v>132.30000000000001</v>
      </c>
      <c r="E367" s="64">
        <v>2.34</v>
      </c>
      <c r="F367" s="64"/>
      <c r="G367" s="64">
        <f t="shared" si="17"/>
        <v>0</v>
      </c>
    </row>
    <row r="368" spans="1:7" ht="14.25" hidden="1" customHeight="1">
      <c r="A368" s="1845" t="s">
        <v>677</v>
      </c>
      <c r="B368" s="1828"/>
      <c r="C368" s="190" t="s">
        <v>679</v>
      </c>
      <c r="D368" s="64">
        <v>20.6</v>
      </c>
      <c r="E368" s="64">
        <v>4.01</v>
      </c>
      <c r="F368" s="64"/>
      <c r="G368" s="64">
        <f t="shared" si="17"/>
        <v>0</v>
      </c>
    </row>
    <row r="369" spans="1:7" ht="14.25" hidden="1" customHeight="1">
      <c r="A369" s="1845" t="s">
        <v>680</v>
      </c>
      <c r="B369" s="1828"/>
      <c r="C369" s="190" t="s">
        <v>676</v>
      </c>
      <c r="D369" s="64">
        <v>6</v>
      </c>
      <c r="E369" s="64">
        <v>6.43</v>
      </c>
      <c r="F369" s="64"/>
      <c r="G369" s="64">
        <f t="shared" si="17"/>
        <v>0</v>
      </c>
    </row>
    <row r="370" spans="1:7" ht="14.25" hidden="1" customHeight="1">
      <c r="A370" s="1845" t="s">
        <v>680</v>
      </c>
      <c r="B370" s="1828"/>
      <c r="C370" s="190" t="s">
        <v>681</v>
      </c>
      <c r="D370" s="64">
        <v>20.010000000000002</v>
      </c>
      <c r="E370" s="64">
        <v>5.29</v>
      </c>
      <c r="F370" s="64"/>
      <c r="G370" s="64">
        <f t="shared" si="17"/>
        <v>0</v>
      </c>
    </row>
    <row r="371" spans="1:7" ht="14.25" hidden="1" customHeight="1">
      <c r="A371" s="1845" t="s">
        <v>680</v>
      </c>
      <c r="B371" s="1828"/>
      <c r="C371" s="190" t="s">
        <v>682</v>
      </c>
      <c r="D371" s="64">
        <v>50.21</v>
      </c>
      <c r="E371" s="64">
        <v>4.1100000000000003</v>
      </c>
      <c r="F371" s="64"/>
      <c r="G371" s="64">
        <f t="shared" si="17"/>
        <v>0</v>
      </c>
    </row>
    <row r="372" spans="1:7" ht="14.25" hidden="1" customHeight="1">
      <c r="A372" s="1845" t="s">
        <v>683</v>
      </c>
      <c r="B372" s="1828"/>
      <c r="C372" s="190" t="s">
        <v>684</v>
      </c>
      <c r="D372" s="64">
        <v>92.86</v>
      </c>
      <c r="E372" s="64">
        <v>3.21</v>
      </c>
      <c r="F372" s="64"/>
      <c r="G372" s="64">
        <f t="shared" si="17"/>
        <v>0</v>
      </c>
    </row>
    <row r="373" spans="1:7" ht="14.25" hidden="1" customHeight="1">
      <c r="A373" s="1847" t="s">
        <v>685</v>
      </c>
      <c r="B373" s="1828"/>
      <c r="C373" s="64"/>
      <c r="D373" s="64"/>
      <c r="E373" s="64"/>
      <c r="F373" s="64"/>
      <c r="G373" s="64"/>
    </row>
    <row r="374" spans="1:7" ht="14.25" hidden="1" customHeight="1">
      <c r="A374" s="1845" t="s">
        <v>686</v>
      </c>
      <c r="B374" s="1828"/>
      <c r="C374" s="190" t="s">
        <v>676</v>
      </c>
      <c r="D374" s="64">
        <v>18.53</v>
      </c>
      <c r="E374" s="64">
        <v>6.43</v>
      </c>
      <c r="F374" s="64"/>
      <c r="G374" s="64">
        <f t="shared" ref="G374:G378" si="18">+D374*E374*F374</f>
        <v>0</v>
      </c>
    </row>
    <row r="375" spans="1:7" ht="14.25" hidden="1" customHeight="1">
      <c r="A375" s="1845" t="s">
        <v>677</v>
      </c>
      <c r="B375" s="1828"/>
      <c r="C375" s="190" t="s">
        <v>684</v>
      </c>
      <c r="D375" s="64">
        <v>42.68</v>
      </c>
      <c r="E375" s="64">
        <v>3.21</v>
      </c>
      <c r="F375" s="64"/>
      <c r="G375" s="64">
        <f t="shared" si="18"/>
        <v>0</v>
      </c>
    </row>
    <row r="376" spans="1:7" ht="14.25" hidden="1" customHeight="1">
      <c r="A376" s="1845" t="s">
        <v>677</v>
      </c>
      <c r="B376" s="1828"/>
      <c r="C376" s="190" t="s">
        <v>679</v>
      </c>
      <c r="D376" s="64">
        <v>4.7699999999999996</v>
      </c>
      <c r="E376" s="64">
        <v>4.01</v>
      </c>
      <c r="F376" s="64"/>
      <c r="G376" s="64">
        <f t="shared" si="18"/>
        <v>0</v>
      </c>
    </row>
    <row r="377" spans="1:7" ht="14.25" hidden="1" customHeight="1">
      <c r="A377" s="1845" t="s">
        <v>687</v>
      </c>
      <c r="B377" s="1828"/>
      <c r="C377" s="190" t="s">
        <v>676</v>
      </c>
      <c r="D377" s="64">
        <v>18</v>
      </c>
      <c r="E377" s="64">
        <v>6.43</v>
      </c>
      <c r="F377" s="64"/>
      <c r="G377" s="64">
        <f t="shared" si="18"/>
        <v>0</v>
      </c>
    </row>
    <row r="378" spans="1:7" ht="14.25" hidden="1" customHeight="1">
      <c r="A378" s="1845" t="s">
        <v>683</v>
      </c>
      <c r="B378" s="1828"/>
      <c r="C378" s="190" t="s">
        <v>684</v>
      </c>
      <c r="D378" s="64">
        <v>31.02</v>
      </c>
      <c r="E378" s="64">
        <v>3.21</v>
      </c>
      <c r="F378" s="64"/>
      <c r="G378" s="64">
        <f t="shared" si="18"/>
        <v>0</v>
      </c>
    </row>
    <row r="379" spans="1:7" ht="14.25" hidden="1" customHeight="1">
      <c r="A379" s="1847" t="s">
        <v>688</v>
      </c>
      <c r="B379" s="1828"/>
      <c r="C379" s="64"/>
      <c r="D379" s="64"/>
      <c r="E379" s="64"/>
      <c r="F379" s="64"/>
      <c r="G379" s="64"/>
    </row>
    <row r="380" spans="1:7" ht="14.25" hidden="1" customHeight="1">
      <c r="A380" s="1845" t="s">
        <v>675</v>
      </c>
      <c r="B380" s="1828"/>
      <c r="C380" s="190" t="s">
        <v>679</v>
      </c>
      <c r="D380" s="64">
        <v>10.28</v>
      </c>
      <c r="E380" s="64">
        <v>4.01</v>
      </c>
      <c r="F380" s="64"/>
      <c r="G380" s="64">
        <f t="shared" ref="G380:G383" si="19">+D380*E380*F380</f>
        <v>0</v>
      </c>
    </row>
    <row r="381" spans="1:7" ht="14.25" hidden="1" customHeight="1">
      <c r="A381" s="1845" t="s">
        <v>677</v>
      </c>
      <c r="B381" s="1828"/>
      <c r="C381" s="190" t="s">
        <v>689</v>
      </c>
      <c r="D381" s="64">
        <v>22.73</v>
      </c>
      <c r="E381" s="64">
        <v>2.1800000000000002</v>
      </c>
      <c r="F381" s="64"/>
      <c r="G381" s="64">
        <f t="shared" si="19"/>
        <v>0</v>
      </c>
    </row>
    <row r="382" spans="1:7" ht="14.25" hidden="1" customHeight="1">
      <c r="A382" s="1845" t="s">
        <v>680</v>
      </c>
      <c r="B382" s="1828"/>
      <c r="C382" s="190" t="s">
        <v>679</v>
      </c>
      <c r="D382" s="64">
        <v>10.28</v>
      </c>
      <c r="E382" s="64">
        <v>4.01</v>
      </c>
      <c r="F382" s="64"/>
      <c r="G382" s="64">
        <f t="shared" si="19"/>
        <v>0</v>
      </c>
    </row>
    <row r="383" spans="1:7" ht="14.25" hidden="1" customHeight="1">
      <c r="A383" s="1845" t="s">
        <v>683</v>
      </c>
      <c r="B383" s="1828"/>
      <c r="C383" s="190" t="s">
        <v>689</v>
      </c>
      <c r="D383" s="64">
        <v>14.97</v>
      </c>
      <c r="E383" s="64">
        <v>2.1800000000000002</v>
      </c>
      <c r="F383" s="64"/>
      <c r="G383" s="64">
        <f t="shared" si="19"/>
        <v>0</v>
      </c>
    </row>
    <row r="384" spans="1:7" ht="14.25" hidden="1" customHeight="1">
      <c r="A384" s="1847" t="s">
        <v>690</v>
      </c>
      <c r="B384" s="1828"/>
      <c r="C384" s="64"/>
      <c r="D384" s="64"/>
      <c r="E384" s="64"/>
      <c r="F384" s="64"/>
      <c r="G384" s="64"/>
    </row>
    <row r="385" spans="1:7" ht="14.25" hidden="1" customHeight="1">
      <c r="A385" s="1845" t="s">
        <v>675</v>
      </c>
      <c r="B385" s="1828"/>
      <c r="C385" s="190" t="s">
        <v>679</v>
      </c>
      <c r="D385" s="64">
        <v>5.14</v>
      </c>
      <c r="E385" s="64">
        <v>4.01</v>
      </c>
      <c r="F385" s="64"/>
      <c r="G385" s="64">
        <f t="shared" ref="G385:G387" si="20">+D385*E385*F385</f>
        <v>0</v>
      </c>
    </row>
    <row r="386" spans="1:7" ht="14.25" hidden="1" customHeight="1">
      <c r="A386" s="1845" t="s">
        <v>677</v>
      </c>
      <c r="B386" s="1828"/>
      <c r="C386" s="190" t="s">
        <v>689</v>
      </c>
      <c r="D386" s="64">
        <v>28.32</v>
      </c>
      <c r="E386" s="64">
        <v>2.1800000000000002</v>
      </c>
      <c r="F386" s="64"/>
      <c r="G386" s="64">
        <f t="shared" si="20"/>
        <v>0</v>
      </c>
    </row>
    <row r="387" spans="1:7" ht="14.25" hidden="1" customHeight="1">
      <c r="A387" s="1845" t="s">
        <v>680</v>
      </c>
      <c r="B387" s="1828"/>
      <c r="C387" s="190" t="s">
        <v>679</v>
      </c>
      <c r="D387" s="64">
        <v>5.14</v>
      </c>
      <c r="E387" s="64">
        <v>4.01</v>
      </c>
      <c r="F387" s="64"/>
      <c r="G387" s="64">
        <f t="shared" si="20"/>
        <v>0</v>
      </c>
    </row>
    <row r="388" spans="1:7" ht="14.25" hidden="1" customHeight="1">
      <c r="A388" s="1847" t="s">
        <v>691</v>
      </c>
      <c r="B388" s="1828"/>
      <c r="C388" s="64"/>
      <c r="D388" s="64"/>
      <c r="E388" s="64"/>
      <c r="F388" s="64"/>
      <c r="G388" s="64"/>
    </row>
    <row r="389" spans="1:7" ht="14.25" hidden="1" customHeight="1">
      <c r="A389" s="1845" t="s">
        <v>675</v>
      </c>
      <c r="B389" s="1828"/>
      <c r="C389" s="190" t="s">
        <v>679</v>
      </c>
      <c r="D389" s="64">
        <v>5.14</v>
      </c>
      <c r="E389" s="64">
        <v>4.01</v>
      </c>
      <c r="F389" s="64"/>
      <c r="G389" s="64">
        <f t="shared" ref="G389:G391" si="21">+D389*E389*F389</f>
        <v>0</v>
      </c>
    </row>
    <row r="390" spans="1:7" ht="14.25" hidden="1" customHeight="1">
      <c r="A390" s="1845" t="s">
        <v>677</v>
      </c>
      <c r="B390" s="1828"/>
      <c r="C390" s="190" t="s">
        <v>689</v>
      </c>
      <c r="D390" s="64">
        <v>18.25</v>
      </c>
      <c r="E390" s="64">
        <v>2.1800000000000002</v>
      </c>
      <c r="F390" s="64"/>
      <c r="G390" s="64">
        <f t="shared" si="21"/>
        <v>0</v>
      </c>
    </row>
    <row r="391" spans="1:7" ht="14.25" hidden="1" customHeight="1">
      <c r="A391" s="1845" t="s">
        <v>680</v>
      </c>
      <c r="B391" s="1828"/>
      <c r="C391" s="190" t="s">
        <v>679</v>
      </c>
      <c r="D391" s="64">
        <v>5.14</v>
      </c>
      <c r="E391" s="64">
        <v>4.01</v>
      </c>
      <c r="F391" s="64"/>
      <c r="G391" s="64">
        <f t="shared" si="21"/>
        <v>0</v>
      </c>
    </row>
    <row r="392" spans="1:7" ht="14.25" hidden="1" customHeight="1">
      <c r="A392" s="1845"/>
      <c r="B392" s="1828"/>
      <c r="C392" s="190"/>
      <c r="D392" s="64"/>
      <c r="E392" s="64"/>
      <c r="F392" s="64"/>
      <c r="G392" s="64"/>
    </row>
    <row r="393" spans="1:7" ht="14.25" hidden="1" customHeight="1">
      <c r="A393" s="1845" t="s">
        <v>692</v>
      </c>
      <c r="B393" s="1828"/>
      <c r="C393" s="190" t="s">
        <v>693</v>
      </c>
      <c r="D393" s="64">
        <v>36.299999999999997</v>
      </c>
      <c r="E393" s="64">
        <v>4.8099999999999996</v>
      </c>
      <c r="F393" s="64"/>
      <c r="G393" s="64">
        <f t="shared" ref="G393:G394" si="22">+D393*E393*F393</f>
        <v>0</v>
      </c>
    </row>
    <row r="394" spans="1:7" ht="14.25" hidden="1" customHeight="1">
      <c r="A394" s="1845" t="s">
        <v>694</v>
      </c>
      <c r="B394" s="1828"/>
      <c r="C394" s="190" t="s">
        <v>695</v>
      </c>
      <c r="D394" s="64">
        <v>38.5</v>
      </c>
      <c r="E394" s="64">
        <v>1</v>
      </c>
      <c r="F394" s="64"/>
      <c r="G394" s="64">
        <f t="shared" si="22"/>
        <v>0</v>
      </c>
    </row>
    <row r="395" spans="1:7" ht="14.25" hidden="1" customHeight="1">
      <c r="A395" s="1829" t="s">
        <v>227</v>
      </c>
      <c r="B395" s="1830"/>
      <c r="C395" s="1830"/>
      <c r="D395" s="1830"/>
      <c r="E395" s="1830"/>
      <c r="F395" s="1828"/>
      <c r="G395" s="65">
        <f>ROUND(SUM(G365:G394),2)</f>
        <v>0</v>
      </c>
    </row>
    <row r="396" spans="1:7" ht="14.25" customHeight="1">
      <c r="A396" s="1831"/>
      <c r="B396" s="1830"/>
      <c r="C396" s="1830"/>
      <c r="D396" s="1830"/>
      <c r="E396" s="1830"/>
      <c r="F396" s="1830"/>
      <c r="G396" s="1828"/>
    </row>
    <row r="397" spans="1:7" ht="14.25" customHeight="1">
      <c r="A397" s="66" t="s">
        <v>240</v>
      </c>
      <c r="B397" s="1832" t="str">
        <f>+B360</f>
        <v>ESTRUCTURA METÁLICA</v>
      </c>
      <c r="C397" s="1830"/>
      <c r="D397" s="1828"/>
      <c r="E397" s="1833" t="s">
        <v>218</v>
      </c>
      <c r="F397" s="1828"/>
      <c r="G397" s="62" t="s">
        <v>228</v>
      </c>
    </row>
    <row r="398" spans="1:7" ht="24" customHeight="1">
      <c r="A398" s="66" t="s">
        <v>696</v>
      </c>
      <c r="B398" s="1840" t="s">
        <v>697</v>
      </c>
      <c r="C398" s="1830"/>
      <c r="D398" s="1830"/>
      <c r="E398" s="1830"/>
      <c r="F398" s="1830"/>
      <c r="G398" s="1828"/>
    </row>
    <row r="399" spans="1:7" ht="14.25" customHeight="1">
      <c r="A399" s="1836" t="s">
        <v>220</v>
      </c>
      <c r="B399" s="1830"/>
      <c r="C399" s="1830"/>
      <c r="D399" s="1830"/>
      <c r="E399" s="1830"/>
      <c r="F399" s="1830"/>
      <c r="G399" s="1828"/>
    </row>
    <row r="400" spans="1:7" ht="14.25" customHeight="1">
      <c r="A400" s="1829" t="s">
        <v>221</v>
      </c>
      <c r="B400" s="1828"/>
      <c r="C400" s="63" t="s">
        <v>222</v>
      </c>
      <c r="D400" s="63" t="s">
        <v>223</v>
      </c>
      <c r="E400" s="63" t="s">
        <v>252</v>
      </c>
      <c r="F400" s="63" t="s">
        <v>225</v>
      </c>
      <c r="G400" s="63" t="s">
        <v>226</v>
      </c>
    </row>
    <row r="401" spans="1:7" ht="15" customHeight="1">
      <c r="A401" s="1844"/>
      <c r="B401" s="1828"/>
      <c r="C401" s="64"/>
      <c r="D401" s="64"/>
      <c r="E401" s="189"/>
      <c r="F401" s="64"/>
      <c r="G401" s="64"/>
    </row>
    <row r="402" spans="1:7" ht="15" customHeight="1">
      <c r="A402" s="1844" t="s">
        <v>699</v>
      </c>
      <c r="B402" s="1828"/>
      <c r="C402" s="64"/>
      <c r="D402" s="64" t="e">
        <v>#REF!</v>
      </c>
      <c r="E402" s="189"/>
      <c r="F402" s="64"/>
      <c r="G402" s="64" t="e">
        <f>+D402</f>
        <v>#REF!</v>
      </c>
    </row>
    <row r="403" spans="1:7" ht="15" customHeight="1">
      <c r="A403" s="1845"/>
      <c r="B403" s="1828"/>
      <c r="C403" s="64"/>
      <c r="D403" s="64"/>
      <c r="E403" s="64"/>
      <c r="F403" s="64"/>
      <c r="G403" s="64"/>
    </row>
    <row r="404" spans="1:7" ht="14.25" customHeight="1">
      <c r="A404" s="1845"/>
      <c r="B404" s="1828"/>
      <c r="C404" s="64"/>
      <c r="D404" s="64"/>
      <c r="E404" s="64"/>
      <c r="F404" s="64"/>
      <c r="G404" s="64"/>
    </row>
    <row r="405" spans="1:7" ht="14.25" customHeight="1">
      <c r="A405" s="1829" t="s">
        <v>227</v>
      </c>
      <c r="B405" s="1830"/>
      <c r="C405" s="1830"/>
      <c r="D405" s="1830"/>
      <c r="E405" s="1830"/>
      <c r="F405" s="1828"/>
      <c r="G405" s="65" t="e">
        <f>ROUND(SUM(G401:G404),2)</f>
        <v>#REF!</v>
      </c>
    </row>
    <row r="406" spans="1:7" ht="14.25" customHeight="1">
      <c r="A406" s="1831"/>
      <c r="B406" s="1830"/>
      <c r="C406" s="1830"/>
      <c r="D406" s="1830"/>
      <c r="E406" s="1830"/>
      <c r="F406" s="1830"/>
      <c r="G406" s="1828"/>
    </row>
    <row r="407" spans="1:7" ht="14.25" hidden="1" customHeight="1">
      <c r="A407" s="66" t="s">
        <v>240</v>
      </c>
      <c r="B407" s="1832" t="str">
        <f>+B397</f>
        <v>ESTRUCTURA METÁLICA</v>
      </c>
      <c r="C407" s="1830"/>
      <c r="D407" s="1828"/>
      <c r="E407" s="1833" t="s">
        <v>218</v>
      </c>
      <c r="F407" s="1828"/>
      <c r="G407" s="62" t="s">
        <v>228</v>
      </c>
    </row>
    <row r="408" spans="1:7" ht="48.75" hidden="1" customHeight="1">
      <c r="A408" s="66" t="s">
        <v>700</v>
      </c>
      <c r="B408" s="1840" t="s">
        <v>701</v>
      </c>
      <c r="C408" s="1830"/>
      <c r="D408" s="1830"/>
      <c r="E408" s="1830"/>
      <c r="F408" s="1830"/>
      <c r="G408" s="1828"/>
    </row>
    <row r="409" spans="1:7" ht="14.25" hidden="1" customHeight="1">
      <c r="A409" s="1836" t="s">
        <v>220</v>
      </c>
      <c r="B409" s="1830"/>
      <c r="C409" s="1830"/>
      <c r="D409" s="1830"/>
      <c r="E409" s="1830"/>
      <c r="F409" s="1830"/>
      <c r="G409" s="1828"/>
    </row>
    <row r="410" spans="1:7" ht="14.25" hidden="1" customHeight="1">
      <c r="A410" s="1829" t="s">
        <v>221</v>
      </c>
      <c r="B410" s="1828"/>
      <c r="C410" s="63" t="s">
        <v>222</v>
      </c>
      <c r="D410" s="63" t="s">
        <v>223</v>
      </c>
      <c r="E410" s="63" t="s">
        <v>224</v>
      </c>
      <c r="F410" s="63" t="s">
        <v>225</v>
      </c>
      <c r="G410" s="63" t="s">
        <v>226</v>
      </c>
    </row>
    <row r="411" spans="1:7" ht="14.25" hidden="1" customHeight="1">
      <c r="A411" s="1845" t="s">
        <v>702</v>
      </c>
      <c r="B411" s="1828"/>
      <c r="C411" s="64">
        <v>20.010000000000002</v>
      </c>
      <c r="D411" s="64"/>
      <c r="E411" s="64"/>
      <c r="F411" s="64">
        <v>5</v>
      </c>
      <c r="G411" s="64">
        <f>+F411*C411</f>
        <v>100.05000000000001</v>
      </c>
    </row>
    <row r="412" spans="1:7" ht="14.25" hidden="1" customHeight="1">
      <c r="A412" s="1845" t="s">
        <v>703</v>
      </c>
      <c r="B412" s="1828"/>
      <c r="C412" s="64">
        <v>6</v>
      </c>
      <c r="D412" s="64">
        <v>3</v>
      </c>
      <c r="E412" s="64"/>
      <c r="F412" s="64"/>
      <c r="G412" s="64">
        <f>+D412*C412</f>
        <v>18</v>
      </c>
    </row>
    <row r="413" spans="1:7" ht="14.25" hidden="1" customHeight="1">
      <c r="A413" s="1829" t="s">
        <v>227</v>
      </c>
      <c r="B413" s="1830"/>
      <c r="C413" s="1830"/>
      <c r="D413" s="1830"/>
      <c r="E413" s="1830"/>
      <c r="F413" s="1828"/>
      <c r="G413" s="65"/>
    </row>
    <row r="414" spans="1:7" ht="14.25" hidden="1" customHeight="1">
      <c r="A414" s="1831"/>
      <c r="B414" s="1830"/>
      <c r="C414" s="1830"/>
      <c r="D414" s="1830"/>
      <c r="E414" s="1830"/>
      <c r="F414" s="1830"/>
      <c r="G414" s="1828"/>
    </row>
    <row r="415" spans="1:7" ht="14.25" hidden="1" customHeight="1">
      <c r="A415" s="66" t="s">
        <v>240</v>
      </c>
      <c r="B415" s="1832" t="str">
        <f>+B407</f>
        <v>ESTRUCTURA METÁLICA</v>
      </c>
      <c r="C415" s="1830"/>
      <c r="D415" s="1828"/>
      <c r="E415" s="1833" t="s">
        <v>218</v>
      </c>
      <c r="F415" s="1828"/>
      <c r="G415" s="62" t="s">
        <v>120</v>
      </c>
    </row>
    <row r="416" spans="1:7" ht="30.75" hidden="1" customHeight="1">
      <c r="A416" s="66" t="s">
        <v>247</v>
      </c>
      <c r="B416" s="1840" t="s">
        <v>704</v>
      </c>
      <c r="C416" s="1830"/>
      <c r="D416" s="1830"/>
      <c r="E416" s="1830"/>
      <c r="F416" s="1830"/>
      <c r="G416" s="1828"/>
    </row>
    <row r="417" spans="1:7" ht="14.25" hidden="1" customHeight="1">
      <c r="A417" s="1836" t="s">
        <v>220</v>
      </c>
      <c r="B417" s="1830"/>
      <c r="C417" s="1830"/>
      <c r="D417" s="1830"/>
      <c r="E417" s="1830"/>
      <c r="F417" s="1830"/>
      <c r="G417" s="1828"/>
    </row>
    <row r="418" spans="1:7" ht="14.25" hidden="1" customHeight="1">
      <c r="A418" s="1829" t="s">
        <v>221</v>
      </c>
      <c r="B418" s="1828"/>
      <c r="C418" s="63" t="s">
        <v>222</v>
      </c>
      <c r="D418" s="63" t="s">
        <v>223</v>
      </c>
      <c r="E418" s="63" t="s">
        <v>224</v>
      </c>
      <c r="F418" s="63" t="s">
        <v>225</v>
      </c>
      <c r="G418" s="63" t="s">
        <v>226</v>
      </c>
    </row>
    <row r="419" spans="1:7" ht="14.25" hidden="1" customHeight="1">
      <c r="A419" s="1845" t="s">
        <v>705</v>
      </c>
      <c r="B419" s="1828"/>
      <c r="C419" s="64">
        <v>5.6719999999999997</v>
      </c>
      <c r="D419" s="64"/>
      <c r="E419" s="64"/>
      <c r="F419" s="64">
        <v>2</v>
      </c>
      <c r="G419" s="64"/>
    </row>
    <row r="420" spans="1:7" ht="14.25" hidden="1" customHeight="1">
      <c r="A420" s="1845" t="s">
        <v>706</v>
      </c>
      <c r="B420" s="1828"/>
      <c r="C420" s="64">
        <v>25.81</v>
      </c>
      <c r="D420" s="64"/>
      <c r="E420" s="64"/>
      <c r="F420" s="64">
        <v>1</v>
      </c>
      <c r="G420" s="64"/>
    </row>
    <row r="421" spans="1:7" ht="14.25" hidden="1" customHeight="1">
      <c r="A421" s="1845"/>
      <c r="B421" s="1828"/>
      <c r="C421" s="64"/>
      <c r="D421" s="64"/>
      <c r="E421" s="64"/>
      <c r="F421" s="64"/>
      <c r="G421" s="64"/>
    </row>
    <row r="422" spans="1:7" ht="14.25" hidden="1" customHeight="1">
      <c r="A422" s="1829" t="s">
        <v>227</v>
      </c>
      <c r="B422" s="1830"/>
      <c r="C422" s="1830"/>
      <c r="D422" s="1830"/>
      <c r="E422" s="1830"/>
      <c r="F422" s="1828"/>
      <c r="G422" s="191"/>
    </row>
    <row r="423" spans="1:7" ht="14.25" hidden="1" customHeight="1">
      <c r="A423" s="1831"/>
      <c r="B423" s="1830"/>
      <c r="C423" s="1830"/>
      <c r="D423" s="1830"/>
      <c r="E423" s="1830"/>
      <c r="F423" s="1830"/>
      <c r="G423" s="1828"/>
    </row>
    <row r="424" spans="1:7" ht="14.25" hidden="1" customHeight="1">
      <c r="A424" s="66" t="s">
        <v>240</v>
      </c>
      <c r="B424" s="1832" t="str">
        <f>+B415</f>
        <v>ESTRUCTURA METÁLICA</v>
      </c>
      <c r="C424" s="1830"/>
      <c r="D424" s="1828"/>
      <c r="E424" s="1833" t="s">
        <v>218</v>
      </c>
      <c r="F424" s="1828"/>
      <c r="G424" s="62" t="s">
        <v>228</v>
      </c>
    </row>
    <row r="425" spans="1:7" ht="14.25" hidden="1" customHeight="1">
      <c r="A425" s="66" t="s">
        <v>667</v>
      </c>
      <c r="B425" s="1840" t="s">
        <v>399</v>
      </c>
      <c r="C425" s="1830"/>
      <c r="D425" s="1830"/>
      <c r="E425" s="1830"/>
      <c r="F425" s="1830"/>
      <c r="G425" s="1828"/>
    </row>
    <row r="426" spans="1:7" ht="14.25" hidden="1" customHeight="1">
      <c r="A426" s="1836" t="s">
        <v>220</v>
      </c>
      <c r="B426" s="1830"/>
      <c r="C426" s="1830"/>
      <c r="D426" s="1830"/>
      <c r="E426" s="1830"/>
      <c r="F426" s="1830"/>
      <c r="G426" s="1828"/>
    </row>
    <row r="427" spans="1:7" ht="14.25" hidden="1" customHeight="1">
      <c r="A427" s="1829" t="s">
        <v>221</v>
      </c>
      <c r="B427" s="1828"/>
      <c r="C427" s="63" t="s">
        <v>222</v>
      </c>
      <c r="D427" s="63" t="s">
        <v>223</v>
      </c>
      <c r="E427" s="63" t="s">
        <v>224</v>
      </c>
      <c r="F427" s="63" t="s">
        <v>225</v>
      </c>
      <c r="G427" s="63" t="s">
        <v>226</v>
      </c>
    </row>
    <row r="428" spans="1:7" ht="14.25" hidden="1" customHeight="1">
      <c r="A428" s="1845" t="s">
        <v>707</v>
      </c>
      <c r="B428" s="1828"/>
      <c r="C428" s="64"/>
      <c r="D428" s="64"/>
      <c r="E428" s="64"/>
      <c r="F428" s="64"/>
      <c r="G428" s="64"/>
    </row>
    <row r="429" spans="1:7" ht="14.25" hidden="1" customHeight="1">
      <c r="A429" s="1845"/>
      <c r="B429" s="1828"/>
      <c r="C429" s="64"/>
      <c r="D429" s="64"/>
      <c r="E429" s="64"/>
      <c r="F429" s="64"/>
      <c r="G429" s="64"/>
    </row>
    <row r="430" spans="1:7" ht="14.25" hidden="1" customHeight="1">
      <c r="A430" s="1829" t="s">
        <v>227</v>
      </c>
      <c r="B430" s="1830"/>
      <c r="C430" s="1830"/>
      <c r="D430" s="1830"/>
      <c r="E430" s="1830"/>
      <c r="F430" s="1828"/>
      <c r="G430" s="191">
        <f>ROUND(SUM(G428:G429),2)</f>
        <v>0</v>
      </c>
    </row>
    <row r="431" spans="1:7" ht="14.25" hidden="1" customHeight="1">
      <c r="A431" s="1831"/>
      <c r="B431" s="1830"/>
      <c r="C431" s="1830"/>
      <c r="D431" s="1830"/>
      <c r="E431" s="1830"/>
      <c r="F431" s="1830"/>
      <c r="G431" s="1828"/>
    </row>
    <row r="432" spans="1:7" ht="14.25" hidden="1" customHeight="1">
      <c r="A432" s="66" t="s">
        <v>240</v>
      </c>
      <c r="B432" s="1832" t="str">
        <f>+B424</f>
        <v>ESTRUCTURA METÁLICA</v>
      </c>
      <c r="C432" s="1830"/>
      <c r="D432" s="1828"/>
      <c r="E432" s="1833" t="s">
        <v>218</v>
      </c>
      <c r="F432" s="1828"/>
      <c r="G432" s="62" t="s">
        <v>120</v>
      </c>
    </row>
    <row r="433" spans="1:7" ht="14.25" hidden="1" customHeight="1">
      <c r="A433" s="66" t="s">
        <v>696</v>
      </c>
      <c r="B433" s="1840" t="s">
        <v>400</v>
      </c>
      <c r="C433" s="1830"/>
      <c r="D433" s="1830"/>
      <c r="E433" s="1830"/>
      <c r="F433" s="1830"/>
      <c r="G433" s="1828"/>
    </row>
    <row r="434" spans="1:7" ht="14.25" hidden="1" customHeight="1">
      <c r="A434" s="1836" t="s">
        <v>220</v>
      </c>
      <c r="B434" s="1830"/>
      <c r="C434" s="1830"/>
      <c r="D434" s="1830"/>
      <c r="E434" s="1830"/>
      <c r="F434" s="1830"/>
      <c r="G434" s="1828"/>
    </row>
    <row r="435" spans="1:7" ht="14.25" hidden="1" customHeight="1">
      <c r="A435" s="1829" t="s">
        <v>221</v>
      </c>
      <c r="B435" s="1828"/>
      <c r="C435" s="63" t="s">
        <v>222</v>
      </c>
      <c r="D435" s="63" t="s">
        <v>223</v>
      </c>
      <c r="E435" s="63" t="s">
        <v>224</v>
      </c>
      <c r="F435" s="63" t="s">
        <v>225</v>
      </c>
      <c r="G435" s="63" t="s">
        <v>226</v>
      </c>
    </row>
    <row r="436" spans="1:7" ht="14.25" hidden="1" customHeight="1">
      <c r="A436" s="1845"/>
      <c r="B436" s="1828"/>
      <c r="C436" s="192"/>
      <c r="D436" s="64"/>
      <c r="E436" s="64"/>
      <c r="F436" s="64"/>
      <c r="G436" s="64"/>
    </row>
    <row r="437" spans="1:7" ht="14.25" hidden="1" customHeight="1">
      <c r="A437" s="1845"/>
      <c r="B437" s="1828"/>
      <c r="C437" s="64"/>
      <c r="D437" s="64"/>
      <c r="E437" s="64"/>
      <c r="F437" s="64"/>
      <c r="G437" s="64"/>
    </row>
    <row r="438" spans="1:7" ht="14.25" hidden="1" customHeight="1">
      <c r="A438" s="1829" t="s">
        <v>227</v>
      </c>
      <c r="B438" s="1830"/>
      <c r="C438" s="1830"/>
      <c r="D438" s="1830"/>
      <c r="E438" s="1830"/>
      <c r="F438" s="1828"/>
      <c r="G438" s="191">
        <f>ROUND(SUM(G436:G437),2)</f>
        <v>0</v>
      </c>
    </row>
    <row r="439" spans="1:7" ht="14.25" hidden="1" customHeight="1">
      <c r="A439" s="1831"/>
      <c r="B439" s="1830"/>
      <c r="C439" s="1830"/>
      <c r="D439" s="1830"/>
      <c r="E439" s="1830"/>
      <c r="F439" s="1830"/>
      <c r="G439" s="1828"/>
    </row>
    <row r="440" spans="1:7" ht="14.25" hidden="1" customHeight="1">
      <c r="A440" s="66" t="s">
        <v>240</v>
      </c>
      <c r="B440" s="1832" t="str">
        <f>+B432</f>
        <v>ESTRUCTURA METÁLICA</v>
      </c>
      <c r="C440" s="1830"/>
      <c r="D440" s="1828"/>
      <c r="E440" s="1833" t="s">
        <v>218</v>
      </c>
      <c r="F440" s="1828"/>
      <c r="G440" s="62" t="s">
        <v>120</v>
      </c>
    </row>
    <row r="441" spans="1:7" ht="14.25" hidden="1" customHeight="1">
      <c r="A441" s="66" t="s">
        <v>700</v>
      </c>
      <c r="B441" s="1840" t="s">
        <v>402</v>
      </c>
      <c r="C441" s="1830"/>
      <c r="D441" s="1830"/>
      <c r="E441" s="1830"/>
      <c r="F441" s="1830"/>
      <c r="G441" s="1828"/>
    </row>
    <row r="442" spans="1:7" ht="14.25" hidden="1" customHeight="1">
      <c r="A442" s="1836" t="s">
        <v>220</v>
      </c>
      <c r="B442" s="1830"/>
      <c r="C442" s="1830"/>
      <c r="D442" s="1830"/>
      <c r="E442" s="1830"/>
      <c r="F442" s="1830"/>
      <c r="G442" s="1828"/>
    </row>
    <row r="443" spans="1:7" ht="14.25" hidden="1" customHeight="1">
      <c r="A443" s="1829" t="s">
        <v>221</v>
      </c>
      <c r="B443" s="1828"/>
      <c r="C443" s="63" t="s">
        <v>222</v>
      </c>
      <c r="D443" s="63" t="s">
        <v>223</v>
      </c>
      <c r="E443" s="63" t="s">
        <v>224</v>
      </c>
      <c r="F443" s="63" t="s">
        <v>225</v>
      </c>
      <c r="G443" s="63" t="s">
        <v>226</v>
      </c>
    </row>
    <row r="444" spans="1:7" ht="14.25" hidden="1" customHeight="1">
      <c r="A444" s="1845"/>
      <c r="B444" s="1828"/>
      <c r="C444" s="64"/>
      <c r="D444" s="64"/>
      <c r="E444" s="64"/>
      <c r="F444" s="64"/>
      <c r="G444" s="64"/>
    </row>
    <row r="445" spans="1:7" ht="14.25" hidden="1" customHeight="1">
      <c r="A445" s="1845"/>
      <c r="B445" s="1828"/>
      <c r="C445" s="64"/>
      <c r="D445" s="64"/>
      <c r="E445" s="64"/>
      <c r="F445" s="64"/>
      <c r="G445" s="64"/>
    </row>
    <row r="446" spans="1:7" ht="14.25" hidden="1" customHeight="1">
      <c r="A446" s="1829" t="s">
        <v>227</v>
      </c>
      <c r="B446" s="1830"/>
      <c r="C446" s="1830"/>
      <c r="D446" s="1830"/>
      <c r="E446" s="1830"/>
      <c r="F446" s="1828"/>
      <c r="G446" s="191">
        <f>ROUND(SUM(G444:G445),2)</f>
        <v>0</v>
      </c>
    </row>
    <row r="447" spans="1:7" ht="14.25" hidden="1" customHeight="1">
      <c r="A447" s="1831"/>
      <c r="B447" s="1830"/>
      <c r="C447" s="1830"/>
      <c r="D447" s="1830"/>
      <c r="E447" s="1830"/>
      <c r="F447" s="1830"/>
      <c r="G447" s="1828"/>
    </row>
    <row r="448" spans="1:7" ht="14.25" hidden="1" customHeight="1">
      <c r="A448" s="66" t="s">
        <v>240</v>
      </c>
      <c r="B448" s="1832" t="str">
        <f>+B440</f>
        <v>ESTRUCTURA METÁLICA</v>
      </c>
      <c r="C448" s="1830"/>
      <c r="D448" s="1828"/>
      <c r="E448" s="1833" t="s">
        <v>218</v>
      </c>
      <c r="F448" s="1828"/>
      <c r="G448" s="62" t="s">
        <v>120</v>
      </c>
    </row>
    <row r="449" spans="1:7" ht="14.25" hidden="1" customHeight="1">
      <c r="A449" s="66" t="s">
        <v>708</v>
      </c>
      <c r="B449" s="1840" t="s">
        <v>404</v>
      </c>
      <c r="C449" s="1830"/>
      <c r="D449" s="1830"/>
      <c r="E449" s="1830"/>
      <c r="F449" s="1830"/>
      <c r="G449" s="1828"/>
    </row>
    <row r="450" spans="1:7" ht="14.25" hidden="1" customHeight="1">
      <c r="A450" s="1836" t="s">
        <v>220</v>
      </c>
      <c r="B450" s="1830"/>
      <c r="C450" s="1830"/>
      <c r="D450" s="1830"/>
      <c r="E450" s="1830"/>
      <c r="F450" s="1830"/>
      <c r="G450" s="1828"/>
    </row>
    <row r="451" spans="1:7" ht="14.25" hidden="1" customHeight="1">
      <c r="A451" s="1829" t="s">
        <v>221</v>
      </c>
      <c r="B451" s="1828"/>
      <c r="C451" s="63" t="s">
        <v>222</v>
      </c>
      <c r="D451" s="63" t="s">
        <v>223</v>
      </c>
      <c r="E451" s="63" t="s">
        <v>224</v>
      </c>
      <c r="F451" s="63" t="s">
        <v>225</v>
      </c>
      <c r="G451" s="63" t="s">
        <v>226</v>
      </c>
    </row>
    <row r="452" spans="1:7" ht="14.25" hidden="1" customHeight="1">
      <c r="A452" s="1845"/>
      <c r="B452" s="1828"/>
      <c r="C452" s="64"/>
      <c r="D452" s="64"/>
      <c r="E452" s="64"/>
      <c r="F452" s="64"/>
      <c r="G452" s="64"/>
    </row>
    <row r="453" spans="1:7" ht="14.25" hidden="1" customHeight="1">
      <c r="A453" s="1845"/>
      <c r="B453" s="1828"/>
      <c r="C453" s="64"/>
      <c r="D453" s="64"/>
      <c r="E453" s="64"/>
      <c r="F453" s="64"/>
      <c r="G453" s="64"/>
    </row>
    <row r="454" spans="1:7" ht="14.25" hidden="1" customHeight="1">
      <c r="A454" s="1829" t="s">
        <v>227</v>
      </c>
      <c r="B454" s="1830"/>
      <c r="C454" s="1830"/>
      <c r="D454" s="1830"/>
      <c r="E454" s="1830"/>
      <c r="F454" s="1828"/>
      <c r="G454" s="191">
        <f>ROUND(SUM(G452:G453),2)</f>
        <v>0</v>
      </c>
    </row>
    <row r="455" spans="1:7" ht="14.25" hidden="1" customHeight="1">
      <c r="A455" s="1831"/>
      <c r="B455" s="1830"/>
      <c r="C455" s="1830"/>
      <c r="D455" s="1830"/>
      <c r="E455" s="1830"/>
      <c r="F455" s="1830"/>
      <c r="G455" s="1828"/>
    </row>
    <row r="456" spans="1:7" ht="14.25" hidden="1" customHeight="1">
      <c r="A456" s="66" t="s">
        <v>240</v>
      </c>
      <c r="B456" s="1832" t="str">
        <f>+B407</f>
        <v>ESTRUCTURA METÁLICA</v>
      </c>
      <c r="C456" s="1830"/>
      <c r="D456" s="1828"/>
      <c r="E456" s="1833" t="s">
        <v>218</v>
      </c>
      <c r="F456" s="1828"/>
      <c r="G456" s="62" t="s">
        <v>120</v>
      </c>
    </row>
    <row r="457" spans="1:7" ht="48.75" hidden="1" customHeight="1">
      <c r="A457" s="66" t="s">
        <v>708</v>
      </c>
      <c r="B457" s="1840" t="s">
        <v>709</v>
      </c>
      <c r="C457" s="1830"/>
      <c r="D457" s="1830"/>
      <c r="E457" s="1830"/>
      <c r="F457" s="1830"/>
      <c r="G457" s="1828"/>
    </row>
    <row r="458" spans="1:7" ht="14.25" hidden="1" customHeight="1">
      <c r="A458" s="1836" t="s">
        <v>220</v>
      </c>
      <c r="B458" s="1830"/>
      <c r="C458" s="1830"/>
      <c r="D458" s="1830"/>
      <c r="E458" s="1830"/>
      <c r="F458" s="1830"/>
      <c r="G458" s="1828"/>
    </row>
    <row r="459" spans="1:7" ht="14.25" hidden="1" customHeight="1">
      <c r="A459" s="1829" t="s">
        <v>221</v>
      </c>
      <c r="B459" s="1828"/>
      <c r="C459" s="63" t="s">
        <v>222</v>
      </c>
      <c r="D459" s="63" t="s">
        <v>223</v>
      </c>
      <c r="E459" s="63" t="s">
        <v>224</v>
      </c>
      <c r="F459" s="63" t="s">
        <v>225</v>
      </c>
      <c r="G459" s="63" t="s">
        <v>226</v>
      </c>
    </row>
    <row r="460" spans="1:7" ht="25.5" hidden="1" customHeight="1">
      <c r="A460" s="1845" t="s">
        <v>710</v>
      </c>
      <c r="B460" s="1828"/>
      <c r="C460" s="64">
        <f>+C160</f>
        <v>2.5</v>
      </c>
      <c r="D460" s="64"/>
      <c r="E460" s="64"/>
      <c r="F460" s="64">
        <v>1</v>
      </c>
      <c r="G460" s="64">
        <f>+F460*C460</f>
        <v>2.5</v>
      </c>
    </row>
    <row r="461" spans="1:7" ht="14.25" hidden="1" customHeight="1">
      <c r="A461" s="1845"/>
      <c r="B461" s="1828"/>
      <c r="C461" s="64"/>
      <c r="D461" s="64"/>
      <c r="E461" s="64"/>
      <c r="F461" s="64"/>
      <c r="G461" s="64"/>
    </row>
    <row r="462" spans="1:7" ht="14.25" hidden="1" customHeight="1">
      <c r="A462" s="1829" t="s">
        <v>227</v>
      </c>
      <c r="B462" s="1830"/>
      <c r="C462" s="1830"/>
      <c r="D462" s="1830"/>
      <c r="E462" s="1830"/>
      <c r="F462" s="1828"/>
      <c r="G462" s="65"/>
    </row>
    <row r="463" spans="1:7" ht="14.25" hidden="1" customHeight="1">
      <c r="A463" s="1831"/>
      <c r="B463" s="1830"/>
      <c r="C463" s="1830"/>
      <c r="D463" s="1830"/>
      <c r="E463" s="1830"/>
      <c r="F463" s="1830"/>
      <c r="G463" s="1828"/>
    </row>
    <row r="464" spans="1:7" ht="14.25" hidden="1" customHeight="1">
      <c r="A464" s="66" t="s">
        <v>240</v>
      </c>
      <c r="B464" s="1832" t="str">
        <f>+B456</f>
        <v>ESTRUCTURA METÁLICA</v>
      </c>
      <c r="C464" s="1830"/>
      <c r="D464" s="1828"/>
      <c r="E464" s="1833" t="s">
        <v>218</v>
      </c>
      <c r="F464" s="1828"/>
      <c r="G464" s="62" t="s">
        <v>120</v>
      </c>
    </row>
    <row r="465" spans="1:7" ht="30.75" hidden="1" customHeight="1">
      <c r="A465" s="66" t="s">
        <v>711</v>
      </c>
      <c r="B465" s="1840" t="s">
        <v>704</v>
      </c>
      <c r="C465" s="1830"/>
      <c r="D465" s="1830"/>
      <c r="E465" s="1830"/>
      <c r="F465" s="1830"/>
      <c r="G465" s="1828"/>
    </row>
    <row r="466" spans="1:7" ht="14.25" hidden="1" customHeight="1">
      <c r="A466" s="1836" t="s">
        <v>220</v>
      </c>
      <c r="B466" s="1830"/>
      <c r="C466" s="1830"/>
      <c r="D466" s="1830"/>
      <c r="E466" s="1830"/>
      <c r="F466" s="1830"/>
      <c r="G466" s="1828"/>
    </row>
    <row r="467" spans="1:7" ht="14.25" hidden="1" customHeight="1">
      <c r="A467" s="1829" t="s">
        <v>221</v>
      </c>
      <c r="B467" s="1828"/>
      <c r="C467" s="63" t="s">
        <v>222</v>
      </c>
      <c r="D467" s="63" t="s">
        <v>223</v>
      </c>
      <c r="E467" s="63" t="s">
        <v>224</v>
      </c>
      <c r="F467" s="63" t="s">
        <v>225</v>
      </c>
      <c r="G467" s="63" t="s">
        <v>226</v>
      </c>
    </row>
    <row r="468" spans="1:7" ht="14.25" hidden="1" customHeight="1">
      <c r="A468" s="1845" t="s">
        <v>705</v>
      </c>
      <c r="B468" s="1828"/>
      <c r="C468" s="64">
        <v>25.67</v>
      </c>
      <c r="D468" s="64"/>
      <c r="E468" s="64"/>
      <c r="F468" s="64">
        <v>2</v>
      </c>
      <c r="G468" s="64">
        <f t="shared" ref="G468:G469" si="23">+F468*C468</f>
        <v>51.34</v>
      </c>
    </row>
    <row r="469" spans="1:7" ht="14.25" hidden="1" customHeight="1">
      <c r="A469" s="1845" t="s">
        <v>706</v>
      </c>
      <c r="B469" s="1828"/>
      <c r="C469" s="64">
        <v>45.87</v>
      </c>
      <c r="D469" s="64"/>
      <c r="E469" s="64"/>
      <c r="F469" s="64">
        <v>1</v>
      </c>
      <c r="G469" s="64">
        <f t="shared" si="23"/>
        <v>45.87</v>
      </c>
    </row>
    <row r="470" spans="1:7" ht="14.25" hidden="1" customHeight="1">
      <c r="A470" s="1845"/>
      <c r="B470" s="1828"/>
      <c r="C470" s="64"/>
      <c r="D470" s="64"/>
      <c r="E470" s="64"/>
      <c r="F470" s="64"/>
      <c r="G470" s="64"/>
    </row>
    <row r="471" spans="1:7" ht="14.25" hidden="1" customHeight="1">
      <c r="A471" s="1829" t="s">
        <v>227</v>
      </c>
      <c r="B471" s="1830"/>
      <c r="C471" s="1830"/>
      <c r="D471" s="1830"/>
      <c r="E471" s="1830"/>
      <c r="F471" s="1828"/>
      <c r="G471" s="191"/>
    </row>
    <row r="472" spans="1:7" ht="14.25" hidden="1" customHeight="1">
      <c r="A472" s="1831"/>
      <c r="B472" s="1830"/>
      <c r="C472" s="1830"/>
      <c r="D472" s="1830"/>
      <c r="E472" s="1830"/>
      <c r="F472" s="1830"/>
      <c r="G472" s="1828"/>
    </row>
    <row r="473" spans="1:7" ht="14.25" hidden="1" customHeight="1">
      <c r="A473" s="66" t="s">
        <v>240</v>
      </c>
      <c r="B473" s="1832" t="str">
        <f>+B464</f>
        <v>ESTRUCTURA METÁLICA</v>
      </c>
      <c r="C473" s="1830"/>
      <c r="D473" s="1828"/>
      <c r="E473" s="1833" t="s">
        <v>218</v>
      </c>
      <c r="F473" s="1828"/>
      <c r="G473" s="62" t="s">
        <v>228</v>
      </c>
    </row>
    <row r="474" spans="1:7" ht="14.25" hidden="1" customHeight="1">
      <c r="A474" s="66" t="s">
        <v>667</v>
      </c>
      <c r="B474" s="1840" t="s">
        <v>399</v>
      </c>
      <c r="C474" s="1830"/>
      <c r="D474" s="1830"/>
      <c r="E474" s="1830"/>
      <c r="F474" s="1830"/>
      <c r="G474" s="1828"/>
    </row>
    <row r="475" spans="1:7" ht="14.25" hidden="1" customHeight="1">
      <c r="A475" s="1836" t="s">
        <v>220</v>
      </c>
      <c r="B475" s="1830"/>
      <c r="C475" s="1830"/>
      <c r="D475" s="1830"/>
      <c r="E475" s="1830"/>
      <c r="F475" s="1830"/>
      <c r="G475" s="1828"/>
    </row>
    <row r="476" spans="1:7" ht="14.25" hidden="1" customHeight="1">
      <c r="A476" s="1829" t="s">
        <v>221</v>
      </c>
      <c r="B476" s="1828"/>
      <c r="C476" s="63" t="s">
        <v>222</v>
      </c>
      <c r="D476" s="63" t="s">
        <v>223</v>
      </c>
      <c r="E476" s="63" t="s">
        <v>224</v>
      </c>
      <c r="F476" s="63" t="s">
        <v>225</v>
      </c>
      <c r="G476" s="63" t="s">
        <v>226</v>
      </c>
    </row>
    <row r="477" spans="1:7" ht="14.25" hidden="1" customHeight="1">
      <c r="A477" s="1845" t="s">
        <v>707</v>
      </c>
      <c r="B477" s="1828"/>
      <c r="C477" s="64"/>
      <c r="D477" s="64"/>
      <c r="E477" s="64"/>
      <c r="F477" s="64"/>
      <c r="G477" s="64"/>
    </row>
    <row r="478" spans="1:7" ht="14.25" hidden="1" customHeight="1">
      <c r="A478" s="1845"/>
      <c r="B478" s="1828"/>
      <c r="C478" s="64"/>
      <c r="D478" s="64"/>
      <c r="E478" s="64"/>
      <c r="F478" s="64"/>
      <c r="G478" s="64"/>
    </row>
    <row r="479" spans="1:7" ht="14.25" hidden="1" customHeight="1">
      <c r="A479" s="1829" t="s">
        <v>227</v>
      </c>
      <c r="B479" s="1830"/>
      <c r="C479" s="1830"/>
      <c r="D479" s="1830"/>
      <c r="E479" s="1830"/>
      <c r="F479" s="1828"/>
      <c r="G479" s="191">
        <f>ROUND(SUM(G477:G478),2)</f>
        <v>0</v>
      </c>
    </row>
    <row r="480" spans="1:7" ht="14.25" hidden="1" customHeight="1">
      <c r="A480" s="1831"/>
      <c r="B480" s="1830"/>
      <c r="C480" s="1830"/>
      <c r="D480" s="1830"/>
      <c r="E480" s="1830"/>
      <c r="F480" s="1830"/>
      <c r="G480" s="1828"/>
    </row>
    <row r="481" spans="1:7" ht="14.25" hidden="1" customHeight="1">
      <c r="A481" s="66" t="s">
        <v>240</v>
      </c>
      <c r="B481" s="1832" t="str">
        <f>+B473</f>
        <v>ESTRUCTURA METÁLICA</v>
      </c>
      <c r="C481" s="1830"/>
      <c r="D481" s="1828"/>
      <c r="E481" s="1833" t="s">
        <v>218</v>
      </c>
      <c r="F481" s="1828"/>
      <c r="G481" s="62" t="s">
        <v>120</v>
      </c>
    </row>
    <row r="482" spans="1:7" ht="14.25" hidden="1" customHeight="1">
      <c r="A482" s="66" t="s">
        <v>696</v>
      </c>
      <c r="B482" s="1840" t="s">
        <v>400</v>
      </c>
      <c r="C482" s="1830"/>
      <c r="D482" s="1830"/>
      <c r="E482" s="1830"/>
      <c r="F482" s="1830"/>
      <c r="G482" s="1828"/>
    </row>
    <row r="483" spans="1:7" ht="14.25" hidden="1" customHeight="1">
      <c r="A483" s="1836" t="s">
        <v>220</v>
      </c>
      <c r="B483" s="1830"/>
      <c r="C483" s="1830"/>
      <c r="D483" s="1830"/>
      <c r="E483" s="1830"/>
      <c r="F483" s="1830"/>
      <c r="G483" s="1828"/>
    </row>
    <row r="484" spans="1:7" ht="14.25" hidden="1" customHeight="1">
      <c r="A484" s="1829" t="s">
        <v>221</v>
      </c>
      <c r="B484" s="1828"/>
      <c r="C484" s="63" t="s">
        <v>222</v>
      </c>
      <c r="D484" s="63" t="s">
        <v>223</v>
      </c>
      <c r="E484" s="63" t="s">
        <v>224</v>
      </c>
      <c r="F484" s="63" t="s">
        <v>225</v>
      </c>
      <c r="G484" s="63" t="s">
        <v>226</v>
      </c>
    </row>
    <row r="485" spans="1:7" ht="14.25" hidden="1" customHeight="1">
      <c r="A485" s="1845"/>
      <c r="B485" s="1828"/>
      <c r="C485" s="192"/>
      <c r="D485" s="64"/>
      <c r="E485" s="64"/>
      <c r="F485" s="64"/>
      <c r="G485" s="64"/>
    </row>
    <row r="486" spans="1:7" ht="14.25" hidden="1" customHeight="1">
      <c r="A486" s="1845"/>
      <c r="B486" s="1828"/>
      <c r="C486" s="64"/>
      <c r="D486" s="64"/>
      <c r="E486" s="64"/>
      <c r="F486" s="64"/>
      <c r="G486" s="64"/>
    </row>
    <row r="487" spans="1:7" ht="14.25" hidden="1" customHeight="1">
      <c r="A487" s="1829" t="s">
        <v>227</v>
      </c>
      <c r="B487" s="1830"/>
      <c r="C487" s="1830"/>
      <c r="D487" s="1830"/>
      <c r="E487" s="1830"/>
      <c r="F487" s="1828"/>
      <c r="G487" s="191">
        <f>ROUND(SUM(G485:G486),2)</f>
        <v>0</v>
      </c>
    </row>
    <row r="488" spans="1:7" ht="14.25" hidden="1" customHeight="1">
      <c r="A488" s="1831"/>
      <c r="B488" s="1830"/>
      <c r="C488" s="1830"/>
      <c r="D488" s="1830"/>
      <c r="E488" s="1830"/>
      <c r="F488" s="1830"/>
      <c r="G488" s="1828"/>
    </row>
    <row r="489" spans="1:7" ht="14.25" customHeight="1">
      <c r="A489" s="66" t="s">
        <v>240</v>
      </c>
      <c r="B489" s="1832" t="str">
        <f>+B481</f>
        <v>ESTRUCTURA METÁLICA</v>
      </c>
      <c r="C489" s="1830"/>
      <c r="D489" s="1828"/>
      <c r="E489" s="1833" t="s">
        <v>218</v>
      </c>
      <c r="F489" s="1828"/>
      <c r="G489" s="62" t="s">
        <v>120</v>
      </c>
    </row>
    <row r="490" spans="1:7" ht="14.25" customHeight="1">
      <c r="A490" s="66" t="s">
        <v>712</v>
      </c>
      <c r="B490" s="1840" t="s">
        <v>402</v>
      </c>
      <c r="C490" s="1830"/>
      <c r="D490" s="1830"/>
      <c r="E490" s="1830"/>
      <c r="F490" s="1830"/>
      <c r="G490" s="1828"/>
    </row>
    <row r="491" spans="1:7" ht="14.25" customHeight="1">
      <c r="A491" s="1836" t="s">
        <v>220</v>
      </c>
      <c r="B491" s="1830"/>
      <c r="C491" s="1830"/>
      <c r="D491" s="1830"/>
      <c r="E491" s="1830"/>
      <c r="F491" s="1830"/>
      <c r="G491" s="1828"/>
    </row>
    <row r="492" spans="1:7" ht="14.25" customHeight="1">
      <c r="A492" s="1829" t="s">
        <v>221</v>
      </c>
      <c r="B492" s="1828"/>
      <c r="C492" s="63" t="s">
        <v>222</v>
      </c>
      <c r="D492" s="63" t="s">
        <v>223</v>
      </c>
      <c r="E492" s="63" t="s">
        <v>224</v>
      </c>
      <c r="F492" s="63" t="s">
        <v>225</v>
      </c>
      <c r="G492" s="63" t="s">
        <v>226</v>
      </c>
    </row>
    <row r="493" spans="1:7" ht="14.25" customHeight="1">
      <c r="A493" s="1847"/>
      <c r="B493" s="1828"/>
      <c r="C493" s="64"/>
      <c r="D493" s="64"/>
      <c r="E493" s="64"/>
      <c r="F493" s="64"/>
      <c r="G493" s="64"/>
    </row>
    <row r="494" spans="1:7" ht="14.25" customHeight="1">
      <c r="A494" s="1845"/>
      <c r="B494" s="1828"/>
      <c r="C494" s="64"/>
      <c r="D494" s="64"/>
      <c r="E494" s="64"/>
      <c r="F494" s="64"/>
      <c r="G494" s="64"/>
    </row>
    <row r="495" spans="1:7" ht="14.25" customHeight="1">
      <c r="A495" s="1847"/>
      <c r="B495" s="1828"/>
      <c r="C495" s="64"/>
      <c r="D495" s="64"/>
      <c r="E495" s="64"/>
      <c r="F495" s="64"/>
      <c r="G495" s="64"/>
    </row>
    <row r="496" spans="1:7" ht="14.25" customHeight="1">
      <c r="A496" s="1845"/>
      <c r="B496" s="1828"/>
      <c r="C496" s="64"/>
      <c r="D496" s="64"/>
      <c r="E496" s="64"/>
      <c r="F496" s="64"/>
      <c r="G496" s="64"/>
    </row>
    <row r="497" spans="1:7" ht="14.25" customHeight="1">
      <c r="A497" s="1847" t="s">
        <v>699</v>
      </c>
      <c r="B497" s="1828"/>
      <c r="C497" s="64"/>
      <c r="D497" s="64"/>
      <c r="E497" s="64"/>
      <c r="F497" s="64"/>
      <c r="G497" s="64"/>
    </row>
    <row r="498" spans="1:7" ht="14.25" customHeight="1">
      <c r="A498" s="1845" t="s">
        <v>964</v>
      </c>
      <c r="B498" s="1828"/>
      <c r="C498" s="64">
        <v>163.15</v>
      </c>
      <c r="D498" s="64"/>
      <c r="E498" s="64"/>
      <c r="F498" s="64"/>
      <c r="G498" s="64">
        <f>+C498</f>
        <v>163.15</v>
      </c>
    </row>
    <row r="499" spans="1:7" ht="14.25" customHeight="1">
      <c r="A499" s="1845"/>
      <c r="B499" s="1828"/>
      <c r="C499" s="64"/>
      <c r="D499" s="64"/>
      <c r="E499" s="64"/>
      <c r="F499" s="64"/>
      <c r="G499" s="64"/>
    </row>
    <row r="500" spans="1:7" ht="14.25" customHeight="1">
      <c r="A500" s="1845"/>
      <c r="B500" s="1828"/>
      <c r="C500" s="64"/>
      <c r="D500" s="64"/>
      <c r="E500" s="64"/>
      <c r="F500" s="64"/>
      <c r="G500" s="64"/>
    </row>
    <row r="501" spans="1:7" ht="14.25" customHeight="1">
      <c r="A501" s="1829" t="s">
        <v>227</v>
      </c>
      <c r="B501" s="1830"/>
      <c r="C501" s="1830"/>
      <c r="D501" s="1830"/>
      <c r="E501" s="1830"/>
      <c r="F501" s="1828"/>
      <c r="G501" s="191">
        <f>SUM(G494:G500)</f>
        <v>163.15</v>
      </c>
    </row>
    <row r="502" spans="1:7" ht="14.25" customHeight="1">
      <c r="A502" s="1831"/>
      <c r="B502" s="1830"/>
      <c r="C502" s="1830"/>
      <c r="D502" s="1830"/>
      <c r="E502" s="1830"/>
      <c r="F502" s="1830"/>
      <c r="G502" s="1828"/>
    </row>
    <row r="503" spans="1:7" ht="14.25" customHeight="1">
      <c r="A503" s="66" t="s">
        <v>240</v>
      </c>
      <c r="B503" s="1832" t="str">
        <f>+B489</f>
        <v>ESTRUCTURA METÁLICA</v>
      </c>
      <c r="C503" s="1830"/>
      <c r="D503" s="1828"/>
      <c r="E503" s="1833" t="s">
        <v>218</v>
      </c>
      <c r="F503" s="1828"/>
      <c r="G503" s="62" t="s">
        <v>120</v>
      </c>
    </row>
    <row r="504" spans="1:7" ht="14.25" customHeight="1">
      <c r="A504" s="66" t="s">
        <v>714</v>
      </c>
      <c r="B504" s="1840" t="s">
        <v>404</v>
      </c>
      <c r="C504" s="1830"/>
      <c r="D504" s="1830"/>
      <c r="E504" s="1830"/>
      <c r="F504" s="1830"/>
      <c r="G504" s="1828"/>
    </row>
    <row r="505" spans="1:7" ht="14.25" customHeight="1">
      <c r="A505" s="1836" t="s">
        <v>220</v>
      </c>
      <c r="B505" s="1830"/>
      <c r="C505" s="1830"/>
      <c r="D505" s="1830"/>
      <c r="E505" s="1830"/>
      <c r="F505" s="1830"/>
      <c r="G505" s="1828"/>
    </row>
    <row r="506" spans="1:7" ht="14.25" customHeight="1">
      <c r="A506" s="1829" t="s">
        <v>221</v>
      </c>
      <c r="B506" s="1828"/>
      <c r="C506" s="63" t="s">
        <v>222</v>
      </c>
      <c r="D506" s="63" t="s">
        <v>223</v>
      </c>
      <c r="E506" s="63" t="s">
        <v>224</v>
      </c>
      <c r="F506" s="63" t="s">
        <v>225</v>
      </c>
      <c r="G506" s="63" t="s">
        <v>226</v>
      </c>
    </row>
    <row r="507" spans="1:7" ht="14.25" customHeight="1">
      <c r="A507" s="1847"/>
      <c r="B507" s="1828"/>
      <c r="C507" s="64"/>
      <c r="D507" s="64"/>
      <c r="E507" s="64"/>
      <c r="F507" s="64"/>
      <c r="G507" s="64"/>
    </row>
    <row r="508" spans="1:7" ht="14.25" customHeight="1">
      <c r="A508" s="1845"/>
      <c r="B508" s="1828"/>
      <c r="C508" s="64"/>
      <c r="D508" s="64"/>
      <c r="E508" s="64"/>
      <c r="F508" s="64"/>
      <c r="G508" s="64"/>
    </row>
    <row r="509" spans="1:7" ht="14.25" customHeight="1">
      <c r="A509" s="1847"/>
      <c r="B509" s="1828"/>
      <c r="C509" s="64"/>
      <c r="D509" s="64"/>
      <c r="E509" s="64"/>
      <c r="F509" s="64"/>
      <c r="G509" s="64"/>
    </row>
    <row r="510" spans="1:7" ht="14.25" customHeight="1">
      <c r="A510" s="1845"/>
      <c r="B510" s="1828"/>
      <c r="C510" s="64"/>
      <c r="D510" s="64"/>
      <c r="E510" s="64"/>
      <c r="F510" s="64"/>
      <c r="G510" s="64"/>
    </row>
    <row r="511" spans="1:7" ht="14.25" customHeight="1">
      <c r="A511" s="1847" t="s">
        <v>699</v>
      </c>
      <c r="B511" s="1828"/>
      <c r="C511" s="64"/>
      <c r="D511" s="64"/>
      <c r="E511" s="64"/>
      <c r="F511" s="64"/>
      <c r="G511" s="64"/>
    </row>
    <row r="512" spans="1:7" ht="14.25" customHeight="1">
      <c r="A512" s="1845" t="s">
        <v>966</v>
      </c>
      <c r="B512" s="1828"/>
      <c r="C512" s="64">
        <v>284.64999999999998</v>
      </c>
      <c r="D512" s="64"/>
      <c r="E512" s="64"/>
      <c r="F512" s="64"/>
      <c r="G512" s="64">
        <f>+C512</f>
        <v>284.64999999999998</v>
      </c>
    </row>
    <row r="513" spans="1:7" ht="14.25" customHeight="1">
      <c r="A513" s="1845"/>
      <c r="B513" s="1828"/>
      <c r="C513" s="64"/>
      <c r="D513" s="64"/>
      <c r="E513" s="64"/>
      <c r="F513" s="64"/>
      <c r="G513" s="64"/>
    </row>
    <row r="514" spans="1:7" ht="14.25" customHeight="1">
      <c r="A514" s="1845"/>
      <c r="B514" s="1828"/>
      <c r="C514" s="64"/>
      <c r="D514" s="64"/>
      <c r="E514" s="64"/>
      <c r="F514" s="64"/>
      <c r="G514" s="64"/>
    </row>
    <row r="515" spans="1:7" ht="14.25" customHeight="1">
      <c r="A515" s="1829" t="s">
        <v>227</v>
      </c>
      <c r="B515" s="1830"/>
      <c r="C515" s="1830"/>
      <c r="D515" s="1830"/>
      <c r="E515" s="1830"/>
      <c r="F515" s="1828"/>
      <c r="G515" s="191">
        <f>ROUND(SUM(G508:G514),2)</f>
        <v>284.64999999999998</v>
      </c>
    </row>
    <row r="516" spans="1:7" ht="14.25" customHeight="1">
      <c r="A516" s="1831"/>
      <c r="B516" s="1830"/>
      <c r="C516" s="1830"/>
      <c r="D516" s="1830"/>
      <c r="E516" s="1830"/>
      <c r="F516" s="1830"/>
      <c r="G516" s="1828"/>
    </row>
    <row r="517" spans="1:7" ht="14.25" customHeight="1">
      <c r="A517" s="66" t="s">
        <v>249</v>
      </c>
      <c r="B517" s="1832" t="s">
        <v>405</v>
      </c>
      <c r="C517" s="1830"/>
      <c r="D517" s="1828"/>
      <c r="E517" s="1833" t="s">
        <v>218</v>
      </c>
      <c r="F517" s="1828"/>
      <c r="G517" s="62" t="s">
        <v>228</v>
      </c>
    </row>
    <row r="518" spans="1:7" ht="30" customHeight="1">
      <c r="A518" s="66" t="s">
        <v>250</v>
      </c>
      <c r="B518" s="1840" t="s">
        <v>716</v>
      </c>
      <c r="C518" s="1830"/>
      <c r="D518" s="1830"/>
      <c r="E518" s="1830"/>
      <c r="F518" s="1830"/>
      <c r="G518" s="1828"/>
    </row>
    <row r="519" spans="1:7" ht="14.25" customHeight="1">
      <c r="A519" s="1836" t="s">
        <v>220</v>
      </c>
      <c r="B519" s="1830"/>
      <c r="C519" s="1830"/>
      <c r="D519" s="1830"/>
      <c r="E519" s="1830"/>
      <c r="F519" s="1830"/>
      <c r="G519" s="1828"/>
    </row>
    <row r="520" spans="1:7" ht="14.25" customHeight="1">
      <c r="A520" s="1829" t="s">
        <v>221</v>
      </c>
      <c r="B520" s="1828"/>
      <c r="C520" s="63" t="s">
        <v>222</v>
      </c>
      <c r="D520" s="63" t="s">
        <v>223</v>
      </c>
      <c r="E520" s="63" t="s">
        <v>248</v>
      </c>
      <c r="F520" s="63" t="s">
        <v>225</v>
      </c>
      <c r="G520" s="63" t="s">
        <v>226</v>
      </c>
    </row>
    <row r="521" spans="1:7" ht="14.25" customHeight="1">
      <c r="A521" s="1847" t="s">
        <v>737</v>
      </c>
      <c r="B521" s="1828"/>
      <c r="C521" s="64"/>
      <c r="D521" s="64"/>
      <c r="E521" s="64"/>
      <c r="F521" s="64"/>
      <c r="G521" s="64"/>
    </row>
    <row r="522" spans="1:7" ht="14.25" customHeight="1">
      <c r="A522" s="1844" t="s">
        <v>587</v>
      </c>
      <c r="B522" s="1828"/>
      <c r="C522" s="64">
        <v>4833.5100000000011</v>
      </c>
      <c r="D522" s="64"/>
      <c r="E522" s="64"/>
      <c r="F522" s="64"/>
      <c r="G522" s="64">
        <f>+C522</f>
        <v>4833.5100000000011</v>
      </c>
    </row>
    <row r="523" spans="1:7" ht="14.25" customHeight="1">
      <c r="A523" s="1845"/>
      <c r="B523" s="1828"/>
      <c r="C523" s="64"/>
      <c r="D523" s="64"/>
      <c r="E523" s="64"/>
      <c r="F523" s="64"/>
      <c r="G523" s="64"/>
    </row>
    <row r="524" spans="1:7" ht="14.25" hidden="1" customHeight="1">
      <c r="A524" s="1844"/>
      <c r="B524" s="1828"/>
      <c r="C524" s="64"/>
      <c r="D524" s="64"/>
      <c r="E524" s="64"/>
      <c r="F524" s="64"/>
      <c r="G524" s="64"/>
    </row>
    <row r="525" spans="1:7" ht="14.25" hidden="1" customHeight="1">
      <c r="A525" s="1845"/>
      <c r="B525" s="1828"/>
      <c r="C525" s="64"/>
      <c r="D525" s="64"/>
      <c r="E525" s="64"/>
      <c r="F525" s="64"/>
      <c r="G525" s="64"/>
    </row>
    <row r="526" spans="1:7" ht="14.25" hidden="1" customHeight="1">
      <c r="A526" s="1844"/>
      <c r="B526" s="1828"/>
      <c r="C526" s="64"/>
      <c r="D526" s="64"/>
      <c r="E526" s="64"/>
      <c r="F526" s="64"/>
      <c r="G526" s="64"/>
    </row>
    <row r="527" spans="1:7" ht="14.25" hidden="1" customHeight="1">
      <c r="A527" s="1845"/>
      <c r="B527" s="1828"/>
      <c r="C527" s="64"/>
      <c r="D527" s="64"/>
      <c r="E527" s="64"/>
      <c r="F527" s="64"/>
      <c r="G527" s="64"/>
    </row>
    <row r="528" spans="1:7" ht="14.25" hidden="1" customHeight="1">
      <c r="A528" s="1844"/>
      <c r="B528" s="1828"/>
      <c r="C528" s="64"/>
      <c r="D528" s="64"/>
      <c r="E528" s="64"/>
      <c r="F528" s="64"/>
      <c r="G528" s="64"/>
    </row>
    <row r="529" spans="1:2" ht="14.25" hidden="1" customHeight="1">
      <c r="A529" s="1845"/>
      <c r="B529" s="1828"/>
    </row>
    <row r="530" spans="1:2" ht="14.25" hidden="1" customHeight="1">
      <c r="A530" s="1844"/>
      <c r="B530" s="1828"/>
    </row>
    <row r="531" spans="1:2" ht="14.25" hidden="1" customHeight="1">
      <c r="A531" s="1847"/>
      <c r="B531" s="1828"/>
    </row>
    <row r="532" spans="1:2" ht="14.25" hidden="1" customHeight="1">
      <c r="A532" s="1844"/>
      <c r="B532" s="1828"/>
    </row>
    <row r="533" spans="1:2" ht="14.25" hidden="1" customHeight="1">
      <c r="A533" s="1845"/>
      <c r="B533" s="1828"/>
    </row>
    <row r="534" spans="1:2" ht="14.25" hidden="1" customHeight="1">
      <c r="A534" s="1845"/>
      <c r="B534" s="1828"/>
    </row>
    <row r="535" spans="1:2" ht="14.25" hidden="1" customHeight="1">
      <c r="A535" s="1844"/>
      <c r="B535" s="1828"/>
    </row>
    <row r="536" spans="1:2" ht="14.25" hidden="1" customHeight="1">
      <c r="A536" s="1844"/>
      <c r="B536" s="1828"/>
    </row>
    <row r="537" spans="1:2" ht="14.25" hidden="1" customHeight="1">
      <c r="A537" s="1844"/>
      <c r="B537" s="1828"/>
    </row>
    <row r="538" spans="1:2" ht="14.25" hidden="1" customHeight="1">
      <c r="A538" s="1844"/>
      <c r="B538" s="1828"/>
    </row>
    <row r="539" spans="1:2" ht="14.25" hidden="1" customHeight="1">
      <c r="A539" s="1845"/>
      <c r="B539" s="1828"/>
    </row>
    <row r="540" spans="1:2" ht="14.25" hidden="1" customHeight="1">
      <c r="A540" s="1844"/>
      <c r="B540" s="1828"/>
    </row>
    <row r="541" spans="1:2" ht="14.25" hidden="1" customHeight="1">
      <c r="A541" s="1845"/>
      <c r="B541" s="1828"/>
    </row>
    <row r="542" spans="1:2" ht="14.25" hidden="1" customHeight="1">
      <c r="A542" s="1844"/>
      <c r="B542" s="1828"/>
    </row>
    <row r="543" spans="1:2" ht="14.25" hidden="1" customHeight="1">
      <c r="A543" s="1845"/>
      <c r="B543" s="1828"/>
    </row>
    <row r="544" spans="1:2" ht="14.25" hidden="1" customHeight="1">
      <c r="A544" s="1844"/>
      <c r="B544" s="1828"/>
    </row>
    <row r="545" spans="1:7" ht="14.25" hidden="1" customHeight="1">
      <c r="A545" s="1845"/>
      <c r="B545" s="1828"/>
      <c r="C545" s="64"/>
      <c r="D545" s="64"/>
      <c r="E545" s="64"/>
      <c r="F545" s="64"/>
      <c r="G545" s="64"/>
    </row>
    <row r="546" spans="1:7" ht="14.25" hidden="1" customHeight="1">
      <c r="A546" s="1844"/>
      <c r="B546" s="1828"/>
      <c r="C546" s="64"/>
      <c r="D546" s="64"/>
      <c r="E546" s="64"/>
      <c r="F546" s="64"/>
      <c r="G546" s="64"/>
    </row>
    <row r="547" spans="1:7" ht="14.25" hidden="1" customHeight="1">
      <c r="A547" s="1847"/>
      <c r="B547" s="1828"/>
      <c r="C547" s="64"/>
      <c r="D547" s="64"/>
      <c r="E547" s="64"/>
      <c r="F547" s="64"/>
      <c r="G547" s="64"/>
    </row>
    <row r="548" spans="1:7" ht="14.25" hidden="1" customHeight="1">
      <c r="A548" s="1844"/>
      <c r="B548" s="1828"/>
      <c r="C548" s="64"/>
      <c r="D548" s="64"/>
      <c r="E548" s="64"/>
      <c r="F548" s="64"/>
      <c r="G548" s="64"/>
    </row>
    <row r="549" spans="1:7" ht="14.25" hidden="1" customHeight="1">
      <c r="A549" s="1845"/>
      <c r="B549" s="1828"/>
      <c r="C549" s="64"/>
      <c r="D549" s="64"/>
      <c r="E549" s="64"/>
      <c r="F549" s="64"/>
      <c r="G549" s="64"/>
    </row>
    <row r="550" spans="1:7" ht="14.25" hidden="1" customHeight="1">
      <c r="A550" s="1844"/>
      <c r="B550" s="1828"/>
      <c r="C550" s="64"/>
      <c r="D550" s="64"/>
      <c r="E550" s="64"/>
      <c r="F550" s="64"/>
      <c r="G550" s="64"/>
    </row>
    <row r="551" spans="1:7" ht="14.25" hidden="1" customHeight="1">
      <c r="A551" s="1845"/>
      <c r="B551" s="1828"/>
      <c r="C551" s="64"/>
      <c r="D551" s="64"/>
      <c r="E551" s="64"/>
      <c r="F551" s="64"/>
      <c r="G551" s="64"/>
    </row>
    <row r="552" spans="1:7" ht="14.25" hidden="1" customHeight="1">
      <c r="A552" s="1851"/>
      <c r="B552" s="1828"/>
      <c r="C552" s="64"/>
      <c r="D552" s="64"/>
      <c r="E552" s="64"/>
      <c r="F552" s="64"/>
      <c r="G552" s="64"/>
    </row>
    <row r="553" spans="1:7" ht="14.25" customHeight="1">
      <c r="A553" s="1844"/>
      <c r="B553" s="1828"/>
      <c r="C553" s="64"/>
      <c r="D553" s="64"/>
      <c r="E553" s="64"/>
      <c r="F553" s="64"/>
      <c r="G553" s="64"/>
    </row>
    <row r="554" spans="1:7" ht="14.25" customHeight="1">
      <c r="A554" s="1829" t="s">
        <v>227</v>
      </c>
      <c r="B554" s="1830"/>
      <c r="C554" s="1830"/>
      <c r="D554" s="1830"/>
      <c r="E554" s="1830"/>
      <c r="F554" s="1828"/>
      <c r="G554" s="65">
        <f>ROUND(SUM(G521:G553),2)</f>
        <v>4833.51</v>
      </c>
    </row>
    <row r="555" spans="1:7" ht="14.25" customHeight="1">
      <c r="A555" s="1831"/>
      <c r="B555" s="1830"/>
      <c r="C555" s="1830"/>
      <c r="D555" s="1830"/>
      <c r="E555" s="1830"/>
      <c r="F555" s="1830"/>
      <c r="G555" s="1828"/>
    </row>
    <row r="556" spans="1:7" ht="14.25" hidden="1" customHeight="1">
      <c r="A556" s="66" t="s">
        <v>249</v>
      </c>
      <c r="B556" s="1832" t="str">
        <f>+B517</f>
        <v>PISOS Y ENCHAPES</v>
      </c>
      <c r="C556" s="1830"/>
      <c r="D556" s="1828"/>
      <c r="E556" s="1833" t="s">
        <v>218</v>
      </c>
      <c r="F556" s="1828"/>
      <c r="G556" s="62" t="s">
        <v>228</v>
      </c>
    </row>
    <row r="557" spans="1:7" ht="14.25" hidden="1" customHeight="1">
      <c r="A557" s="66" t="s">
        <v>251</v>
      </c>
      <c r="B557" s="1840" t="s">
        <v>722</v>
      </c>
      <c r="C557" s="1830"/>
      <c r="D557" s="1830"/>
      <c r="E557" s="1830"/>
      <c r="F557" s="1830"/>
      <c r="G557" s="1828"/>
    </row>
    <row r="558" spans="1:7" ht="14.25" hidden="1" customHeight="1">
      <c r="A558" s="1836" t="s">
        <v>220</v>
      </c>
      <c r="B558" s="1830"/>
      <c r="C558" s="1830"/>
      <c r="D558" s="1830"/>
      <c r="E558" s="1830"/>
      <c r="F558" s="1830"/>
      <c r="G558" s="1828"/>
    </row>
    <row r="559" spans="1:7" ht="14.25" hidden="1" customHeight="1">
      <c r="A559" s="1829" t="s">
        <v>221</v>
      </c>
      <c r="B559" s="1828"/>
      <c r="C559" s="63" t="s">
        <v>222</v>
      </c>
      <c r="D559" s="63" t="s">
        <v>223</v>
      </c>
      <c r="E559" s="63" t="s">
        <v>224</v>
      </c>
      <c r="F559" s="63" t="s">
        <v>225</v>
      </c>
      <c r="G559" s="63" t="s">
        <v>226</v>
      </c>
    </row>
    <row r="560" spans="1:7" ht="14.25" hidden="1" customHeight="1">
      <c r="A560" s="1845" t="s">
        <v>723</v>
      </c>
      <c r="B560" s="1828"/>
      <c r="C560" s="64">
        <v>13.5</v>
      </c>
      <c r="D560" s="64">
        <v>4.2</v>
      </c>
      <c r="E560" s="64"/>
      <c r="F560" s="64"/>
      <c r="G560" s="64">
        <f t="shared" ref="G560:G561" si="24">+C560*D560</f>
        <v>56.7</v>
      </c>
    </row>
    <row r="561" spans="1:7" ht="14.25" hidden="1" customHeight="1">
      <c r="A561" s="1844" t="s">
        <v>724</v>
      </c>
      <c r="B561" s="1828"/>
      <c r="C561" s="64">
        <v>22.48</v>
      </c>
      <c r="D561" s="64">
        <f>74.53/C561</f>
        <v>3.3153914590747329</v>
      </c>
      <c r="E561" s="64"/>
      <c r="F561" s="64"/>
      <c r="G561" s="64">
        <f t="shared" si="24"/>
        <v>74.53</v>
      </c>
    </row>
    <row r="562" spans="1:7" ht="14.25" hidden="1" customHeight="1">
      <c r="A562" s="1844"/>
      <c r="B562" s="1828"/>
      <c r="C562" s="64"/>
      <c r="D562" s="64"/>
      <c r="E562" s="64"/>
      <c r="F562" s="64"/>
      <c r="G562" s="64"/>
    </row>
    <row r="563" spans="1:7" ht="14.25" hidden="1" customHeight="1">
      <c r="A563" s="1829" t="s">
        <v>227</v>
      </c>
      <c r="B563" s="1830"/>
      <c r="C563" s="1830"/>
      <c r="D563" s="1830"/>
      <c r="E563" s="1830"/>
      <c r="F563" s="1828"/>
      <c r="G563" s="191"/>
    </row>
    <row r="564" spans="1:7" ht="14.25" hidden="1" customHeight="1">
      <c r="A564" s="1831"/>
      <c r="B564" s="1830"/>
      <c r="C564" s="1830"/>
      <c r="D564" s="1830"/>
      <c r="E564" s="1830"/>
      <c r="F564" s="1830"/>
      <c r="G564" s="1828"/>
    </row>
    <row r="565" spans="1:7" ht="14.25" customHeight="1">
      <c r="A565" s="66" t="s">
        <v>249</v>
      </c>
      <c r="B565" s="1832" t="str">
        <f>+B556</f>
        <v>PISOS Y ENCHAPES</v>
      </c>
      <c r="C565" s="1830"/>
      <c r="D565" s="1828"/>
      <c r="E565" s="1833" t="s">
        <v>218</v>
      </c>
      <c r="F565" s="1828"/>
      <c r="G565" s="62" t="s">
        <v>228</v>
      </c>
    </row>
    <row r="566" spans="1:7" ht="14.25" customHeight="1">
      <c r="A566" s="66" t="s">
        <v>251</v>
      </c>
      <c r="B566" s="1840" t="s">
        <v>725</v>
      </c>
      <c r="C566" s="1830"/>
      <c r="D566" s="1830"/>
      <c r="E566" s="1830"/>
      <c r="F566" s="1830"/>
      <c r="G566" s="1828"/>
    </row>
    <row r="567" spans="1:7" ht="14.25" customHeight="1">
      <c r="A567" s="1836" t="s">
        <v>220</v>
      </c>
      <c r="B567" s="1830"/>
      <c r="C567" s="1830"/>
      <c r="D567" s="1830"/>
      <c r="E567" s="1830"/>
      <c r="F567" s="1830"/>
      <c r="G567" s="1828"/>
    </row>
    <row r="568" spans="1:7" ht="14.25" customHeight="1">
      <c r="A568" s="1829" t="s">
        <v>221</v>
      </c>
      <c r="B568" s="1828"/>
      <c r="C568" s="63" t="s">
        <v>222</v>
      </c>
      <c r="D568" s="63" t="s">
        <v>223</v>
      </c>
      <c r="E568" s="63" t="s">
        <v>224</v>
      </c>
      <c r="F568" s="63" t="s">
        <v>225</v>
      </c>
      <c r="G568" s="63" t="s">
        <v>226</v>
      </c>
    </row>
    <row r="569" spans="1:7" ht="14.25" customHeight="1">
      <c r="A569" s="1845" t="s">
        <v>967</v>
      </c>
      <c r="B569" s="1828"/>
      <c r="C569" s="64">
        <v>24.3</v>
      </c>
      <c r="D569" s="64"/>
      <c r="E569" s="64"/>
      <c r="F569" s="64"/>
      <c r="G569" s="64">
        <f t="shared" ref="G569:G570" si="25">+C569</f>
        <v>24.3</v>
      </c>
    </row>
    <row r="570" spans="1:7" ht="14.25" customHeight="1">
      <c r="A570" s="1845" t="s">
        <v>968</v>
      </c>
      <c r="B570" s="1828"/>
      <c r="C570" s="64">
        <v>26.45</v>
      </c>
      <c r="D570" s="64"/>
      <c r="E570" s="64"/>
      <c r="F570" s="64"/>
      <c r="G570" s="64">
        <f t="shared" si="25"/>
        <v>26.45</v>
      </c>
    </row>
    <row r="571" spans="1:7" ht="14.25" customHeight="1">
      <c r="A571" s="1845"/>
      <c r="B571" s="1828"/>
      <c r="C571" s="64"/>
      <c r="D571" s="64"/>
      <c r="E571" s="64"/>
      <c r="F571" s="64"/>
      <c r="G571" s="64"/>
    </row>
    <row r="572" spans="1:7" ht="14.25" customHeight="1">
      <c r="A572" s="1829" t="s">
        <v>227</v>
      </c>
      <c r="B572" s="1830"/>
      <c r="C572" s="1830"/>
      <c r="D572" s="1830"/>
      <c r="E572" s="1830"/>
      <c r="F572" s="1828"/>
      <c r="G572" s="65">
        <f>ROUND(SUM(G569:G571),2)</f>
        <v>50.75</v>
      </c>
    </row>
    <row r="573" spans="1:7" ht="14.25" hidden="1" customHeight="1">
      <c r="A573" s="1831"/>
      <c r="B573" s="1830"/>
      <c r="C573" s="1830"/>
      <c r="D573" s="1830"/>
      <c r="E573" s="1830"/>
      <c r="F573" s="1830"/>
      <c r="G573" s="1828"/>
    </row>
    <row r="574" spans="1:7" ht="14.25" hidden="1" customHeight="1">
      <c r="A574" s="66" t="s">
        <v>249</v>
      </c>
      <c r="B574" s="1832" t="str">
        <f>+B565</f>
        <v>PISOS Y ENCHAPES</v>
      </c>
      <c r="C574" s="1830"/>
      <c r="D574" s="1828"/>
      <c r="E574" s="1833" t="s">
        <v>218</v>
      </c>
      <c r="F574" s="1828"/>
      <c r="G574" s="62" t="s">
        <v>228</v>
      </c>
    </row>
    <row r="575" spans="1:7" ht="30.75" hidden="1" customHeight="1">
      <c r="A575" s="66" t="s">
        <v>256</v>
      </c>
      <c r="B575" s="1840" t="s">
        <v>727</v>
      </c>
      <c r="C575" s="1830"/>
      <c r="D575" s="1830"/>
      <c r="E575" s="1830"/>
      <c r="F575" s="1830"/>
      <c r="G575" s="1828"/>
    </row>
    <row r="576" spans="1:7" ht="14.25" hidden="1" customHeight="1">
      <c r="A576" s="1836" t="s">
        <v>220</v>
      </c>
      <c r="B576" s="1830"/>
      <c r="C576" s="1830"/>
      <c r="D576" s="1830"/>
      <c r="E576" s="1830"/>
      <c r="F576" s="1830"/>
      <c r="G576" s="1828"/>
    </row>
    <row r="577" spans="1:7" ht="14.25" hidden="1" customHeight="1">
      <c r="A577" s="1829" t="s">
        <v>221</v>
      </c>
      <c r="B577" s="1828"/>
      <c r="C577" s="63" t="s">
        <v>222</v>
      </c>
      <c r="D577" s="63" t="s">
        <v>223</v>
      </c>
      <c r="E577" s="63" t="s">
        <v>224</v>
      </c>
      <c r="F577" s="63" t="s">
        <v>225</v>
      </c>
      <c r="G577" s="63" t="s">
        <v>226</v>
      </c>
    </row>
    <row r="578" spans="1:7" ht="14.25" hidden="1" customHeight="1">
      <c r="A578" s="1846" t="s">
        <v>728</v>
      </c>
      <c r="B578" s="1843"/>
      <c r="C578" s="64">
        <v>28</v>
      </c>
      <c r="D578" s="64">
        <v>19</v>
      </c>
      <c r="E578" s="64"/>
      <c r="F578" s="64"/>
      <c r="G578" s="64"/>
    </row>
    <row r="579" spans="1:7" ht="14.25" hidden="1" customHeight="1">
      <c r="A579" s="1845"/>
      <c r="B579" s="1828"/>
      <c r="C579" s="64"/>
      <c r="D579" s="64"/>
      <c r="E579" s="64"/>
      <c r="F579" s="64"/>
      <c r="G579" s="64"/>
    </row>
    <row r="580" spans="1:7" ht="14.25" hidden="1" customHeight="1">
      <c r="A580" s="1829" t="s">
        <v>227</v>
      </c>
      <c r="B580" s="1830"/>
      <c r="C580" s="1830"/>
      <c r="D580" s="1830"/>
      <c r="E580" s="1830"/>
      <c r="F580" s="1828"/>
      <c r="G580" s="191">
        <f>ROUND(SUM(G578:G579),2)</f>
        <v>0</v>
      </c>
    </row>
    <row r="581" spans="1:7" ht="14.25" hidden="1" customHeight="1">
      <c r="A581" s="1831"/>
      <c r="B581" s="1830"/>
      <c r="C581" s="1830"/>
      <c r="D581" s="1830"/>
      <c r="E581" s="1830"/>
      <c r="F581" s="1830"/>
      <c r="G581" s="1828"/>
    </row>
    <row r="582" spans="1:7" ht="14.25" hidden="1" customHeight="1">
      <c r="A582" s="66" t="s">
        <v>249</v>
      </c>
      <c r="B582" s="1832" t="str">
        <f>+B574</f>
        <v>PISOS Y ENCHAPES</v>
      </c>
      <c r="C582" s="1830"/>
      <c r="D582" s="1828"/>
      <c r="E582" s="1833" t="s">
        <v>218</v>
      </c>
      <c r="F582" s="1828"/>
      <c r="G582" s="62" t="s">
        <v>228</v>
      </c>
    </row>
    <row r="583" spans="1:7" ht="24.75" hidden="1" customHeight="1">
      <c r="A583" s="66" t="s">
        <v>257</v>
      </c>
      <c r="B583" s="1840" t="s">
        <v>729</v>
      </c>
      <c r="C583" s="1830"/>
      <c r="D583" s="1830"/>
      <c r="E583" s="1830"/>
      <c r="F583" s="1830"/>
      <c r="G583" s="1828"/>
    </row>
    <row r="584" spans="1:7" ht="14.25" hidden="1" customHeight="1">
      <c r="A584" s="1836" t="s">
        <v>220</v>
      </c>
      <c r="B584" s="1830"/>
      <c r="C584" s="1830"/>
      <c r="D584" s="1830"/>
      <c r="E584" s="1830"/>
      <c r="F584" s="1830"/>
      <c r="G584" s="1828"/>
    </row>
    <row r="585" spans="1:7" ht="14.25" hidden="1" customHeight="1">
      <c r="A585" s="1829" t="s">
        <v>221</v>
      </c>
      <c r="B585" s="1828"/>
      <c r="C585" s="63" t="s">
        <v>222</v>
      </c>
      <c r="D585" s="63" t="s">
        <v>223</v>
      </c>
      <c r="E585" s="63" t="s">
        <v>224</v>
      </c>
      <c r="F585" s="63" t="s">
        <v>225</v>
      </c>
      <c r="G585" s="63" t="s">
        <v>226</v>
      </c>
    </row>
    <row r="586" spans="1:7" ht="14.25" hidden="1" customHeight="1">
      <c r="A586" s="1846" t="s">
        <v>730</v>
      </c>
      <c r="B586" s="1843"/>
      <c r="C586" s="64">
        <v>33.35</v>
      </c>
      <c r="D586" s="64">
        <v>36.57</v>
      </c>
      <c r="E586" s="64"/>
      <c r="F586" s="64"/>
      <c r="G586" s="64"/>
    </row>
    <row r="587" spans="1:7" ht="14.25" hidden="1" customHeight="1">
      <c r="A587" s="1847" t="s">
        <v>731</v>
      </c>
      <c r="B587" s="1828"/>
      <c r="C587" s="64"/>
      <c r="D587" s="64"/>
      <c r="E587" s="64"/>
      <c r="F587" s="64"/>
      <c r="G587" s="64"/>
    </row>
    <row r="588" spans="1:7" ht="14.25" hidden="1" customHeight="1">
      <c r="A588" s="1852" t="s">
        <v>732</v>
      </c>
      <c r="B588" s="1828"/>
      <c r="C588" s="193">
        <v>28.75</v>
      </c>
      <c r="D588" s="193">
        <v>4.95</v>
      </c>
      <c r="E588" s="193"/>
      <c r="F588" s="193"/>
      <c r="G588" s="193"/>
    </row>
    <row r="589" spans="1:7" ht="14.25" hidden="1" customHeight="1">
      <c r="A589" s="1852" t="s">
        <v>733</v>
      </c>
      <c r="B589" s="1828"/>
      <c r="C589" s="193">
        <v>13.7</v>
      </c>
      <c r="D589" s="193">
        <v>4.6500000000000004</v>
      </c>
      <c r="E589" s="193"/>
      <c r="F589" s="193"/>
      <c r="G589" s="193"/>
    </row>
    <row r="590" spans="1:7" ht="14.25" hidden="1" customHeight="1">
      <c r="A590" s="1852" t="s">
        <v>734</v>
      </c>
      <c r="B590" s="1828"/>
      <c r="C590" s="193"/>
      <c r="D590" s="193"/>
      <c r="E590" s="193"/>
      <c r="F590" s="193"/>
      <c r="G590" s="193"/>
    </row>
    <row r="591" spans="1:7" ht="14.25" hidden="1" customHeight="1">
      <c r="A591" s="1852" t="s">
        <v>735</v>
      </c>
      <c r="B591" s="1828"/>
      <c r="C591" s="193"/>
      <c r="D591" s="193"/>
      <c r="E591" s="193"/>
      <c r="F591" s="193"/>
      <c r="G591" s="193"/>
    </row>
    <row r="592" spans="1:7" ht="14.25" hidden="1" customHeight="1">
      <c r="A592" s="1829" t="s">
        <v>227</v>
      </c>
      <c r="B592" s="1830"/>
      <c r="C592" s="1830"/>
      <c r="D592" s="1830"/>
      <c r="E592" s="1830"/>
      <c r="F592" s="1828"/>
      <c r="G592" s="191">
        <f>ROUND((SUM(G586:G587))-(SUM(G588:G591)),2)</f>
        <v>0</v>
      </c>
    </row>
    <row r="593" spans="1:7" ht="14.25" customHeight="1">
      <c r="A593" s="1831"/>
      <c r="B593" s="1830"/>
      <c r="C593" s="1830"/>
      <c r="D593" s="1830"/>
      <c r="E593" s="1830"/>
      <c r="F593" s="1830"/>
      <c r="G593" s="1828"/>
    </row>
    <row r="594" spans="1:7" ht="14.25" hidden="1" customHeight="1">
      <c r="A594" s="66" t="s">
        <v>249</v>
      </c>
      <c r="B594" s="1832" t="str">
        <f>+B582</f>
        <v>PISOS Y ENCHAPES</v>
      </c>
      <c r="C594" s="1830"/>
      <c r="D594" s="1828"/>
      <c r="E594" s="1833" t="s">
        <v>218</v>
      </c>
      <c r="F594" s="1828"/>
      <c r="G594" s="62" t="s">
        <v>228</v>
      </c>
    </row>
    <row r="595" spans="1:7" ht="14.25" hidden="1" customHeight="1">
      <c r="A595" s="66" t="s">
        <v>253</v>
      </c>
      <c r="B595" s="1840" t="s">
        <v>736</v>
      </c>
      <c r="C595" s="1830"/>
      <c r="D595" s="1830"/>
      <c r="E595" s="1830"/>
      <c r="F595" s="1830"/>
      <c r="G595" s="1828"/>
    </row>
    <row r="596" spans="1:7" ht="14.25" hidden="1" customHeight="1">
      <c r="A596" s="1836" t="s">
        <v>220</v>
      </c>
      <c r="B596" s="1830"/>
      <c r="C596" s="1830"/>
      <c r="D596" s="1830"/>
      <c r="E596" s="1830"/>
      <c r="F596" s="1830"/>
      <c r="G596" s="1828"/>
    </row>
    <row r="597" spans="1:7" ht="14.25" hidden="1" customHeight="1">
      <c r="A597" s="1829" t="s">
        <v>221</v>
      </c>
      <c r="B597" s="1828"/>
      <c r="C597" s="63" t="s">
        <v>222</v>
      </c>
      <c r="D597" s="63" t="s">
        <v>223</v>
      </c>
      <c r="E597" s="63" t="s">
        <v>224</v>
      </c>
      <c r="F597" s="63" t="s">
        <v>225</v>
      </c>
      <c r="G597" s="63" t="s">
        <v>226</v>
      </c>
    </row>
    <row r="598" spans="1:7" ht="14.25" hidden="1" customHeight="1">
      <c r="A598" s="1847" t="s">
        <v>737</v>
      </c>
      <c r="B598" s="1828"/>
      <c r="C598" s="64"/>
      <c r="D598" s="64"/>
      <c r="E598" s="64"/>
      <c r="F598" s="64"/>
      <c r="G598" s="64"/>
    </row>
    <row r="599" spans="1:7" ht="14.25" hidden="1" customHeight="1">
      <c r="A599" s="1844" t="s">
        <v>587</v>
      </c>
      <c r="B599" s="1828"/>
      <c r="C599" s="64">
        <f>+C522*1.15</f>
        <v>5558.5365000000011</v>
      </c>
      <c r="D599" s="64"/>
      <c r="E599" s="64"/>
      <c r="F599" s="64"/>
      <c r="G599" s="64">
        <f>+C599</f>
        <v>5558.5365000000011</v>
      </c>
    </row>
    <row r="600" spans="1:7" ht="14.25" hidden="1" customHeight="1">
      <c r="A600" s="1845"/>
      <c r="B600" s="1828"/>
      <c r="C600" s="64"/>
      <c r="D600" s="64"/>
      <c r="E600" s="64"/>
      <c r="F600" s="64"/>
      <c r="G600" s="64"/>
    </row>
    <row r="601" spans="1:7" ht="14.25" hidden="1" customHeight="1">
      <c r="A601" s="1845"/>
      <c r="B601" s="1828"/>
      <c r="C601" s="64"/>
      <c r="D601" s="64"/>
      <c r="E601" s="64"/>
      <c r="F601" s="64"/>
      <c r="G601" s="64"/>
    </row>
    <row r="602" spans="1:7" ht="14.25" hidden="1" customHeight="1">
      <c r="A602" s="1829" t="s">
        <v>227</v>
      </c>
      <c r="B602" s="1830"/>
      <c r="C602" s="1830"/>
      <c r="D602" s="1830"/>
      <c r="E602" s="1830"/>
      <c r="F602" s="1828"/>
      <c r="G602" s="65">
        <f>ROUND(SUM(G598:G601),2)</f>
        <v>5558.54</v>
      </c>
    </row>
    <row r="603" spans="1:7" ht="14.25" hidden="1" customHeight="1">
      <c r="A603" s="1831"/>
      <c r="B603" s="1830"/>
      <c r="C603" s="1830"/>
      <c r="D603" s="1830"/>
      <c r="E603" s="1830"/>
      <c r="F603" s="1830"/>
      <c r="G603" s="1828"/>
    </row>
    <row r="604" spans="1:7" ht="14.25" hidden="1" customHeight="1">
      <c r="A604" s="66" t="s">
        <v>249</v>
      </c>
      <c r="B604" s="1832" t="str">
        <f>+B594</f>
        <v>PISOS Y ENCHAPES</v>
      </c>
      <c r="C604" s="1830"/>
      <c r="D604" s="1828"/>
      <c r="E604" s="1833" t="s">
        <v>218</v>
      </c>
      <c r="F604" s="1828"/>
      <c r="G604" s="62" t="s">
        <v>228</v>
      </c>
    </row>
    <row r="605" spans="1:7" ht="14.25" hidden="1" customHeight="1">
      <c r="A605" s="66" t="s">
        <v>254</v>
      </c>
      <c r="B605" s="1840" t="s">
        <v>738</v>
      </c>
      <c r="C605" s="1830"/>
      <c r="D605" s="1830"/>
      <c r="E605" s="1830"/>
      <c r="F605" s="1830"/>
      <c r="G605" s="1828"/>
    </row>
    <row r="606" spans="1:7" ht="14.25" hidden="1" customHeight="1">
      <c r="A606" s="1836" t="s">
        <v>220</v>
      </c>
      <c r="B606" s="1830"/>
      <c r="C606" s="1830"/>
      <c r="D606" s="1830"/>
      <c r="E606" s="1830"/>
      <c r="F606" s="1830"/>
      <c r="G606" s="1828"/>
    </row>
    <row r="607" spans="1:7" ht="14.25" hidden="1" customHeight="1">
      <c r="A607" s="1829" t="s">
        <v>221</v>
      </c>
      <c r="B607" s="1828"/>
      <c r="C607" s="63" t="s">
        <v>222</v>
      </c>
      <c r="D607" s="63" t="s">
        <v>223</v>
      </c>
      <c r="E607" s="63" t="s">
        <v>224</v>
      </c>
      <c r="F607" s="63" t="s">
        <v>225</v>
      </c>
      <c r="G607" s="63" t="s">
        <v>226</v>
      </c>
    </row>
    <row r="608" spans="1:7" ht="14.25" hidden="1" customHeight="1">
      <c r="A608" s="1845" t="s">
        <v>739</v>
      </c>
      <c r="B608" s="1828"/>
      <c r="C608" s="64">
        <v>48.8</v>
      </c>
      <c r="D608" s="64"/>
      <c r="E608" s="64"/>
      <c r="F608" s="64"/>
      <c r="G608" s="64">
        <f t="shared" ref="G608:G609" si="26">+C608</f>
        <v>48.8</v>
      </c>
    </row>
    <row r="609" spans="1:7" ht="14.25" hidden="1" customHeight="1">
      <c r="A609" s="1845" t="s">
        <v>740</v>
      </c>
      <c r="B609" s="1828"/>
      <c r="C609" s="64">
        <v>13.39</v>
      </c>
      <c r="D609" s="64"/>
      <c r="E609" s="64"/>
      <c r="F609" s="64"/>
      <c r="G609" s="64">
        <f t="shared" si="26"/>
        <v>13.39</v>
      </c>
    </row>
    <row r="610" spans="1:7" ht="14.25" hidden="1" customHeight="1">
      <c r="A610" s="1845"/>
      <c r="B610" s="1828"/>
      <c r="C610" s="64"/>
      <c r="D610" s="64"/>
      <c r="E610" s="64"/>
      <c r="F610" s="64"/>
      <c r="G610" s="64"/>
    </row>
    <row r="611" spans="1:7" ht="14.25" hidden="1" customHeight="1">
      <c r="A611" s="1829" t="s">
        <v>227</v>
      </c>
      <c r="B611" s="1830"/>
      <c r="C611" s="1830"/>
      <c r="D611" s="1830"/>
      <c r="E611" s="1830"/>
      <c r="F611" s="1828"/>
      <c r="G611" s="191"/>
    </row>
    <row r="612" spans="1:7" ht="14.25" hidden="1" customHeight="1">
      <c r="A612" s="1831"/>
      <c r="B612" s="1830"/>
      <c r="C612" s="1830"/>
      <c r="D612" s="1830"/>
      <c r="E612" s="1830"/>
      <c r="F612" s="1830"/>
      <c r="G612" s="1828"/>
    </row>
    <row r="613" spans="1:7" ht="14.25" hidden="1" customHeight="1">
      <c r="A613" s="66" t="s">
        <v>249</v>
      </c>
      <c r="B613" s="1832" t="str">
        <f>+B594</f>
        <v>PISOS Y ENCHAPES</v>
      </c>
      <c r="C613" s="1830"/>
      <c r="D613" s="1828"/>
      <c r="E613" s="1833" t="s">
        <v>218</v>
      </c>
      <c r="F613" s="1828"/>
      <c r="G613" s="62" t="s">
        <v>228</v>
      </c>
    </row>
    <row r="614" spans="1:7" ht="14.25" hidden="1" customHeight="1">
      <c r="A614" s="66" t="s">
        <v>256</v>
      </c>
      <c r="B614" s="1840" t="s">
        <v>741</v>
      </c>
      <c r="C614" s="1830"/>
      <c r="D614" s="1830"/>
      <c r="E614" s="1830"/>
      <c r="F614" s="1830"/>
      <c r="G614" s="1828"/>
    </row>
    <row r="615" spans="1:7" ht="14.25" hidden="1" customHeight="1">
      <c r="A615" s="1836" t="s">
        <v>220</v>
      </c>
      <c r="B615" s="1830"/>
      <c r="C615" s="1830"/>
      <c r="D615" s="1830"/>
      <c r="E615" s="1830"/>
      <c r="F615" s="1830"/>
      <c r="G615" s="1828"/>
    </row>
    <row r="616" spans="1:7" ht="14.25" hidden="1" customHeight="1">
      <c r="A616" s="1829" t="s">
        <v>221</v>
      </c>
      <c r="B616" s="1828"/>
      <c r="C616" s="63" t="s">
        <v>222</v>
      </c>
      <c r="D616" s="63" t="s">
        <v>223</v>
      </c>
      <c r="E616" s="63" t="s">
        <v>224</v>
      </c>
      <c r="F616" s="63" t="s">
        <v>225</v>
      </c>
      <c r="G616" s="63" t="s">
        <v>226</v>
      </c>
    </row>
    <row r="617" spans="1:7" ht="14.25" hidden="1" customHeight="1">
      <c r="A617" s="1845" t="s">
        <v>742</v>
      </c>
      <c r="B617" s="1828"/>
      <c r="C617" s="64">
        <v>254.92</v>
      </c>
      <c r="D617" s="64"/>
      <c r="E617" s="64"/>
      <c r="F617" s="64"/>
      <c r="G617" s="64">
        <f t="shared" ref="G617:G618" si="27">+C617</f>
        <v>254.92</v>
      </c>
    </row>
    <row r="618" spans="1:7" ht="14.25" hidden="1" customHeight="1">
      <c r="A618" s="1845" t="s">
        <v>743</v>
      </c>
      <c r="B618" s="1828"/>
      <c r="C618" s="64">
        <v>252.49</v>
      </c>
      <c r="D618" s="64"/>
      <c r="E618" s="64"/>
      <c r="F618" s="64"/>
      <c r="G618" s="64">
        <f t="shared" si="27"/>
        <v>252.49</v>
      </c>
    </row>
    <row r="619" spans="1:7" ht="14.25" hidden="1" customHeight="1">
      <c r="A619" s="1845" t="s">
        <v>744</v>
      </c>
      <c r="B619" s="1828"/>
      <c r="C619" s="64">
        <v>65.28</v>
      </c>
      <c r="D619" s="64"/>
      <c r="E619" s="64"/>
      <c r="F619" s="64">
        <v>8</v>
      </c>
      <c r="G619" s="64">
        <f t="shared" ref="G619:G620" si="28">+F619*C619</f>
        <v>522.24</v>
      </c>
    </row>
    <row r="620" spans="1:7" ht="14.25" hidden="1" customHeight="1">
      <c r="A620" s="1845" t="s">
        <v>745</v>
      </c>
      <c r="B620" s="1828"/>
      <c r="C620" s="64">
        <v>5.41</v>
      </c>
      <c r="D620" s="64"/>
      <c r="E620" s="64"/>
      <c r="F620" s="64">
        <v>10</v>
      </c>
      <c r="G620" s="64">
        <f t="shared" si="28"/>
        <v>54.1</v>
      </c>
    </row>
    <row r="621" spans="1:7" ht="14.25" hidden="1" customHeight="1">
      <c r="A621" s="1845"/>
      <c r="B621" s="1828"/>
      <c r="C621" s="64"/>
      <c r="D621" s="64"/>
      <c r="E621" s="64"/>
      <c r="F621" s="64"/>
      <c r="G621" s="64"/>
    </row>
    <row r="622" spans="1:7" ht="14.25" hidden="1" customHeight="1">
      <c r="A622" s="1829" t="s">
        <v>227</v>
      </c>
      <c r="B622" s="1830"/>
      <c r="C622" s="1830"/>
      <c r="D622" s="1830"/>
      <c r="E622" s="1830"/>
      <c r="F622" s="1828"/>
      <c r="G622" s="65">
        <f>ROUND(SUM(G617:G621),2)</f>
        <v>1083.75</v>
      </c>
    </row>
    <row r="623" spans="1:7" ht="14.25" hidden="1" customHeight="1">
      <c r="A623" s="1831"/>
      <c r="B623" s="1830"/>
      <c r="C623" s="1830"/>
      <c r="D623" s="1830"/>
      <c r="E623" s="1830"/>
      <c r="F623" s="1830"/>
      <c r="G623" s="1828"/>
    </row>
    <row r="624" spans="1:7" ht="14.25" hidden="1" customHeight="1">
      <c r="A624" s="66" t="s">
        <v>249</v>
      </c>
      <c r="B624" s="1832" t="str">
        <f>+B613</f>
        <v>PISOS Y ENCHAPES</v>
      </c>
      <c r="C624" s="1830"/>
      <c r="D624" s="1828"/>
      <c r="E624" s="1833" t="s">
        <v>218</v>
      </c>
      <c r="F624" s="1828"/>
      <c r="G624" s="62" t="s">
        <v>228</v>
      </c>
    </row>
    <row r="625" spans="1:7" ht="14.25" hidden="1" customHeight="1">
      <c r="A625" s="66" t="s">
        <v>257</v>
      </c>
      <c r="B625" s="1840" t="s">
        <v>746</v>
      </c>
      <c r="C625" s="1830"/>
      <c r="D625" s="1830"/>
      <c r="E625" s="1830"/>
      <c r="F625" s="1830"/>
      <c r="G625" s="1828"/>
    </row>
    <row r="626" spans="1:7" ht="14.25" hidden="1" customHeight="1">
      <c r="A626" s="1836" t="s">
        <v>220</v>
      </c>
      <c r="B626" s="1830"/>
      <c r="C626" s="1830"/>
      <c r="D626" s="1830"/>
      <c r="E626" s="1830"/>
      <c r="F626" s="1830"/>
      <c r="G626" s="1828"/>
    </row>
    <row r="627" spans="1:7" ht="14.25" hidden="1" customHeight="1">
      <c r="A627" s="1829" t="s">
        <v>221</v>
      </c>
      <c r="B627" s="1828"/>
      <c r="C627" s="63" t="s">
        <v>222</v>
      </c>
      <c r="D627" s="63" t="s">
        <v>223</v>
      </c>
      <c r="E627" s="63" t="s">
        <v>224</v>
      </c>
      <c r="F627" s="63" t="s">
        <v>225</v>
      </c>
      <c r="G627" s="63" t="s">
        <v>226</v>
      </c>
    </row>
    <row r="628" spans="1:7" ht="14.25" hidden="1" customHeight="1">
      <c r="A628" s="1845" t="s">
        <v>747</v>
      </c>
      <c r="B628" s="1828"/>
      <c r="C628" s="64">
        <v>28.263367611066155</v>
      </c>
      <c r="D628" s="64">
        <v>5</v>
      </c>
      <c r="E628" s="64"/>
      <c r="F628" s="64">
        <v>8</v>
      </c>
      <c r="G628" s="64">
        <f t="shared" ref="G628:G629" si="29">+F628*D628*C628</f>
        <v>1130.5347044426462</v>
      </c>
    </row>
    <row r="629" spans="1:7" ht="14.25" hidden="1" customHeight="1">
      <c r="A629" s="1845" t="s">
        <v>748</v>
      </c>
      <c r="B629" s="1828"/>
      <c r="C629" s="64">
        <v>32.700000000000003</v>
      </c>
      <c r="D629" s="64">
        <v>5</v>
      </c>
      <c r="E629" s="64"/>
      <c r="F629" s="64">
        <v>2</v>
      </c>
      <c r="G629" s="64">
        <f t="shared" si="29"/>
        <v>327</v>
      </c>
    </row>
    <row r="630" spans="1:7" ht="14.25" hidden="1" customHeight="1">
      <c r="A630" s="1829" t="s">
        <v>227</v>
      </c>
      <c r="B630" s="1830"/>
      <c r="C630" s="1830"/>
      <c r="D630" s="1830"/>
      <c r="E630" s="1830"/>
      <c r="F630" s="1828"/>
      <c r="G630" s="65">
        <f>ROUND(SUM(G628:G629),2)</f>
        <v>1457.53</v>
      </c>
    </row>
    <row r="631" spans="1:7" ht="14.25" hidden="1" customHeight="1">
      <c r="A631" s="1831"/>
      <c r="B631" s="1830"/>
      <c r="C631" s="1830"/>
      <c r="D631" s="1830"/>
      <c r="E631" s="1830"/>
      <c r="F631" s="1830"/>
      <c r="G631" s="1828"/>
    </row>
    <row r="632" spans="1:7" ht="14.25" hidden="1" customHeight="1">
      <c r="A632" s="66" t="s">
        <v>264</v>
      </c>
      <c r="B632" s="1832" t="s">
        <v>419</v>
      </c>
      <c r="C632" s="1830"/>
      <c r="D632" s="1828"/>
      <c r="E632" s="1833" t="s">
        <v>218</v>
      </c>
      <c r="F632" s="1828"/>
      <c r="G632" s="62" t="s">
        <v>228</v>
      </c>
    </row>
    <row r="633" spans="1:7" ht="14.25" hidden="1" customHeight="1">
      <c r="A633" s="66" t="s">
        <v>265</v>
      </c>
      <c r="B633" s="1840" t="s">
        <v>749</v>
      </c>
      <c r="C633" s="1830"/>
      <c r="D633" s="1830"/>
      <c r="E633" s="1830"/>
      <c r="F633" s="1830"/>
      <c r="G633" s="1828"/>
    </row>
    <row r="634" spans="1:7" ht="14.25" hidden="1" customHeight="1">
      <c r="A634" s="1836" t="s">
        <v>220</v>
      </c>
      <c r="B634" s="1830"/>
      <c r="C634" s="1830"/>
      <c r="D634" s="1830"/>
      <c r="E634" s="1830"/>
      <c r="F634" s="1830"/>
      <c r="G634" s="1828"/>
    </row>
    <row r="635" spans="1:7" ht="14.25" hidden="1" customHeight="1">
      <c r="A635" s="1829" t="s">
        <v>221</v>
      </c>
      <c r="B635" s="1828"/>
      <c r="C635" s="63" t="s">
        <v>222</v>
      </c>
      <c r="D635" s="63" t="s">
        <v>223</v>
      </c>
      <c r="E635" s="63" t="s">
        <v>224</v>
      </c>
      <c r="F635" s="63" t="s">
        <v>225</v>
      </c>
      <c r="G635" s="63" t="s">
        <v>226</v>
      </c>
    </row>
    <row r="636" spans="1:7" ht="14.25" hidden="1" customHeight="1">
      <c r="A636" s="1845" t="s">
        <v>750</v>
      </c>
      <c r="B636" s="1828"/>
      <c r="C636" s="64">
        <v>850.22</v>
      </c>
      <c r="D636" s="64"/>
      <c r="E636" s="64"/>
      <c r="F636" s="64"/>
      <c r="G636" s="64">
        <f>+C636</f>
        <v>850.22</v>
      </c>
    </row>
    <row r="637" spans="1:7" ht="14.25" hidden="1" customHeight="1">
      <c r="A637" s="1845" t="s">
        <v>751</v>
      </c>
      <c r="B637" s="1828"/>
      <c r="C637" s="64">
        <f>3+2.7+2.6+0.3+1.55+3.7+1.46+2.92+3.25+1.5+1.5+2.11</f>
        <v>26.590000000000003</v>
      </c>
      <c r="D637" s="64">
        <v>3.3</v>
      </c>
      <c r="E637" s="64">
        <f>-1.6*2.2</f>
        <v>-3.5200000000000005</v>
      </c>
      <c r="F637" s="64">
        <v>2</v>
      </c>
      <c r="G637" s="64">
        <f t="shared" ref="G637:G638" si="30">+((C637*D637)+E637)*F637</f>
        <v>168.45400000000001</v>
      </c>
    </row>
    <row r="638" spans="1:7" ht="19.5" hidden="1" customHeight="1">
      <c r="A638" s="1845" t="s">
        <v>752</v>
      </c>
      <c r="B638" s="1828"/>
      <c r="C638" s="64">
        <f>2.95+2.95+3+3.55+2.4+2.6+2.6</f>
        <v>20.05</v>
      </c>
      <c r="D638" s="64">
        <v>3.3</v>
      </c>
      <c r="E638" s="64">
        <f>-1.8*2.2</f>
        <v>-3.9600000000000004</v>
      </c>
      <c r="F638" s="64">
        <v>2</v>
      </c>
      <c r="G638" s="64">
        <f t="shared" si="30"/>
        <v>124.40999999999998</v>
      </c>
    </row>
    <row r="639" spans="1:7" ht="14.25" hidden="1" customHeight="1">
      <c r="A639" s="1845" t="s">
        <v>753</v>
      </c>
      <c r="B639" s="1828"/>
      <c r="C639" s="64">
        <f t="shared" ref="C639:C640" si="31">7.7+7.7+3.85+3.85</f>
        <v>23.1</v>
      </c>
      <c r="D639" s="64">
        <v>2.35</v>
      </c>
      <c r="E639" s="64"/>
      <c r="F639" s="64"/>
      <c r="G639" s="64">
        <f t="shared" ref="G639:G641" si="32">+D639*C639</f>
        <v>54.285000000000004</v>
      </c>
    </row>
    <row r="640" spans="1:7" ht="14.25" hidden="1" customHeight="1">
      <c r="A640" s="1845" t="s">
        <v>753</v>
      </c>
      <c r="B640" s="1828"/>
      <c r="C640" s="64">
        <f t="shared" si="31"/>
        <v>23.1</v>
      </c>
      <c r="D640" s="64">
        <v>0.6</v>
      </c>
      <c r="E640" s="64"/>
      <c r="F640" s="64"/>
      <c r="G640" s="64">
        <f t="shared" si="32"/>
        <v>13.860000000000001</v>
      </c>
    </row>
    <row r="641" spans="1:11" ht="14.25" hidden="1" customHeight="1">
      <c r="A641" s="1845" t="s">
        <v>754</v>
      </c>
      <c r="B641" s="1828"/>
      <c r="C641" s="64">
        <f>1.56*3</f>
        <v>4.68</v>
      </c>
      <c r="D641" s="64">
        <v>3.5</v>
      </c>
      <c r="E641" s="64"/>
      <c r="F641" s="64"/>
      <c r="G641" s="64">
        <f t="shared" si="32"/>
        <v>16.38</v>
      </c>
      <c r="H641" s="59"/>
      <c r="I641" s="60"/>
      <c r="J641" s="60"/>
      <c r="K641" s="61"/>
    </row>
    <row r="642" spans="1:11" ht="14.25" hidden="1" customHeight="1">
      <c r="A642" s="1829" t="s">
        <v>227</v>
      </c>
      <c r="B642" s="1830"/>
      <c r="C642" s="1830"/>
      <c r="D642" s="1830"/>
      <c r="E642" s="1830"/>
      <c r="F642" s="1828"/>
      <c r="G642" s="65">
        <f>ROUND(SUM(G636:G641),2)</f>
        <v>1227.6099999999999</v>
      </c>
      <c r="H642" s="59"/>
      <c r="I642" s="60"/>
      <c r="J642" s="60"/>
      <c r="K642" s="61"/>
    </row>
    <row r="643" spans="1:11" ht="14.25" hidden="1" customHeight="1">
      <c r="A643" s="179"/>
      <c r="B643" s="194"/>
      <c r="C643" s="64"/>
      <c r="D643" s="64"/>
      <c r="E643" s="64"/>
      <c r="F643" s="64"/>
      <c r="G643" s="64"/>
      <c r="H643" s="59"/>
      <c r="I643" s="60"/>
      <c r="J643" s="60"/>
      <c r="K643" s="61"/>
    </row>
    <row r="644" spans="1:11" ht="14.25" hidden="1" customHeight="1">
      <c r="A644" s="1831"/>
      <c r="B644" s="1830"/>
      <c r="C644" s="1830"/>
      <c r="D644" s="1830"/>
      <c r="E644" s="1830"/>
      <c r="F644" s="1830"/>
      <c r="G644" s="1828"/>
      <c r="H644" s="59"/>
      <c r="I644" s="60"/>
      <c r="J644" s="60"/>
      <c r="K644" s="61"/>
    </row>
    <row r="645" spans="1:11" ht="14.25" hidden="1" customHeight="1">
      <c r="A645" s="66" t="s">
        <v>264</v>
      </c>
      <c r="B645" s="1832" t="str">
        <f>+B632</f>
        <v>MAMPOSTERIA</v>
      </c>
      <c r="C645" s="1830"/>
      <c r="D645" s="1828"/>
      <c r="E645" s="1833" t="s">
        <v>218</v>
      </c>
      <c r="F645" s="1828"/>
      <c r="G645" s="62" t="s">
        <v>228</v>
      </c>
      <c r="H645" s="59"/>
      <c r="I645" s="60"/>
      <c r="J645" s="60"/>
      <c r="K645" s="61"/>
    </row>
    <row r="646" spans="1:11" ht="14.25" hidden="1" customHeight="1">
      <c r="A646" s="66" t="s">
        <v>755</v>
      </c>
      <c r="B646" s="1840" t="s">
        <v>756</v>
      </c>
      <c r="C646" s="1830"/>
      <c r="D646" s="1830"/>
      <c r="E646" s="1830"/>
      <c r="F646" s="1830"/>
      <c r="G646" s="1828"/>
      <c r="H646" s="59"/>
      <c r="I646" s="60"/>
      <c r="J646" s="60"/>
      <c r="K646" s="61"/>
    </row>
    <row r="647" spans="1:11" ht="14.25" hidden="1" customHeight="1">
      <c r="A647" s="1836" t="s">
        <v>220</v>
      </c>
      <c r="B647" s="1830"/>
      <c r="C647" s="1830"/>
      <c r="D647" s="1830"/>
      <c r="E647" s="1830"/>
      <c r="F647" s="1830"/>
      <c r="G647" s="1828"/>
      <c r="H647" s="59"/>
      <c r="I647" s="60"/>
      <c r="J647" s="60"/>
      <c r="K647" s="61"/>
    </row>
    <row r="648" spans="1:11" ht="14.25" hidden="1" customHeight="1">
      <c r="A648" s="1829" t="s">
        <v>221</v>
      </c>
      <c r="B648" s="1828"/>
      <c r="C648" s="63" t="s">
        <v>222</v>
      </c>
      <c r="D648" s="63" t="s">
        <v>223</v>
      </c>
      <c r="E648" s="63" t="s">
        <v>224</v>
      </c>
      <c r="F648" s="63" t="s">
        <v>225</v>
      </c>
      <c r="G648" s="63" t="s">
        <v>226</v>
      </c>
      <c r="H648" s="59"/>
      <c r="I648" s="60"/>
      <c r="J648" s="60"/>
      <c r="K648" s="61" t="s">
        <v>757</v>
      </c>
    </row>
    <row r="649" spans="1:11" ht="14.25" hidden="1" customHeight="1">
      <c r="A649" s="1847" t="s">
        <v>758</v>
      </c>
      <c r="B649" s="1828"/>
      <c r="C649" s="64"/>
      <c r="D649" s="64"/>
      <c r="E649" s="64"/>
      <c r="F649" s="64"/>
      <c r="G649" s="64"/>
      <c r="H649" s="59"/>
      <c r="I649" s="60"/>
      <c r="J649" s="60"/>
      <c r="K649" s="61"/>
    </row>
    <row r="650" spans="1:11" ht="14.25" hidden="1" customHeight="1">
      <c r="A650" s="1845" t="s">
        <v>759</v>
      </c>
      <c r="B650" s="1828"/>
      <c r="C650" s="64">
        <f>+K650</f>
        <v>140.89999999999998</v>
      </c>
      <c r="D650" s="64">
        <v>3.3</v>
      </c>
      <c r="E650" s="64"/>
      <c r="F650" s="64"/>
      <c r="G650" s="64">
        <f t="shared" ref="G650:G652" si="33">+D650*C650</f>
        <v>464.96999999999991</v>
      </c>
      <c r="H650" s="59"/>
      <c r="I650" s="60"/>
      <c r="J650" s="60"/>
      <c r="K650" s="61">
        <f>5.12+23.5+4.4+20.34+5.12+4.5+2.88+2.9+7.7+1.44+1.55+(2.35-(0.9*2.2))+5.4+(5-(1.6*2.2))+7.9+1.55+1.45+(1.8-(0.7*2.2))+3.7+5.1+(1.25-(0.7*2.2))+1.7+(1.75-(0.9*2.2))+(3.95-(1.7*2.2))+3.95+3.8+4.5+2.9+(7.9-(1*2.2))+1.85+1.1+2+1.1+1.35+4.6</f>
        <v>140.89999999999998</v>
      </c>
    </row>
    <row r="651" spans="1:11" ht="15" hidden="1" customHeight="1">
      <c r="A651" s="1845" t="s">
        <v>760</v>
      </c>
      <c r="B651" s="1828"/>
      <c r="C651" s="64">
        <f>+K652</f>
        <v>106.48000000000002</v>
      </c>
      <c r="D651" s="64">
        <v>3.3</v>
      </c>
      <c r="E651" s="64"/>
      <c r="F651" s="64"/>
      <c r="G651" s="64">
        <f t="shared" si="33"/>
        <v>351.38400000000001</v>
      </c>
      <c r="H651" s="59"/>
      <c r="I651" s="60"/>
      <c r="J651" s="60"/>
      <c r="K651" s="61" t="s">
        <v>61</v>
      </c>
    </row>
    <row r="652" spans="1:11" ht="14.25" hidden="1" customHeight="1">
      <c r="A652" s="1845" t="s">
        <v>761</v>
      </c>
      <c r="B652" s="1828"/>
      <c r="C652" s="64">
        <f>5.85+7.9+1.2+6.57+1.2+(5.27-(0.9*2.2))+4.92+1.74+1.5+3.03+(4.45-(0.8*2*2.2))+(1.35-(0.9*2.2))</f>
        <v>37.5</v>
      </c>
      <c r="D652" s="64">
        <v>3.3</v>
      </c>
      <c r="E652" s="64"/>
      <c r="F652" s="64"/>
      <c r="G652" s="64">
        <f t="shared" si="33"/>
        <v>123.75</v>
      </c>
      <c r="H652" s="59"/>
      <c r="I652" s="60"/>
      <c r="J652" s="60"/>
      <c r="K652" s="61">
        <f>5.27+16.85+1.3+0.8+3.62+(7.7-(1.6*2.2))+((3.48-(0.7*2.2))*2)+1.3+3.48+4.85+2.15+5.7+1.1+3.25+3.2+(1.3-(0.9*2.2))+1.35+2.9+1.1+1.5+(2.8-(0.7*2.2))+0.4+4.35+4.5+(3.5-(0.9*2.2))+7.7+7.9+2.9+7.05+1.8</f>
        <v>106.48000000000002</v>
      </c>
    </row>
    <row r="653" spans="1:11" ht="14.25" hidden="1" customHeight="1">
      <c r="A653" s="1845" t="s">
        <v>762</v>
      </c>
      <c r="B653" s="1828"/>
      <c r="C653" s="64">
        <f>2.6+1.55+3+1.4+1.55+1.6+5.05</f>
        <v>16.75</v>
      </c>
      <c r="D653" s="64">
        <v>3.3</v>
      </c>
      <c r="E653" s="64">
        <f>-K653-K654</f>
        <v>-3.5200000000000005</v>
      </c>
      <c r="F653" s="64"/>
      <c r="G653" s="64">
        <f t="shared" ref="G653:G656" si="34">+(C653*D653)+E653</f>
        <v>51.754999999999995</v>
      </c>
      <c r="H653" s="59"/>
      <c r="I653" s="60"/>
      <c r="J653" s="60"/>
      <c r="K653" s="61">
        <f>0.9*2.2</f>
        <v>1.9800000000000002</v>
      </c>
    </row>
    <row r="654" spans="1:11" ht="14.25" hidden="1" customHeight="1">
      <c r="A654" s="1845" t="s">
        <v>763</v>
      </c>
      <c r="B654" s="1828"/>
      <c r="C654" s="64">
        <f>2.9+1.58+1.8+4.22+4.5</f>
        <v>15</v>
      </c>
      <c r="D654" s="64">
        <v>3.3</v>
      </c>
      <c r="E654" s="64">
        <f>-J654</f>
        <v>-3.5200000000000005</v>
      </c>
      <c r="F654" s="64"/>
      <c r="G654" s="64">
        <f t="shared" si="34"/>
        <v>45.98</v>
      </c>
      <c r="H654" s="59"/>
      <c r="I654" s="60"/>
      <c r="J654" s="60">
        <f>1.6*2.2</f>
        <v>3.5200000000000005</v>
      </c>
      <c r="K654" s="61">
        <f>0.7*2.2</f>
        <v>1.54</v>
      </c>
    </row>
    <row r="655" spans="1:11" ht="14.25" hidden="1" customHeight="1">
      <c r="A655" s="1845" t="s">
        <v>764</v>
      </c>
      <c r="B655" s="1828"/>
      <c r="C655" s="64">
        <f>4.56+4.5+6.27+1.15+0.65+1.9+2.9+0.9</f>
        <v>22.829999999999991</v>
      </c>
      <c r="D655" s="64">
        <v>3.3</v>
      </c>
      <c r="E655" s="64">
        <f>-0.9*2.2</f>
        <v>-1.9800000000000002</v>
      </c>
      <c r="F655" s="64"/>
      <c r="G655" s="64">
        <f t="shared" si="34"/>
        <v>73.358999999999966</v>
      </c>
      <c r="H655" s="59"/>
      <c r="I655" s="60"/>
      <c r="J655" s="60"/>
      <c r="K655" s="61"/>
    </row>
    <row r="656" spans="1:11" ht="14.25" hidden="1" customHeight="1">
      <c r="A656" s="1845" t="s">
        <v>765</v>
      </c>
      <c r="B656" s="1828"/>
      <c r="C656" s="64">
        <f>4.05+2.45+4.05+3.1+0.5+1.9+2.07+7.9+5.22+2.07+1.2+1.9+3.1+6.57</f>
        <v>46.080000000000005</v>
      </c>
      <c r="D656" s="64">
        <v>3.3</v>
      </c>
      <c r="E656" s="64">
        <f>-1.8*2.2</f>
        <v>-3.9600000000000004</v>
      </c>
      <c r="F656" s="64"/>
      <c r="G656" s="64">
        <f t="shared" si="34"/>
        <v>148.10400000000001</v>
      </c>
      <c r="H656" s="59"/>
      <c r="I656" s="60"/>
      <c r="J656" s="60"/>
      <c r="K656" s="61"/>
    </row>
    <row r="657" spans="1:13" ht="14.25" hidden="1" customHeight="1">
      <c r="A657" s="1845" t="s">
        <v>766</v>
      </c>
      <c r="B657" s="1828"/>
      <c r="C657" s="64">
        <f>7.9+2.9+4.5+7.9+7.9+2.9+4.5+3+4.75+7.9+4.5+2.9+7.9+7.9+4.5+2.9+7.9+7.9+7.9+2.6+1.55+5.05+2.6</f>
        <v>120.25000000000001</v>
      </c>
      <c r="D657" s="64">
        <v>6.9</v>
      </c>
      <c r="E657" s="64"/>
      <c r="F657" s="64"/>
      <c r="G657" s="64">
        <f>+D657*C657</f>
        <v>829.72500000000014</v>
      </c>
      <c r="H657" s="59"/>
      <c r="I657" s="60"/>
      <c r="J657" s="60"/>
      <c r="K657" s="61"/>
      <c r="L657" s="59">
        <f>3.85*17.87*2</f>
        <v>137.59900000000002</v>
      </c>
      <c r="M657" s="59">
        <f t="shared" ref="M657:M658" si="35">+L657*2</f>
        <v>275.19800000000004</v>
      </c>
    </row>
    <row r="658" spans="1:13" ht="14.25" hidden="1" customHeight="1">
      <c r="A658" s="1847" t="s">
        <v>767</v>
      </c>
      <c r="B658" s="1828"/>
      <c r="C658" s="64"/>
      <c r="D658" s="64"/>
      <c r="E658" s="64"/>
      <c r="F658" s="64"/>
      <c r="G658" s="64"/>
      <c r="H658" s="59"/>
      <c r="I658" s="60"/>
      <c r="J658" s="60"/>
      <c r="K658" s="61"/>
      <c r="L658" s="59">
        <f>9.1*17.87</f>
        <v>162.61699999999999</v>
      </c>
      <c r="M658" s="59">
        <f t="shared" si="35"/>
        <v>325.23399999999998</v>
      </c>
    </row>
    <row r="659" spans="1:13" ht="14.25" hidden="1" customHeight="1">
      <c r="A659" s="1845" t="s">
        <v>768</v>
      </c>
      <c r="B659" s="1828"/>
      <c r="C659" s="64">
        <f>7.65+2.3+2.98</f>
        <v>12.93</v>
      </c>
      <c r="D659" s="64">
        <v>3.3</v>
      </c>
      <c r="E659" s="64"/>
      <c r="F659" s="64"/>
      <c r="G659" s="64">
        <f>+D659*C659</f>
        <v>42.668999999999997</v>
      </c>
      <c r="H659" s="59"/>
      <c r="I659" s="60"/>
      <c r="J659" s="60"/>
      <c r="K659" s="61">
        <f>5.12+23.5+4.4+20.34+5.12+4.5+2.88+2.9+7.7+1.44+1.55+(2.35-(0.9*2.2))+5.4+(5-(1.6*2.2))+7.9+1.55+1.45+(1.8-(0.7*2.2))+3.7+5.1+(1.25-(0.7*2.2))+1.7+(1.75-(0.9*2.2))+(3.95-(1.7*2.2))+3.95+3.8+4.5+2.9+(7.9-(1*2.2))+1.85+1.1+2+1.1+1.35+4.6</f>
        <v>140.89999999999998</v>
      </c>
      <c r="L659" s="59">
        <f>4.15*60.19</f>
        <v>249.7885</v>
      </c>
      <c r="M659" s="59"/>
    </row>
    <row r="660" spans="1:13" ht="15" hidden="1" customHeight="1">
      <c r="A660" s="1844" t="s">
        <v>769</v>
      </c>
      <c r="B660" s="1828"/>
      <c r="C660" s="64">
        <v>2.9</v>
      </c>
      <c r="D660" s="64">
        <v>3.9</v>
      </c>
      <c r="E660" s="64"/>
      <c r="F660" s="64">
        <v>2</v>
      </c>
      <c r="G660" s="64">
        <f t="shared" ref="G660:G661" si="36">+D660*C660*F660</f>
        <v>22.619999999999997</v>
      </c>
      <c r="H660" s="59"/>
      <c r="I660" s="195">
        <f>7.8/2</f>
        <v>3.9</v>
      </c>
      <c r="J660" s="60"/>
      <c r="K660" s="61" t="s">
        <v>61</v>
      </c>
      <c r="L660" s="59">
        <f>+L659+M657+M658</f>
        <v>850.2204999999999</v>
      </c>
      <c r="M660" s="59"/>
    </row>
    <row r="661" spans="1:13" ht="14.25" hidden="1" customHeight="1">
      <c r="A661" s="1844" t="s">
        <v>770</v>
      </c>
      <c r="B661" s="1828"/>
      <c r="C661" s="64">
        <v>2.9</v>
      </c>
      <c r="D661" s="64">
        <v>3.9</v>
      </c>
      <c r="E661" s="64"/>
      <c r="F661" s="64">
        <v>2</v>
      </c>
      <c r="G661" s="64">
        <f t="shared" si="36"/>
        <v>22.619999999999997</v>
      </c>
      <c r="H661" s="59"/>
      <c r="I661" s="60"/>
      <c r="J661" s="60"/>
      <c r="K661" s="61">
        <f>5.27+16.85+1.3+0.8+3.62+(7.7-(1.6*2.2))+((3.48-(0.7*2.2))*2)+1.3+3.48+4.85+2.15+5.7+1.1+3.25+3.2+(1.3-(0.9*2.2))+1.35+2.9+1.1+1.5+(2.8-(0.7*2.2))+0.4+4.35+4.5+(3.5-(0.9*2.2))+7.7+7.9+2.9+7.05+1.8</f>
        <v>106.48000000000002</v>
      </c>
      <c r="L661" s="59"/>
      <c r="M661" s="59"/>
    </row>
    <row r="662" spans="1:13" ht="14.25" hidden="1" customHeight="1">
      <c r="A662" s="1845" t="s">
        <v>771</v>
      </c>
      <c r="B662" s="1828"/>
      <c r="C662" s="64">
        <f>1.35+5.5+1.8+2.9</f>
        <v>11.55</v>
      </c>
      <c r="D662" s="64">
        <v>3.3</v>
      </c>
      <c r="E662" s="64">
        <f>+(0.7*2.2)*2</f>
        <v>3.08</v>
      </c>
      <c r="F662" s="64"/>
      <c r="G662" s="64">
        <f t="shared" ref="G662:G666" si="37">+(C662*D662)+E662</f>
        <v>41.195</v>
      </c>
      <c r="H662" s="59"/>
      <c r="I662" s="60"/>
      <c r="J662" s="60"/>
      <c r="K662" s="61">
        <f>0.9*2.2</f>
        <v>1.9800000000000002</v>
      </c>
      <c r="L662" s="59"/>
      <c r="M662" s="59"/>
    </row>
    <row r="663" spans="1:13" ht="14.25" hidden="1" customHeight="1">
      <c r="A663" s="1844" t="s">
        <v>772</v>
      </c>
      <c r="B663" s="1828"/>
      <c r="C663" s="64">
        <v>7.2</v>
      </c>
      <c r="D663" s="64">
        <v>3.3</v>
      </c>
      <c r="E663" s="64"/>
      <c r="F663" s="64"/>
      <c r="G663" s="64">
        <f t="shared" si="37"/>
        <v>23.759999999999998</v>
      </c>
      <c r="H663" s="59"/>
      <c r="I663" s="60"/>
      <c r="J663" s="60">
        <f>1.6*2.2</f>
        <v>3.5200000000000005</v>
      </c>
      <c r="K663" s="61">
        <f>0.7*2.2</f>
        <v>1.54</v>
      </c>
      <c r="L663" s="59"/>
      <c r="M663" s="59"/>
    </row>
    <row r="664" spans="1:13" ht="14.25" hidden="1" customHeight="1">
      <c r="A664" s="1845" t="s">
        <v>773</v>
      </c>
      <c r="B664" s="1828"/>
      <c r="C664" s="64">
        <f>3.7+5.05+4.95+2.55+1.55+1.82</f>
        <v>19.62</v>
      </c>
      <c r="D664" s="64">
        <v>3.3</v>
      </c>
      <c r="E664" s="64">
        <f>-((0.7+0.8+1.1)*2.2)</f>
        <v>-5.7200000000000006</v>
      </c>
      <c r="F664" s="64"/>
      <c r="G664" s="64">
        <f t="shared" si="37"/>
        <v>59.025999999999996</v>
      </c>
      <c r="H664" s="59"/>
      <c r="I664" s="60"/>
      <c r="J664" s="60"/>
      <c r="K664" s="61"/>
      <c r="L664" s="59"/>
      <c r="M664" s="59"/>
    </row>
    <row r="665" spans="1:13" ht="14.25" hidden="1" customHeight="1">
      <c r="A665" s="1844" t="s">
        <v>774</v>
      </c>
      <c r="B665" s="1828"/>
      <c r="C665" s="64">
        <f>7.9+2.6</f>
        <v>10.5</v>
      </c>
      <c r="D665" s="64">
        <v>3.3</v>
      </c>
      <c r="E665" s="64">
        <f>-0.9*2.2</f>
        <v>-1.9800000000000002</v>
      </c>
      <c r="F665" s="64"/>
      <c r="G665" s="64">
        <f t="shared" si="37"/>
        <v>32.67</v>
      </c>
      <c r="H665" s="59"/>
      <c r="I665" s="60"/>
      <c r="J665" s="60"/>
      <c r="K665" s="61"/>
      <c r="L665" s="59"/>
      <c r="M665" s="59"/>
    </row>
    <row r="666" spans="1:13" ht="15" hidden="1" customHeight="1">
      <c r="A666" s="1846" t="s">
        <v>775</v>
      </c>
      <c r="B666" s="1843"/>
      <c r="C666" s="64">
        <f>+(7.9+7.8)</f>
        <v>15.7</v>
      </c>
      <c r="D666" s="64">
        <v>3.3</v>
      </c>
      <c r="E666" s="64">
        <f>-(0.9*2.2)-(1.8*2.2*2)</f>
        <v>-9.9</v>
      </c>
      <c r="F666" s="64"/>
      <c r="G666" s="64">
        <f t="shared" si="37"/>
        <v>41.91</v>
      </c>
      <c r="H666" s="59"/>
      <c r="I666" s="60"/>
      <c r="J666" s="60"/>
      <c r="K666" s="61"/>
      <c r="L666" s="59"/>
      <c r="M666" s="59"/>
    </row>
    <row r="667" spans="1:13" ht="15" hidden="1" customHeight="1">
      <c r="A667" s="1620"/>
      <c r="B667" s="1622"/>
      <c r="C667" s="64">
        <v>2.9</v>
      </c>
      <c r="D667" s="64">
        <v>3.9</v>
      </c>
      <c r="E667" s="64"/>
      <c r="F667" s="64">
        <v>2</v>
      </c>
      <c r="G667" s="64">
        <f>+F667*D667*C667</f>
        <v>22.619999999999997</v>
      </c>
      <c r="H667" s="59"/>
      <c r="I667" s="60"/>
      <c r="J667" s="60"/>
      <c r="K667" s="61"/>
      <c r="L667" s="59"/>
      <c r="M667" s="59"/>
    </row>
    <row r="668" spans="1:13" ht="15" hidden="1" customHeight="1">
      <c r="A668" s="1844" t="s">
        <v>776</v>
      </c>
      <c r="B668" s="1828"/>
      <c r="C668" s="64">
        <f>2+1.54+1.1</f>
        <v>4.6400000000000006</v>
      </c>
      <c r="D668" s="64">
        <v>3.3</v>
      </c>
      <c r="E668" s="64"/>
      <c r="F668" s="64"/>
      <c r="G668" s="64">
        <f>+D668*C668</f>
        <v>15.312000000000001</v>
      </c>
      <c r="H668" s="59"/>
      <c r="I668" s="60"/>
      <c r="J668" s="60"/>
      <c r="K668" s="61"/>
      <c r="L668" s="59"/>
      <c r="M668" s="59"/>
    </row>
    <row r="669" spans="1:13" ht="15" hidden="1" customHeight="1">
      <c r="A669" s="1844" t="s">
        <v>320</v>
      </c>
      <c r="B669" s="1828"/>
      <c r="C669" s="64">
        <f>1.3+1.85+3.3+6.44+1.68+1.54</f>
        <v>16.11</v>
      </c>
      <c r="D669" s="64">
        <v>3.3</v>
      </c>
      <c r="E669" s="64">
        <f>-2.1*2.2</f>
        <v>-4.620000000000001</v>
      </c>
      <c r="F669" s="64"/>
      <c r="G669" s="64">
        <f>+(C669*D669)+E669</f>
        <v>48.542999999999992</v>
      </c>
      <c r="H669" s="59"/>
      <c r="I669" s="60"/>
      <c r="J669" s="60"/>
      <c r="K669" s="61"/>
      <c r="L669" s="59"/>
      <c r="M669" s="59"/>
    </row>
    <row r="670" spans="1:13" ht="15" hidden="1" customHeight="1">
      <c r="A670" s="1846" t="s">
        <v>777</v>
      </c>
      <c r="B670" s="1843"/>
      <c r="C670" s="64">
        <f>3.75+7.9+3.75</f>
        <v>15.4</v>
      </c>
      <c r="D670" s="64">
        <v>18</v>
      </c>
      <c r="E670" s="64"/>
      <c r="F670" s="64"/>
      <c r="G670" s="64">
        <f t="shared" ref="G670:G671" si="38">+D670*C670</f>
        <v>277.2</v>
      </c>
      <c r="H670" s="59"/>
      <c r="I670" s="60"/>
      <c r="J670" s="60"/>
      <c r="K670" s="61"/>
      <c r="L670" s="59"/>
      <c r="M670" s="59"/>
    </row>
    <row r="671" spans="1:13" ht="15" hidden="1" customHeight="1">
      <c r="A671" s="1620"/>
      <c r="B671" s="1622"/>
      <c r="C671" s="64">
        <f>2.63+2.7+4</f>
        <v>9.33</v>
      </c>
      <c r="D671" s="64">
        <v>14</v>
      </c>
      <c r="E671" s="64"/>
      <c r="F671" s="64"/>
      <c r="G671" s="64">
        <f t="shared" si="38"/>
        <v>130.62</v>
      </c>
      <c r="H671" s="59"/>
      <c r="I671" s="60"/>
      <c r="J671" s="60"/>
      <c r="K671" s="61"/>
      <c r="L671" s="59"/>
      <c r="M671" s="59"/>
    </row>
    <row r="672" spans="1:13" ht="14.25" hidden="1" customHeight="1">
      <c r="A672" s="1847" t="s">
        <v>71</v>
      </c>
      <c r="B672" s="1828"/>
      <c r="C672" s="64"/>
      <c r="D672" s="64"/>
      <c r="E672" s="64"/>
      <c r="F672" s="64"/>
      <c r="G672" s="64"/>
      <c r="H672" s="59"/>
      <c r="I672" s="60"/>
      <c r="J672" s="60"/>
      <c r="K672" s="61"/>
      <c r="L672" s="59"/>
      <c r="M672" s="59"/>
    </row>
    <row r="673" spans="1:7" ht="14.25" hidden="1" customHeight="1">
      <c r="A673" s="1845" t="s">
        <v>753</v>
      </c>
      <c r="B673" s="1828"/>
      <c r="C673" s="64">
        <f>7.7+0.65+0.65+0.54+1.6+1.2+2.71+3.55+0.5+2.66+1.51+2.56+0.6+1.6+2.84+1.1+7.7+0.6+2.01+1.5+1.95+0.45+2.8+1.75</f>
        <v>50.730000000000004</v>
      </c>
      <c r="D673" s="64">
        <v>3</v>
      </c>
      <c r="E673" s="64"/>
      <c r="F673" s="64"/>
      <c r="G673" s="64">
        <f t="shared" ref="G673:G674" si="39">+D673*C673</f>
        <v>152.19</v>
      </c>
    </row>
    <row r="674" spans="1:7" ht="14.25" hidden="1" customHeight="1">
      <c r="A674" s="1845" t="s">
        <v>753</v>
      </c>
      <c r="B674" s="1828"/>
      <c r="C674" s="64">
        <v>60.02</v>
      </c>
      <c r="D674" s="64">
        <v>1</v>
      </c>
      <c r="E674" s="64"/>
      <c r="F674" s="64"/>
      <c r="G674" s="64">
        <f t="shared" si="39"/>
        <v>60.02</v>
      </c>
    </row>
    <row r="675" spans="1:7" ht="14.25" hidden="1" customHeight="1">
      <c r="A675" s="1845" t="s">
        <v>778</v>
      </c>
      <c r="B675" s="1828"/>
      <c r="C675" s="64">
        <v>161.22999999999999</v>
      </c>
      <c r="D675" s="64"/>
      <c r="E675" s="64"/>
      <c r="F675" s="64">
        <v>2</v>
      </c>
      <c r="G675" s="64">
        <f>+F675*C675</f>
        <v>322.45999999999998</v>
      </c>
    </row>
    <row r="676" spans="1:7" ht="14.25" hidden="1" customHeight="1">
      <c r="A676" s="1851" t="s">
        <v>754</v>
      </c>
      <c r="B676" s="1828"/>
      <c r="C676" s="64"/>
      <c r="D676" s="64"/>
      <c r="E676" s="64"/>
      <c r="F676" s="64"/>
      <c r="G676" s="64"/>
    </row>
    <row r="677" spans="1:7" ht="14.25" hidden="1" customHeight="1">
      <c r="A677" s="1844" t="s">
        <v>779</v>
      </c>
      <c r="B677" s="1828"/>
      <c r="C677" s="64">
        <f>0.85+0.35+2.18+3.17+54.52+2.1+1+1.51+2.2+7+2.78+11.23+9.64+9.39</f>
        <v>107.92000000000002</v>
      </c>
      <c r="D677" s="64">
        <v>3.5</v>
      </c>
      <c r="E677" s="64"/>
      <c r="F677" s="64">
        <f>-(7.5*3.5)-(6*3)</f>
        <v>-44.25</v>
      </c>
      <c r="G677" s="64">
        <f>+(C677*D677)+F677</f>
        <v>333.47</v>
      </c>
    </row>
    <row r="678" spans="1:7" ht="14.25" hidden="1" customHeight="1">
      <c r="A678" s="1829" t="s">
        <v>227</v>
      </c>
      <c r="B678" s="1830"/>
      <c r="C678" s="1830"/>
      <c r="D678" s="1830"/>
      <c r="E678" s="1830"/>
      <c r="F678" s="1828"/>
      <c r="G678" s="65">
        <f>ROUND(SUM(G650:G677),2)</f>
        <v>3737.93</v>
      </c>
    </row>
    <row r="679" spans="1:7" ht="14.25" hidden="1" customHeight="1">
      <c r="A679" s="1831"/>
      <c r="B679" s="1830"/>
      <c r="C679" s="1830"/>
      <c r="D679" s="1830"/>
      <c r="E679" s="1830"/>
      <c r="F679" s="1830"/>
      <c r="G679" s="1828"/>
    </row>
    <row r="680" spans="1:7" ht="14.25" hidden="1" customHeight="1">
      <c r="A680" s="66" t="s">
        <v>264</v>
      </c>
      <c r="B680" s="1832" t="str">
        <f>+B645</f>
        <v>MAMPOSTERIA</v>
      </c>
      <c r="C680" s="1830"/>
      <c r="D680" s="1828"/>
      <c r="E680" s="1833" t="s">
        <v>218</v>
      </c>
      <c r="F680" s="1828"/>
      <c r="G680" s="62" t="str">
        <f>+G645</f>
        <v>M2</v>
      </c>
    </row>
    <row r="681" spans="1:7" ht="14.25" hidden="1" customHeight="1">
      <c r="A681" s="66" t="s">
        <v>780</v>
      </c>
      <c r="B681" s="1840" t="s">
        <v>781</v>
      </c>
      <c r="C681" s="1830"/>
      <c r="D681" s="1830"/>
      <c r="E681" s="1830"/>
      <c r="F681" s="1830"/>
      <c r="G681" s="1828"/>
    </row>
    <row r="682" spans="1:7" ht="14.25" hidden="1" customHeight="1">
      <c r="A682" s="1836" t="s">
        <v>220</v>
      </c>
      <c r="B682" s="1830"/>
      <c r="C682" s="1830"/>
      <c r="D682" s="1830"/>
      <c r="E682" s="1830"/>
      <c r="F682" s="1830"/>
      <c r="G682" s="1828"/>
    </row>
    <row r="683" spans="1:7" ht="14.25" hidden="1" customHeight="1">
      <c r="A683" s="1829" t="s">
        <v>221</v>
      </c>
      <c r="B683" s="1828"/>
      <c r="C683" s="63" t="s">
        <v>222</v>
      </c>
      <c r="D683" s="63" t="s">
        <v>223</v>
      </c>
      <c r="E683" s="63" t="s">
        <v>224</v>
      </c>
      <c r="F683" s="63" t="s">
        <v>225</v>
      </c>
      <c r="G683" s="63" t="s">
        <v>226</v>
      </c>
    </row>
    <row r="684" spans="1:7" ht="14.25" hidden="1" customHeight="1">
      <c r="A684" s="1845" t="s">
        <v>782</v>
      </c>
      <c r="B684" s="1828"/>
      <c r="C684" s="64">
        <f>+C636</f>
        <v>850.22</v>
      </c>
      <c r="D684" s="64"/>
      <c r="E684" s="64"/>
      <c r="F684" s="64">
        <v>2</v>
      </c>
      <c r="G684" s="64">
        <f>+C684*F684</f>
        <v>1700.44</v>
      </c>
    </row>
    <row r="685" spans="1:7" ht="14.25" hidden="1" customHeight="1">
      <c r="A685" s="1845" t="s">
        <v>783</v>
      </c>
      <c r="B685" s="1828"/>
      <c r="C685" s="64">
        <f>+C639</f>
        <v>23.1</v>
      </c>
      <c r="D685" s="64">
        <v>4.0999999999999996</v>
      </c>
      <c r="E685" s="64"/>
      <c r="F685" s="64">
        <v>2</v>
      </c>
      <c r="G685" s="64">
        <f>+C685*D685*F685</f>
        <v>189.42</v>
      </c>
    </row>
    <row r="686" spans="1:7" ht="14.25" hidden="1" customHeight="1">
      <c r="A686" s="1845" t="s">
        <v>784</v>
      </c>
      <c r="B686" s="1828"/>
      <c r="C686" s="64">
        <f>+G638+G637</f>
        <v>292.86399999999998</v>
      </c>
      <c r="D686" s="64"/>
      <c r="E686" s="64"/>
      <c r="F686" s="64">
        <v>2</v>
      </c>
      <c r="G686" s="64">
        <f t="shared" ref="G686:G687" si="40">+F686*C686</f>
        <v>585.72799999999995</v>
      </c>
    </row>
    <row r="687" spans="1:7" ht="14.25" hidden="1" customHeight="1">
      <c r="A687" s="1845" t="s">
        <v>785</v>
      </c>
      <c r="B687" s="1828"/>
      <c r="C687" s="64">
        <f>+G641</f>
        <v>16.38</v>
      </c>
      <c r="D687" s="64"/>
      <c r="E687" s="64"/>
      <c r="F687" s="64">
        <v>2</v>
      </c>
      <c r="G687" s="64">
        <f t="shared" si="40"/>
        <v>32.76</v>
      </c>
    </row>
    <row r="688" spans="1:7" ht="14.25" hidden="1" customHeight="1">
      <c r="A688" s="1845" t="s">
        <v>785</v>
      </c>
      <c r="B688" s="1828"/>
      <c r="C688" s="64">
        <f>+G677</f>
        <v>333.47</v>
      </c>
      <c r="D688" s="64"/>
      <c r="E688" s="64"/>
      <c r="F688" s="64"/>
      <c r="G688" s="64">
        <f>+C688</f>
        <v>333.47</v>
      </c>
    </row>
    <row r="689" spans="1:7" ht="14.25" hidden="1" customHeight="1">
      <c r="A689" s="1829" t="s">
        <v>227</v>
      </c>
      <c r="B689" s="1830"/>
      <c r="C689" s="1830"/>
      <c r="D689" s="1830"/>
      <c r="E689" s="1830"/>
      <c r="F689" s="1828"/>
      <c r="G689" s="65">
        <f>SUM(G684:G688)</f>
        <v>2841.8180000000002</v>
      </c>
    </row>
    <row r="690" spans="1:7" ht="14.25" hidden="1" customHeight="1">
      <c r="A690" s="1831"/>
      <c r="B690" s="1830"/>
      <c r="C690" s="1830"/>
      <c r="D690" s="1830"/>
      <c r="E690" s="1830"/>
      <c r="F690" s="1830"/>
      <c r="G690" s="1828"/>
    </row>
    <row r="691" spans="1:7" ht="14.25" hidden="1" customHeight="1">
      <c r="A691" s="66" t="s">
        <v>268</v>
      </c>
      <c r="B691" s="1832" t="s">
        <v>423</v>
      </c>
      <c r="C691" s="1830"/>
      <c r="D691" s="1828"/>
      <c r="E691" s="1833" t="s">
        <v>218</v>
      </c>
      <c r="F691" s="1828"/>
      <c r="G691" s="62" t="str">
        <f>+G680</f>
        <v>M2</v>
      </c>
    </row>
    <row r="692" spans="1:7" ht="14.25" hidden="1" customHeight="1">
      <c r="A692" s="66" t="s">
        <v>786</v>
      </c>
      <c r="B692" s="1840" t="s">
        <v>424</v>
      </c>
      <c r="C692" s="1830"/>
      <c r="D692" s="1830"/>
      <c r="E692" s="1830"/>
      <c r="F692" s="1830"/>
      <c r="G692" s="1828"/>
    </row>
    <row r="693" spans="1:7" ht="14.25" hidden="1" customHeight="1">
      <c r="A693" s="1836" t="s">
        <v>220</v>
      </c>
      <c r="B693" s="1830"/>
      <c r="C693" s="1830"/>
      <c r="D693" s="1830"/>
      <c r="E693" s="1830"/>
      <c r="F693" s="1830"/>
      <c r="G693" s="1828"/>
    </row>
    <row r="694" spans="1:7" ht="14.25" hidden="1" customHeight="1">
      <c r="A694" s="1829" t="s">
        <v>221</v>
      </c>
      <c r="B694" s="1828"/>
      <c r="C694" s="63" t="s">
        <v>222</v>
      </c>
      <c r="D694" s="63" t="s">
        <v>223</v>
      </c>
      <c r="E694" s="63" t="s">
        <v>224</v>
      </c>
      <c r="F694" s="63" t="s">
        <v>225</v>
      </c>
      <c r="G694" s="63" t="s">
        <v>226</v>
      </c>
    </row>
    <row r="695" spans="1:7" ht="14.25" hidden="1" customHeight="1">
      <c r="A695" s="1845" t="s">
        <v>787</v>
      </c>
      <c r="B695" s="1828"/>
      <c r="C695" s="64">
        <v>610.83999999999992</v>
      </c>
      <c r="D695" s="64"/>
      <c r="E695" s="64">
        <f>-G638</f>
        <v>-124.40999999999998</v>
      </c>
      <c r="F695" s="64"/>
      <c r="G695" s="64">
        <f>+C695+E695</f>
        <v>486.42999999999995</v>
      </c>
    </row>
    <row r="696" spans="1:7" ht="14.25" hidden="1" customHeight="1">
      <c r="A696" s="1845" t="s">
        <v>788</v>
      </c>
      <c r="B696" s="1828"/>
      <c r="C696" s="64">
        <f t="shared" ref="C696:D696" si="41">+C685</f>
        <v>23.1</v>
      </c>
      <c r="D696" s="64">
        <f t="shared" si="41"/>
        <v>4.0999999999999996</v>
      </c>
      <c r="E696" s="64"/>
      <c r="F696" s="64"/>
      <c r="G696" s="64">
        <f>+C696*D696</f>
        <v>94.71</v>
      </c>
    </row>
    <row r="697" spans="1:7" ht="14.25" hidden="1" customHeight="1">
      <c r="A697" s="1845" t="s">
        <v>789</v>
      </c>
      <c r="B697" s="1828"/>
      <c r="C697" s="64">
        <f>+G687+G688</f>
        <v>366.23</v>
      </c>
      <c r="D697" s="64"/>
      <c r="E697" s="64"/>
      <c r="F697" s="64"/>
      <c r="G697" s="64">
        <f>+C697</f>
        <v>366.23</v>
      </c>
    </row>
    <row r="698" spans="1:7" ht="14.25" hidden="1" customHeight="1">
      <c r="A698" s="1829" t="s">
        <v>227</v>
      </c>
      <c r="B698" s="1830"/>
      <c r="C698" s="1830"/>
      <c r="D698" s="1830"/>
      <c r="E698" s="1830"/>
      <c r="F698" s="1828"/>
      <c r="G698" s="65">
        <f>SUM(G695:G697)</f>
        <v>947.37</v>
      </c>
    </row>
    <row r="699" spans="1:7" ht="14.25" hidden="1" customHeight="1">
      <c r="A699" s="1831"/>
      <c r="B699" s="1830"/>
      <c r="C699" s="1830"/>
      <c r="D699" s="1830"/>
      <c r="E699" s="1830"/>
      <c r="F699" s="1830"/>
      <c r="G699" s="1828"/>
    </row>
    <row r="700" spans="1:7" ht="14.25" hidden="1" customHeight="1">
      <c r="A700" s="66" t="str">
        <f t="shared" ref="A700:B700" si="42">+A691</f>
        <v>CAPITULO 6:</v>
      </c>
      <c r="B700" s="1832" t="str">
        <f t="shared" si="42"/>
        <v>ACABADOS</v>
      </c>
      <c r="C700" s="1830"/>
      <c r="D700" s="1828"/>
      <c r="E700" s="1833" t="s">
        <v>218</v>
      </c>
      <c r="F700" s="1828"/>
      <c r="G700" s="62" t="str">
        <f>+G691</f>
        <v>M2</v>
      </c>
    </row>
    <row r="701" spans="1:7" ht="14.25" hidden="1" customHeight="1">
      <c r="A701" s="66" t="s">
        <v>790</v>
      </c>
      <c r="B701" s="1840" t="s">
        <v>425</v>
      </c>
      <c r="C701" s="1830"/>
      <c r="D701" s="1830"/>
      <c r="E701" s="1830"/>
      <c r="F701" s="1830"/>
      <c r="G701" s="1828"/>
    </row>
    <row r="702" spans="1:7" ht="14.25" hidden="1" customHeight="1">
      <c r="A702" s="1836" t="s">
        <v>220</v>
      </c>
      <c r="B702" s="1830"/>
      <c r="C702" s="1830"/>
      <c r="D702" s="1830"/>
      <c r="E702" s="1830"/>
      <c r="F702" s="1830"/>
      <c r="G702" s="1828"/>
    </row>
    <row r="703" spans="1:7" ht="14.25" hidden="1" customHeight="1">
      <c r="A703" s="1829" t="s">
        <v>221</v>
      </c>
      <c r="B703" s="1828"/>
      <c r="C703" s="63" t="s">
        <v>222</v>
      </c>
      <c r="D703" s="63" t="s">
        <v>223</v>
      </c>
      <c r="E703" s="63" t="s">
        <v>224</v>
      </c>
      <c r="F703" s="63" t="s">
        <v>225</v>
      </c>
      <c r="G703" s="63" t="s">
        <v>226</v>
      </c>
    </row>
    <row r="704" spans="1:7" ht="14.25" hidden="1" customHeight="1">
      <c r="A704" s="1845" t="s">
        <v>791</v>
      </c>
      <c r="B704" s="1828"/>
      <c r="C704" s="64">
        <f>+C684+G696</f>
        <v>944.93000000000006</v>
      </c>
      <c r="D704" s="64"/>
      <c r="E704" s="64"/>
      <c r="F704" s="64">
        <v>1</v>
      </c>
      <c r="G704" s="64">
        <f>+C704*F704</f>
        <v>944.93000000000006</v>
      </c>
    </row>
    <row r="705" spans="1:7" ht="14.25" hidden="1" customHeight="1">
      <c r="A705" s="1845"/>
      <c r="B705" s="1828"/>
      <c r="C705" s="64"/>
      <c r="D705" s="64"/>
      <c r="E705" s="64"/>
      <c r="F705" s="64"/>
      <c r="G705" s="64"/>
    </row>
    <row r="706" spans="1:7" ht="14.25" hidden="1" customHeight="1">
      <c r="A706" s="1845"/>
      <c r="B706" s="1828"/>
      <c r="C706" s="64"/>
      <c r="D706" s="64"/>
      <c r="E706" s="64"/>
      <c r="F706" s="64"/>
      <c r="G706" s="64"/>
    </row>
    <row r="707" spans="1:7" ht="14.25" hidden="1" customHeight="1">
      <c r="A707" s="1829" t="s">
        <v>227</v>
      </c>
      <c r="B707" s="1830"/>
      <c r="C707" s="1830"/>
      <c r="D707" s="1830"/>
      <c r="E707" s="1830"/>
      <c r="F707" s="1828"/>
      <c r="G707" s="65">
        <f>SUM(G704:G706)</f>
        <v>944.93000000000006</v>
      </c>
    </row>
    <row r="708" spans="1:7" ht="14.25" hidden="1" customHeight="1">
      <c r="A708" s="1831"/>
      <c r="B708" s="1830"/>
      <c r="C708" s="1830"/>
      <c r="D708" s="1830"/>
      <c r="E708" s="1830"/>
      <c r="F708" s="1830"/>
      <c r="G708" s="1828"/>
    </row>
    <row r="709" spans="1:7" ht="14.25" hidden="1" customHeight="1">
      <c r="A709" s="66" t="str">
        <f t="shared" ref="A709:B709" si="43">+A700</f>
        <v>CAPITULO 6:</v>
      </c>
      <c r="B709" s="1832" t="str">
        <f t="shared" si="43"/>
        <v>ACABADOS</v>
      </c>
      <c r="C709" s="1830"/>
      <c r="D709" s="1828"/>
      <c r="E709" s="1833" t="s">
        <v>218</v>
      </c>
      <c r="F709" s="1828"/>
      <c r="G709" s="62" t="str">
        <f>+G700</f>
        <v>M2</v>
      </c>
    </row>
    <row r="710" spans="1:7" ht="14.25" hidden="1" customHeight="1">
      <c r="A710" s="66" t="s">
        <v>792</v>
      </c>
      <c r="B710" s="1840" t="s">
        <v>426</v>
      </c>
      <c r="C710" s="1830"/>
      <c r="D710" s="1830"/>
      <c r="E710" s="1830"/>
      <c r="F710" s="1830"/>
      <c r="G710" s="1828"/>
    </row>
    <row r="711" spans="1:7" ht="14.25" hidden="1" customHeight="1">
      <c r="A711" s="1836" t="s">
        <v>220</v>
      </c>
      <c r="B711" s="1830"/>
      <c r="C711" s="1830"/>
      <c r="D711" s="1830"/>
      <c r="E711" s="1830"/>
      <c r="F711" s="1830"/>
      <c r="G711" s="1828"/>
    </row>
    <row r="712" spans="1:7" ht="14.25" hidden="1" customHeight="1">
      <c r="A712" s="1829" t="s">
        <v>221</v>
      </c>
      <c r="B712" s="1828"/>
      <c r="C712" s="63" t="s">
        <v>222</v>
      </c>
      <c r="D712" s="63" t="s">
        <v>223</v>
      </c>
      <c r="E712" s="63" t="s">
        <v>224</v>
      </c>
      <c r="F712" s="63" t="s">
        <v>225</v>
      </c>
      <c r="G712" s="63" t="s">
        <v>226</v>
      </c>
    </row>
    <row r="713" spans="1:7" ht="14.25" hidden="1" customHeight="1">
      <c r="A713" s="1827" t="s">
        <v>793</v>
      </c>
      <c r="B713" s="1828"/>
      <c r="C713" s="64">
        <v>331.97</v>
      </c>
      <c r="D713" s="64"/>
      <c r="E713" s="64"/>
      <c r="F713" s="64">
        <v>1</v>
      </c>
      <c r="G713" s="64"/>
    </row>
    <row r="714" spans="1:7" ht="14.25" hidden="1" customHeight="1">
      <c r="A714" s="1845" t="s">
        <v>794</v>
      </c>
      <c r="B714" s="1828"/>
      <c r="C714" s="64">
        <f>+C279</f>
        <v>209.4</v>
      </c>
      <c r="D714" s="64"/>
      <c r="E714" s="64"/>
      <c r="F714" s="64"/>
      <c r="G714" s="64"/>
    </row>
    <row r="715" spans="1:7" ht="14.25" hidden="1" customHeight="1">
      <c r="A715" s="1829" t="s">
        <v>227</v>
      </c>
      <c r="B715" s="1830"/>
      <c r="C715" s="1830"/>
      <c r="D715" s="1830"/>
      <c r="E715" s="1830"/>
      <c r="F715" s="1828"/>
      <c r="G715" s="191"/>
    </row>
    <row r="716" spans="1:7" ht="14.25" hidden="1" customHeight="1">
      <c r="A716" s="1831"/>
      <c r="B716" s="1830"/>
      <c r="C716" s="1830"/>
      <c r="D716" s="1830"/>
      <c r="E716" s="1830"/>
      <c r="F716" s="1830"/>
      <c r="G716" s="1828"/>
    </row>
    <row r="717" spans="1:7" ht="14.25" hidden="1" customHeight="1">
      <c r="A717" s="66" t="str">
        <f t="shared" ref="A717:B717" si="44">+A709</f>
        <v>CAPITULO 6:</v>
      </c>
      <c r="B717" s="1832" t="str">
        <f t="shared" si="44"/>
        <v>ACABADOS</v>
      </c>
      <c r="C717" s="1830"/>
      <c r="D717" s="1828"/>
      <c r="E717" s="1833" t="s">
        <v>218</v>
      </c>
      <c r="F717" s="1828"/>
      <c r="G717" s="62" t="str">
        <f>+G709</f>
        <v>M2</v>
      </c>
    </row>
    <row r="718" spans="1:7" ht="27.75" hidden="1" customHeight="1">
      <c r="A718" s="66" t="s">
        <v>792</v>
      </c>
      <c r="B718" s="1840" t="s">
        <v>795</v>
      </c>
      <c r="C718" s="1830"/>
      <c r="D718" s="1830"/>
      <c r="E718" s="1830"/>
      <c r="F718" s="1830"/>
      <c r="G718" s="1828"/>
    </row>
    <row r="719" spans="1:7" ht="14.25" hidden="1" customHeight="1">
      <c r="A719" s="1836" t="s">
        <v>220</v>
      </c>
      <c r="B719" s="1830"/>
      <c r="C719" s="1830"/>
      <c r="D719" s="1830"/>
      <c r="E719" s="1830"/>
      <c r="F719" s="1830"/>
      <c r="G719" s="1828"/>
    </row>
    <row r="720" spans="1:7" ht="14.25" hidden="1" customHeight="1">
      <c r="A720" s="1848" t="s">
        <v>221</v>
      </c>
      <c r="B720" s="1843"/>
      <c r="C720" s="63" t="s">
        <v>222</v>
      </c>
      <c r="D720" s="63" t="s">
        <v>223</v>
      </c>
      <c r="E720" s="63" t="s">
        <v>252</v>
      </c>
      <c r="F720" s="63" t="s">
        <v>225</v>
      </c>
      <c r="G720" s="63" t="s">
        <v>226</v>
      </c>
    </row>
    <row r="721" spans="1:7" ht="14.25" hidden="1" customHeight="1">
      <c r="A721" s="1847" t="s">
        <v>758</v>
      </c>
      <c r="B721" s="1828"/>
      <c r="C721" s="64"/>
      <c r="D721" s="64"/>
      <c r="E721" s="64"/>
      <c r="F721" s="64"/>
      <c r="G721" s="64"/>
    </row>
    <row r="722" spans="1:7" ht="14.25" hidden="1" customHeight="1">
      <c r="A722" s="1846" t="s">
        <v>59</v>
      </c>
      <c r="B722" s="1843"/>
      <c r="C722" s="64"/>
      <c r="D722" s="64">
        <v>1.05</v>
      </c>
      <c r="E722" s="64">
        <v>2.2000000000000002</v>
      </c>
      <c r="F722" s="64">
        <v>2</v>
      </c>
      <c r="G722" s="64">
        <f t="shared" ref="G722:G742" si="45">+D722*E722*F722</f>
        <v>4.620000000000001</v>
      </c>
    </row>
    <row r="723" spans="1:7" ht="14.25" hidden="1" customHeight="1">
      <c r="A723" s="1618"/>
      <c r="B723" s="1619"/>
      <c r="C723" s="64"/>
      <c r="D723" s="64">
        <v>1</v>
      </c>
      <c r="E723" s="64">
        <v>2.2000000000000002</v>
      </c>
      <c r="F723" s="64">
        <v>1</v>
      </c>
      <c r="G723" s="64">
        <f t="shared" si="45"/>
        <v>2.2000000000000002</v>
      </c>
    </row>
    <row r="724" spans="1:7" ht="14.25" hidden="1" customHeight="1">
      <c r="A724" s="1618"/>
      <c r="B724" s="1619"/>
      <c r="C724" s="64"/>
      <c r="D724" s="64">
        <v>0.9</v>
      </c>
      <c r="E724" s="64">
        <v>2.2000000000000002</v>
      </c>
      <c r="F724" s="64">
        <v>4</v>
      </c>
      <c r="G724" s="64">
        <f t="shared" si="45"/>
        <v>7.9200000000000008</v>
      </c>
    </row>
    <row r="725" spans="1:7" ht="14.25" hidden="1" customHeight="1">
      <c r="A725" s="1618"/>
      <c r="B725" s="1619"/>
      <c r="C725" s="64"/>
      <c r="D725" s="64">
        <v>0.8</v>
      </c>
      <c r="E725" s="64">
        <v>2.2000000000000002</v>
      </c>
      <c r="F725" s="64">
        <v>1</v>
      </c>
      <c r="G725" s="64">
        <f t="shared" si="45"/>
        <v>1.7600000000000002</v>
      </c>
    </row>
    <row r="726" spans="1:7" ht="14.25" hidden="1" customHeight="1">
      <c r="A726" s="1618"/>
      <c r="B726" s="1619"/>
      <c r="C726" s="64"/>
      <c r="D726" s="64">
        <v>0.7</v>
      </c>
      <c r="E726" s="64">
        <v>2.2000000000000002</v>
      </c>
      <c r="F726" s="64">
        <v>3</v>
      </c>
      <c r="G726" s="64">
        <f t="shared" si="45"/>
        <v>4.62</v>
      </c>
    </row>
    <row r="727" spans="1:7" ht="14.25" hidden="1" customHeight="1">
      <c r="A727" s="1620"/>
      <c r="B727" s="1622"/>
      <c r="C727" s="64"/>
      <c r="D727" s="64">
        <v>2</v>
      </c>
      <c r="E727" s="64">
        <v>2.2000000000000002</v>
      </c>
      <c r="F727" s="64">
        <v>1</v>
      </c>
      <c r="G727" s="64">
        <f t="shared" si="45"/>
        <v>4.4000000000000004</v>
      </c>
    </row>
    <row r="728" spans="1:7" ht="14.25" hidden="1" customHeight="1">
      <c r="A728" s="1846" t="s">
        <v>796</v>
      </c>
      <c r="B728" s="1843"/>
      <c r="C728" s="64"/>
      <c r="D728" s="64">
        <v>0.9</v>
      </c>
      <c r="E728" s="64">
        <v>2.2000000000000002</v>
      </c>
      <c r="F728" s="64">
        <v>2</v>
      </c>
      <c r="G728" s="64">
        <f t="shared" si="45"/>
        <v>3.9600000000000004</v>
      </c>
    </row>
    <row r="729" spans="1:7" ht="14.25" hidden="1" customHeight="1">
      <c r="A729" s="1620"/>
      <c r="B729" s="1622"/>
      <c r="C729" s="64"/>
      <c r="D729" s="64">
        <v>0.8</v>
      </c>
      <c r="E729" s="64">
        <v>2.2000000000000002</v>
      </c>
      <c r="F729" s="64">
        <v>2</v>
      </c>
      <c r="G729" s="64">
        <f t="shared" si="45"/>
        <v>3.5200000000000005</v>
      </c>
    </row>
    <row r="730" spans="1:7" ht="14.25" hidden="1" customHeight="1">
      <c r="A730" s="1846" t="s">
        <v>762</v>
      </c>
      <c r="B730" s="1843"/>
      <c r="C730" s="64"/>
      <c r="D730" s="64">
        <v>0.9</v>
      </c>
      <c r="E730" s="64">
        <v>2.2000000000000002</v>
      </c>
      <c r="F730" s="64">
        <v>1</v>
      </c>
      <c r="G730" s="64">
        <f t="shared" si="45"/>
        <v>1.9800000000000002</v>
      </c>
    </row>
    <row r="731" spans="1:7" ht="14.25" hidden="1" customHeight="1">
      <c r="A731" s="1620"/>
      <c r="B731" s="1622"/>
      <c r="C731" s="64"/>
      <c r="D731" s="64">
        <v>0.7</v>
      </c>
      <c r="E731" s="64">
        <v>2.2000000000000002</v>
      </c>
      <c r="F731" s="64">
        <v>1</v>
      </c>
      <c r="G731" s="64">
        <f t="shared" si="45"/>
        <v>1.54</v>
      </c>
    </row>
    <row r="732" spans="1:7" ht="15.75" hidden="1" customHeight="1">
      <c r="A732" s="1845" t="s">
        <v>797</v>
      </c>
      <c r="B732" s="1828"/>
      <c r="C732" s="64"/>
      <c r="D732" s="64">
        <v>1.2</v>
      </c>
      <c r="E732" s="64">
        <v>2.2000000000000002</v>
      </c>
      <c r="F732" s="64">
        <v>1</v>
      </c>
      <c r="G732" s="64">
        <f t="shared" si="45"/>
        <v>2.64</v>
      </c>
    </row>
    <row r="733" spans="1:7" ht="14.25" hidden="1" customHeight="1">
      <c r="A733" s="1846" t="s">
        <v>61</v>
      </c>
      <c r="B733" s="1843"/>
      <c r="C733" s="64"/>
      <c r="D733" s="64">
        <v>1.05</v>
      </c>
      <c r="E733" s="64">
        <v>2.2000000000000002</v>
      </c>
      <c r="F733" s="64">
        <v>2</v>
      </c>
      <c r="G733" s="64">
        <f t="shared" si="45"/>
        <v>4.620000000000001</v>
      </c>
    </row>
    <row r="734" spans="1:7" ht="14.25" hidden="1" customHeight="1">
      <c r="A734" s="1618"/>
      <c r="B734" s="1619"/>
      <c r="C734" s="64"/>
      <c r="D734" s="64">
        <v>1</v>
      </c>
      <c r="E734" s="64">
        <v>2.2000000000000002</v>
      </c>
      <c r="F734" s="64">
        <v>1</v>
      </c>
      <c r="G734" s="64">
        <f t="shared" si="45"/>
        <v>2.2000000000000002</v>
      </c>
    </row>
    <row r="735" spans="1:7" ht="14.25" hidden="1" customHeight="1">
      <c r="A735" s="1618"/>
      <c r="B735" s="1619"/>
      <c r="C735" s="64"/>
      <c r="D735" s="64">
        <v>0.9</v>
      </c>
      <c r="E735" s="64">
        <v>2.2000000000000002</v>
      </c>
      <c r="F735" s="64">
        <v>3</v>
      </c>
      <c r="G735" s="64">
        <f t="shared" si="45"/>
        <v>5.94</v>
      </c>
    </row>
    <row r="736" spans="1:7" ht="14.25" hidden="1" customHeight="1">
      <c r="A736" s="1618"/>
      <c r="B736" s="1619"/>
      <c r="C736" s="64"/>
      <c r="D736" s="64">
        <v>0.8</v>
      </c>
      <c r="E736" s="64">
        <v>2.2000000000000002</v>
      </c>
      <c r="F736" s="64">
        <v>2</v>
      </c>
      <c r="G736" s="64">
        <f t="shared" si="45"/>
        <v>3.5200000000000005</v>
      </c>
    </row>
    <row r="737" spans="1:7" ht="14.25" hidden="1" customHeight="1">
      <c r="A737" s="1618"/>
      <c r="B737" s="1619"/>
      <c r="C737" s="64"/>
      <c r="D737" s="64">
        <v>0.7</v>
      </c>
      <c r="E737" s="64">
        <v>2.2000000000000002</v>
      </c>
      <c r="F737" s="64">
        <v>3</v>
      </c>
      <c r="G737" s="64">
        <f t="shared" si="45"/>
        <v>4.62</v>
      </c>
    </row>
    <row r="738" spans="1:7" ht="14.25" hidden="1" customHeight="1">
      <c r="A738" s="1620"/>
      <c r="B738" s="1622"/>
      <c r="C738" s="64"/>
      <c r="D738" s="64">
        <v>2</v>
      </c>
      <c r="E738" s="64">
        <v>2.2000000000000002</v>
      </c>
      <c r="F738" s="64">
        <v>1</v>
      </c>
      <c r="G738" s="64">
        <f t="shared" si="45"/>
        <v>4.4000000000000004</v>
      </c>
    </row>
    <row r="739" spans="1:7" ht="14.25" hidden="1" customHeight="1">
      <c r="A739" s="1846" t="s">
        <v>763</v>
      </c>
      <c r="B739" s="1843"/>
      <c r="C739" s="64"/>
      <c r="D739" s="64">
        <v>0.9</v>
      </c>
      <c r="E739" s="64">
        <v>2.2000000000000002</v>
      </c>
      <c r="F739" s="64">
        <v>1</v>
      </c>
      <c r="G739" s="64">
        <f t="shared" si="45"/>
        <v>1.9800000000000002</v>
      </c>
    </row>
    <row r="740" spans="1:7" ht="14.25" hidden="1" customHeight="1">
      <c r="A740" s="1620"/>
      <c r="B740" s="1622"/>
      <c r="C740" s="64"/>
      <c r="D740" s="64">
        <v>0.7</v>
      </c>
      <c r="E740" s="64">
        <v>2.2000000000000002</v>
      </c>
      <c r="F740" s="64">
        <v>1</v>
      </c>
      <c r="G740" s="64">
        <f t="shared" si="45"/>
        <v>1.54</v>
      </c>
    </row>
    <row r="741" spans="1:7" ht="14.25" hidden="1" customHeight="1">
      <c r="A741" s="1844" t="s">
        <v>764</v>
      </c>
      <c r="B741" s="1828"/>
      <c r="C741" s="64"/>
      <c r="D741" s="64">
        <v>0.9</v>
      </c>
      <c r="E741" s="64">
        <v>2.2000000000000002</v>
      </c>
      <c r="F741" s="64">
        <v>1</v>
      </c>
      <c r="G741" s="64">
        <f t="shared" si="45"/>
        <v>1.9800000000000002</v>
      </c>
    </row>
    <row r="742" spans="1:7" ht="14.25" hidden="1" customHeight="1">
      <c r="A742" s="1845" t="s">
        <v>765</v>
      </c>
      <c r="B742" s="1828"/>
      <c r="C742" s="64"/>
      <c r="D742" s="64">
        <v>0.9</v>
      </c>
      <c r="E742" s="64">
        <v>2.2000000000000002</v>
      </c>
      <c r="F742" s="64">
        <v>2</v>
      </c>
      <c r="G742" s="64">
        <f t="shared" si="45"/>
        <v>3.9600000000000004</v>
      </c>
    </row>
    <row r="743" spans="1:7" ht="14.25" hidden="1" customHeight="1">
      <c r="A743" s="1847" t="s">
        <v>767</v>
      </c>
      <c r="B743" s="1828"/>
      <c r="C743" s="64"/>
      <c r="D743" s="64"/>
      <c r="E743" s="64"/>
      <c r="F743" s="64"/>
      <c r="G743" s="64"/>
    </row>
    <row r="744" spans="1:7" ht="14.25" hidden="1" customHeight="1">
      <c r="A744" s="1844" t="s">
        <v>798</v>
      </c>
      <c r="B744" s="1828"/>
      <c r="C744" s="64"/>
      <c r="D744" s="64">
        <v>1.4</v>
      </c>
      <c r="E744" s="64">
        <v>2.2000000000000002</v>
      </c>
      <c r="F744" s="64">
        <v>1</v>
      </c>
      <c r="G744" s="64">
        <f t="shared" ref="G744:G761" si="46">+D744*E744*F744</f>
        <v>3.08</v>
      </c>
    </row>
    <row r="745" spans="1:7" ht="14.25" hidden="1" customHeight="1">
      <c r="A745" s="1845" t="s">
        <v>799</v>
      </c>
      <c r="B745" s="1828"/>
      <c r="C745" s="64"/>
      <c r="D745" s="64">
        <v>0.9</v>
      </c>
      <c r="E745" s="64">
        <v>2.2000000000000002</v>
      </c>
      <c r="F745" s="64">
        <v>1</v>
      </c>
      <c r="G745" s="64">
        <f t="shared" si="46"/>
        <v>1.9800000000000002</v>
      </c>
    </row>
    <row r="746" spans="1:7" ht="14.25" hidden="1" customHeight="1">
      <c r="A746" s="1845" t="s">
        <v>800</v>
      </c>
      <c r="B746" s="1828"/>
      <c r="C746" s="64"/>
      <c r="D746" s="64">
        <v>0.9</v>
      </c>
      <c r="E746" s="64">
        <v>2.2000000000000002</v>
      </c>
      <c r="F746" s="64">
        <v>1</v>
      </c>
      <c r="G746" s="64">
        <f t="shared" si="46"/>
        <v>1.9800000000000002</v>
      </c>
    </row>
    <row r="747" spans="1:7" ht="14.25" hidden="1" customHeight="1">
      <c r="A747" s="1846" t="s">
        <v>751</v>
      </c>
      <c r="B747" s="1843"/>
      <c r="C747" s="64"/>
      <c r="D747" s="64">
        <v>1.2</v>
      </c>
      <c r="E747" s="64">
        <v>2.2000000000000002</v>
      </c>
      <c r="F747" s="64">
        <v>2</v>
      </c>
      <c r="G747" s="64">
        <f t="shared" si="46"/>
        <v>5.28</v>
      </c>
    </row>
    <row r="748" spans="1:7" ht="14.25" hidden="1" customHeight="1">
      <c r="A748" s="1618"/>
      <c r="B748" s="1619"/>
      <c r="C748" s="64"/>
      <c r="D748" s="64">
        <v>0.9</v>
      </c>
      <c r="E748" s="64">
        <v>2.2000000000000002</v>
      </c>
      <c r="F748" s="64">
        <v>2</v>
      </c>
      <c r="G748" s="64">
        <f t="shared" si="46"/>
        <v>3.9600000000000004</v>
      </c>
    </row>
    <row r="749" spans="1:7" ht="14.25" hidden="1" customHeight="1">
      <c r="A749" s="1620"/>
      <c r="B749" s="1622"/>
      <c r="C749" s="64"/>
      <c r="D749" s="64">
        <v>0.7</v>
      </c>
      <c r="E749" s="64">
        <v>2.2000000000000002</v>
      </c>
      <c r="F749" s="64">
        <v>2</v>
      </c>
      <c r="G749" s="64">
        <f t="shared" si="46"/>
        <v>3.08</v>
      </c>
    </row>
    <row r="750" spans="1:7" ht="14.25" hidden="1" customHeight="1">
      <c r="A750" s="1844" t="s">
        <v>752</v>
      </c>
      <c r="B750" s="1828"/>
      <c r="C750" s="64"/>
      <c r="D750" s="64">
        <v>0.9</v>
      </c>
      <c r="E750" s="64">
        <v>2.2000000000000002</v>
      </c>
      <c r="F750" s="64">
        <v>4</v>
      </c>
      <c r="G750" s="64">
        <f t="shared" si="46"/>
        <v>7.9200000000000008</v>
      </c>
    </row>
    <row r="751" spans="1:7" ht="14.25" hidden="1" customHeight="1">
      <c r="A751" s="1844" t="s">
        <v>769</v>
      </c>
      <c r="B751" s="1828"/>
      <c r="C751" s="64"/>
      <c r="D751" s="64">
        <v>0.7</v>
      </c>
      <c r="E751" s="64">
        <v>2.2000000000000002</v>
      </c>
      <c r="F751" s="64">
        <v>2</v>
      </c>
      <c r="G751" s="64">
        <f t="shared" si="46"/>
        <v>3.08</v>
      </c>
    </row>
    <row r="752" spans="1:7" ht="14.25" hidden="1" customHeight="1">
      <c r="A752" s="1845" t="s">
        <v>771</v>
      </c>
      <c r="B752" s="1828"/>
      <c r="C752" s="64"/>
      <c r="D752" s="64">
        <v>0.7</v>
      </c>
      <c r="E752" s="64">
        <v>2.2000000000000002</v>
      </c>
      <c r="F752" s="64">
        <v>2</v>
      </c>
      <c r="G752" s="64">
        <f t="shared" si="46"/>
        <v>3.08</v>
      </c>
    </row>
    <row r="753" spans="1:7" ht="14.25" hidden="1" customHeight="1">
      <c r="A753" s="1844" t="s">
        <v>772</v>
      </c>
      <c r="B753" s="1828"/>
      <c r="C753" s="64"/>
      <c r="D753" s="64">
        <v>1.4</v>
      </c>
      <c r="E753" s="64">
        <v>2.2000000000000002</v>
      </c>
      <c r="F753" s="64">
        <v>1</v>
      </c>
      <c r="G753" s="64">
        <f t="shared" si="46"/>
        <v>3.08</v>
      </c>
    </row>
    <row r="754" spans="1:7" ht="14.25" hidden="1" customHeight="1">
      <c r="A754" s="1846" t="s">
        <v>773</v>
      </c>
      <c r="B754" s="1843"/>
      <c r="C754" s="64"/>
      <c r="D754" s="64">
        <v>1.1000000000000001</v>
      </c>
      <c r="E754" s="64">
        <v>2.2000000000000002</v>
      </c>
      <c r="F754" s="64">
        <v>1</v>
      </c>
      <c r="G754" s="64">
        <f t="shared" si="46"/>
        <v>2.4200000000000004</v>
      </c>
    </row>
    <row r="755" spans="1:7" ht="14.25" hidden="1" customHeight="1">
      <c r="A755" s="1618"/>
      <c r="B755" s="1619"/>
      <c r="C755" s="64"/>
      <c r="D755" s="64">
        <v>0.8</v>
      </c>
      <c r="E755" s="64">
        <v>2.2000000000000002</v>
      </c>
      <c r="F755" s="64">
        <v>1</v>
      </c>
      <c r="G755" s="64">
        <f t="shared" si="46"/>
        <v>1.7600000000000002</v>
      </c>
    </row>
    <row r="756" spans="1:7" ht="14.25" hidden="1" customHeight="1">
      <c r="A756" s="1620"/>
      <c r="B756" s="1622"/>
      <c r="C756" s="64"/>
      <c r="D756" s="64">
        <v>0.7</v>
      </c>
      <c r="E756" s="64">
        <v>2.2000000000000002</v>
      </c>
      <c r="F756" s="64">
        <v>1</v>
      </c>
      <c r="G756" s="64">
        <f t="shared" si="46"/>
        <v>1.54</v>
      </c>
    </row>
    <row r="757" spans="1:7" ht="14.25" hidden="1" customHeight="1">
      <c r="A757" s="1844" t="s">
        <v>776</v>
      </c>
      <c r="B757" s="1828"/>
      <c r="C757" s="64"/>
      <c r="D757" s="64">
        <v>1.1000000000000001</v>
      </c>
      <c r="E757" s="64">
        <v>2.2000000000000002</v>
      </c>
      <c r="F757" s="64">
        <v>1</v>
      </c>
      <c r="G757" s="64">
        <f t="shared" si="46"/>
        <v>2.4200000000000004</v>
      </c>
    </row>
    <row r="758" spans="1:7" ht="14.25" hidden="1" customHeight="1">
      <c r="A758" s="1846" t="s">
        <v>775</v>
      </c>
      <c r="B758" s="1843"/>
      <c r="C758" s="64"/>
      <c r="D758" s="64">
        <v>1.8</v>
      </c>
      <c r="E758" s="64">
        <v>2.2000000000000002</v>
      </c>
      <c r="F758" s="64">
        <v>2</v>
      </c>
      <c r="G758" s="64">
        <f t="shared" si="46"/>
        <v>7.9200000000000008</v>
      </c>
    </row>
    <row r="759" spans="1:7" ht="14.25" hidden="1" customHeight="1">
      <c r="A759" s="1620"/>
      <c r="B759" s="1622"/>
      <c r="C759" s="64"/>
      <c r="D759" s="64">
        <v>0.9</v>
      </c>
      <c r="E759" s="64">
        <v>2.2000000000000002</v>
      </c>
      <c r="F759" s="64">
        <v>1</v>
      </c>
      <c r="G759" s="64">
        <f t="shared" si="46"/>
        <v>1.9800000000000002</v>
      </c>
    </row>
    <row r="760" spans="1:7" ht="14.25" hidden="1" customHeight="1">
      <c r="A760" s="1846" t="s">
        <v>801</v>
      </c>
      <c r="B760" s="1843"/>
      <c r="C760" s="64"/>
      <c r="D760" s="64">
        <v>1.4</v>
      </c>
      <c r="E760" s="64">
        <v>2.2000000000000002</v>
      </c>
      <c r="F760" s="64">
        <v>1</v>
      </c>
      <c r="G760" s="64">
        <f t="shared" si="46"/>
        <v>3.08</v>
      </c>
    </row>
    <row r="761" spans="1:7" ht="14.25" hidden="1" customHeight="1">
      <c r="A761" s="1620"/>
      <c r="B761" s="1622"/>
      <c r="C761" s="64"/>
      <c r="D761" s="64">
        <v>0.7</v>
      </c>
      <c r="E761" s="64">
        <v>2.2000000000000002</v>
      </c>
      <c r="F761" s="64">
        <v>1</v>
      </c>
      <c r="G761" s="64">
        <f t="shared" si="46"/>
        <v>1.54</v>
      </c>
    </row>
    <row r="762" spans="1:7" ht="14.25" hidden="1" customHeight="1">
      <c r="A762" s="1847" t="s">
        <v>802</v>
      </c>
      <c r="B762" s="1828"/>
      <c r="C762" s="64"/>
      <c r="D762" s="64"/>
      <c r="E762" s="64"/>
      <c r="F762" s="64"/>
      <c r="G762" s="64"/>
    </row>
    <row r="763" spans="1:7" ht="15" hidden="1" customHeight="1">
      <c r="A763" s="1846" t="s">
        <v>803</v>
      </c>
      <c r="B763" s="1843"/>
      <c r="C763" s="64"/>
      <c r="D763" s="64">
        <v>1.5</v>
      </c>
      <c r="E763" s="64">
        <v>2.2000000000000002</v>
      </c>
      <c r="F763" s="64">
        <v>2</v>
      </c>
      <c r="G763" s="64">
        <f t="shared" ref="G763:G768" si="47">+D763*E763*F763</f>
        <v>6.6000000000000005</v>
      </c>
    </row>
    <row r="764" spans="1:7" ht="14.25" hidden="1" customHeight="1">
      <c r="A764" s="1618"/>
      <c r="B764" s="1619"/>
      <c r="C764" s="64"/>
      <c r="D764" s="64">
        <v>1.2</v>
      </c>
      <c r="E764" s="64">
        <v>2.2000000000000002</v>
      </c>
      <c r="F764" s="64">
        <v>2</v>
      </c>
      <c r="G764" s="64">
        <f t="shared" si="47"/>
        <v>5.28</v>
      </c>
    </row>
    <row r="765" spans="1:7" ht="14.25" hidden="1" customHeight="1">
      <c r="A765" s="1618"/>
      <c r="B765" s="1619"/>
      <c r="C765" s="64"/>
      <c r="D765" s="64">
        <v>1.4</v>
      </c>
      <c r="E765" s="64">
        <v>2.2000000000000002</v>
      </c>
      <c r="F765" s="64">
        <v>2</v>
      </c>
      <c r="G765" s="64">
        <f t="shared" si="47"/>
        <v>6.16</v>
      </c>
    </row>
    <row r="766" spans="1:7" ht="14.25" hidden="1" customHeight="1">
      <c r="A766" s="1620"/>
      <c r="B766" s="1622"/>
      <c r="C766" s="64"/>
      <c r="D766" s="64">
        <v>0.9</v>
      </c>
      <c r="E766" s="64">
        <v>2.2000000000000002</v>
      </c>
      <c r="F766" s="64">
        <v>1</v>
      </c>
      <c r="G766" s="64">
        <f t="shared" si="47"/>
        <v>1.9800000000000002</v>
      </c>
    </row>
    <row r="767" spans="1:7" ht="14.25" hidden="1" customHeight="1">
      <c r="A767" s="1845" t="s">
        <v>804</v>
      </c>
      <c r="B767" s="1828"/>
      <c r="C767" s="64"/>
      <c r="D767" s="64">
        <v>1.2</v>
      </c>
      <c r="E767" s="64">
        <v>2.2000000000000002</v>
      </c>
      <c r="F767" s="64">
        <v>1</v>
      </c>
      <c r="G767" s="64">
        <f t="shared" si="47"/>
        <v>2.64</v>
      </c>
    </row>
    <row r="768" spans="1:7" ht="14.25" hidden="1" customHeight="1">
      <c r="A768" s="1844" t="s">
        <v>805</v>
      </c>
      <c r="B768" s="1828"/>
      <c r="C768" s="64"/>
      <c r="D768" s="64">
        <v>1.1000000000000001</v>
      </c>
      <c r="E768" s="64">
        <v>2.2000000000000002</v>
      </c>
      <c r="F768" s="64">
        <v>4</v>
      </c>
      <c r="G768" s="64">
        <f t="shared" si="47"/>
        <v>9.6800000000000015</v>
      </c>
    </row>
    <row r="769" spans="1:7" ht="14.25" hidden="1" customHeight="1">
      <c r="A769" s="1847" t="s">
        <v>806</v>
      </c>
      <c r="B769" s="1828"/>
      <c r="C769" s="64"/>
      <c r="D769" s="64"/>
      <c r="E769" s="64"/>
      <c r="F769" s="64"/>
      <c r="G769" s="64"/>
    </row>
    <row r="770" spans="1:7" ht="15" hidden="1" customHeight="1">
      <c r="A770" s="1846" t="s">
        <v>806</v>
      </c>
      <c r="B770" s="1843"/>
      <c r="C770" s="64"/>
      <c r="D770" s="64">
        <v>1.2</v>
      </c>
      <c r="E770" s="64">
        <v>2.2000000000000002</v>
      </c>
      <c r="F770" s="64">
        <v>4</v>
      </c>
      <c r="G770" s="64">
        <f t="shared" ref="G770:G773" si="48">+D770*E770*F770</f>
        <v>10.56</v>
      </c>
    </row>
    <row r="771" spans="1:7" ht="14.25" hidden="1" customHeight="1">
      <c r="A771" s="1618"/>
      <c r="B771" s="1619"/>
      <c r="C771" s="64"/>
      <c r="D771" s="64">
        <v>0.7</v>
      </c>
      <c r="E771" s="64">
        <v>2.2000000000000002</v>
      </c>
      <c r="F771" s="64">
        <v>2</v>
      </c>
      <c r="G771" s="64">
        <f t="shared" si="48"/>
        <v>3.08</v>
      </c>
    </row>
    <row r="772" spans="1:7" ht="14.25" hidden="1" customHeight="1">
      <c r="A772" s="1618"/>
      <c r="B772" s="1619"/>
      <c r="C772" s="64"/>
      <c r="D772" s="64">
        <v>0.8</v>
      </c>
      <c r="E772" s="64">
        <v>2.2000000000000002</v>
      </c>
      <c r="F772" s="64">
        <v>1</v>
      </c>
      <c r="G772" s="64">
        <f t="shared" si="48"/>
        <v>1.7600000000000002</v>
      </c>
    </row>
    <row r="773" spans="1:7" ht="14.25" hidden="1" customHeight="1">
      <c r="A773" s="1620"/>
      <c r="B773" s="1622"/>
      <c r="C773" s="64"/>
      <c r="D773" s="64"/>
      <c r="E773" s="64"/>
      <c r="F773" s="64"/>
      <c r="G773" s="64">
        <f t="shared" si="48"/>
        <v>0</v>
      </c>
    </row>
    <row r="774" spans="1:7" ht="14.25" hidden="1" customHeight="1">
      <c r="A774" s="1849" t="s">
        <v>227</v>
      </c>
      <c r="B774" s="1621"/>
      <c r="C774" s="1621"/>
      <c r="D774" s="1621"/>
      <c r="E774" s="1621"/>
      <c r="F774" s="1622"/>
      <c r="G774" s="65">
        <f>SUM(G722:G773)</f>
        <v>180.84</v>
      </c>
    </row>
    <row r="775" spans="1:7" ht="14.25" hidden="1" customHeight="1">
      <c r="A775" s="1831"/>
      <c r="B775" s="1830"/>
      <c r="C775" s="1830"/>
      <c r="D775" s="1830"/>
      <c r="E775" s="1830"/>
      <c r="F775" s="1830"/>
      <c r="G775" s="1828"/>
    </row>
    <row r="776" spans="1:7" ht="14.25" hidden="1" customHeight="1">
      <c r="A776" s="66" t="str">
        <f t="shared" ref="A776:B776" si="49">+A717</f>
        <v>CAPITULO 6:</v>
      </c>
      <c r="B776" s="1832" t="str">
        <f t="shared" si="49"/>
        <v>ACABADOS</v>
      </c>
      <c r="C776" s="1830"/>
      <c r="D776" s="1828"/>
      <c r="E776" s="1833" t="s">
        <v>218</v>
      </c>
      <c r="F776" s="1828"/>
      <c r="G776" s="62" t="str">
        <f>+G717</f>
        <v>M2</v>
      </c>
    </row>
    <row r="777" spans="1:7" ht="14.25" hidden="1" customHeight="1">
      <c r="A777" s="66" t="s">
        <v>807</v>
      </c>
      <c r="B777" s="1840" t="s">
        <v>808</v>
      </c>
      <c r="C777" s="1830"/>
      <c r="D777" s="1830"/>
      <c r="E777" s="1830"/>
      <c r="F777" s="1830"/>
      <c r="G777" s="1828"/>
    </row>
    <row r="778" spans="1:7" ht="14.25" hidden="1" customHeight="1">
      <c r="A778" s="1836" t="s">
        <v>220</v>
      </c>
      <c r="B778" s="1830"/>
      <c r="C778" s="1830"/>
      <c r="D778" s="1830"/>
      <c r="E778" s="1830"/>
      <c r="F778" s="1830"/>
      <c r="G778" s="1828"/>
    </row>
    <row r="779" spans="1:7" ht="14.25" hidden="1" customHeight="1">
      <c r="A779" s="1829" t="s">
        <v>221</v>
      </c>
      <c r="B779" s="1828"/>
      <c r="C779" s="63" t="s">
        <v>222</v>
      </c>
      <c r="D779" s="63" t="s">
        <v>223</v>
      </c>
      <c r="E779" s="63" t="s">
        <v>252</v>
      </c>
      <c r="F779" s="63" t="s">
        <v>225</v>
      </c>
      <c r="G779" s="63" t="s">
        <v>226</v>
      </c>
    </row>
    <row r="780" spans="1:7" ht="14.25" hidden="1" customHeight="1">
      <c r="A780" s="1847" t="s">
        <v>758</v>
      </c>
      <c r="B780" s="1828"/>
      <c r="C780" s="64"/>
      <c r="D780" s="64"/>
      <c r="E780" s="64"/>
      <c r="F780" s="64"/>
      <c r="G780" s="64"/>
    </row>
    <row r="781" spans="1:7" ht="14.25" hidden="1" customHeight="1">
      <c r="A781" s="1845" t="s">
        <v>796</v>
      </c>
      <c r="B781" s="1828"/>
      <c r="C781" s="64"/>
      <c r="D781" s="64">
        <f>1+1.74+1.34</f>
        <v>4.08</v>
      </c>
      <c r="E781" s="64">
        <v>2.2000000000000002</v>
      </c>
      <c r="F781" s="64">
        <v>1</v>
      </c>
      <c r="G781" s="64">
        <f t="shared" ref="G781:G785" si="50">+D781*E781*F781</f>
        <v>8.9760000000000009</v>
      </c>
    </row>
    <row r="782" spans="1:7" ht="14.25" hidden="1" customHeight="1">
      <c r="A782" s="1845" t="s">
        <v>764</v>
      </c>
      <c r="B782" s="1828"/>
      <c r="C782" s="64"/>
      <c r="D782" s="64">
        <f>1.3+0.6</f>
        <v>1.9</v>
      </c>
      <c r="E782" s="64">
        <v>2.2000000000000002</v>
      </c>
      <c r="F782" s="64">
        <v>1</v>
      </c>
      <c r="G782" s="64">
        <f t="shared" si="50"/>
        <v>4.18</v>
      </c>
    </row>
    <row r="783" spans="1:7" ht="14.25" hidden="1" customHeight="1">
      <c r="A783" s="1845" t="s">
        <v>765</v>
      </c>
      <c r="B783" s="1828"/>
      <c r="C783" s="64"/>
      <c r="D783" s="64">
        <f>1.2+0.8+0.8</f>
        <v>2.8</v>
      </c>
      <c r="E783" s="64">
        <v>2.2000000000000002</v>
      </c>
      <c r="F783" s="64">
        <v>2</v>
      </c>
      <c r="G783" s="64">
        <f t="shared" si="50"/>
        <v>12.32</v>
      </c>
    </row>
    <row r="784" spans="1:7" ht="14.25" hidden="1" customHeight="1">
      <c r="A784" s="1846" t="s">
        <v>751</v>
      </c>
      <c r="B784" s="1843"/>
      <c r="C784" s="64"/>
      <c r="D784" s="64">
        <f>3.5+4.2</f>
        <v>7.7</v>
      </c>
      <c r="E784" s="64">
        <v>2.2000000000000002</v>
      </c>
      <c r="F784" s="64">
        <v>2</v>
      </c>
      <c r="G784" s="64">
        <f t="shared" si="50"/>
        <v>33.880000000000003</v>
      </c>
    </row>
    <row r="785" spans="1:256" ht="14.25" hidden="1" customHeight="1">
      <c r="A785" s="1844" t="s">
        <v>752</v>
      </c>
      <c r="B785" s="1828"/>
      <c r="C785" s="64"/>
      <c r="D785" s="64">
        <f>+((3.55*2)+(1.44*6))</f>
        <v>15.74</v>
      </c>
      <c r="E785" s="64">
        <v>2.2000000000000002</v>
      </c>
      <c r="F785" s="64">
        <v>2</v>
      </c>
      <c r="G785" s="64">
        <f t="shared" si="50"/>
        <v>69.256</v>
      </c>
      <c r="H785" s="59"/>
      <c r="I785" s="60"/>
      <c r="J785" s="60"/>
      <c r="K785" s="61"/>
      <c r="L785" s="59"/>
      <c r="M785" s="59"/>
      <c r="N785" s="59"/>
      <c r="O785" s="59"/>
      <c r="P785" s="59"/>
      <c r="Q785" s="59"/>
      <c r="R785" s="59"/>
      <c r="S785" s="59"/>
      <c r="T785" s="59"/>
      <c r="U785" s="59"/>
      <c r="V785" s="59"/>
      <c r="W785" s="59"/>
      <c r="X785" s="59"/>
      <c r="Y785" s="59"/>
      <c r="Z785" s="59"/>
      <c r="AA785" s="59"/>
      <c r="AB785" s="59"/>
      <c r="AC785" s="59"/>
      <c r="AD785" s="59"/>
      <c r="AE785" s="59"/>
      <c r="AF785" s="59"/>
      <c r="AG785" s="59"/>
      <c r="AH785" s="59"/>
      <c r="AI785" s="59"/>
      <c r="AJ785" s="59"/>
      <c r="AK785" s="59"/>
      <c r="AL785" s="59"/>
      <c r="AM785" s="59"/>
      <c r="AN785" s="59"/>
      <c r="AO785" s="59"/>
      <c r="AP785" s="59"/>
      <c r="AQ785" s="59"/>
      <c r="AR785" s="59"/>
      <c r="AS785" s="59"/>
      <c r="AT785" s="59"/>
      <c r="AU785" s="59"/>
      <c r="AV785" s="59"/>
      <c r="AW785" s="59"/>
      <c r="AX785" s="59"/>
      <c r="AY785" s="59"/>
      <c r="AZ785" s="59"/>
      <c r="BA785" s="59"/>
      <c r="BB785" s="59"/>
      <c r="BC785" s="59"/>
      <c r="BD785" s="59"/>
      <c r="BE785" s="59"/>
      <c r="BF785" s="59"/>
      <c r="BG785" s="59"/>
      <c r="BH785" s="59"/>
      <c r="BI785" s="59"/>
      <c r="BJ785" s="59"/>
      <c r="BK785" s="59"/>
      <c r="BL785" s="59"/>
      <c r="BM785" s="59"/>
      <c r="BN785" s="59"/>
      <c r="BO785" s="59"/>
      <c r="BP785" s="59"/>
      <c r="BQ785" s="59"/>
      <c r="BR785" s="59"/>
      <c r="BS785" s="59"/>
      <c r="BT785" s="59"/>
      <c r="BU785" s="59"/>
      <c r="BV785" s="59"/>
      <c r="BW785" s="59"/>
      <c r="BX785" s="59"/>
      <c r="BY785" s="59"/>
      <c r="BZ785" s="59"/>
      <c r="CA785" s="59"/>
      <c r="CB785" s="59"/>
      <c r="CC785" s="59"/>
      <c r="CD785" s="59"/>
      <c r="CE785" s="59"/>
      <c r="CF785" s="59"/>
      <c r="CG785" s="59"/>
      <c r="CH785" s="59"/>
      <c r="CI785" s="59"/>
      <c r="CJ785" s="59"/>
      <c r="CK785" s="59"/>
      <c r="CL785" s="59"/>
      <c r="CM785" s="59"/>
      <c r="CN785" s="59"/>
      <c r="CO785" s="59"/>
      <c r="CP785" s="59"/>
      <c r="CQ785" s="59"/>
      <c r="CR785" s="59"/>
      <c r="CS785" s="59"/>
      <c r="CT785" s="59"/>
      <c r="CU785" s="59"/>
      <c r="CV785" s="59"/>
      <c r="CW785" s="59"/>
      <c r="CX785" s="59"/>
      <c r="CY785" s="59"/>
      <c r="CZ785" s="59"/>
      <c r="DA785" s="59"/>
      <c r="DB785" s="59"/>
      <c r="DC785" s="59"/>
      <c r="DD785" s="59"/>
      <c r="DE785" s="59"/>
      <c r="DF785" s="59"/>
      <c r="DG785" s="59"/>
      <c r="DH785" s="59"/>
      <c r="DI785" s="59"/>
      <c r="DJ785" s="59"/>
      <c r="DK785" s="59"/>
      <c r="DL785" s="59"/>
      <c r="DM785" s="59"/>
      <c r="DN785" s="59"/>
      <c r="DO785" s="59"/>
      <c r="DP785" s="59"/>
      <c r="DQ785" s="59"/>
      <c r="DR785" s="59"/>
      <c r="DS785" s="59"/>
      <c r="DT785" s="59"/>
      <c r="DU785" s="59"/>
      <c r="DV785" s="59"/>
      <c r="DW785" s="59"/>
      <c r="DX785" s="59"/>
      <c r="DY785" s="59"/>
      <c r="DZ785" s="59"/>
      <c r="EA785" s="59"/>
      <c r="EB785" s="59"/>
      <c r="EC785" s="59"/>
      <c r="ED785" s="59"/>
      <c r="EE785" s="59"/>
      <c r="EF785" s="59"/>
      <c r="EG785" s="59"/>
      <c r="EH785" s="59"/>
      <c r="EI785" s="59"/>
      <c r="EJ785" s="59"/>
      <c r="EK785" s="59"/>
      <c r="EL785" s="59"/>
      <c r="EM785" s="59"/>
      <c r="EN785" s="59"/>
      <c r="EO785" s="59"/>
      <c r="EP785" s="59"/>
      <c r="EQ785" s="59"/>
      <c r="ER785" s="59"/>
      <c r="ES785" s="59"/>
      <c r="ET785" s="59"/>
      <c r="EU785" s="59"/>
      <c r="EV785" s="59"/>
      <c r="EW785" s="59"/>
      <c r="EX785" s="59"/>
      <c r="EY785" s="59"/>
      <c r="EZ785" s="59"/>
      <c r="FA785" s="59"/>
      <c r="FB785" s="59"/>
      <c r="FC785" s="59"/>
      <c r="FD785" s="59"/>
      <c r="FE785" s="59"/>
      <c r="FF785" s="59"/>
      <c r="FG785" s="59"/>
      <c r="FH785" s="59"/>
      <c r="FI785" s="59"/>
      <c r="FJ785" s="59"/>
      <c r="FK785" s="59"/>
      <c r="FL785" s="59"/>
      <c r="FM785" s="59"/>
      <c r="FN785" s="59"/>
      <c r="FO785" s="59"/>
      <c r="FP785" s="59"/>
      <c r="FQ785" s="59"/>
      <c r="FR785" s="59"/>
      <c r="FS785" s="59"/>
      <c r="FT785" s="59"/>
      <c r="FU785" s="59"/>
      <c r="FV785" s="59"/>
      <c r="FW785" s="59"/>
      <c r="FX785" s="59"/>
      <c r="FY785" s="59"/>
      <c r="FZ785" s="59"/>
      <c r="GA785" s="59"/>
      <c r="GB785" s="59"/>
      <c r="GC785" s="59"/>
      <c r="GD785" s="59"/>
      <c r="GE785" s="59"/>
      <c r="GF785" s="59"/>
      <c r="GG785" s="59"/>
      <c r="GH785" s="59"/>
      <c r="GI785" s="59"/>
      <c r="GJ785" s="59"/>
      <c r="GK785" s="59"/>
      <c r="GL785" s="59"/>
      <c r="GM785" s="59"/>
      <c r="GN785" s="59"/>
      <c r="GO785" s="59"/>
      <c r="GP785" s="59"/>
      <c r="GQ785" s="59"/>
      <c r="GR785" s="59"/>
      <c r="GS785" s="59"/>
      <c r="GT785" s="59"/>
      <c r="GU785" s="59"/>
      <c r="GV785" s="59"/>
      <c r="GW785" s="59"/>
      <c r="GX785" s="59"/>
      <c r="GY785" s="59"/>
      <c r="GZ785" s="59"/>
      <c r="HA785" s="59"/>
      <c r="HB785" s="59"/>
      <c r="HC785" s="59"/>
      <c r="HD785" s="59"/>
      <c r="HE785" s="59"/>
      <c r="HF785" s="59"/>
      <c r="HG785" s="59"/>
      <c r="HH785" s="59"/>
      <c r="HI785" s="59"/>
      <c r="HJ785" s="59"/>
      <c r="HK785" s="59"/>
      <c r="HL785" s="59"/>
      <c r="HM785" s="59"/>
      <c r="HN785" s="59"/>
      <c r="HO785" s="59"/>
      <c r="HP785" s="59"/>
      <c r="HQ785" s="59"/>
      <c r="HR785" s="59"/>
      <c r="HS785" s="59"/>
      <c r="HT785" s="59"/>
      <c r="HU785" s="59"/>
      <c r="HV785" s="59"/>
      <c r="HW785" s="59"/>
      <c r="HX785" s="59"/>
      <c r="HY785" s="59"/>
      <c r="HZ785" s="59"/>
      <c r="IA785" s="59"/>
      <c r="IB785" s="59"/>
      <c r="IC785" s="59"/>
      <c r="ID785" s="59"/>
      <c r="IE785" s="59"/>
      <c r="IF785" s="59"/>
      <c r="IG785" s="59"/>
      <c r="IH785" s="59"/>
      <c r="II785" s="59"/>
      <c r="IJ785" s="59"/>
      <c r="IK785" s="59"/>
      <c r="IL785" s="59"/>
      <c r="IM785" s="59"/>
      <c r="IN785" s="59"/>
      <c r="IO785" s="59"/>
      <c r="IP785" s="59"/>
      <c r="IQ785" s="59"/>
      <c r="IR785" s="59"/>
      <c r="IS785" s="59"/>
      <c r="IT785" s="59"/>
      <c r="IU785" s="59"/>
      <c r="IV785" s="59"/>
    </row>
    <row r="786" spans="1:256" ht="14.25" hidden="1" customHeight="1">
      <c r="A786" s="1829" t="s">
        <v>227</v>
      </c>
      <c r="B786" s="1830"/>
      <c r="C786" s="1830"/>
      <c r="D786" s="1830"/>
      <c r="E786" s="1830"/>
      <c r="F786" s="1828"/>
      <c r="G786" s="65">
        <f>SUM(G781:G785)</f>
        <v>128.61199999999999</v>
      </c>
      <c r="H786" s="59"/>
      <c r="I786" s="60"/>
      <c r="J786" s="60"/>
      <c r="K786" s="61"/>
      <c r="L786" s="59"/>
      <c r="M786" s="59"/>
      <c r="N786" s="59"/>
      <c r="O786" s="59"/>
      <c r="P786" s="59"/>
      <c r="Q786" s="59"/>
      <c r="R786" s="59"/>
      <c r="S786" s="59"/>
      <c r="T786" s="59"/>
      <c r="U786" s="59"/>
      <c r="V786" s="59"/>
      <c r="W786" s="59"/>
      <c r="X786" s="59"/>
      <c r="Y786" s="59"/>
      <c r="Z786" s="59"/>
      <c r="AA786" s="59"/>
      <c r="AB786" s="59"/>
      <c r="AC786" s="59"/>
      <c r="AD786" s="59"/>
      <c r="AE786" s="59"/>
      <c r="AF786" s="59"/>
      <c r="AG786" s="59"/>
      <c r="AH786" s="59"/>
      <c r="AI786" s="59"/>
      <c r="AJ786" s="59"/>
      <c r="AK786" s="59"/>
      <c r="AL786" s="59"/>
      <c r="AM786" s="59"/>
      <c r="AN786" s="59"/>
      <c r="AO786" s="59"/>
      <c r="AP786" s="59"/>
      <c r="AQ786" s="59"/>
      <c r="AR786" s="59"/>
      <c r="AS786" s="59"/>
      <c r="AT786" s="59"/>
      <c r="AU786" s="59"/>
      <c r="AV786" s="59"/>
      <c r="AW786" s="59"/>
      <c r="AX786" s="59"/>
      <c r="AY786" s="59"/>
      <c r="AZ786" s="59"/>
      <c r="BA786" s="59"/>
      <c r="BB786" s="59"/>
      <c r="BC786" s="59"/>
      <c r="BD786" s="59"/>
      <c r="BE786" s="59"/>
      <c r="BF786" s="59"/>
      <c r="BG786" s="59"/>
      <c r="BH786" s="59"/>
      <c r="BI786" s="59"/>
      <c r="BJ786" s="59"/>
      <c r="BK786" s="59"/>
      <c r="BL786" s="59"/>
      <c r="BM786" s="59"/>
      <c r="BN786" s="59"/>
      <c r="BO786" s="59"/>
      <c r="BP786" s="59"/>
      <c r="BQ786" s="59"/>
      <c r="BR786" s="59"/>
      <c r="BS786" s="59"/>
      <c r="BT786" s="59"/>
      <c r="BU786" s="59"/>
      <c r="BV786" s="59"/>
      <c r="BW786" s="59"/>
      <c r="BX786" s="59"/>
      <c r="BY786" s="59"/>
      <c r="BZ786" s="59"/>
      <c r="CA786" s="59"/>
      <c r="CB786" s="59"/>
      <c r="CC786" s="59"/>
      <c r="CD786" s="59"/>
      <c r="CE786" s="59"/>
      <c r="CF786" s="59"/>
      <c r="CG786" s="59"/>
      <c r="CH786" s="59"/>
      <c r="CI786" s="59"/>
      <c r="CJ786" s="59"/>
      <c r="CK786" s="59"/>
      <c r="CL786" s="59"/>
      <c r="CM786" s="59"/>
      <c r="CN786" s="59"/>
      <c r="CO786" s="59"/>
      <c r="CP786" s="59"/>
      <c r="CQ786" s="59"/>
      <c r="CR786" s="59"/>
      <c r="CS786" s="59"/>
      <c r="CT786" s="59"/>
      <c r="CU786" s="59"/>
      <c r="CV786" s="59"/>
      <c r="CW786" s="59"/>
      <c r="CX786" s="59"/>
      <c r="CY786" s="59"/>
      <c r="CZ786" s="59"/>
      <c r="DA786" s="59"/>
      <c r="DB786" s="59"/>
      <c r="DC786" s="59"/>
      <c r="DD786" s="59"/>
      <c r="DE786" s="59"/>
      <c r="DF786" s="59"/>
      <c r="DG786" s="59"/>
      <c r="DH786" s="59"/>
      <c r="DI786" s="59"/>
      <c r="DJ786" s="59"/>
      <c r="DK786" s="59"/>
      <c r="DL786" s="59"/>
      <c r="DM786" s="59"/>
      <c r="DN786" s="59"/>
      <c r="DO786" s="59"/>
      <c r="DP786" s="59"/>
      <c r="DQ786" s="59"/>
      <c r="DR786" s="59"/>
      <c r="DS786" s="59"/>
      <c r="DT786" s="59"/>
      <c r="DU786" s="59"/>
      <c r="DV786" s="59"/>
      <c r="DW786" s="59"/>
      <c r="DX786" s="59"/>
      <c r="DY786" s="59"/>
      <c r="DZ786" s="59"/>
      <c r="EA786" s="59"/>
      <c r="EB786" s="59"/>
      <c r="EC786" s="59"/>
      <c r="ED786" s="59"/>
      <c r="EE786" s="59"/>
      <c r="EF786" s="59"/>
      <c r="EG786" s="59"/>
      <c r="EH786" s="59"/>
      <c r="EI786" s="59"/>
      <c r="EJ786" s="59"/>
      <c r="EK786" s="59"/>
      <c r="EL786" s="59"/>
      <c r="EM786" s="59"/>
      <c r="EN786" s="59"/>
      <c r="EO786" s="59"/>
      <c r="EP786" s="59"/>
      <c r="EQ786" s="59"/>
      <c r="ER786" s="59"/>
      <c r="ES786" s="59"/>
      <c r="ET786" s="59"/>
      <c r="EU786" s="59"/>
      <c r="EV786" s="59"/>
      <c r="EW786" s="59"/>
      <c r="EX786" s="59"/>
      <c r="EY786" s="59"/>
      <c r="EZ786" s="59"/>
      <c r="FA786" s="59"/>
      <c r="FB786" s="59"/>
      <c r="FC786" s="59"/>
      <c r="FD786" s="59"/>
      <c r="FE786" s="59"/>
      <c r="FF786" s="59"/>
      <c r="FG786" s="59"/>
      <c r="FH786" s="59"/>
      <c r="FI786" s="59"/>
      <c r="FJ786" s="59"/>
      <c r="FK786" s="59"/>
      <c r="FL786" s="59"/>
      <c r="FM786" s="59"/>
      <c r="FN786" s="59"/>
      <c r="FO786" s="59"/>
      <c r="FP786" s="59"/>
      <c r="FQ786" s="59"/>
      <c r="FR786" s="59"/>
      <c r="FS786" s="59"/>
      <c r="FT786" s="59"/>
      <c r="FU786" s="59"/>
      <c r="FV786" s="59"/>
      <c r="FW786" s="59"/>
      <c r="FX786" s="59"/>
      <c r="FY786" s="59"/>
      <c r="FZ786" s="59"/>
      <c r="GA786" s="59"/>
      <c r="GB786" s="59"/>
      <c r="GC786" s="59"/>
      <c r="GD786" s="59"/>
      <c r="GE786" s="59"/>
      <c r="GF786" s="59"/>
      <c r="GG786" s="59"/>
      <c r="GH786" s="59"/>
      <c r="GI786" s="59"/>
      <c r="GJ786" s="59"/>
      <c r="GK786" s="59"/>
      <c r="GL786" s="59"/>
      <c r="GM786" s="59"/>
      <c r="GN786" s="59"/>
      <c r="GO786" s="59"/>
      <c r="GP786" s="59"/>
      <c r="GQ786" s="59"/>
      <c r="GR786" s="59"/>
      <c r="GS786" s="59"/>
      <c r="GT786" s="59"/>
      <c r="GU786" s="59"/>
      <c r="GV786" s="59"/>
      <c r="GW786" s="59"/>
      <c r="GX786" s="59"/>
      <c r="GY786" s="59"/>
      <c r="GZ786" s="59"/>
      <c r="HA786" s="59"/>
      <c r="HB786" s="59"/>
      <c r="HC786" s="59"/>
      <c r="HD786" s="59"/>
      <c r="HE786" s="59"/>
      <c r="HF786" s="59"/>
      <c r="HG786" s="59"/>
      <c r="HH786" s="59"/>
      <c r="HI786" s="59"/>
      <c r="HJ786" s="59"/>
      <c r="HK786" s="59"/>
      <c r="HL786" s="59"/>
      <c r="HM786" s="59"/>
      <c r="HN786" s="59"/>
      <c r="HO786" s="59"/>
      <c r="HP786" s="59"/>
      <c r="HQ786" s="59"/>
      <c r="HR786" s="59"/>
      <c r="HS786" s="59"/>
      <c r="HT786" s="59"/>
      <c r="HU786" s="59"/>
      <c r="HV786" s="59"/>
      <c r="HW786" s="59"/>
      <c r="HX786" s="59"/>
      <c r="HY786" s="59"/>
      <c r="HZ786" s="59"/>
      <c r="IA786" s="59"/>
      <c r="IB786" s="59"/>
      <c r="IC786" s="59"/>
      <c r="ID786" s="59"/>
      <c r="IE786" s="59"/>
      <c r="IF786" s="59"/>
      <c r="IG786" s="59"/>
      <c r="IH786" s="59"/>
      <c r="II786" s="59"/>
      <c r="IJ786" s="59"/>
      <c r="IK786" s="59"/>
      <c r="IL786" s="59"/>
      <c r="IM786" s="59"/>
      <c r="IN786" s="59"/>
      <c r="IO786" s="59"/>
      <c r="IP786" s="59"/>
      <c r="IQ786" s="59"/>
      <c r="IR786" s="59"/>
      <c r="IS786" s="59"/>
      <c r="IT786" s="59"/>
      <c r="IU786" s="59"/>
      <c r="IV786" s="69">
        <f>SUM(G786:IU786)</f>
        <v>128.61199999999999</v>
      </c>
    </row>
    <row r="787" spans="1:256" ht="14.25" hidden="1" customHeight="1">
      <c r="A787" s="1831"/>
      <c r="B787" s="1830"/>
      <c r="C787" s="1830"/>
      <c r="D787" s="1830"/>
      <c r="E787" s="1830"/>
      <c r="F787" s="1830"/>
      <c r="G787" s="1828"/>
      <c r="H787" s="59"/>
      <c r="I787" s="60"/>
      <c r="J787" s="60"/>
      <c r="K787" s="61"/>
      <c r="L787" s="59"/>
      <c r="M787" s="59"/>
      <c r="N787" s="59"/>
      <c r="O787" s="59"/>
      <c r="P787" s="59"/>
      <c r="Q787" s="59"/>
      <c r="R787" s="59"/>
      <c r="S787" s="59"/>
      <c r="T787" s="59"/>
      <c r="U787" s="59"/>
      <c r="V787" s="59"/>
      <c r="W787" s="59"/>
      <c r="X787" s="59"/>
      <c r="Y787" s="59"/>
      <c r="Z787" s="59"/>
      <c r="AA787" s="59"/>
      <c r="AB787" s="59"/>
      <c r="AC787" s="59"/>
      <c r="AD787" s="59"/>
      <c r="AE787" s="59"/>
      <c r="AF787" s="59"/>
      <c r="AG787" s="59"/>
      <c r="AH787" s="59"/>
      <c r="AI787" s="59"/>
      <c r="AJ787" s="59"/>
      <c r="AK787" s="59"/>
      <c r="AL787" s="59"/>
      <c r="AM787" s="59"/>
      <c r="AN787" s="59"/>
      <c r="AO787" s="59"/>
      <c r="AP787" s="59"/>
      <c r="AQ787" s="59"/>
      <c r="AR787" s="59"/>
      <c r="AS787" s="59"/>
      <c r="AT787" s="59"/>
      <c r="AU787" s="59"/>
      <c r="AV787" s="59"/>
      <c r="AW787" s="59"/>
      <c r="AX787" s="59"/>
      <c r="AY787" s="59"/>
      <c r="AZ787" s="59"/>
      <c r="BA787" s="59"/>
      <c r="BB787" s="59"/>
      <c r="BC787" s="59"/>
      <c r="BD787" s="59"/>
      <c r="BE787" s="59"/>
      <c r="BF787" s="59"/>
      <c r="BG787" s="59"/>
      <c r="BH787" s="59"/>
      <c r="BI787" s="59"/>
      <c r="BJ787" s="59"/>
      <c r="BK787" s="59"/>
      <c r="BL787" s="59"/>
      <c r="BM787" s="59"/>
      <c r="BN787" s="59"/>
      <c r="BO787" s="59"/>
      <c r="BP787" s="59"/>
      <c r="BQ787" s="59"/>
      <c r="BR787" s="59"/>
      <c r="BS787" s="59"/>
      <c r="BT787" s="59"/>
      <c r="BU787" s="59"/>
      <c r="BV787" s="59"/>
      <c r="BW787" s="59"/>
      <c r="BX787" s="59"/>
      <c r="BY787" s="59"/>
      <c r="BZ787" s="59"/>
      <c r="CA787" s="59"/>
      <c r="CB787" s="59"/>
      <c r="CC787" s="59"/>
      <c r="CD787" s="59"/>
      <c r="CE787" s="59"/>
      <c r="CF787" s="59"/>
      <c r="CG787" s="59"/>
      <c r="CH787" s="59"/>
      <c r="CI787" s="59"/>
      <c r="CJ787" s="59"/>
      <c r="CK787" s="59"/>
      <c r="CL787" s="59"/>
      <c r="CM787" s="59"/>
      <c r="CN787" s="59"/>
      <c r="CO787" s="59"/>
      <c r="CP787" s="59"/>
      <c r="CQ787" s="59"/>
      <c r="CR787" s="59"/>
      <c r="CS787" s="59"/>
      <c r="CT787" s="59"/>
      <c r="CU787" s="59"/>
      <c r="CV787" s="59"/>
      <c r="CW787" s="59"/>
      <c r="CX787" s="59"/>
      <c r="CY787" s="59"/>
      <c r="CZ787" s="59"/>
      <c r="DA787" s="59"/>
      <c r="DB787" s="59"/>
      <c r="DC787" s="59"/>
      <c r="DD787" s="59"/>
      <c r="DE787" s="59"/>
      <c r="DF787" s="59"/>
      <c r="DG787" s="59"/>
      <c r="DH787" s="59"/>
      <c r="DI787" s="59"/>
      <c r="DJ787" s="59"/>
      <c r="DK787" s="59"/>
      <c r="DL787" s="59"/>
      <c r="DM787" s="59"/>
      <c r="DN787" s="59"/>
      <c r="DO787" s="59"/>
      <c r="DP787" s="59"/>
      <c r="DQ787" s="59"/>
      <c r="DR787" s="59"/>
      <c r="DS787" s="59"/>
      <c r="DT787" s="59"/>
      <c r="DU787" s="59"/>
      <c r="DV787" s="59"/>
      <c r="DW787" s="59"/>
      <c r="DX787" s="59"/>
      <c r="DY787" s="59"/>
      <c r="DZ787" s="59"/>
      <c r="EA787" s="59"/>
      <c r="EB787" s="59"/>
      <c r="EC787" s="59"/>
      <c r="ED787" s="59"/>
      <c r="EE787" s="59"/>
      <c r="EF787" s="59"/>
      <c r="EG787" s="59"/>
      <c r="EH787" s="59"/>
      <c r="EI787" s="59"/>
      <c r="EJ787" s="59"/>
      <c r="EK787" s="59"/>
      <c r="EL787" s="59"/>
      <c r="EM787" s="59"/>
      <c r="EN787" s="59"/>
      <c r="EO787" s="59"/>
      <c r="EP787" s="59"/>
      <c r="EQ787" s="59"/>
      <c r="ER787" s="59"/>
      <c r="ES787" s="59"/>
      <c r="ET787" s="59"/>
      <c r="EU787" s="59"/>
      <c r="EV787" s="59"/>
      <c r="EW787" s="59"/>
      <c r="EX787" s="59"/>
      <c r="EY787" s="59"/>
      <c r="EZ787" s="59"/>
      <c r="FA787" s="59"/>
      <c r="FB787" s="59"/>
      <c r="FC787" s="59"/>
      <c r="FD787" s="59"/>
      <c r="FE787" s="59"/>
      <c r="FF787" s="59"/>
      <c r="FG787" s="59"/>
      <c r="FH787" s="59"/>
      <c r="FI787" s="59"/>
      <c r="FJ787" s="59"/>
      <c r="FK787" s="59"/>
      <c r="FL787" s="59"/>
      <c r="FM787" s="59"/>
      <c r="FN787" s="59"/>
      <c r="FO787" s="59"/>
      <c r="FP787" s="59"/>
      <c r="FQ787" s="59"/>
      <c r="FR787" s="59"/>
      <c r="FS787" s="59"/>
      <c r="FT787" s="59"/>
      <c r="FU787" s="59"/>
      <c r="FV787" s="59"/>
      <c r="FW787" s="59"/>
      <c r="FX787" s="59"/>
      <c r="FY787" s="59"/>
      <c r="FZ787" s="59"/>
      <c r="GA787" s="59"/>
      <c r="GB787" s="59"/>
      <c r="GC787" s="59"/>
      <c r="GD787" s="59"/>
      <c r="GE787" s="59"/>
      <c r="GF787" s="59"/>
      <c r="GG787" s="59"/>
      <c r="GH787" s="59"/>
      <c r="GI787" s="59"/>
      <c r="GJ787" s="59"/>
      <c r="GK787" s="59"/>
      <c r="GL787" s="59"/>
      <c r="GM787" s="59"/>
      <c r="GN787" s="59"/>
      <c r="GO787" s="59"/>
      <c r="GP787" s="59"/>
      <c r="GQ787" s="59"/>
      <c r="GR787" s="59"/>
      <c r="GS787" s="59"/>
      <c r="GT787" s="59"/>
      <c r="GU787" s="59"/>
      <c r="GV787" s="59"/>
      <c r="GW787" s="59"/>
      <c r="GX787" s="59"/>
      <c r="GY787" s="59"/>
      <c r="GZ787" s="59"/>
      <c r="HA787" s="59"/>
      <c r="HB787" s="59"/>
      <c r="HC787" s="59"/>
      <c r="HD787" s="59"/>
      <c r="HE787" s="59"/>
      <c r="HF787" s="59"/>
      <c r="HG787" s="59"/>
      <c r="HH787" s="59"/>
      <c r="HI787" s="59"/>
      <c r="HJ787" s="59"/>
      <c r="HK787" s="59"/>
      <c r="HL787" s="59"/>
      <c r="HM787" s="59"/>
      <c r="HN787" s="59"/>
      <c r="HO787" s="59"/>
      <c r="HP787" s="59"/>
      <c r="HQ787" s="59"/>
      <c r="HR787" s="59"/>
      <c r="HS787" s="59"/>
      <c r="HT787" s="59"/>
      <c r="HU787" s="59"/>
      <c r="HV787" s="59"/>
      <c r="HW787" s="59"/>
      <c r="HX787" s="59"/>
      <c r="HY787" s="59"/>
      <c r="HZ787" s="59"/>
      <c r="IA787" s="59"/>
      <c r="IB787" s="59"/>
      <c r="IC787" s="59"/>
      <c r="ID787" s="59"/>
      <c r="IE787" s="59"/>
      <c r="IF787" s="59"/>
      <c r="IG787" s="59"/>
      <c r="IH787" s="59"/>
      <c r="II787" s="59"/>
      <c r="IJ787" s="59"/>
      <c r="IK787" s="59"/>
      <c r="IL787" s="59"/>
      <c r="IM787" s="59"/>
      <c r="IN787" s="59"/>
      <c r="IO787" s="59"/>
      <c r="IP787" s="59"/>
      <c r="IQ787" s="59"/>
      <c r="IR787" s="59"/>
      <c r="IS787" s="59"/>
      <c r="IT787" s="59"/>
      <c r="IU787" s="59"/>
      <c r="IV787" s="59"/>
    </row>
    <row r="788" spans="1:256" ht="14.25" hidden="1" customHeight="1">
      <c r="A788" s="66" t="s">
        <v>268</v>
      </c>
      <c r="B788" s="1832" t="str">
        <f>+B776</f>
        <v>ACABADOS</v>
      </c>
      <c r="C788" s="1830"/>
      <c r="D788" s="1828"/>
      <c r="E788" s="1833" t="s">
        <v>218</v>
      </c>
      <c r="F788" s="1828"/>
      <c r="G788" s="62" t="s">
        <v>228</v>
      </c>
      <c r="H788" s="59"/>
      <c r="I788" s="60"/>
      <c r="J788" s="60"/>
      <c r="K788" s="61"/>
      <c r="L788" s="59"/>
      <c r="M788" s="59"/>
      <c r="N788" s="59"/>
      <c r="O788" s="59"/>
      <c r="P788" s="59"/>
      <c r="Q788" s="59"/>
      <c r="R788" s="59"/>
      <c r="S788" s="59"/>
      <c r="T788" s="59"/>
      <c r="U788" s="59"/>
      <c r="V788" s="59"/>
      <c r="W788" s="59"/>
      <c r="X788" s="59"/>
      <c r="Y788" s="59"/>
      <c r="Z788" s="59"/>
      <c r="AA788" s="59"/>
      <c r="AB788" s="59"/>
      <c r="AC788" s="59"/>
      <c r="AD788" s="59"/>
      <c r="AE788" s="59"/>
      <c r="AF788" s="59"/>
      <c r="AG788" s="59"/>
      <c r="AH788" s="59"/>
      <c r="AI788" s="59"/>
      <c r="AJ788" s="59"/>
      <c r="AK788" s="59"/>
      <c r="AL788" s="59"/>
      <c r="AM788" s="59"/>
      <c r="AN788" s="59"/>
      <c r="AO788" s="59"/>
      <c r="AP788" s="59"/>
      <c r="AQ788" s="59"/>
      <c r="AR788" s="59"/>
      <c r="AS788" s="59"/>
      <c r="AT788" s="59"/>
      <c r="AU788" s="59"/>
      <c r="AV788" s="59"/>
      <c r="AW788" s="59"/>
      <c r="AX788" s="59"/>
      <c r="AY788" s="59"/>
      <c r="AZ788" s="59"/>
      <c r="BA788" s="59"/>
      <c r="BB788" s="59"/>
      <c r="BC788" s="59"/>
      <c r="BD788" s="59"/>
      <c r="BE788" s="59"/>
      <c r="BF788" s="59"/>
      <c r="BG788" s="59"/>
      <c r="BH788" s="59"/>
      <c r="BI788" s="59"/>
      <c r="BJ788" s="59"/>
      <c r="BK788" s="59"/>
      <c r="BL788" s="59"/>
      <c r="BM788" s="59"/>
      <c r="BN788" s="59"/>
      <c r="BO788" s="59"/>
      <c r="BP788" s="59"/>
      <c r="BQ788" s="59"/>
      <c r="BR788" s="59"/>
      <c r="BS788" s="59"/>
      <c r="BT788" s="59"/>
      <c r="BU788" s="59"/>
      <c r="BV788" s="59"/>
      <c r="BW788" s="59"/>
      <c r="BX788" s="59"/>
      <c r="BY788" s="59"/>
      <c r="BZ788" s="59"/>
      <c r="CA788" s="59"/>
      <c r="CB788" s="59"/>
      <c r="CC788" s="59"/>
      <c r="CD788" s="59"/>
      <c r="CE788" s="59"/>
      <c r="CF788" s="59"/>
      <c r="CG788" s="59"/>
      <c r="CH788" s="59"/>
      <c r="CI788" s="59"/>
      <c r="CJ788" s="59"/>
      <c r="CK788" s="59"/>
      <c r="CL788" s="59"/>
      <c r="CM788" s="59"/>
      <c r="CN788" s="59"/>
      <c r="CO788" s="59"/>
      <c r="CP788" s="59"/>
      <c r="CQ788" s="59"/>
      <c r="CR788" s="59"/>
      <c r="CS788" s="59"/>
      <c r="CT788" s="59"/>
      <c r="CU788" s="59"/>
      <c r="CV788" s="59"/>
      <c r="CW788" s="59"/>
      <c r="CX788" s="59"/>
      <c r="CY788" s="59"/>
      <c r="CZ788" s="59"/>
      <c r="DA788" s="59"/>
      <c r="DB788" s="59"/>
      <c r="DC788" s="59"/>
      <c r="DD788" s="59"/>
      <c r="DE788" s="59"/>
      <c r="DF788" s="59"/>
      <c r="DG788" s="59"/>
      <c r="DH788" s="59"/>
      <c r="DI788" s="59"/>
      <c r="DJ788" s="59"/>
      <c r="DK788" s="59"/>
      <c r="DL788" s="59"/>
      <c r="DM788" s="59"/>
      <c r="DN788" s="59"/>
      <c r="DO788" s="59"/>
      <c r="DP788" s="59"/>
      <c r="DQ788" s="59"/>
      <c r="DR788" s="59"/>
      <c r="DS788" s="59"/>
      <c r="DT788" s="59"/>
      <c r="DU788" s="59"/>
      <c r="DV788" s="59"/>
      <c r="DW788" s="59"/>
      <c r="DX788" s="59"/>
      <c r="DY788" s="59"/>
      <c r="DZ788" s="59"/>
      <c r="EA788" s="59"/>
      <c r="EB788" s="59"/>
      <c r="EC788" s="59"/>
      <c r="ED788" s="59"/>
      <c r="EE788" s="59"/>
      <c r="EF788" s="59"/>
      <c r="EG788" s="59"/>
      <c r="EH788" s="59"/>
      <c r="EI788" s="59"/>
      <c r="EJ788" s="59"/>
      <c r="EK788" s="59"/>
      <c r="EL788" s="59"/>
      <c r="EM788" s="59"/>
      <c r="EN788" s="59"/>
      <c r="EO788" s="59"/>
      <c r="EP788" s="59"/>
      <c r="EQ788" s="59"/>
      <c r="ER788" s="59"/>
      <c r="ES788" s="59"/>
      <c r="ET788" s="59"/>
      <c r="EU788" s="59"/>
      <c r="EV788" s="59"/>
      <c r="EW788" s="59"/>
      <c r="EX788" s="59"/>
      <c r="EY788" s="59"/>
      <c r="EZ788" s="59"/>
      <c r="FA788" s="59"/>
      <c r="FB788" s="59"/>
      <c r="FC788" s="59"/>
      <c r="FD788" s="59"/>
      <c r="FE788" s="59"/>
      <c r="FF788" s="59"/>
      <c r="FG788" s="59"/>
      <c r="FH788" s="59"/>
      <c r="FI788" s="59"/>
      <c r="FJ788" s="59"/>
      <c r="FK788" s="59"/>
      <c r="FL788" s="59"/>
      <c r="FM788" s="59"/>
      <c r="FN788" s="59"/>
      <c r="FO788" s="59"/>
      <c r="FP788" s="59"/>
      <c r="FQ788" s="59"/>
      <c r="FR788" s="59"/>
      <c r="FS788" s="59"/>
      <c r="FT788" s="59"/>
      <c r="FU788" s="59"/>
      <c r="FV788" s="59"/>
      <c r="FW788" s="59"/>
      <c r="FX788" s="59"/>
      <c r="FY788" s="59"/>
      <c r="FZ788" s="59"/>
      <c r="GA788" s="59"/>
      <c r="GB788" s="59"/>
      <c r="GC788" s="59"/>
      <c r="GD788" s="59"/>
      <c r="GE788" s="59"/>
      <c r="GF788" s="59"/>
      <c r="GG788" s="59"/>
      <c r="GH788" s="59"/>
      <c r="GI788" s="59"/>
      <c r="GJ788" s="59"/>
      <c r="GK788" s="59"/>
      <c r="GL788" s="59"/>
      <c r="GM788" s="59"/>
      <c r="GN788" s="59"/>
      <c r="GO788" s="59"/>
      <c r="GP788" s="59"/>
      <c r="GQ788" s="59"/>
      <c r="GR788" s="59"/>
      <c r="GS788" s="59"/>
      <c r="GT788" s="59"/>
      <c r="GU788" s="59"/>
      <c r="GV788" s="59"/>
      <c r="GW788" s="59"/>
      <c r="GX788" s="59"/>
      <c r="GY788" s="59"/>
      <c r="GZ788" s="59"/>
      <c r="HA788" s="59"/>
      <c r="HB788" s="59"/>
      <c r="HC788" s="59"/>
      <c r="HD788" s="59"/>
      <c r="HE788" s="59"/>
      <c r="HF788" s="59"/>
      <c r="HG788" s="59"/>
      <c r="HH788" s="59"/>
      <c r="HI788" s="59"/>
      <c r="HJ788" s="59"/>
      <c r="HK788" s="59"/>
      <c r="HL788" s="59"/>
      <c r="HM788" s="59"/>
      <c r="HN788" s="59"/>
      <c r="HO788" s="59"/>
      <c r="HP788" s="59"/>
      <c r="HQ788" s="59"/>
      <c r="HR788" s="59"/>
      <c r="HS788" s="59"/>
      <c r="HT788" s="59"/>
      <c r="HU788" s="59"/>
      <c r="HV788" s="59"/>
      <c r="HW788" s="59"/>
      <c r="HX788" s="59"/>
      <c r="HY788" s="59"/>
      <c r="HZ788" s="59"/>
      <c r="IA788" s="59"/>
      <c r="IB788" s="59"/>
      <c r="IC788" s="59"/>
      <c r="ID788" s="59"/>
      <c r="IE788" s="59"/>
      <c r="IF788" s="59"/>
      <c r="IG788" s="59"/>
      <c r="IH788" s="59"/>
      <c r="II788" s="59"/>
      <c r="IJ788" s="59"/>
      <c r="IK788" s="59"/>
      <c r="IL788" s="59"/>
      <c r="IM788" s="59"/>
      <c r="IN788" s="59"/>
      <c r="IO788" s="59"/>
      <c r="IP788" s="59"/>
      <c r="IQ788" s="59"/>
      <c r="IR788" s="59"/>
      <c r="IS788" s="59"/>
      <c r="IT788" s="59"/>
      <c r="IU788" s="59"/>
      <c r="IV788" s="59"/>
    </row>
    <row r="789" spans="1:256" ht="28.5" hidden="1" customHeight="1">
      <c r="A789" s="66" t="s">
        <v>267</v>
      </c>
      <c r="B789" s="1840" t="s">
        <v>809</v>
      </c>
      <c r="C789" s="1830"/>
      <c r="D789" s="1830"/>
      <c r="E789" s="1830"/>
      <c r="F789" s="1830"/>
      <c r="G789" s="1828"/>
      <c r="H789" s="59"/>
      <c r="I789" s="60"/>
      <c r="J789" s="60"/>
      <c r="K789" s="61"/>
      <c r="L789" s="59"/>
      <c r="M789" s="59"/>
      <c r="N789" s="59"/>
      <c r="O789" s="59"/>
      <c r="P789" s="59"/>
      <c r="Q789" s="59"/>
      <c r="R789" s="59"/>
      <c r="S789" s="59"/>
      <c r="T789" s="59"/>
      <c r="U789" s="59"/>
      <c r="V789" s="59"/>
      <c r="W789" s="59"/>
      <c r="X789" s="59"/>
      <c r="Y789" s="59"/>
      <c r="Z789" s="59"/>
      <c r="AA789" s="59"/>
      <c r="AB789" s="59"/>
      <c r="AC789" s="59"/>
      <c r="AD789" s="59"/>
      <c r="AE789" s="59"/>
      <c r="AF789" s="59"/>
      <c r="AG789" s="59"/>
      <c r="AH789" s="59"/>
      <c r="AI789" s="59"/>
      <c r="AJ789" s="59"/>
      <c r="AK789" s="59"/>
      <c r="AL789" s="59"/>
      <c r="AM789" s="59"/>
      <c r="AN789" s="59"/>
      <c r="AO789" s="59"/>
      <c r="AP789" s="59"/>
      <c r="AQ789" s="59"/>
      <c r="AR789" s="59"/>
      <c r="AS789" s="59"/>
      <c r="AT789" s="59"/>
      <c r="AU789" s="59"/>
      <c r="AV789" s="59"/>
      <c r="AW789" s="59"/>
      <c r="AX789" s="59"/>
      <c r="AY789" s="59"/>
      <c r="AZ789" s="59"/>
      <c r="BA789" s="59"/>
      <c r="BB789" s="59"/>
      <c r="BC789" s="59"/>
      <c r="BD789" s="59"/>
      <c r="BE789" s="59"/>
      <c r="BF789" s="59"/>
      <c r="BG789" s="59"/>
      <c r="BH789" s="59"/>
      <c r="BI789" s="59"/>
      <c r="BJ789" s="59"/>
      <c r="BK789" s="59"/>
      <c r="BL789" s="59"/>
      <c r="BM789" s="59"/>
      <c r="BN789" s="59"/>
      <c r="BO789" s="59"/>
      <c r="BP789" s="59"/>
      <c r="BQ789" s="59"/>
      <c r="BR789" s="59"/>
      <c r="BS789" s="59"/>
      <c r="BT789" s="59"/>
      <c r="BU789" s="59"/>
      <c r="BV789" s="59"/>
      <c r="BW789" s="59"/>
      <c r="BX789" s="59"/>
      <c r="BY789" s="59"/>
      <c r="BZ789" s="59"/>
      <c r="CA789" s="59"/>
      <c r="CB789" s="59"/>
      <c r="CC789" s="59"/>
      <c r="CD789" s="59"/>
      <c r="CE789" s="59"/>
      <c r="CF789" s="59"/>
      <c r="CG789" s="59"/>
      <c r="CH789" s="59"/>
      <c r="CI789" s="59"/>
      <c r="CJ789" s="59"/>
      <c r="CK789" s="59"/>
      <c r="CL789" s="59"/>
      <c r="CM789" s="59"/>
      <c r="CN789" s="59"/>
      <c r="CO789" s="59"/>
      <c r="CP789" s="59"/>
      <c r="CQ789" s="59"/>
      <c r="CR789" s="59"/>
      <c r="CS789" s="59"/>
      <c r="CT789" s="59"/>
      <c r="CU789" s="59"/>
      <c r="CV789" s="59"/>
      <c r="CW789" s="59"/>
      <c r="CX789" s="59"/>
      <c r="CY789" s="59"/>
      <c r="CZ789" s="59"/>
      <c r="DA789" s="59"/>
      <c r="DB789" s="59"/>
      <c r="DC789" s="59"/>
      <c r="DD789" s="59"/>
      <c r="DE789" s="59"/>
      <c r="DF789" s="59"/>
      <c r="DG789" s="59"/>
      <c r="DH789" s="59"/>
      <c r="DI789" s="59"/>
      <c r="DJ789" s="59"/>
      <c r="DK789" s="59"/>
      <c r="DL789" s="59"/>
      <c r="DM789" s="59"/>
      <c r="DN789" s="59"/>
      <c r="DO789" s="59"/>
      <c r="DP789" s="59"/>
      <c r="DQ789" s="59"/>
      <c r="DR789" s="59"/>
      <c r="DS789" s="59"/>
      <c r="DT789" s="59"/>
      <c r="DU789" s="59"/>
      <c r="DV789" s="59"/>
      <c r="DW789" s="59"/>
      <c r="DX789" s="59"/>
      <c r="DY789" s="59"/>
      <c r="DZ789" s="59"/>
      <c r="EA789" s="59"/>
      <c r="EB789" s="59"/>
      <c r="EC789" s="59"/>
      <c r="ED789" s="59"/>
      <c r="EE789" s="59"/>
      <c r="EF789" s="59"/>
      <c r="EG789" s="59"/>
      <c r="EH789" s="59"/>
      <c r="EI789" s="59"/>
      <c r="EJ789" s="59"/>
      <c r="EK789" s="59"/>
      <c r="EL789" s="59"/>
      <c r="EM789" s="59"/>
      <c r="EN789" s="59"/>
      <c r="EO789" s="59"/>
      <c r="EP789" s="59"/>
      <c r="EQ789" s="59"/>
      <c r="ER789" s="59"/>
      <c r="ES789" s="59"/>
      <c r="ET789" s="59"/>
      <c r="EU789" s="59"/>
      <c r="EV789" s="59"/>
      <c r="EW789" s="59"/>
      <c r="EX789" s="59"/>
      <c r="EY789" s="59"/>
      <c r="EZ789" s="59"/>
      <c r="FA789" s="59"/>
      <c r="FB789" s="59"/>
      <c r="FC789" s="59"/>
      <c r="FD789" s="59"/>
      <c r="FE789" s="59"/>
      <c r="FF789" s="59"/>
      <c r="FG789" s="59"/>
      <c r="FH789" s="59"/>
      <c r="FI789" s="59"/>
      <c r="FJ789" s="59"/>
      <c r="FK789" s="59"/>
      <c r="FL789" s="59"/>
      <c r="FM789" s="59"/>
      <c r="FN789" s="59"/>
      <c r="FO789" s="59"/>
      <c r="FP789" s="59"/>
      <c r="FQ789" s="59"/>
      <c r="FR789" s="59"/>
      <c r="FS789" s="59"/>
      <c r="FT789" s="59"/>
      <c r="FU789" s="59"/>
      <c r="FV789" s="59"/>
      <c r="FW789" s="59"/>
      <c r="FX789" s="59"/>
      <c r="FY789" s="59"/>
      <c r="FZ789" s="59"/>
      <c r="GA789" s="59"/>
      <c r="GB789" s="59"/>
      <c r="GC789" s="59"/>
      <c r="GD789" s="59"/>
      <c r="GE789" s="59"/>
      <c r="GF789" s="59"/>
      <c r="GG789" s="59"/>
      <c r="GH789" s="59"/>
      <c r="GI789" s="59"/>
      <c r="GJ789" s="59"/>
      <c r="GK789" s="59"/>
      <c r="GL789" s="59"/>
      <c r="GM789" s="59"/>
      <c r="GN789" s="59"/>
      <c r="GO789" s="59"/>
      <c r="GP789" s="59"/>
      <c r="GQ789" s="59"/>
      <c r="GR789" s="59"/>
      <c r="GS789" s="59"/>
      <c r="GT789" s="59"/>
      <c r="GU789" s="59"/>
      <c r="GV789" s="59"/>
      <c r="GW789" s="59"/>
      <c r="GX789" s="59"/>
      <c r="GY789" s="59"/>
      <c r="GZ789" s="59"/>
      <c r="HA789" s="59"/>
      <c r="HB789" s="59"/>
      <c r="HC789" s="59"/>
      <c r="HD789" s="59"/>
      <c r="HE789" s="59"/>
      <c r="HF789" s="59"/>
      <c r="HG789" s="59"/>
      <c r="HH789" s="59"/>
      <c r="HI789" s="59"/>
      <c r="HJ789" s="59"/>
      <c r="HK789" s="59"/>
      <c r="HL789" s="59"/>
      <c r="HM789" s="59"/>
      <c r="HN789" s="59"/>
      <c r="HO789" s="59"/>
      <c r="HP789" s="59"/>
      <c r="HQ789" s="59"/>
      <c r="HR789" s="59"/>
      <c r="HS789" s="59"/>
      <c r="HT789" s="59"/>
      <c r="HU789" s="59"/>
      <c r="HV789" s="59"/>
      <c r="HW789" s="59"/>
      <c r="HX789" s="59"/>
      <c r="HY789" s="59"/>
      <c r="HZ789" s="59"/>
      <c r="IA789" s="59"/>
      <c r="IB789" s="59"/>
      <c r="IC789" s="59"/>
      <c r="ID789" s="59"/>
      <c r="IE789" s="59"/>
      <c r="IF789" s="59"/>
      <c r="IG789" s="59"/>
      <c r="IH789" s="59"/>
      <c r="II789" s="59"/>
      <c r="IJ789" s="59"/>
      <c r="IK789" s="59"/>
      <c r="IL789" s="59"/>
      <c r="IM789" s="59"/>
      <c r="IN789" s="59"/>
      <c r="IO789" s="59"/>
      <c r="IP789" s="59"/>
      <c r="IQ789" s="59"/>
      <c r="IR789" s="59"/>
      <c r="IS789" s="59"/>
      <c r="IT789" s="59"/>
      <c r="IU789" s="59"/>
      <c r="IV789" s="59"/>
    </row>
    <row r="790" spans="1:256" ht="14.25" hidden="1" customHeight="1">
      <c r="A790" s="1836" t="s">
        <v>220</v>
      </c>
      <c r="B790" s="1830"/>
      <c r="C790" s="1830"/>
      <c r="D790" s="1830"/>
      <c r="E790" s="1830"/>
      <c r="F790" s="1830"/>
      <c r="G790" s="1828"/>
      <c r="H790" s="59"/>
      <c r="I790" s="60"/>
      <c r="J790" s="60"/>
      <c r="K790" s="61"/>
      <c r="L790" s="59"/>
      <c r="M790" s="59"/>
      <c r="N790" s="59"/>
      <c r="O790" s="59"/>
      <c r="P790" s="59"/>
      <c r="Q790" s="59"/>
      <c r="R790" s="59"/>
      <c r="S790" s="59"/>
      <c r="T790" s="59"/>
      <c r="U790" s="59"/>
      <c r="V790" s="59"/>
      <c r="W790" s="59"/>
      <c r="X790" s="59"/>
      <c r="Y790" s="59"/>
      <c r="Z790" s="59"/>
      <c r="AA790" s="59"/>
      <c r="AB790" s="59"/>
      <c r="AC790" s="59"/>
      <c r="AD790" s="59"/>
      <c r="AE790" s="59"/>
      <c r="AF790" s="59"/>
      <c r="AG790" s="59"/>
      <c r="AH790" s="59"/>
      <c r="AI790" s="59"/>
      <c r="AJ790" s="59"/>
      <c r="AK790" s="59"/>
      <c r="AL790" s="59"/>
      <c r="AM790" s="59"/>
      <c r="AN790" s="59"/>
      <c r="AO790" s="59"/>
      <c r="AP790" s="59"/>
      <c r="AQ790" s="59"/>
      <c r="AR790" s="59"/>
      <c r="AS790" s="59"/>
      <c r="AT790" s="59"/>
      <c r="AU790" s="59"/>
      <c r="AV790" s="59"/>
      <c r="AW790" s="59"/>
      <c r="AX790" s="59"/>
      <c r="AY790" s="59"/>
      <c r="AZ790" s="59"/>
      <c r="BA790" s="59"/>
      <c r="BB790" s="59"/>
      <c r="BC790" s="59"/>
      <c r="BD790" s="59"/>
      <c r="BE790" s="59"/>
      <c r="BF790" s="59"/>
      <c r="BG790" s="59"/>
      <c r="BH790" s="59"/>
      <c r="BI790" s="59"/>
      <c r="BJ790" s="59"/>
      <c r="BK790" s="59"/>
      <c r="BL790" s="59"/>
      <c r="BM790" s="59"/>
      <c r="BN790" s="59"/>
      <c r="BO790" s="59"/>
      <c r="BP790" s="59"/>
      <c r="BQ790" s="59"/>
      <c r="BR790" s="59"/>
      <c r="BS790" s="59"/>
      <c r="BT790" s="59"/>
      <c r="BU790" s="59"/>
      <c r="BV790" s="59"/>
      <c r="BW790" s="59"/>
      <c r="BX790" s="59"/>
      <c r="BY790" s="59"/>
      <c r="BZ790" s="59"/>
      <c r="CA790" s="59"/>
      <c r="CB790" s="59"/>
      <c r="CC790" s="59"/>
      <c r="CD790" s="59"/>
      <c r="CE790" s="59"/>
      <c r="CF790" s="59"/>
      <c r="CG790" s="59"/>
      <c r="CH790" s="59"/>
      <c r="CI790" s="59"/>
      <c r="CJ790" s="59"/>
      <c r="CK790" s="59"/>
      <c r="CL790" s="59"/>
      <c r="CM790" s="59"/>
      <c r="CN790" s="59"/>
      <c r="CO790" s="59"/>
      <c r="CP790" s="59"/>
      <c r="CQ790" s="59"/>
      <c r="CR790" s="59"/>
      <c r="CS790" s="59"/>
      <c r="CT790" s="59"/>
      <c r="CU790" s="59"/>
      <c r="CV790" s="59"/>
      <c r="CW790" s="59"/>
      <c r="CX790" s="59"/>
      <c r="CY790" s="59"/>
      <c r="CZ790" s="59"/>
      <c r="DA790" s="59"/>
      <c r="DB790" s="59"/>
      <c r="DC790" s="59"/>
      <c r="DD790" s="59"/>
      <c r="DE790" s="59"/>
      <c r="DF790" s="59"/>
      <c r="DG790" s="59"/>
      <c r="DH790" s="59"/>
      <c r="DI790" s="59"/>
      <c r="DJ790" s="59"/>
      <c r="DK790" s="59"/>
      <c r="DL790" s="59"/>
      <c r="DM790" s="59"/>
      <c r="DN790" s="59"/>
      <c r="DO790" s="59"/>
      <c r="DP790" s="59"/>
      <c r="DQ790" s="59"/>
      <c r="DR790" s="59"/>
      <c r="DS790" s="59"/>
      <c r="DT790" s="59"/>
      <c r="DU790" s="59"/>
      <c r="DV790" s="59"/>
      <c r="DW790" s="59"/>
      <c r="DX790" s="59"/>
      <c r="DY790" s="59"/>
      <c r="DZ790" s="59"/>
      <c r="EA790" s="59"/>
      <c r="EB790" s="59"/>
      <c r="EC790" s="59"/>
      <c r="ED790" s="59"/>
      <c r="EE790" s="59"/>
      <c r="EF790" s="59"/>
      <c r="EG790" s="59"/>
      <c r="EH790" s="59"/>
      <c r="EI790" s="59"/>
      <c r="EJ790" s="59"/>
      <c r="EK790" s="59"/>
      <c r="EL790" s="59"/>
      <c r="EM790" s="59"/>
      <c r="EN790" s="59"/>
      <c r="EO790" s="59"/>
      <c r="EP790" s="59"/>
      <c r="EQ790" s="59"/>
      <c r="ER790" s="59"/>
      <c r="ES790" s="59"/>
      <c r="ET790" s="59"/>
      <c r="EU790" s="59"/>
      <c r="EV790" s="59"/>
      <c r="EW790" s="59"/>
      <c r="EX790" s="59"/>
      <c r="EY790" s="59"/>
      <c r="EZ790" s="59"/>
      <c r="FA790" s="59"/>
      <c r="FB790" s="59"/>
      <c r="FC790" s="59"/>
      <c r="FD790" s="59"/>
      <c r="FE790" s="59"/>
      <c r="FF790" s="59"/>
      <c r="FG790" s="59"/>
      <c r="FH790" s="59"/>
      <c r="FI790" s="59"/>
      <c r="FJ790" s="59"/>
      <c r="FK790" s="59"/>
      <c r="FL790" s="59"/>
      <c r="FM790" s="59"/>
      <c r="FN790" s="59"/>
      <c r="FO790" s="59"/>
      <c r="FP790" s="59"/>
      <c r="FQ790" s="59"/>
      <c r="FR790" s="59"/>
      <c r="FS790" s="59"/>
      <c r="FT790" s="59"/>
      <c r="FU790" s="59"/>
      <c r="FV790" s="59"/>
      <c r="FW790" s="59"/>
      <c r="FX790" s="59"/>
      <c r="FY790" s="59"/>
      <c r="FZ790" s="59"/>
      <c r="GA790" s="59"/>
      <c r="GB790" s="59"/>
      <c r="GC790" s="59"/>
      <c r="GD790" s="59"/>
      <c r="GE790" s="59"/>
      <c r="GF790" s="59"/>
      <c r="GG790" s="59"/>
      <c r="GH790" s="59"/>
      <c r="GI790" s="59"/>
      <c r="GJ790" s="59"/>
      <c r="GK790" s="59"/>
      <c r="GL790" s="59"/>
      <c r="GM790" s="59"/>
      <c r="GN790" s="59"/>
      <c r="GO790" s="59"/>
      <c r="GP790" s="59"/>
      <c r="GQ790" s="59"/>
      <c r="GR790" s="59"/>
      <c r="GS790" s="59"/>
      <c r="GT790" s="59"/>
      <c r="GU790" s="59"/>
      <c r="GV790" s="59"/>
      <c r="GW790" s="59"/>
      <c r="GX790" s="59"/>
      <c r="GY790" s="59"/>
      <c r="GZ790" s="59"/>
      <c r="HA790" s="59"/>
      <c r="HB790" s="59"/>
      <c r="HC790" s="59"/>
      <c r="HD790" s="59"/>
      <c r="HE790" s="59"/>
      <c r="HF790" s="59"/>
      <c r="HG790" s="59"/>
      <c r="HH790" s="59"/>
      <c r="HI790" s="59"/>
      <c r="HJ790" s="59"/>
      <c r="HK790" s="59"/>
      <c r="HL790" s="59"/>
      <c r="HM790" s="59"/>
      <c r="HN790" s="59"/>
      <c r="HO790" s="59"/>
      <c r="HP790" s="59"/>
      <c r="HQ790" s="59"/>
      <c r="HR790" s="59"/>
      <c r="HS790" s="59"/>
      <c r="HT790" s="59"/>
      <c r="HU790" s="59"/>
      <c r="HV790" s="59"/>
      <c r="HW790" s="59"/>
      <c r="HX790" s="59"/>
      <c r="HY790" s="59"/>
      <c r="HZ790" s="59"/>
      <c r="IA790" s="59"/>
      <c r="IB790" s="59"/>
      <c r="IC790" s="59"/>
      <c r="ID790" s="59"/>
      <c r="IE790" s="59"/>
      <c r="IF790" s="59"/>
      <c r="IG790" s="59"/>
      <c r="IH790" s="59"/>
      <c r="II790" s="59"/>
      <c r="IJ790" s="59"/>
      <c r="IK790" s="59"/>
      <c r="IL790" s="59"/>
      <c r="IM790" s="59"/>
      <c r="IN790" s="59"/>
      <c r="IO790" s="59"/>
      <c r="IP790" s="59"/>
      <c r="IQ790" s="59"/>
      <c r="IR790" s="59"/>
      <c r="IS790" s="59"/>
      <c r="IT790" s="59"/>
      <c r="IU790" s="59"/>
      <c r="IV790" s="59"/>
    </row>
    <row r="791" spans="1:256" ht="14.25" hidden="1" customHeight="1">
      <c r="A791" s="1829" t="s">
        <v>221</v>
      </c>
      <c r="B791" s="1828"/>
      <c r="C791" s="63" t="s">
        <v>222</v>
      </c>
      <c r="D791" s="63" t="s">
        <v>223</v>
      </c>
      <c r="E791" s="63" t="s">
        <v>224</v>
      </c>
      <c r="F791" s="63" t="s">
        <v>225</v>
      </c>
      <c r="G791" s="63" t="s">
        <v>226</v>
      </c>
      <c r="H791" s="59"/>
      <c r="I791" s="60"/>
      <c r="J791" s="60"/>
      <c r="K791" s="61"/>
      <c r="L791" s="59"/>
      <c r="M791" s="59"/>
      <c r="N791" s="59"/>
      <c r="O791" s="59"/>
      <c r="P791" s="59"/>
      <c r="Q791" s="59"/>
      <c r="R791" s="59"/>
      <c r="S791" s="59"/>
      <c r="T791" s="59"/>
      <c r="U791" s="59"/>
      <c r="V791" s="59"/>
      <c r="W791" s="59"/>
      <c r="X791" s="59"/>
      <c r="Y791" s="59"/>
      <c r="Z791" s="59"/>
      <c r="AA791" s="59"/>
      <c r="AB791" s="59"/>
      <c r="AC791" s="59"/>
      <c r="AD791" s="59"/>
      <c r="AE791" s="59"/>
      <c r="AF791" s="59"/>
      <c r="AG791" s="59"/>
      <c r="AH791" s="59"/>
      <c r="AI791" s="59"/>
      <c r="AJ791" s="59"/>
      <c r="AK791" s="59"/>
      <c r="AL791" s="59"/>
      <c r="AM791" s="59"/>
      <c r="AN791" s="59"/>
      <c r="AO791" s="59"/>
      <c r="AP791" s="59"/>
      <c r="AQ791" s="59"/>
      <c r="AR791" s="59"/>
      <c r="AS791" s="59"/>
      <c r="AT791" s="59"/>
      <c r="AU791" s="59"/>
      <c r="AV791" s="59"/>
      <c r="AW791" s="59"/>
      <c r="AX791" s="59"/>
      <c r="AY791" s="59"/>
      <c r="AZ791" s="59"/>
      <c r="BA791" s="59"/>
      <c r="BB791" s="59"/>
      <c r="BC791" s="59"/>
      <c r="BD791" s="59"/>
      <c r="BE791" s="59"/>
      <c r="BF791" s="59"/>
      <c r="BG791" s="59"/>
      <c r="BH791" s="59"/>
      <c r="BI791" s="59"/>
      <c r="BJ791" s="59"/>
      <c r="BK791" s="59"/>
      <c r="BL791" s="59"/>
      <c r="BM791" s="59"/>
      <c r="BN791" s="59"/>
      <c r="BO791" s="59"/>
      <c r="BP791" s="59"/>
      <c r="BQ791" s="59"/>
      <c r="BR791" s="59"/>
      <c r="BS791" s="59"/>
      <c r="BT791" s="59"/>
      <c r="BU791" s="59"/>
      <c r="BV791" s="59"/>
      <c r="BW791" s="59"/>
      <c r="BX791" s="59"/>
      <c r="BY791" s="59"/>
      <c r="BZ791" s="59"/>
      <c r="CA791" s="59"/>
      <c r="CB791" s="59"/>
      <c r="CC791" s="59"/>
      <c r="CD791" s="59"/>
      <c r="CE791" s="59"/>
      <c r="CF791" s="59"/>
      <c r="CG791" s="59"/>
      <c r="CH791" s="59"/>
      <c r="CI791" s="59"/>
      <c r="CJ791" s="59"/>
      <c r="CK791" s="59"/>
      <c r="CL791" s="59"/>
      <c r="CM791" s="59"/>
      <c r="CN791" s="59"/>
      <c r="CO791" s="59"/>
      <c r="CP791" s="59"/>
      <c r="CQ791" s="59"/>
      <c r="CR791" s="59"/>
      <c r="CS791" s="59"/>
      <c r="CT791" s="59"/>
      <c r="CU791" s="59"/>
      <c r="CV791" s="59"/>
      <c r="CW791" s="59"/>
      <c r="CX791" s="59"/>
      <c r="CY791" s="59"/>
      <c r="CZ791" s="59"/>
      <c r="DA791" s="59"/>
      <c r="DB791" s="59"/>
      <c r="DC791" s="59"/>
      <c r="DD791" s="59"/>
      <c r="DE791" s="59"/>
      <c r="DF791" s="59"/>
      <c r="DG791" s="59"/>
      <c r="DH791" s="59"/>
      <c r="DI791" s="59"/>
      <c r="DJ791" s="59"/>
      <c r="DK791" s="59"/>
      <c r="DL791" s="59"/>
      <c r="DM791" s="59"/>
      <c r="DN791" s="59"/>
      <c r="DO791" s="59"/>
      <c r="DP791" s="59"/>
      <c r="DQ791" s="59"/>
      <c r="DR791" s="59"/>
      <c r="DS791" s="59"/>
      <c r="DT791" s="59"/>
      <c r="DU791" s="59"/>
      <c r="DV791" s="59"/>
      <c r="DW791" s="59"/>
      <c r="DX791" s="59"/>
      <c r="DY791" s="59"/>
      <c r="DZ791" s="59"/>
      <c r="EA791" s="59"/>
      <c r="EB791" s="59"/>
      <c r="EC791" s="59"/>
      <c r="ED791" s="59"/>
      <c r="EE791" s="59"/>
      <c r="EF791" s="59"/>
      <c r="EG791" s="59"/>
      <c r="EH791" s="59"/>
      <c r="EI791" s="59"/>
      <c r="EJ791" s="59"/>
      <c r="EK791" s="59"/>
      <c r="EL791" s="59"/>
      <c r="EM791" s="59"/>
      <c r="EN791" s="59"/>
      <c r="EO791" s="59"/>
      <c r="EP791" s="59"/>
      <c r="EQ791" s="59"/>
      <c r="ER791" s="59"/>
      <c r="ES791" s="59"/>
      <c r="ET791" s="59"/>
      <c r="EU791" s="59"/>
      <c r="EV791" s="59"/>
      <c r="EW791" s="59"/>
      <c r="EX791" s="59"/>
      <c r="EY791" s="59"/>
      <c r="EZ791" s="59"/>
      <c r="FA791" s="59"/>
      <c r="FB791" s="59"/>
      <c r="FC791" s="59"/>
      <c r="FD791" s="59"/>
      <c r="FE791" s="59"/>
      <c r="FF791" s="59"/>
      <c r="FG791" s="59"/>
      <c r="FH791" s="59"/>
      <c r="FI791" s="59"/>
      <c r="FJ791" s="59"/>
      <c r="FK791" s="59"/>
      <c r="FL791" s="59"/>
      <c r="FM791" s="59"/>
      <c r="FN791" s="59"/>
      <c r="FO791" s="59"/>
      <c r="FP791" s="59"/>
      <c r="FQ791" s="59"/>
      <c r="FR791" s="59"/>
      <c r="FS791" s="59"/>
      <c r="FT791" s="59"/>
      <c r="FU791" s="59"/>
      <c r="FV791" s="59"/>
      <c r="FW791" s="59"/>
      <c r="FX791" s="59"/>
      <c r="FY791" s="59"/>
      <c r="FZ791" s="59"/>
      <c r="GA791" s="59"/>
      <c r="GB791" s="59"/>
      <c r="GC791" s="59"/>
      <c r="GD791" s="59"/>
      <c r="GE791" s="59"/>
      <c r="GF791" s="59"/>
      <c r="GG791" s="59"/>
      <c r="GH791" s="59"/>
      <c r="GI791" s="59"/>
      <c r="GJ791" s="59"/>
      <c r="GK791" s="59"/>
      <c r="GL791" s="59"/>
      <c r="GM791" s="59"/>
      <c r="GN791" s="59"/>
      <c r="GO791" s="59"/>
      <c r="GP791" s="59"/>
      <c r="GQ791" s="59"/>
      <c r="GR791" s="59"/>
      <c r="GS791" s="59"/>
      <c r="GT791" s="59"/>
      <c r="GU791" s="59"/>
      <c r="GV791" s="59"/>
      <c r="GW791" s="59"/>
      <c r="GX791" s="59"/>
      <c r="GY791" s="59"/>
      <c r="GZ791" s="59"/>
      <c r="HA791" s="59"/>
      <c r="HB791" s="59"/>
      <c r="HC791" s="59"/>
      <c r="HD791" s="59"/>
      <c r="HE791" s="59"/>
      <c r="HF791" s="59"/>
      <c r="HG791" s="59"/>
      <c r="HH791" s="59"/>
      <c r="HI791" s="59"/>
      <c r="HJ791" s="59"/>
      <c r="HK791" s="59"/>
      <c r="HL791" s="59"/>
      <c r="HM791" s="59"/>
      <c r="HN791" s="59"/>
      <c r="HO791" s="59"/>
      <c r="HP791" s="59"/>
      <c r="HQ791" s="59"/>
      <c r="HR791" s="59"/>
      <c r="HS791" s="59"/>
      <c r="HT791" s="59"/>
      <c r="HU791" s="59"/>
      <c r="HV791" s="59"/>
      <c r="HW791" s="59"/>
      <c r="HX791" s="59"/>
      <c r="HY791" s="59"/>
      <c r="HZ791" s="59"/>
      <c r="IA791" s="59"/>
      <c r="IB791" s="59"/>
      <c r="IC791" s="59"/>
      <c r="ID791" s="59"/>
      <c r="IE791" s="59"/>
      <c r="IF791" s="59"/>
      <c r="IG791" s="59"/>
      <c r="IH791" s="59"/>
      <c r="II791" s="59"/>
      <c r="IJ791" s="59"/>
      <c r="IK791" s="59"/>
      <c r="IL791" s="59"/>
      <c r="IM791" s="59"/>
      <c r="IN791" s="59"/>
      <c r="IO791" s="59"/>
      <c r="IP791" s="59"/>
      <c r="IQ791" s="59"/>
      <c r="IR791" s="59"/>
      <c r="IS791" s="59"/>
      <c r="IT791" s="59"/>
      <c r="IU791" s="59"/>
      <c r="IV791" s="59"/>
    </row>
    <row r="792" spans="1:256" ht="14.25" hidden="1" customHeight="1">
      <c r="A792" s="1827" t="s">
        <v>810</v>
      </c>
      <c r="B792" s="1828"/>
      <c r="C792" s="64">
        <f>+C674</f>
        <v>60.02</v>
      </c>
      <c r="D792" s="64">
        <v>1.98</v>
      </c>
      <c r="E792" s="64"/>
      <c r="F792" s="64"/>
      <c r="G792" s="64">
        <f>+D792*C792</f>
        <v>118.8396</v>
      </c>
      <c r="H792" s="59"/>
      <c r="I792" s="60"/>
      <c r="J792" s="60"/>
      <c r="K792" s="61"/>
      <c r="L792" s="59"/>
      <c r="M792" s="59"/>
      <c r="N792" s="59"/>
      <c r="O792" s="59"/>
      <c r="P792" s="59"/>
      <c r="Q792" s="59"/>
      <c r="R792" s="59"/>
      <c r="S792" s="59"/>
      <c r="T792" s="59"/>
      <c r="U792" s="59"/>
      <c r="V792" s="59"/>
      <c r="W792" s="59"/>
      <c r="X792" s="59"/>
      <c r="Y792" s="59"/>
      <c r="Z792" s="59"/>
      <c r="AA792" s="59"/>
      <c r="AB792" s="59"/>
      <c r="AC792" s="59"/>
      <c r="AD792" s="59"/>
      <c r="AE792" s="59"/>
      <c r="AF792" s="59"/>
      <c r="AG792" s="59"/>
      <c r="AH792" s="59"/>
      <c r="AI792" s="59"/>
      <c r="AJ792" s="59"/>
      <c r="AK792" s="59"/>
      <c r="AL792" s="59"/>
      <c r="AM792" s="59"/>
      <c r="AN792" s="59"/>
      <c r="AO792" s="59"/>
      <c r="AP792" s="59"/>
      <c r="AQ792" s="59"/>
      <c r="AR792" s="59"/>
      <c r="AS792" s="59"/>
      <c r="AT792" s="59"/>
      <c r="AU792" s="59"/>
      <c r="AV792" s="59"/>
      <c r="AW792" s="59"/>
      <c r="AX792" s="59"/>
      <c r="AY792" s="59"/>
      <c r="AZ792" s="59"/>
      <c r="BA792" s="59"/>
      <c r="BB792" s="59"/>
      <c r="BC792" s="59"/>
      <c r="BD792" s="59"/>
      <c r="BE792" s="59"/>
      <c r="BF792" s="59"/>
      <c r="BG792" s="59"/>
      <c r="BH792" s="59"/>
      <c r="BI792" s="59"/>
      <c r="BJ792" s="59"/>
      <c r="BK792" s="59"/>
      <c r="BL792" s="59"/>
      <c r="BM792" s="59"/>
      <c r="BN792" s="59"/>
      <c r="BO792" s="59"/>
      <c r="BP792" s="59"/>
      <c r="BQ792" s="59"/>
      <c r="BR792" s="59"/>
      <c r="BS792" s="59"/>
      <c r="BT792" s="59"/>
      <c r="BU792" s="59"/>
      <c r="BV792" s="59"/>
      <c r="BW792" s="59"/>
      <c r="BX792" s="59"/>
      <c r="BY792" s="59"/>
      <c r="BZ792" s="59"/>
      <c r="CA792" s="59"/>
      <c r="CB792" s="59"/>
      <c r="CC792" s="59"/>
      <c r="CD792" s="59"/>
      <c r="CE792" s="59"/>
      <c r="CF792" s="59"/>
      <c r="CG792" s="59"/>
      <c r="CH792" s="59"/>
      <c r="CI792" s="59"/>
      <c r="CJ792" s="59"/>
      <c r="CK792" s="59"/>
      <c r="CL792" s="59"/>
      <c r="CM792" s="59"/>
      <c r="CN792" s="59"/>
      <c r="CO792" s="59"/>
      <c r="CP792" s="59"/>
      <c r="CQ792" s="59"/>
      <c r="CR792" s="59"/>
      <c r="CS792" s="59"/>
      <c r="CT792" s="59"/>
      <c r="CU792" s="59"/>
      <c r="CV792" s="59"/>
      <c r="CW792" s="59"/>
      <c r="CX792" s="59"/>
      <c r="CY792" s="59"/>
      <c r="CZ792" s="59"/>
      <c r="DA792" s="59"/>
      <c r="DB792" s="59"/>
      <c r="DC792" s="59"/>
      <c r="DD792" s="59"/>
      <c r="DE792" s="59"/>
      <c r="DF792" s="59"/>
      <c r="DG792" s="59"/>
      <c r="DH792" s="59"/>
      <c r="DI792" s="59"/>
      <c r="DJ792" s="59"/>
      <c r="DK792" s="59"/>
      <c r="DL792" s="59"/>
      <c r="DM792" s="59"/>
      <c r="DN792" s="59"/>
      <c r="DO792" s="59"/>
      <c r="DP792" s="59"/>
      <c r="DQ792" s="59"/>
      <c r="DR792" s="59"/>
      <c r="DS792" s="59"/>
      <c r="DT792" s="59"/>
      <c r="DU792" s="59"/>
      <c r="DV792" s="59"/>
      <c r="DW792" s="59"/>
      <c r="DX792" s="59"/>
      <c r="DY792" s="59"/>
      <c r="DZ792" s="59"/>
      <c r="EA792" s="59"/>
      <c r="EB792" s="59"/>
      <c r="EC792" s="59"/>
      <c r="ED792" s="59"/>
      <c r="EE792" s="59"/>
      <c r="EF792" s="59"/>
      <c r="EG792" s="59"/>
      <c r="EH792" s="59"/>
      <c r="EI792" s="59"/>
      <c r="EJ792" s="59"/>
      <c r="EK792" s="59"/>
      <c r="EL792" s="59"/>
      <c r="EM792" s="59"/>
      <c r="EN792" s="59"/>
      <c r="EO792" s="59"/>
      <c r="EP792" s="59"/>
      <c r="EQ792" s="59"/>
      <c r="ER792" s="59"/>
      <c r="ES792" s="59"/>
      <c r="ET792" s="59"/>
      <c r="EU792" s="59"/>
      <c r="EV792" s="59"/>
      <c r="EW792" s="59"/>
      <c r="EX792" s="59"/>
      <c r="EY792" s="59"/>
      <c r="EZ792" s="59"/>
      <c r="FA792" s="59"/>
      <c r="FB792" s="59"/>
      <c r="FC792" s="59"/>
      <c r="FD792" s="59"/>
      <c r="FE792" s="59"/>
      <c r="FF792" s="59"/>
      <c r="FG792" s="59"/>
      <c r="FH792" s="59"/>
      <c r="FI792" s="59"/>
      <c r="FJ792" s="59"/>
      <c r="FK792" s="59"/>
      <c r="FL792" s="59"/>
      <c r="FM792" s="59"/>
      <c r="FN792" s="59"/>
      <c r="FO792" s="59"/>
      <c r="FP792" s="59"/>
      <c r="FQ792" s="59"/>
      <c r="FR792" s="59"/>
      <c r="FS792" s="59"/>
      <c r="FT792" s="59"/>
      <c r="FU792" s="59"/>
      <c r="FV792" s="59"/>
      <c r="FW792" s="59"/>
      <c r="FX792" s="59"/>
      <c r="FY792" s="59"/>
      <c r="FZ792" s="59"/>
      <c r="GA792" s="59"/>
      <c r="GB792" s="59"/>
      <c r="GC792" s="59"/>
      <c r="GD792" s="59"/>
      <c r="GE792" s="59"/>
      <c r="GF792" s="59"/>
      <c r="GG792" s="59"/>
      <c r="GH792" s="59"/>
      <c r="GI792" s="59"/>
      <c r="GJ792" s="59"/>
      <c r="GK792" s="59"/>
      <c r="GL792" s="59"/>
      <c r="GM792" s="59"/>
      <c r="GN792" s="59"/>
      <c r="GO792" s="59"/>
      <c r="GP792" s="59"/>
      <c r="GQ792" s="59"/>
      <c r="GR792" s="59"/>
      <c r="GS792" s="59"/>
      <c r="GT792" s="59"/>
      <c r="GU792" s="59"/>
      <c r="GV792" s="59"/>
      <c r="GW792" s="59"/>
      <c r="GX792" s="59"/>
      <c r="GY792" s="59"/>
      <c r="GZ792" s="59"/>
      <c r="HA792" s="59"/>
      <c r="HB792" s="59"/>
      <c r="HC792" s="59"/>
      <c r="HD792" s="59"/>
      <c r="HE792" s="59"/>
      <c r="HF792" s="59"/>
      <c r="HG792" s="59"/>
      <c r="HH792" s="59"/>
      <c r="HI792" s="59"/>
      <c r="HJ792" s="59"/>
      <c r="HK792" s="59"/>
      <c r="HL792" s="59"/>
      <c r="HM792" s="59"/>
      <c r="HN792" s="59"/>
      <c r="HO792" s="59"/>
      <c r="HP792" s="59"/>
      <c r="HQ792" s="59"/>
      <c r="HR792" s="59"/>
      <c r="HS792" s="59"/>
      <c r="HT792" s="59"/>
      <c r="HU792" s="59"/>
      <c r="HV792" s="59"/>
      <c r="HW792" s="59"/>
      <c r="HX792" s="59"/>
      <c r="HY792" s="59"/>
      <c r="HZ792" s="59"/>
      <c r="IA792" s="59"/>
      <c r="IB792" s="59"/>
      <c r="IC792" s="59"/>
      <c r="ID792" s="59"/>
      <c r="IE792" s="59"/>
      <c r="IF792" s="59"/>
      <c r="IG792" s="59"/>
      <c r="IH792" s="59"/>
      <c r="II792" s="59"/>
      <c r="IJ792" s="59"/>
      <c r="IK792" s="59"/>
      <c r="IL792" s="59"/>
      <c r="IM792" s="59"/>
      <c r="IN792" s="59"/>
      <c r="IO792" s="59"/>
      <c r="IP792" s="59"/>
      <c r="IQ792" s="59"/>
      <c r="IR792" s="59"/>
      <c r="IS792" s="59"/>
      <c r="IT792" s="59"/>
      <c r="IU792" s="59"/>
      <c r="IV792" s="59"/>
    </row>
    <row r="793" spans="1:256" ht="14.25" hidden="1" customHeight="1">
      <c r="A793" s="1827"/>
      <c r="B793" s="1828"/>
      <c r="C793" s="64"/>
      <c r="D793" s="64"/>
      <c r="E793" s="64"/>
      <c r="F793" s="64"/>
      <c r="G793" s="64"/>
      <c r="H793" s="59"/>
      <c r="I793" s="60"/>
      <c r="J793" s="60"/>
      <c r="K793" s="61"/>
      <c r="L793" s="59"/>
      <c r="M793" s="59"/>
      <c r="N793" s="59"/>
      <c r="O793" s="59"/>
      <c r="P793" s="59"/>
      <c r="Q793" s="59"/>
      <c r="R793" s="59"/>
      <c r="S793" s="59"/>
      <c r="T793" s="59"/>
      <c r="U793" s="59"/>
      <c r="V793" s="59"/>
      <c r="W793" s="59"/>
      <c r="X793" s="59"/>
      <c r="Y793" s="59"/>
      <c r="Z793" s="59"/>
      <c r="AA793" s="59"/>
      <c r="AB793" s="59"/>
      <c r="AC793" s="59"/>
      <c r="AD793" s="59"/>
      <c r="AE793" s="59"/>
      <c r="AF793" s="59"/>
      <c r="AG793" s="59"/>
      <c r="AH793" s="59"/>
      <c r="AI793" s="59"/>
      <c r="AJ793" s="59"/>
      <c r="AK793" s="59"/>
      <c r="AL793" s="59"/>
      <c r="AM793" s="59"/>
      <c r="AN793" s="59"/>
      <c r="AO793" s="59"/>
      <c r="AP793" s="59"/>
      <c r="AQ793" s="59"/>
      <c r="AR793" s="59"/>
      <c r="AS793" s="59"/>
      <c r="AT793" s="59"/>
      <c r="AU793" s="59"/>
      <c r="AV793" s="59"/>
      <c r="AW793" s="59"/>
      <c r="AX793" s="59"/>
      <c r="AY793" s="59"/>
      <c r="AZ793" s="59"/>
      <c r="BA793" s="59"/>
      <c r="BB793" s="59"/>
      <c r="BC793" s="59"/>
      <c r="BD793" s="59"/>
      <c r="BE793" s="59"/>
      <c r="BF793" s="59"/>
      <c r="BG793" s="59"/>
      <c r="BH793" s="59"/>
      <c r="BI793" s="59"/>
      <c r="BJ793" s="59"/>
      <c r="BK793" s="59"/>
      <c r="BL793" s="59"/>
      <c r="BM793" s="59"/>
      <c r="BN793" s="59"/>
      <c r="BO793" s="59"/>
      <c r="BP793" s="59"/>
      <c r="BQ793" s="59"/>
      <c r="BR793" s="59"/>
      <c r="BS793" s="59"/>
      <c r="BT793" s="59"/>
      <c r="BU793" s="59"/>
      <c r="BV793" s="59"/>
      <c r="BW793" s="59"/>
      <c r="BX793" s="59"/>
      <c r="BY793" s="59"/>
      <c r="BZ793" s="59"/>
      <c r="CA793" s="59"/>
      <c r="CB793" s="59"/>
      <c r="CC793" s="59"/>
      <c r="CD793" s="59"/>
      <c r="CE793" s="59"/>
      <c r="CF793" s="59"/>
      <c r="CG793" s="59"/>
      <c r="CH793" s="59"/>
      <c r="CI793" s="59"/>
      <c r="CJ793" s="59"/>
      <c r="CK793" s="59"/>
      <c r="CL793" s="59"/>
      <c r="CM793" s="59"/>
      <c r="CN793" s="59"/>
      <c r="CO793" s="59"/>
      <c r="CP793" s="59"/>
      <c r="CQ793" s="59"/>
      <c r="CR793" s="59"/>
      <c r="CS793" s="59"/>
      <c r="CT793" s="59"/>
      <c r="CU793" s="59"/>
      <c r="CV793" s="59"/>
      <c r="CW793" s="59"/>
      <c r="CX793" s="59"/>
      <c r="CY793" s="59"/>
      <c r="CZ793" s="59"/>
      <c r="DA793" s="59"/>
      <c r="DB793" s="59"/>
      <c r="DC793" s="59"/>
      <c r="DD793" s="59"/>
      <c r="DE793" s="59"/>
      <c r="DF793" s="59"/>
      <c r="DG793" s="59"/>
      <c r="DH793" s="59"/>
      <c r="DI793" s="59"/>
      <c r="DJ793" s="59"/>
      <c r="DK793" s="59"/>
      <c r="DL793" s="59"/>
      <c r="DM793" s="59"/>
      <c r="DN793" s="59"/>
      <c r="DO793" s="59"/>
      <c r="DP793" s="59"/>
      <c r="DQ793" s="59"/>
      <c r="DR793" s="59"/>
      <c r="DS793" s="59"/>
      <c r="DT793" s="59"/>
      <c r="DU793" s="59"/>
      <c r="DV793" s="59"/>
      <c r="DW793" s="59"/>
      <c r="DX793" s="59"/>
      <c r="DY793" s="59"/>
      <c r="DZ793" s="59"/>
      <c r="EA793" s="59"/>
      <c r="EB793" s="59"/>
      <c r="EC793" s="59"/>
      <c r="ED793" s="59"/>
      <c r="EE793" s="59"/>
      <c r="EF793" s="59"/>
      <c r="EG793" s="59"/>
      <c r="EH793" s="59"/>
      <c r="EI793" s="59"/>
      <c r="EJ793" s="59"/>
      <c r="EK793" s="59"/>
      <c r="EL793" s="59"/>
      <c r="EM793" s="59"/>
      <c r="EN793" s="59"/>
      <c r="EO793" s="59"/>
      <c r="EP793" s="59"/>
      <c r="EQ793" s="59"/>
      <c r="ER793" s="59"/>
      <c r="ES793" s="59"/>
      <c r="ET793" s="59"/>
      <c r="EU793" s="59"/>
      <c r="EV793" s="59"/>
      <c r="EW793" s="59"/>
      <c r="EX793" s="59"/>
      <c r="EY793" s="59"/>
      <c r="EZ793" s="59"/>
      <c r="FA793" s="59"/>
      <c r="FB793" s="59"/>
      <c r="FC793" s="59"/>
      <c r="FD793" s="59"/>
      <c r="FE793" s="59"/>
      <c r="FF793" s="59"/>
      <c r="FG793" s="59"/>
      <c r="FH793" s="59"/>
      <c r="FI793" s="59"/>
      <c r="FJ793" s="59"/>
      <c r="FK793" s="59"/>
      <c r="FL793" s="59"/>
      <c r="FM793" s="59"/>
      <c r="FN793" s="59"/>
      <c r="FO793" s="59"/>
      <c r="FP793" s="59"/>
      <c r="FQ793" s="59"/>
      <c r="FR793" s="59"/>
      <c r="FS793" s="59"/>
      <c r="FT793" s="59"/>
      <c r="FU793" s="59"/>
      <c r="FV793" s="59"/>
      <c r="FW793" s="59"/>
      <c r="FX793" s="59"/>
      <c r="FY793" s="59"/>
      <c r="FZ793" s="59"/>
      <c r="GA793" s="59"/>
      <c r="GB793" s="59"/>
      <c r="GC793" s="59"/>
      <c r="GD793" s="59"/>
      <c r="GE793" s="59"/>
      <c r="GF793" s="59"/>
      <c r="GG793" s="59"/>
      <c r="GH793" s="59"/>
      <c r="GI793" s="59"/>
      <c r="GJ793" s="59"/>
      <c r="GK793" s="59"/>
      <c r="GL793" s="59"/>
      <c r="GM793" s="59"/>
      <c r="GN793" s="59"/>
      <c r="GO793" s="59"/>
      <c r="GP793" s="59"/>
      <c r="GQ793" s="59"/>
      <c r="GR793" s="59"/>
      <c r="GS793" s="59"/>
      <c r="GT793" s="59"/>
      <c r="GU793" s="59"/>
      <c r="GV793" s="59"/>
      <c r="GW793" s="59"/>
      <c r="GX793" s="59"/>
      <c r="GY793" s="59"/>
      <c r="GZ793" s="59"/>
      <c r="HA793" s="59"/>
      <c r="HB793" s="59"/>
      <c r="HC793" s="59"/>
      <c r="HD793" s="59"/>
      <c r="HE793" s="59"/>
      <c r="HF793" s="59"/>
      <c r="HG793" s="59"/>
      <c r="HH793" s="59"/>
      <c r="HI793" s="59"/>
      <c r="HJ793" s="59"/>
      <c r="HK793" s="59"/>
      <c r="HL793" s="59"/>
      <c r="HM793" s="59"/>
      <c r="HN793" s="59"/>
      <c r="HO793" s="59"/>
      <c r="HP793" s="59"/>
      <c r="HQ793" s="59"/>
      <c r="HR793" s="59"/>
      <c r="HS793" s="59"/>
      <c r="HT793" s="59"/>
      <c r="HU793" s="59"/>
      <c r="HV793" s="59"/>
      <c r="HW793" s="59"/>
      <c r="HX793" s="59"/>
      <c r="HY793" s="59"/>
      <c r="HZ793" s="59"/>
      <c r="IA793" s="59"/>
      <c r="IB793" s="59"/>
      <c r="IC793" s="59"/>
      <c r="ID793" s="59"/>
      <c r="IE793" s="59"/>
      <c r="IF793" s="59"/>
      <c r="IG793" s="59"/>
      <c r="IH793" s="59"/>
      <c r="II793" s="59"/>
      <c r="IJ793" s="59"/>
      <c r="IK793" s="59"/>
      <c r="IL793" s="59"/>
      <c r="IM793" s="59"/>
      <c r="IN793" s="59"/>
      <c r="IO793" s="59"/>
      <c r="IP793" s="59"/>
      <c r="IQ793" s="59"/>
      <c r="IR793" s="59"/>
      <c r="IS793" s="59"/>
      <c r="IT793" s="59"/>
      <c r="IU793" s="59"/>
      <c r="IV793" s="59"/>
    </row>
    <row r="794" spans="1:256" ht="14.25" hidden="1" customHeight="1">
      <c r="A794" s="1829" t="s">
        <v>227</v>
      </c>
      <c r="B794" s="1830"/>
      <c r="C794" s="1830"/>
      <c r="D794" s="1830"/>
      <c r="E794" s="1830"/>
      <c r="F794" s="1828"/>
      <c r="G794" s="65">
        <f>SUM(G792:G793)</f>
        <v>118.8396</v>
      </c>
      <c r="H794" s="59"/>
      <c r="I794" s="60"/>
      <c r="J794" s="60"/>
      <c r="K794" s="61"/>
      <c r="L794" s="59"/>
      <c r="M794" s="59"/>
      <c r="N794" s="59"/>
      <c r="O794" s="59"/>
      <c r="P794" s="59"/>
      <c r="Q794" s="59"/>
      <c r="R794" s="59"/>
      <c r="S794" s="59"/>
      <c r="T794" s="59"/>
      <c r="U794" s="59"/>
      <c r="V794" s="59"/>
      <c r="W794" s="59"/>
      <c r="X794" s="59"/>
      <c r="Y794" s="59"/>
      <c r="Z794" s="59"/>
      <c r="AA794" s="59"/>
      <c r="AB794" s="59"/>
      <c r="AC794" s="59"/>
      <c r="AD794" s="59"/>
      <c r="AE794" s="59"/>
      <c r="AF794" s="59"/>
      <c r="AG794" s="59"/>
      <c r="AH794" s="59"/>
      <c r="AI794" s="59"/>
      <c r="AJ794" s="59"/>
      <c r="AK794" s="59"/>
      <c r="AL794" s="59"/>
      <c r="AM794" s="59"/>
      <c r="AN794" s="59"/>
      <c r="AO794" s="59"/>
      <c r="AP794" s="59"/>
      <c r="AQ794" s="59"/>
      <c r="AR794" s="59"/>
      <c r="AS794" s="59"/>
      <c r="AT794" s="59"/>
      <c r="AU794" s="59"/>
      <c r="AV794" s="59"/>
      <c r="AW794" s="59"/>
      <c r="AX794" s="59"/>
      <c r="AY794" s="59"/>
      <c r="AZ794" s="59"/>
      <c r="BA794" s="59"/>
      <c r="BB794" s="59"/>
      <c r="BC794" s="59"/>
      <c r="BD794" s="59"/>
      <c r="BE794" s="59"/>
      <c r="BF794" s="59"/>
      <c r="BG794" s="59"/>
      <c r="BH794" s="59"/>
      <c r="BI794" s="59"/>
      <c r="BJ794" s="59"/>
      <c r="BK794" s="59"/>
      <c r="BL794" s="59"/>
      <c r="BM794" s="59"/>
      <c r="BN794" s="59"/>
      <c r="BO794" s="59"/>
      <c r="BP794" s="59"/>
      <c r="BQ794" s="59"/>
      <c r="BR794" s="59"/>
      <c r="BS794" s="59"/>
      <c r="BT794" s="59"/>
      <c r="BU794" s="59"/>
      <c r="BV794" s="59"/>
      <c r="BW794" s="59"/>
      <c r="BX794" s="59"/>
      <c r="BY794" s="59"/>
      <c r="BZ794" s="59"/>
      <c r="CA794" s="59"/>
      <c r="CB794" s="59"/>
      <c r="CC794" s="59"/>
      <c r="CD794" s="59"/>
      <c r="CE794" s="59"/>
      <c r="CF794" s="59"/>
      <c r="CG794" s="59"/>
      <c r="CH794" s="59"/>
      <c r="CI794" s="59"/>
      <c r="CJ794" s="59"/>
      <c r="CK794" s="59"/>
      <c r="CL794" s="59"/>
      <c r="CM794" s="59"/>
      <c r="CN794" s="59"/>
      <c r="CO794" s="59"/>
      <c r="CP794" s="59"/>
      <c r="CQ794" s="59"/>
      <c r="CR794" s="59"/>
      <c r="CS794" s="59"/>
      <c r="CT794" s="59"/>
      <c r="CU794" s="59"/>
      <c r="CV794" s="59"/>
      <c r="CW794" s="59"/>
      <c r="CX794" s="59"/>
      <c r="CY794" s="59"/>
      <c r="CZ794" s="59"/>
      <c r="DA794" s="59"/>
      <c r="DB794" s="59"/>
      <c r="DC794" s="59"/>
      <c r="DD794" s="59"/>
      <c r="DE794" s="59"/>
      <c r="DF794" s="59"/>
      <c r="DG794" s="59"/>
      <c r="DH794" s="59"/>
      <c r="DI794" s="59"/>
      <c r="DJ794" s="59"/>
      <c r="DK794" s="59"/>
      <c r="DL794" s="59"/>
      <c r="DM794" s="59"/>
      <c r="DN794" s="59"/>
      <c r="DO794" s="59"/>
      <c r="DP794" s="59"/>
      <c r="DQ794" s="59"/>
      <c r="DR794" s="59"/>
      <c r="DS794" s="59"/>
      <c r="DT794" s="59"/>
      <c r="DU794" s="59"/>
      <c r="DV794" s="59"/>
      <c r="DW794" s="59"/>
      <c r="DX794" s="59"/>
      <c r="DY794" s="59"/>
      <c r="DZ794" s="59"/>
      <c r="EA794" s="59"/>
      <c r="EB794" s="59"/>
      <c r="EC794" s="59"/>
      <c r="ED794" s="59"/>
      <c r="EE794" s="59"/>
      <c r="EF794" s="59"/>
      <c r="EG794" s="59"/>
      <c r="EH794" s="59"/>
      <c r="EI794" s="59"/>
      <c r="EJ794" s="59"/>
      <c r="EK794" s="59"/>
      <c r="EL794" s="59"/>
      <c r="EM794" s="59"/>
      <c r="EN794" s="59"/>
      <c r="EO794" s="59"/>
      <c r="EP794" s="59"/>
      <c r="EQ794" s="59"/>
      <c r="ER794" s="59"/>
      <c r="ES794" s="59"/>
      <c r="ET794" s="59"/>
      <c r="EU794" s="59"/>
      <c r="EV794" s="59"/>
      <c r="EW794" s="59"/>
      <c r="EX794" s="59"/>
      <c r="EY794" s="59"/>
      <c r="EZ794" s="59"/>
      <c r="FA794" s="59"/>
      <c r="FB794" s="59"/>
      <c r="FC794" s="59"/>
      <c r="FD794" s="59"/>
      <c r="FE794" s="59"/>
      <c r="FF794" s="59"/>
      <c r="FG794" s="59"/>
      <c r="FH794" s="59"/>
      <c r="FI794" s="59"/>
      <c r="FJ794" s="59"/>
      <c r="FK794" s="59"/>
      <c r="FL794" s="59"/>
      <c r="FM794" s="59"/>
      <c r="FN794" s="59"/>
      <c r="FO794" s="59"/>
      <c r="FP794" s="59"/>
      <c r="FQ794" s="59"/>
      <c r="FR794" s="59"/>
      <c r="FS794" s="59"/>
      <c r="FT794" s="59"/>
      <c r="FU794" s="59"/>
      <c r="FV794" s="59"/>
      <c r="FW794" s="59"/>
      <c r="FX794" s="59"/>
      <c r="FY794" s="59"/>
      <c r="FZ794" s="59"/>
      <c r="GA794" s="59"/>
      <c r="GB794" s="59"/>
      <c r="GC794" s="59"/>
      <c r="GD794" s="59"/>
      <c r="GE794" s="59"/>
      <c r="GF794" s="59"/>
      <c r="GG794" s="59"/>
      <c r="GH794" s="59"/>
      <c r="GI794" s="59"/>
      <c r="GJ794" s="59"/>
      <c r="GK794" s="59"/>
      <c r="GL794" s="59"/>
      <c r="GM794" s="59"/>
      <c r="GN794" s="59"/>
      <c r="GO794" s="59"/>
      <c r="GP794" s="59"/>
      <c r="GQ794" s="59"/>
      <c r="GR794" s="59"/>
      <c r="GS794" s="59"/>
      <c r="GT794" s="59"/>
      <c r="GU794" s="59"/>
      <c r="GV794" s="59"/>
      <c r="GW794" s="59"/>
      <c r="GX794" s="59"/>
      <c r="GY794" s="59"/>
      <c r="GZ794" s="59"/>
      <c r="HA794" s="59"/>
      <c r="HB794" s="59"/>
      <c r="HC794" s="59"/>
      <c r="HD794" s="59"/>
      <c r="HE794" s="59"/>
      <c r="HF794" s="59"/>
      <c r="HG794" s="59"/>
      <c r="HH794" s="59"/>
      <c r="HI794" s="59"/>
      <c r="HJ794" s="59"/>
      <c r="HK794" s="59"/>
      <c r="HL794" s="59"/>
      <c r="HM794" s="59"/>
      <c r="HN794" s="59"/>
      <c r="HO794" s="59"/>
      <c r="HP794" s="59"/>
      <c r="HQ794" s="59"/>
      <c r="HR794" s="59"/>
      <c r="HS794" s="59"/>
      <c r="HT794" s="59"/>
      <c r="HU794" s="59"/>
      <c r="HV794" s="59"/>
      <c r="HW794" s="59"/>
      <c r="HX794" s="59"/>
      <c r="HY794" s="59"/>
      <c r="HZ794" s="59"/>
      <c r="IA794" s="59"/>
      <c r="IB794" s="59"/>
      <c r="IC794" s="59"/>
      <c r="ID794" s="59"/>
      <c r="IE794" s="59"/>
      <c r="IF794" s="59"/>
      <c r="IG794" s="59"/>
      <c r="IH794" s="59"/>
      <c r="II794" s="59"/>
      <c r="IJ794" s="59"/>
      <c r="IK794" s="59"/>
      <c r="IL794" s="59"/>
      <c r="IM794" s="59"/>
      <c r="IN794" s="59"/>
      <c r="IO794" s="59"/>
      <c r="IP794" s="59"/>
      <c r="IQ794" s="59"/>
      <c r="IR794" s="59"/>
      <c r="IS794" s="59"/>
      <c r="IT794" s="59"/>
      <c r="IU794" s="59"/>
      <c r="IV794" s="59"/>
    </row>
    <row r="795" spans="1:256" ht="14.25" hidden="1" customHeight="1">
      <c r="A795" s="1831"/>
      <c r="B795" s="1830"/>
      <c r="C795" s="1830"/>
      <c r="D795" s="1830"/>
      <c r="E795" s="1830"/>
      <c r="F795" s="1830"/>
      <c r="G795" s="1828"/>
      <c r="H795" s="59"/>
      <c r="I795" s="60"/>
      <c r="J795" s="60"/>
      <c r="K795" s="61"/>
      <c r="L795" s="59"/>
      <c r="M795" s="59"/>
      <c r="N795" s="59"/>
      <c r="O795" s="59"/>
      <c r="P795" s="59"/>
      <c r="Q795" s="59"/>
      <c r="R795" s="59"/>
      <c r="S795" s="59"/>
      <c r="T795" s="59"/>
      <c r="U795" s="59"/>
      <c r="V795" s="59"/>
      <c r="W795" s="59"/>
      <c r="X795" s="59"/>
      <c r="Y795" s="59"/>
      <c r="Z795" s="59"/>
      <c r="AA795" s="59"/>
      <c r="AB795" s="59"/>
      <c r="AC795" s="59"/>
      <c r="AD795" s="59"/>
      <c r="AE795" s="59"/>
      <c r="AF795" s="59"/>
      <c r="AG795" s="59"/>
      <c r="AH795" s="59"/>
      <c r="AI795" s="59"/>
      <c r="AJ795" s="59"/>
      <c r="AK795" s="59"/>
      <c r="AL795" s="59"/>
      <c r="AM795" s="59"/>
      <c r="AN795" s="59"/>
      <c r="AO795" s="59"/>
      <c r="AP795" s="59"/>
      <c r="AQ795" s="59"/>
      <c r="AR795" s="59"/>
      <c r="AS795" s="59"/>
      <c r="AT795" s="59"/>
      <c r="AU795" s="59"/>
      <c r="AV795" s="59"/>
      <c r="AW795" s="59"/>
      <c r="AX795" s="59"/>
      <c r="AY795" s="59"/>
      <c r="AZ795" s="59"/>
      <c r="BA795" s="59"/>
      <c r="BB795" s="59"/>
      <c r="BC795" s="59"/>
      <c r="BD795" s="59"/>
      <c r="BE795" s="59"/>
      <c r="BF795" s="59"/>
      <c r="BG795" s="59"/>
      <c r="BH795" s="59"/>
      <c r="BI795" s="59"/>
      <c r="BJ795" s="59"/>
      <c r="BK795" s="59"/>
      <c r="BL795" s="59"/>
      <c r="BM795" s="59"/>
      <c r="BN795" s="59"/>
      <c r="BO795" s="59"/>
      <c r="BP795" s="59"/>
      <c r="BQ795" s="59"/>
      <c r="BR795" s="59"/>
      <c r="BS795" s="59"/>
      <c r="BT795" s="59"/>
      <c r="BU795" s="59"/>
      <c r="BV795" s="59"/>
      <c r="BW795" s="59"/>
      <c r="BX795" s="59"/>
      <c r="BY795" s="59"/>
      <c r="BZ795" s="59"/>
      <c r="CA795" s="59"/>
      <c r="CB795" s="59"/>
      <c r="CC795" s="59"/>
      <c r="CD795" s="59"/>
      <c r="CE795" s="59"/>
      <c r="CF795" s="59"/>
      <c r="CG795" s="59"/>
      <c r="CH795" s="59"/>
      <c r="CI795" s="59"/>
      <c r="CJ795" s="59"/>
      <c r="CK795" s="59"/>
      <c r="CL795" s="59"/>
      <c r="CM795" s="59"/>
      <c r="CN795" s="59"/>
      <c r="CO795" s="59"/>
      <c r="CP795" s="59"/>
      <c r="CQ795" s="59"/>
      <c r="CR795" s="59"/>
      <c r="CS795" s="59"/>
      <c r="CT795" s="59"/>
      <c r="CU795" s="59"/>
      <c r="CV795" s="59"/>
      <c r="CW795" s="59"/>
      <c r="CX795" s="59"/>
      <c r="CY795" s="59"/>
      <c r="CZ795" s="59"/>
      <c r="DA795" s="59"/>
      <c r="DB795" s="59"/>
      <c r="DC795" s="59"/>
      <c r="DD795" s="59"/>
      <c r="DE795" s="59"/>
      <c r="DF795" s="59"/>
      <c r="DG795" s="59"/>
      <c r="DH795" s="59"/>
      <c r="DI795" s="59"/>
      <c r="DJ795" s="59"/>
      <c r="DK795" s="59"/>
      <c r="DL795" s="59"/>
      <c r="DM795" s="59"/>
      <c r="DN795" s="59"/>
      <c r="DO795" s="59"/>
      <c r="DP795" s="59"/>
      <c r="DQ795" s="59"/>
      <c r="DR795" s="59"/>
      <c r="DS795" s="59"/>
      <c r="DT795" s="59"/>
      <c r="DU795" s="59"/>
      <c r="DV795" s="59"/>
      <c r="DW795" s="59"/>
      <c r="DX795" s="59"/>
      <c r="DY795" s="59"/>
      <c r="DZ795" s="59"/>
      <c r="EA795" s="59"/>
      <c r="EB795" s="59"/>
      <c r="EC795" s="59"/>
      <c r="ED795" s="59"/>
      <c r="EE795" s="59"/>
      <c r="EF795" s="59"/>
      <c r="EG795" s="59"/>
      <c r="EH795" s="59"/>
      <c r="EI795" s="59"/>
      <c r="EJ795" s="59"/>
      <c r="EK795" s="59"/>
      <c r="EL795" s="59"/>
      <c r="EM795" s="59"/>
      <c r="EN795" s="59"/>
      <c r="EO795" s="59"/>
      <c r="EP795" s="59"/>
      <c r="EQ795" s="59"/>
      <c r="ER795" s="59"/>
      <c r="ES795" s="59"/>
      <c r="ET795" s="59"/>
      <c r="EU795" s="59"/>
      <c r="EV795" s="59"/>
      <c r="EW795" s="59"/>
      <c r="EX795" s="59"/>
      <c r="EY795" s="59"/>
      <c r="EZ795" s="59"/>
      <c r="FA795" s="59"/>
      <c r="FB795" s="59"/>
      <c r="FC795" s="59"/>
      <c r="FD795" s="59"/>
      <c r="FE795" s="59"/>
      <c r="FF795" s="59"/>
      <c r="FG795" s="59"/>
      <c r="FH795" s="59"/>
      <c r="FI795" s="59"/>
      <c r="FJ795" s="59"/>
      <c r="FK795" s="59"/>
      <c r="FL795" s="59"/>
      <c r="FM795" s="59"/>
      <c r="FN795" s="59"/>
      <c r="FO795" s="59"/>
      <c r="FP795" s="59"/>
      <c r="FQ795" s="59"/>
      <c r="FR795" s="59"/>
      <c r="FS795" s="59"/>
      <c r="FT795" s="59"/>
      <c r="FU795" s="59"/>
      <c r="FV795" s="59"/>
      <c r="FW795" s="59"/>
      <c r="FX795" s="59"/>
      <c r="FY795" s="59"/>
      <c r="FZ795" s="59"/>
      <c r="GA795" s="59"/>
      <c r="GB795" s="59"/>
      <c r="GC795" s="59"/>
      <c r="GD795" s="59"/>
      <c r="GE795" s="59"/>
      <c r="GF795" s="59"/>
      <c r="GG795" s="59"/>
      <c r="GH795" s="59"/>
      <c r="GI795" s="59"/>
      <c r="GJ795" s="59"/>
      <c r="GK795" s="59"/>
      <c r="GL795" s="59"/>
      <c r="GM795" s="59"/>
      <c r="GN795" s="59"/>
      <c r="GO795" s="59"/>
      <c r="GP795" s="59"/>
      <c r="GQ795" s="59"/>
      <c r="GR795" s="59"/>
      <c r="GS795" s="59"/>
      <c r="GT795" s="59"/>
      <c r="GU795" s="59"/>
      <c r="GV795" s="59"/>
      <c r="GW795" s="59"/>
      <c r="GX795" s="59"/>
      <c r="GY795" s="59"/>
      <c r="GZ795" s="59"/>
      <c r="HA795" s="59"/>
      <c r="HB795" s="59"/>
      <c r="HC795" s="59"/>
      <c r="HD795" s="59"/>
      <c r="HE795" s="59"/>
      <c r="HF795" s="59"/>
      <c r="HG795" s="59"/>
      <c r="HH795" s="59"/>
      <c r="HI795" s="59"/>
      <c r="HJ795" s="59"/>
      <c r="HK795" s="59"/>
      <c r="HL795" s="59"/>
      <c r="HM795" s="59"/>
      <c r="HN795" s="59"/>
      <c r="HO795" s="59"/>
      <c r="HP795" s="59"/>
      <c r="HQ795" s="59"/>
      <c r="HR795" s="59"/>
      <c r="HS795" s="59"/>
      <c r="HT795" s="59"/>
      <c r="HU795" s="59"/>
      <c r="HV795" s="59"/>
      <c r="HW795" s="59"/>
      <c r="HX795" s="59"/>
      <c r="HY795" s="59"/>
      <c r="HZ795" s="59"/>
      <c r="IA795" s="59"/>
      <c r="IB795" s="59"/>
      <c r="IC795" s="59"/>
      <c r="ID795" s="59"/>
      <c r="IE795" s="59"/>
      <c r="IF795" s="59"/>
      <c r="IG795" s="59"/>
      <c r="IH795" s="59"/>
      <c r="II795" s="59"/>
      <c r="IJ795" s="59"/>
      <c r="IK795" s="59"/>
      <c r="IL795" s="59"/>
      <c r="IM795" s="59"/>
      <c r="IN795" s="59"/>
      <c r="IO795" s="59"/>
      <c r="IP795" s="59"/>
      <c r="IQ795" s="59"/>
      <c r="IR795" s="59"/>
      <c r="IS795" s="59"/>
      <c r="IT795" s="59"/>
      <c r="IU795" s="59"/>
      <c r="IV795" s="59"/>
    </row>
    <row r="796" spans="1:256" ht="14.25" hidden="1" customHeight="1">
      <c r="A796" s="66" t="s">
        <v>268</v>
      </c>
      <c r="B796" s="1832" t="str">
        <f>+B788</f>
        <v>ACABADOS</v>
      </c>
      <c r="C796" s="1830"/>
      <c r="D796" s="1828"/>
      <c r="E796" s="1833" t="s">
        <v>218</v>
      </c>
      <c r="F796" s="1828"/>
      <c r="G796" s="62" t="s">
        <v>120</v>
      </c>
      <c r="H796" s="59"/>
      <c r="I796" s="60"/>
      <c r="J796" s="60"/>
      <c r="K796" s="61"/>
      <c r="L796" s="59"/>
      <c r="M796" s="59"/>
      <c r="N796" s="59"/>
      <c r="O796" s="59"/>
      <c r="P796" s="59"/>
      <c r="Q796" s="59"/>
      <c r="R796" s="59"/>
      <c r="S796" s="59"/>
      <c r="T796" s="59"/>
      <c r="U796" s="59"/>
      <c r="V796" s="59"/>
      <c r="W796" s="59"/>
      <c r="X796" s="59"/>
      <c r="Y796" s="59"/>
      <c r="Z796" s="59"/>
      <c r="AA796" s="59"/>
      <c r="AB796" s="59"/>
      <c r="AC796" s="59"/>
      <c r="AD796" s="59"/>
      <c r="AE796" s="59"/>
      <c r="AF796" s="59"/>
      <c r="AG796" s="59"/>
      <c r="AH796" s="59"/>
      <c r="AI796" s="59"/>
      <c r="AJ796" s="59"/>
      <c r="AK796" s="59"/>
      <c r="AL796" s="59"/>
      <c r="AM796" s="59"/>
      <c r="AN796" s="59"/>
      <c r="AO796" s="59"/>
      <c r="AP796" s="59"/>
      <c r="AQ796" s="59"/>
      <c r="AR796" s="59"/>
      <c r="AS796" s="59"/>
      <c r="AT796" s="59"/>
      <c r="AU796" s="59"/>
      <c r="AV796" s="59"/>
      <c r="AW796" s="59"/>
      <c r="AX796" s="59"/>
      <c r="AY796" s="59"/>
      <c r="AZ796" s="59"/>
      <c r="BA796" s="59"/>
      <c r="BB796" s="59"/>
      <c r="BC796" s="59"/>
      <c r="BD796" s="59"/>
      <c r="BE796" s="59"/>
      <c r="BF796" s="59"/>
      <c r="BG796" s="59"/>
      <c r="BH796" s="59"/>
      <c r="BI796" s="59"/>
      <c r="BJ796" s="59"/>
      <c r="BK796" s="59"/>
      <c r="BL796" s="59"/>
      <c r="BM796" s="59"/>
      <c r="BN796" s="59"/>
      <c r="BO796" s="59"/>
      <c r="BP796" s="59"/>
      <c r="BQ796" s="59"/>
      <c r="BR796" s="59"/>
      <c r="BS796" s="59"/>
      <c r="BT796" s="59"/>
      <c r="BU796" s="59"/>
      <c r="BV796" s="59"/>
      <c r="BW796" s="59"/>
      <c r="BX796" s="59"/>
      <c r="BY796" s="59"/>
      <c r="BZ796" s="59"/>
      <c r="CA796" s="59"/>
      <c r="CB796" s="59"/>
      <c r="CC796" s="59"/>
      <c r="CD796" s="59"/>
      <c r="CE796" s="59"/>
      <c r="CF796" s="59"/>
      <c r="CG796" s="59"/>
      <c r="CH796" s="59"/>
      <c r="CI796" s="59"/>
      <c r="CJ796" s="59"/>
      <c r="CK796" s="59"/>
      <c r="CL796" s="59"/>
      <c r="CM796" s="59"/>
      <c r="CN796" s="59"/>
      <c r="CO796" s="59"/>
      <c r="CP796" s="59"/>
      <c r="CQ796" s="59"/>
      <c r="CR796" s="59"/>
      <c r="CS796" s="59"/>
      <c r="CT796" s="59"/>
      <c r="CU796" s="59"/>
      <c r="CV796" s="59"/>
      <c r="CW796" s="59"/>
      <c r="CX796" s="59"/>
      <c r="CY796" s="59"/>
      <c r="CZ796" s="59"/>
      <c r="DA796" s="59"/>
      <c r="DB796" s="59"/>
      <c r="DC796" s="59"/>
      <c r="DD796" s="59"/>
      <c r="DE796" s="59"/>
      <c r="DF796" s="59"/>
      <c r="DG796" s="59"/>
      <c r="DH796" s="59"/>
      <c r="DI796" s="59"/>
      <c r="DJ796" s="59"/>
      <c r="DK796" s="59"/>
      <c r="DL796" s="59"/>
      <c r="DM796" s="59"/>
      <c r="DN796" s="59"/>
      <c r="DO796" s="59"/>
      <c r="DP796" s="59"/>
      <c r="DQ796" s="59"/>
      <c r="DR796" s="59"/>
      <c r="DS796" s="59"/>
      <c r="DT796" s="59"/>
      <c r="DU796" s="59"/>
      <c r="DV796" s="59"/>
      <c r="DW796" s="59"/>
      <c r="DX796" s="59"/>
      <c r="DY796" s="59"/>
      <c r="DZ796" s="59"/>
      <c r="EA796" s="59"/>
      <c r="EB796" s="59"/>
      <c r="EC796" s="59"/>
      <c r="ED796" s="59"/>
      <c r="EE796" s="59"/>
      <c r="EF796" s="59"/>
      <c r="EG796" s="59"/>
      <c r="EH796" s="59"/>
      <c r="EI796" s="59"/>
      <c r="EJ796" s="59"/>
      <c r="EK796" s="59"/>
      <c r="EL796" s="59"/>
      <c r="EM796" s="59"/>
      <c r="EN796" s="59"/>
      <c r="EO796" s="59"/>
      <c r="EP796" s="59"/>
      <c r="EQ796" s="59"/>
      <c r="ER796" s="59"/>
      <c r="ES796" s="59"/>
      <c r="ET796" s="59"/>
      <c r="EU796" s="59"/>
      <c r="EV796" s="59"/>
      <c r="EW796" s="59"/>
      <c r="EX796" s="59"/>
      <c r="EY796" s="59"/>
      <c r="EZ796" s="59"/>
      <c r="FA796" s="59"/>
      <c r="FB796" s="59"/>
      <c r="FC796" s="59"/>
      <c r="FD796" s="59"/>
      <c r="FE796" s="59"/>
      <c r="FF796" s="59"/>
      <c r="FG796" s="59"/>
      <c r="FH796" s="59"/>
      <c r="FI796" s="59"/>
      <c r="FJ796" s="59"/>
      <c r="FK796" s="59"/>
      <c r="FL796" s="59"/>
      <c r="FM796" s="59"/>
      <c r="FN796" s="59"/>
      <c r="FO796" s="59"/>
      <c r="FP796" s="59"/>
      <c r="FQ796" s="59"/>
      <c r="FR796" s="59"/>
      <c r="FS796" s="59"/>
      <c r="FT796" s="59"/>
      <c r="FU796" s="59"/>
      <c r="FV796" s="59"/>
      <c r="FW796" s="59"/>
      <c r="FX796" s="59"/>
      <c r="FY796" s="59"/>
      <c r="FZ796" s="59"/>
      <c r="GA796" s="59"/>
      <c r="GB796" s="59"/>
      <c r="GC796" s="59"/>
      <c r="GD796" s="59"/>
      <c r="GE796" s="59"/>
      <c r="GF796" s="59"/>
      <c r="GG796" s="59"/>
      <c r="GH796" s="59"/>
      <c r="GI796" s="59"/>
      <c r="GJ796" s="59"/>
      <c r="GK796" s="59"/>
      <c r="GL796" s="59"/>
      <c r="GM796" s="59"/>
      <c r="GN796" s="59"/>
      <c r="GO796" s="59"/>
      <c r="GP796" s="59"/>
      <c r="GQ796" s="59"/>
      <c r="GR796" s="59"/>
      <c r="GS796" s="59"/>
      <c r="GT796" s="59"/>
      <c r="GU796" s="59"/>
      <c r="GV796" s="59"/>
      <c r="GW796" s="59"/>
      <c r="GX796" s="59"/>
      <c r="GY796" s="59"/>
      <c r="GZ796" s="59"/>
      <c r="HA796" s="59"/>
      <c r="HB796" s="59"/>
      <c r="HC796" s="59"/>
      <c r="HD796" s="59"/>
      <c r="HE796" s="59"/>
      <c r="HF796" s="59"/>
      <c r="HG796" s="59"/>
      <c r="HH796" s="59"/>
      <c r="HI796" s="59"/>
      <c r="HJ796" s="59"/>
      <c r="HK796" s="59"/>
      <c r="HL796" s="59"/>
      <c r="HM796" s="59"/>
      <c r="HN796" s="59"/>
      <c r="HO796" s="59"/>
      <c r="HP796" s="59"/>
      <c r="HQ796" s="59"/>
      <c r="HR796" s="59"/>
      <c r="HS796" s="59"/>
      <c r="HT796" s="59"/>
      <c r="HU796" s="59"/>
      <c r="HV796" s="59"/>
      <c r="HW796" s="59"/>
      <c r="HX796" s="59"/>
      <c r="HY796" s="59"/>
      <c r="HZ796" s="59"/>
      <c r="IA796" s="59"/>
      <c r="IB796" s="59"/>
      <c r="IC796" s="59"/>
      <c r="ID796" s="59"/>
      <c r="IE796" s="59"/>
      <c r="IF796" s="59"/>
      <c r="IG796" s="59"/>
      <c r="IH796" s="59"/>
      <c r="II796" s="59"/>
      <c r="IJ796" s="59"/>
      <c r="IK796" s="59"/>
      <c r="IL796" s="59"/>
      <c r="IM796" s="59"/>
      <c r="IN796" s="59"/>
      <c r="IO796" s="59"/>
      <c r="IP796" s="59"/>
      <c r="IQ796" s="59"/>
      <c r="IR796" s="59"/>
      <c r="IS796" s="59"/>
      <c r="IT796" s="59"/>
      <c r="IU796" s="59"/>
      <c r="IV796" s="59"/>
    </row>
    <row r="797" spans="1:256" ht="33" hidden="1" customHeight="1">
      <c r="A797" s="66" t="s">
        <v>269</v>
      </c>
      <c r="B797" s="1840" t="s">
        <v>811</v>
      </c>
      <c r="C797" s="1830"/>
      <c r="D797" s="1830"/>
      <c r="E797" s="1830"/>
      <c r="F797" s="1830"/>
      <c r="G797" s="1828"/>
      <c r="H797" s="59"/>
      <c r="I797" s="60"/>
      <c r="J797" s="60"/>
      <c r="K797" s="61"/>
      <c r="L797" s="59"/>
      <c r="M797" s="59"/>
      <c r="N797" s="59"/>
      <c r="O797" s="59"/>
      <c r="P797" s="59"/>
      <c r="Q797" s="59"/>
      <c r="R797" s="59"/>
      <c r="S797" s="59"/>
      <c r="T797" s="59"/>
      <c r="U797" s="59"/>
      <c r="V797" s="59"/>
      <c r="W797" s="59"/>
      <c r="X797" s="59"/>
      <c r="Y797" s="59"/>
      <c r="Z797" s="59"/>
      <c r="AA797" s="59"/>
      <c r="AB797" s="59"/>
      <c r="AC797" s="59"/>
      <c r="AD797" s="59"/>
      <c r="AE797" s="59"/>
      <c r="AF797" s="59"/>
      <c r="AG797" s="59"/>
      <c r="AH797" s="59"/>
      <c r="AI797" s="59"/>
      <c r="AJ797" s="59"/>
      <c r="AK797" s="59"/>
      <c r="AL797" s="59"/>
      <c r="AM797" s="59"/>
      <c r="AN797" s="59"/>
      <c r="AO797" s="59"/>
      <c r="AP797" s="59"/>
      <c r="AQ797" s="59"/>
      <c r="AR797" s="59"/>
      <c r="AS797" s="59"/>
      <c r="AT797" s="59"/>
      <c r="AU797" s="59"/>
      <c r="AV797" s="59"/>
      <c r="AW797" s="59"/>
      <c r="AX797" s="59"/>
      <c r="AY797" s="59"/>
      <c r="AZ797" s="59"/>
      <c r="BA797" s="59"/>
      <c r="BB797" s="59"/>
      <c r="BC797" s="59"/>
      <c r="BD797" s="59"/>
      <c r="BE797" s="59"/>
      <c r="BF797" s="59"/>
      <c r="BG797" s="59"/>
      <c r="BH797" s="59"/>
      <c r="BI797" s="59"/>
      <c r="BJ797" s="59"/>
      <c r="BK797" s="59"/>
      <c r="BL797" s="59"/>
      <c r="BM797" s="59"/>
      <c r="BN797" s="59"/>
      <c r="BO797" s="59"/>
      <c r="BP797" s="59"/>
      <c r="BQ797" s="59"/>
      <c r="BR797" s="59"/>
      <c r="BS797" s="59"/>
      <c r="BT797" s="59"/>
      <c r="BU797" s="59"/>
      <c r="BV797" s="59"/>
      <c r="BW797" s="59"/>
      <c r="BX797" s="59"/>
      <c r="BY797" s="59"/>
      <c r="BZ797" s="59"/>
      <c r="CA797" s="59"/>
      <c r="CB797" s="59"/>
      <c r="CC797" s="59"/>
      <c r="CD797" s="59"/>
      <c r="CE797" s="59"/>
      <c r="CF797" s="59"/>
      <c r="CG797" s="59"/>
      <c r="CH797" s="59"/>
      <c r="CI797" s="59"/>
      <c r="CJ797" s="59"/>
      <c r="CK797" s="59"/>
      <c r="CL797" s="59"/>
      <c r="CM797" s="59"/>
      <c r="CN797" s="59"/>
      <c r="CO797" s="59"/>
      <c r="CP797" s="59"/>
      <c r="CQ797" s="59"/>
      <c r="CR797" s="59"/>
      <c r="CS797" s="59"/>
      <c r="CT797" s="59"/>
      <c r="CU797" s="59"/>
      <c r="CV797" s="59"/>
      <c r="CW797" s="59"/>
      <c r="CX797" s="59"/>
      <c r="CY797" s="59"/>
      <c r="CZ797" s="59"/>
      <c r="DA797" s="59"/>
      <c r="DB797" s="59"/>
      <c r="DC797" s="59"/>
      <c r="DD797" s="59"/>
      <c r="DE797" s="59"/>
      <c r="DF797" s="59"/>
      <c r="DG797" s="59"/>
      <c r="DH797" s="59"/>
      <c r="DI797" s="59"/>
      <c r="DJ797" s="59"/>
      <c r="DK797" s="59"/>
      <c r="DL797" s="59"/>
      <c r="DM797" s="59"/>
      <c r="DN797" s="59"/>
      <c r="DO797" s="59"/>
      <c r="DP797" s="59"/>
      <c r="DQ797" s="59"/>
      <c r="DR797" s="59"/>
      <c r="DS797" s="59"/>
      <c r="DT797" s="59"/>
      <c r="DU797" s="59"/>
      <c r="DV797" s="59"/>
      <c r="DW797" s="59"/>
      <c r="DX797" s="59"/>
      <c r="DY797" s="59"/>
      <c r="DZ797" s="59"/>
      <c r="EA797" s="59"/>
      <c r="EB797" s="59"/>
      <c r="EC797" s="59"/>
      <c r="ED797" s="59"/>
      <c r="EE797" s="59"/>
      <c r="EF797" s="59"/>
      <c r="EG797" s="59"/>
      <c r="EH797" s="59"/>
      <c r="EI797" s="59"/>
      <c r="EJ797" s="59"/>
      <c r="EK797" s="59"/>
      <c r="EL797" s="59"/>
      <c r="EM797" s="59"/>
      <c r="EN797" s="59"/>
      <c r="EO797" s="59"/>
      <c r="EP797" s="59"/>
      <c r="EQ797" s="59"/>
      <c r="ER797" s="59"/>
      <c r="ES797" s="59"/>
      <c r="ET797" s="59"/>
      <c r="EU797" s="59"/>
      <c r="EV797" s="59"/>
      <c r="EW797" s="59"/>
      <c r="EX797" s="59"/>
      <c r="EY797" s="59"/>
      <c r="EZ797" s="59"/>
      <c r="FA797" s="59"/>
      <c r="FB797" s="59"/>
      <c r="FC797" s="59"/>
      <c r="FD797" s="59"/>
      <c r="FE797" s="59"/>
      <c r="FF797" s="59"/>
      <c r="FG797" s="59"/>
      <c r="FH797" s="59"/>
      <c r="FI797" s="59"/>
      <c r="FJ797" s="59"/>
      <c r="FK797" s="59"/>
      <c r="FL797" s="59"/>
      <c r="FM797" s="59"/>
      <c r="FN797" s="59"/>
      <c r="FO797" s="59"/>
      <c r="FP797" s="59"/>
      <c r="FQ797" s="59"/>
      <c r="FR797" s="59"/>
      <c r="FS797" s="59"/>
      <c r="FT797" s="59"/>
      <c r="FU797" s="59"/>
      <c r="FV797" s="59"/>
      <c r="FW797" s="59"/>
      <c r="FX797" s="59"/>
      <c r="FY797" s="59"/>
      <c r="FZ797" s="59"/>
      <c r="GA797" s="59"/>
      <c r="GB797" s="59"/>
      <c r="GC797" s="59"/>
      <c r="GD797" s="59"/>
      <c r="GE797" s="59"/>
      <c r="GF797" s="59"/>
      <c r="GG797" s="59"/>
      <c r="GH797" s="59"/>
      <c r="GI797" s="59"/>
      <c r="GJ797" s="59"/>
      <c r="GK797" s="59"/>
      <c r="GL797" s="59"/>
      <c r="GM797" s="59"/>
      <c r="GN797" s="59"/>
      <c r="GO797" s="59"/>
      <c r="GP797" s="59"/>
      <c r="GQ797" s="59"/>
      <c r="GR797" s="59"/>
      <c r="GS797" s="59"/>
      <c r="GT797" s="59"/>
      <c r="GU797" s="59"/>
      <c r="GV797" s="59"/>
      <c r="GW797" s="59"/>
      <c r="GX797" s="59"/>
      <c r="GY797" s="59"/>
      <c r="GZ797" s="59"/>
      <c r="HA797" s="59"/>
      <c r="HB797" s="59"/>
      <c r="HC797" s="59"/>
      <c r="HD797" s="59"/>
      <c r="HE797" s="59"/>
      <c r="HF797" s="59"/>
      <c r="HG797" s="59"/>
      <c r="HH797" s="59"/>
      <c r="HI797" s="59"/>
      <c r="HJ797" s="59"/>
      <c r="HK797" s="59"/>
      <c r="HL797" s="59"/>
      <c r="HM797" s="59"/>
      <c r="HN797" s="59"/>
      <c r="HO797" s="59"/>
      <c r="HP797" s="59"/>
      <c r="HQ797" s="59"/>
      <c r="HR797" s="59"/>
      <c r="HS797" s="59"/>
      <c r="HT797" s="59"/>
      <c r="HU797" s="59"/>
      <c r="HV797" s="59"/>
      <c r="HW797" s="59"/>
      <c r="HX797" s="59"/>
      <c r="HY797" s="59"/>
      <c r="HZ797" s="59"/>
      <c r="IA797" s="59"/>
      <c r="IB797" s="59"/>
      <c r="IC797" s="59"/>
      <c r="ID797" s="59"/>
      <c r="IE797" s="59"/>
      <c r="IF797" s="59"/>
      <c r="IG797" s="59"/>
      <c r="IH797" s="59"/>
      <c r="II797" s="59"/>
      <c r="IJ797" s="59"/>
      <c r="IK797" s="59"/>
      <c r="IL797" s="59"/>
      <c r="IM797" s="59"/>
      <c r="IN797" s="59"/>
      <c r="IO797" s="59"/>
      <c r="IP797" s="59"/>
      <c r="IQ797" s="59"/>
      <c r="IR797" s="59"/>
      <c r="IS797" s="59"/>
      <c r="IT797" s="59"/>
      <c r="IU797" s="59"/>
      <c r="IV797" s="59"/>
    </row>
    <row r="798" spans="1:256" ht="14.25" hidden="1" customHeight="1">
      <c r="A798" s="1836" t="s">
        <v>220</v>
      </c>
      <c r="B798" s="1830"/>
      <c r="C798" s="1830"/>
      <c r="D798" s="1830"/>
      <c r="E798" s="1830"/>
      <c r="F798" s="1830"/>
      <c r="G798" s="1828"/>
      <c r="H798" s="59"/>
      <c r="I798" s="60"/>
      <c r="J798" s="60"/>
      <c r="K798" s="61"/>
      <c r="L798" s="59"/>
      <c r="M798" s="59"/>
      <c r="N798" s="59"/>
      <c r="O798" s="59"/>
      <c r="P798" s="59"/>
      <c r="Q798" s="59"/>
      <c r="R798" s="59"/>
      <c r="S798" s="59"/>
      <c r="T798" s="59"/>
      <c r="U798" s="59"/>
      <c r="V798" s="59"/>
      <c r="W798" s="59"/>
      <c r="X798" s="59"/>
      <c r="Y798" s="59"/>
      <c r="Z798" s="59"/>
      <c r="AA798" s="59"/>
      <c r="AB798" s="59"/>
      <c r="AC798" s="59"/>
      <c r="AD798" s="59"/>
      <c r="AE798" s="59"/>
      <c r="AF798" s="59"/>
      <c r="AG798" s="59"/>
      <c r="AH798" s="59"/>
      <c r="AI798" s="59"/>
      <c r="AJ798" s="59"/>
      <c r="AK798" s="59"/>
      <c r="AL798" s="59"/>
      <c r="AM798" s="59"/>
      <c r="AN798" s="59"/>
      <c r="AO798" s="59"/>
      <c r="AP798" s="59"/>
      <c r="AQ798" s="59"/>
      <c r="AR798" s="59"/>
      <c r="AS798" s="59"/>
      <c r="AT798" s="59"/>
      <c r="AU798" s="59"/>
      <c r="AV798" s="59"/>
      <c r="AW798" s="59"/>
      <c r="AX798" s="59"/>
      <c r="AY798" s="59"/>
      <c r="AZ798" s="59"/>
      <c r="BA798" s="59"/>
      <c r="BB798" s="59"/>
      <c r="BC798" s="59"/>
      <c r="BD798" s="59"/>
      <c r="BE798" s="59"/>
      <c r="BF798" s="59"/>
      <c r="BG798" s="59"/>
      <c r="BH798" s="59"/>
      <c r="BI798" s="59"/>
      <c r="BJ798" s="59"/>
      <c r="BK798" s="59"/>
      <c r="BL798" s="59"/>
      <c r="BM798" s="59"/>
      <c r="BN798" s="59"/>
      <c r="BO798" s="59"/>
      <c r="BP798" s="59"/>
      <c r="BQ798" s="59"/>
      <c r="BR798" s="59"/>
      <c r="BS798" s="59"/>
      <c r="BT798" s="59"/>
      <c r="BU798" s="59"/>
      <c r="BV798" s="59"/>
      <c r="BW798" s="59"/>
      <c r="BX798" s="59"/>
      <c r="BY798" s="59"/>
      <c r="BZ798" s="59"/>
      <c r="CA798" s="59"/>
      <c r="CB798" s="59"/>
      <c r="CC798" s="59"/>
      <c r="CD798" s="59"/>
      <c r="CE798" s="59"/>
      <c r="CF798" s="59"/>
      <c r="CG798" s="59"/>
      <c r="CH798" s="59"/>
      <c r="CI798" s="59"/>
      <c r="CJ798" s="59"/>
      <c r="CK798" s="59"/>
      <c r="CL798" s="59"/>
      <c r="CM798" s="59"/>
      <c r="CN798" s="59"/>
      <c r="CO798" s="59"/>
      <c r="CP798" s="59"/>
      <c r="CQ798" s="59"/>
      <c r="CR798" s="59"/>
      <c r="CS798" s="59"/>
      <c r="CT798" s="59"/>
      <c r="CU798" s="59"/>
      <c r="CV798" s="59"/>
      <c r="CW798" s="59"/>
      <c r="CX798" s="59"/>
      <c r="CY798" s="59"/>
      <c r="CZ798" s="59"/>
      <c r="DA798" s="59"/>
      <c r="DB798" s="59"/>
      <c r="DC798" s="59"/>
      <c r="DD798" s="59"/>
      <c r="DE798" s="59"/>
      <c r="DF798" s="59"/>
      <c r="DG798" s="59"/>
      <c r="DH798" s="59"/>
      <c r="DI798" s="59"/>
      <c r="DJ798" s="59"/>
      <c r="DK798" s="59"/>
      <c r="DL798" s="59"/>
      <c r="DM798" s="59"/>
      <c r="DN798" s="59"/>
      <c r="DO798" s="59"/>
      <c r="DP798" s="59"/>
      <c r="DQ798" s="59"/>
      <c r="DR798" s="59"/>
      <c r="DS798" s="59"/>
      <c r="DT798" s="59"/>
      <c r="DU798" s="59"/>
      <c r="DV798" s="59"/>
      <c r="DW798" s="59"/>
      <c r="DX798" s="59"/>
      <c r="DY798" s="59"/>
      <c r="DZ798" s="59"/>
      <c r="EA798" s="59"/>
      <c r="EB798" s="59"/>
      <c r="EC798" s="59"/>
      <c r="ED798" s="59"/>
      <c r="EE798" s="59"/>
      <c r="EF798" s="59"/>
      <c r="EG798" s="59"/>
      <c r="EH798" s="59"/>
      <c r="EI798" s="59"/>
      <c r="EJ798" s="59"/>
      <c r="EK798" s="59"/>
      <c r="EL798" s="59"/>
      <c r="EM798" s="59"/>
      <c r="EN798" s="59"/>
      <c r="EO798" s="59"/>
      <c r="EP798" s="59"/>
      <c r="EQ798" s="59"/>
      <c r="ER798" s="59"/>
      <c r="ES798" s="59"/>
      <c r="ET798" s="59"/>
      <c r="EU798" s="59"/>
      <c r="EV798" s="59"/>
      <c r="EW798" s="59"/>
      <c r="EX798" s="59"/>
      <c r="EY798" s="59"/>
      <c r="EZ798" s="59"/>
      <c r="FA798" s="59"/>
      <c r="FB798" s="59"/>
      <c r="FC798" s="59"/>
      <c r="FD798" s="59"/>
      <c r="FE798" s="59"/>
      <c r="FF798" s="59"/>
      <c r="FG798" s="59"/>
      <c r="FH798" s="59"/>
      <c r="FI798" s="59"/>
      <c r="FJ798" s="59"/>
      <c r="FK798" s="59"/>
      <c r="FL798" s="59"/>
      <c r="FM798" s="59"/>
      <c r="FN798" s="59"/>
      <c r="FO798" s="59"/>
      <c r="FP798" s="59"/>
      <c r="FQ798" s="59"/>
      <c r="FR798" s="59"/>
      <c r="FS798" s="59"/>
      <c r="FT798" s="59"/>
      <c r="FU798" s="59"/>
      <c r="FV798" s="59"/>
      <c r="FW798" s="59"/>
      <c r="FX798" s="59"/>
      <c r="FY798" s="59"/>
      <c r="FZ798" s="59"/>
      <c r="GA798" s="59"/>
      <c r="GB798" s="59"/>
      <c r="GC798" s="59"/>
      <c r="GD798" s="59"/>
      <c r="GE798" s="59"/>
      <c r="GF798" s="59"/>
      <c r="GG798" s="59"/>
      <c r="GH798" s="59"/>
      <c r="GI798" s="59"/>
      <c r="GJ798" s="59"/>
      <c r="GK798" s="59"/>
      <c r="GL798" s="59"/>
      <c r="GM798" s="59"/>
      <c r="GN798" s="59"/>
      <c r="GO798" s="59"/>
      <c r="GP798" s="59"/>
      <c r="GQ798" s="59"/>
      <c r="GR798" s="59"/>
      <c r="GS798" s="59"/>
      <c r="GT798" s="59"/>
      <c r="GU798" s="59"/>
      <c r="GV798" s="59"/>
      <c r="GW798" s="59"/>
      <c r="GX798" s="59"/>
      <c r="GY798" s="59"/>
      <c r="GZ798" s="59"/>
      <c r="HA798" s="59"/>
      <c r="HB798" s="59"/>
      <c r="HC798" s="59"/>
      <c r="HD798" s="59"/>
      <c r="HE798" s="59"/>
      <c r="HF798" s="59"/>
      <c r="HG798" s="59"/>
      <c r="HH798" s="59"/>
      <c r="HI798" s="59"/>
      <c r="HJ798" s="59"/>
      <c r="HK798" s="59"/>
      <c r="HL798" s="59"/>
      <c r="HM798" s="59"/>
      <c r="HN798" s="59"/>
      <c r="HO798" s="59"/>
      <c r="HP798" s="59"/>
      <c r="HQ798" s="59"/>
      <c r="HR798" s="59"/>
      <c r="HS798" s="59"/>
      <c r="HT798" s="59"/>
      <c r="HU798" s="59"/>
      <c r="HV798" s="59"/>
      <c r="HW798" s="59"/>
      <c r="HX798" s="59"/>
      <c r="HY798" s="59"/>
      <c r="HZ798" s="59"/>
      <c r="IA798" s="59"/>
      <c r="IB798" s="59"/>
      <c r="IC798" s="59"/>
      <c r="ID798" s="59"/>
      <c r="IE798" s="59"/>
      <c r="IF798" s="59"/>
      <c r="IG798" s="59"/>
      <c r="IH798" s="59"/>
      <c r="II798" s="59"/>
      <c r="IJ798" s="59"/>
      <c r="IK798" s="59"/>
      <c r="IL798" s="59"/>
      <c r="IM798" s="59"/>
      <c r="IN798" s="59"/>
      <c r="IO798" s="59"/>
      <c r="IP798" s="59"/>
      <c r="IQ798" s="59"/>
      <c r="IR798" s="59"/>
      <c r="IS798" s="59"/>
      <c r="IT798" s="59"/>
      <c r="IU798" s="59"/>
      <c r="IV798" s="59"/>
    </row>
    <row r="799" spans="1:256" ht="14.25" hidden="1" customHeight="1">
      <c r="A799" s="1829" t="s">
        <v>221</v>
      </c>
      <c r="B799" s="1828"/>
      <c r="C799" s="63" t="s">
        <v>222</v>
      </c>
      <c r="D799" s="63" t="s">
        <v>223</v>
      </c>
      <c r="E799" s="63" t="s">
        <v>224</v>
      </c>
      <c r="F799" s="63" t="s">
        <v>225</v>
      </c>
      <c r="G799" s="63" t="s">
        <v>226</v>
      </c>
      <c r="H799" s="59"/>
      <c r="I799" s="60"/>
      <c r="J799" s="60"/>
      <c r="K799" s="61"/>
      <c r="L799" s="59"/>
      <c r="M799" s="59"/>
      <c r="N799" s="59"/>
      <c r="O799" s="59"/>
      <c r="P799" s="59"/>
      <c r="Q799" s="59"/>
      <c r="R799" s="59"/>
      <c r="S799" s="59"/>
      <c r="T799" s="59"/>
      <c r="U799" s="59"/>
      <c r="V799" s="59"/>
      <c r="W799" s="59"/>
      <c r="X799" s="59"/>
      <c r="Y799" s="59"/>
      <c r="Z799" s="59"/>
      <c r="AA799" s="59"/>
      <c r="AB799" s="59"/>
      <c r="AC799" s="59"/>
      <c r="AD799" s="59"/>
      <c r="AE799" s="59"/>
      <c r="AF799" s="59"/>
      <c r="AG799" s="59"/>
      <c r="AH799" s="59"/>
      <c r="AI799" s="59"/>
      <c r="AJ799" s="59"/>
      <c r="AK799" s="59"/>
      <c r="AL799" s="59"/>
      <c r="AM799" s="59"/>
      <c r="AN799" s="59"/>
      <c r="AO799" s="59"/>
      <c r="AP799" s="59"/>
      <c r="AQ799" s="59"/>
      <c r="AR799" s="59"/>
      <c r="AS799" s="59"/>
      <c r="AT799" s="59"/>
      <c r="AU799" s="59"/>
      <c r="AV799" s="59"/>
      <c r="AW799" s="59"/>
      <c r="AX799" s="59"/>
      <c r="AY799" s="59"/>
      <c r="AZ799" s="59"/>
      <c r="BA799" s="59"/>
      <c r="BB799" s="59"/>
      <c r="BC799" s="59"/>
      <c r="BD799" s="59"/>
      <c r="BE799" s="59"/>
      <c r="BF799" s="59"/>
      <c r="BG799" s="59"/>
      <c r="BH799" s="59"/>
      <c r="BI799" s="59"/>
      <c r="BJ799" s="59"/>
      <c r="BK799" s="59"/>
      <c r="BL799" s="59"/>
      <c r="BM799" s="59"/>
      <c r="BN799" s="59"/>
      <c r="BO799" s="59"/>
      <c r="BP799" s="59"/>
      <c r="BQ799" s="59"/>
      <c r="BR799" s="59"/>
      <c r="BS799" s="59"/>
      <c r="BT799" s="59"/>
      <c r="BU799" s="59"/>
      <c r="BV799" s="59"/>
      <c r="BW799" s="59"/>
      <c r="BX799" s="59"/>
      <c r="BY799" s="59"/>
      <c r="BZ799" s="59"/>
      <c r="CA799" s="59"/>
      <c r="CB799" s="59"/>
      <c r="CC799" s="59"/>
      <c r="CD799" s="59"/>
      <c r="CE799" s="59"/>
      <c r="CF799" s="59"/>
      <c r="CG799" s="59"/>
      <c r="CH799" s="59"/>
      <c r="CI799" s="59"/>
      <c r="CJ799" s="59"/>
      <c r="CK799" s="59"/>
      <c r="CL799" s="59"/>
      <c r="CM799" s="59"/>
      <c r="CN799" s="59"/>
      <c r="CO799" s="59"/>
      <c r="CP799" s="59"/>
      <c r="CQ799" s="59"/>
      <c r="CR799" s="59"/>
      <c r="CS799" s="59"/>
      <c r="CT799" s="59"/>
      <c r="CU799" s="59"/>
      <c r="CV799" s="59"/>
      <c r="CW799" s="59"/>
      <c r="CX799" s="59"/>
      <c r="CY799" s="59"/>
      <c r="CZ799" s="59"/>
      <c r="DA799" s="59"/>
      <c r="DB799" s="59"/>
      <c r="DC799" s="59"/>
      <c r="DD799" s="59"/>
      <c r="DE799" s="59"/>
      <c r="DF799" s="59"/>
      <c r="DG799" s="59"/>
      <c r="DH799" s="59"/>
      <c r="DI799" s="59"/>
      <c r="DJ799" s="59"/>
      <c r="DK799" s="59"/>
      <c r="DL799" s="59"/>
      <c r="DM799" s="59"/>
      <c r="DN799" s="59"/>
      <c r="DO799" s="59"/>
      <c r="DP799" s="59"/>
      <c r="DQ799" s="59"/>
      <c r="DR799" s="59"/>
      <c r="DS799" s="59"/>
      <c r="DT799" s="59"/>
      <c r="DU799" s="59"/>
      <c r="DV799" s="59"/>
      <c r="DW799" s="59"/>
      <c r="DX799" s="59"/>
      <c r="DY799" s="59"/>
      <c r="DZ799" s="59"/>
      <c r="EA799" s="59"/>
      <c r="EB799" s="59"/>
      <c r="EC799" s="59"/>
      <c r="ED799" s="59"/>
      <c r="EE799" s="59"/>
      <c r="EF799" s="59"/>
      <c r="EG799" s="59"/>
      <c r="EH799" s="59"/>
      <c r="EI799" s="59"/>
      <c r="EJ799" s="59"/>
      <c r="EK799" s="59"/>
      <c r="EL799" s="59"/>
      <c r="EM799" s="59"/>
      <c r="EN799" s="59"/>
      <c r="EO799" s="59"/>
      <c r="EP799" s="59"/>
      <c r="EQ799" s="59"/>
      <c r="ER799" s="59"/>
      <c r="ES799" s="59"/>
      <c r="ET799" s="59"/>
      <c r="EU799" s="59"/>
      <c r="EV799" s="59"/>
      <c r="EW799" s="59"/>
      <c r="EX799" s="59"/>
      <c r="EY799" s="59"/>
      <c r="EZ799" s="59"/>
      <c r="FA799" s="59"/>
      <c r="FB799" s="59"/>
      <c r="FC799" s="59"/>
      <c r="FD799" s="59"/>
      <c r="FE799" s="59"/>
      <c r="FF799" s="59"/>
      <c r="FG799" s="59"/>
      <c r="FH799" s="59"/>
      <c r="FI799" s="59"/>
      <c r="FJ799" s="59"/>
      <c r="FK799" s="59"/>
      <c r="FL799" s="59"/>
      <c r="FM799" s="59"/>
      <c r="FN799" s="59"/>
      <c r="FO799" s="59"/>
      <c r="FP799" s="59"/>
      <c r="FQ799" s="59"/>
      <c r="FR799" s="59"/>
      <c r="FS799" s="59"/>
      <c r="FT799" s="59"/>
      <c r="FU799" s="59"/>
      <c r="FV799" s="59"/>
      <c r="FW799" s="59"/>
      <c r="FX799" s="59"/>
      <c r="FY799" s="59"/>
      <c r="FZ799" s="59"/>
      <c r="GA799" s="59"/>
      <c r="GB799" s="59"/>
      <c r="GC799" s="59"/>
      <c r="GD799" s="59"/>
      <c r="GE799" s="59"/>
      <c r="GF799" s="59"/>
      <c r="GG799" s="59"/>
      <c r="GH799" s="59"/>
      <c r="GI799" s="59"/>
      <c r="GJ799" s="59"/>
      <c r="GK799" s="59"/>
      <c r="GL799" s="59"/>
      <c r="GM799" s="59"/>
      <c r="GN799" s="59"/>
      <c r="GO799" s="59"/>
      <c r="GP799" s="59"/>
      <c r="GQ799" s="59"/>
      <c r="GR799" s="59"/>
      <c r="GS799" s="59"/>
      <c r="GT799" s="59"/>
      <c r="GU799" s="59"/>
      <c r="GV799" s="59"/>
      <c r="GW799" s="59"/>
      <c r="GX799" s="59"/>
      <c r="GY799" s="59"/>
      <c r="GZ799" s="59"/>
      <c r="HA799" s="59"/>
      <c r="HB799" s="59"/>
      <c r="HC799" s="59"/>
      <c r="HD799" s="59"/>
      <c r="HE799" s="59"/>
      <c r="HF799" s="59"/>
      <c r="HG799" s="59"/>
      <c r="HH799" s="59"/>
      <c r="HI799" s="59"/>
      <c r="HJ799" s="59"/>
      <c r="HK799" s="59"/>
      <c r="HL799" s="59"/>
      <c r="HM799" s="59"/>
      <c r="HN799" s="59"/>
      <c r="HO799" s="59"/>
      <c r="HP799" s="59"/>
      <c r="HQ799" s="59"/>
      <c r="HR799" s="59"/>
      <c r="HS799" s="59"/>
      <c r="HT799" s="59"/>
      <c r="HU799" s="59"/>
      <c r="HV799" s="59"/>
      <c r="HW799" s="59"/>
      <c r="HX799" s="59"/>
      <c r="HY799" s="59"/>
      <c r="HZ799" s="59"/>
      <c r="IA799" s="59"/>
      <c r="IB799" s="59"/>
      <c r="IC799" s="59"/>
      <c r="ID799" s="59"/>
      <c r="IE799" s="59"/>
      <c r="IF799" s="59"/>
      <c r="IG799" s="59"/>
      <c r="IH799" s="59"/>
      <c r="II799" s="59"/>
      <c r="IJ799" s="59"/>
      <c r="IK799" s="59"/>
      <c r="IL799" s="59"/>
      <c r="IM799" s="59"/>
      <c r="IN799" s="59"/>
      <c r="IO799" s="59"/>
      <c r="IP799" s="59"/>
      <c r="IQ799" s="59"/>
      <c r="IR799" s="59"/>
      <c r="IS799" s="59"/>
      <c r="IT799" s="59"/>
      <c r="IU799" s="59"/>
      <c r="IV799" s="59"/>
    </row>
    <row r="800" spans="1:256" ht="14.25" hidden="1" customHeight="1">
      <c r="A800" s="1845" t="s">
        <v>59</v>
      </c>
      <c r="B800" s="1828"/>
      <c r="C800" s="64">
        <v>6.75</v>
      </c>
      <c r="D800" s="64"/>
      <c r="E800" s="64"/>
      <c r="F800" s="64"/>
      <c r="G800" s="64">
        <f t="shared" ref="G800:G802" si="51">+C800</f>
        <v>6.75</v>
      </c>
      <c r="H800" s="59"/>
      <c r="I800" s="60"/>
      <c r="J800" s="60"/>
      <c r="K800" s="61">
        <f>5.12+23.5+4.4+20.34+5.12+4.5+2.88+2.9+7.7+1.44+1.55+(2.35-(0.9*2.2))+5.4+(5-(1.6*2.2))+7.9+1.55+1.45+(1.8-(0.7*2.2))+3.7+5.1+(1.25-(0.7*2.2))+1.7+(1.75-(0.9*2.2))+(3.95-(1.7*2.2))+3.95+3.8+4.5+2.9+(7.9-(1*2.2))+1.85+1.1+2+1.1+1.35+4.6</f>
        <v>140.89999999999998</v>
      </c>
      <c r="L800" s="59"/>
      <c r="M800" s="59"/>
      <c r="N800" s="59"/>
      <c r="O800" s="59"/>
      <c r="P800" s="59"/>
      <c r="Q800" s="59"/>
      <c r="R800" s="59"/>
      <c r="S800" s="59"/>
      <c r="T800" s="59"/>
      <c r="U800" s="59"/>
      <c r="V800" s="59"/>
      <c r="W800" s="59"/>
      <c r="X800" s="59"/>
      <c r="Y800" s="59"/>
      <c r="Z800" s="59"/>
      <c r="AA800" s="59"/>
      <c r="AB800" s="59"/>
      <c r="AC800" s="59"/>
      <c r="AD800" s="59"/>
      <c r="AE800" s="59"/>
      <c r="AF800" s="59"/>
      <c r="AG800" s="59"/>
      <c r="AH800" s="59"/>
      <c r="AI800" s="59"/>
      <c r="AJ800" s="59"/>
      <c r="AK800" s="59"/>
      <c r="AL800" s="59"/>
      <c r="AM800" s="59"/>
      <c r="AN800" s="59"/>
      <c r="AO800" s="59"/>
      <c r="AP800" s="59"/>
      <c r="AQ800" s="59"/>
      <c r="AR800" s="59"/>
      <c r="AS800" s="59"/>
      <c r="AT800" s="59"/>
      <c r="AU800" s="59"/>
      <c r="AV800" s="59"/>
      <c r="AW800" s="59"/>
      <c r="AX800" s="59"/>
      <c r="AY800" s="59"/>
      <c r="AZ800" s="59"/>
      <c r="BA800" s="59"/>
      <c r="BB800" s="59"/>
      <c r="BC800" s="59"/>
      <c r="BD800" s="59"/>
      <c r="BE800" s="59"/>
      <c r="BF800" s="59"/>
      <c r="BG800" s="59"/>
      <c r="BH800" s="59"/>
      <c r="BI800" s="59"/>
      <c r="BJ800" s="59"/>
      <c r="BK800" s="59"/>
      <c r="BL800" s="59"/>
      <c r="BM800" s="59"/>
      <c r="BN800" s="59"/>
      <c r="BO800" s="59"/>
      <c r="BP800" s="59"/>
      <c r="BQ800" s="59"/>
      <c r="BR800" s="59"/>
      <c r="BS800" s="59"/>
      <c r="BT800" s="59"/>
      <c r="BU800" s="59"/>
      <c r="BV800" s="59"/>
      <c r="BW800" s="59"/>
      <c r="BX800" s="59"/>
      <c r="BY800" s="59"/>
      <c r="BZ800" s="59"/>
      <c r="CA800" s="59"/>
      <c r="CB800" s="59"/>
      <c r="CC800" s="59"/>
      <c r="CD800" s="59"/>
      <c r="CE800" s="59"/>
      <c r="CF800" s="59"/>
      <c r="CG800" s="59"/>
      <c r="CH800" s="59"/>
      <c r="CI800" s="59"/>
      <c r="CJ800" s="59"/>
      <c r="CK800" s="59"/>
      <c r="CL800" s="59"/>
      <c r="CM800" s="59"/>
      <c r="CN800" s="59"/>
      <c r="CO800" s="59"/>
      <c r="CP800" s="59"/>
      <c r="CQ800" s="59"/>
      <c r="CR800" s="59"/>
      <c r="CS800" s="59"/>
      <c r="CT800" s="59"/>
      <c r="CU800" s="59"/>
      <c r="CV800" s="59"/>
      <c r="CW800" s="59"/>
      <c r="CX800" s="59"/>
      <c r="CY800" s="59"/>
      <c r="CZ800" s="59"/>
      <c r="DA800" s="59"/>
      <c r="DB800" s="59"/>
      <c r="DC800" s="59"/>
      <c r="DD800" s="59"/>
      <c r="DE800" s="59"/>
      <c r="DF800" s="59"/>
      <c r="DG800" s="59"/>
      <c r="DH800" s="59"/>
      <c r="DI800" s="59"/>
      <c r="DJ800" s="59"/>
      <c r="DK800" s="59"/>
      <c r="DL800" s="59"/>
      <c r="DM800" s="59"/>
      <c r="DN800" s="59"/>
      <c r="DO800" s="59"/>
      <c r="DP800" s="59"/>
      <c r="DQ800" s="59"/>
      <c r="DR800" s="59"/>
      <c r="DS800" s="59"/>
      <c r="DT800" s="59"/>
      <c r="DU800" s="59"/>
      <c r="DV800" s="59"/>
      <c r="DW800" s="59"/>
      <c r="DX800" s="59"/>
      <c r="DY800" s="59"/>
      <c r="DZ800" s="59"/>
      <c r="EA800" s="59"/>
      <c r="EB800" s="59"/>
      <c r="EC800" s="59"/>
      <c r="ED800" s="59"/>
      <c r="EE800" s="59"/>
      <c r="EF800" s="59"/>
      <c r="EG800" s="59"/>
      <c r="EH800" s="59"/>
      <c r="EI800" s="59"/>
      <c r="EJ800" s="59"/>
      <c r="EK800" s="59"/>
      <c r="EL800" s="59"/>
      <c r="EM800" s="59"/>
      <c r="EN800" s="59"/>
      <c r="EO800" s="59"/>
      <c r="EP800" s="59"/>
      <c r="EQ800" s="59"/>
      <c r="ER800" s="59"/>
      <c r="ES800" s="59"/>
      <c r="ET800" s="59"/>
      <c r="EU800" s="59"/>
      <c r="EV800" s="59"/>
      <c r="EW800" s="59"/>
      <c r="EX800" s="59"/>
      <c r="EY800" s="59"/>
      <c r="EZ800" s="59"/>
      <c r="FA800" s="59"/>
      <c r="FB800" s="59"/>
      <c r="FC800" s="59"/>
      <c r="FD800" s="59"/>
      <c r="FE800" s="59"/>
      <c r="FF800" s="59"/>
      <c r="FG800" s="59"/>
      <c r="FH800" s="59"/>
      <c r="FI800" s="59"/>
      <c r="FJ800" s="59"/>
      <c r="FK800" s="59"/>
      <c r="FL800" s="59"/>
      <c r="FM800" s="59"/>
      <c r="FN800" s="59"/>
      <c r="FO800" s="59"/>
      <c r="FP800" s="59"/>
      <c r="FQ800" s="59"/>
      <c r="FR800" s="59"/>
      <c r="FS800" s="59"/>
      <c r="FT800" s="59"/>
      <c r="FU800" s="59"/>
      <c r="FV800" s="59"/>
      <c r="FW800" s="59"/>
      <c r="FX800" s="59"/>
      <c r="FY800" s="59"/>
      <c r="FZ800" s="59"/>
      <c r="GA800" s="59"/>
      <c r="GB800" s="59"/>
      <c r="GC800" s="59"/>
      <c r="GD800" s="59"/>
      <c r="GE800" s="59"/>
      <c r="GF800" s="59"/>
      <c r="GG800" s="59"/>
      <c r="GH800" s="59"/>
      <c r="GI800" s="59"/>
      <c r="GJ800" s="59"/>
      <c r="GK800" s="59"/>
      <c r="GL800" s="59"/>
      <c r="GM800" s="59"/>
      <c r="GN800" s="59"/>
      <c r="GO800" s="59"/>
      <c r="GP800" s="59"/>
      <c r="GQ800" s="59"/>
      <c r="GR800" s="59"/>
      <c r="GS800" s="59"/>
      <c r="GT800" s="59"/>
      <c r="GU800" s="59"/>
      <c r="GV800" s="59"/>
      <c r="GW800" s="59"/>
      <c r="GX800" s="59"/>
      <c r="GY800" s="59"/>
      <c r="GZ800" s="59"/>
      <c r="HA800" s="59"/>
      <c r="HB800" s="59"/>
      <c r="HC800" s="59"/>
      <c r="HD800" s="59"/>
      <c r="HE800" s="59"/>
      <c r="HF800" s="59"/>
      <c r="HG800" s="59"/>
      <c r="HH800" s="59"/>
      <c r="HI800" s="59"/>
      <c r="HJ800" s="59"/>
      <c r="HK800" s="59"/>
      <c r="HL800" s="59"/>
      <c r="HM800" s="59"/>
      <c r="HN800" s="59"/>
      <c r="HO800" s="59"/>
      <c r="HP800" s="59"/>
      <c r="HQ800" s="59"/>
      <c r="HR800" s="59"/>
      <c r="HS800" s="59"/>
      <c r="HT800" s="59"/>
      <c r="HU800" s="59"/>
      <c r="HV800" s="59"/>
      <c r="HW800" s="59"/>
      <c r="HX800" s="59"/>
      <c r="HY800" s="59"/>
      <c r="HZ800" s="59"/>
      <c r="IA800" s="59"/>
      <c r="IB800" s="59"/>
      <c r="IC800" s="59"/>
      <c r="ID800" s="59"/>
      <c r="IE800" s="59"/>
      <c r="IF800" s="59"/>
      <c r="IG800" s="59"/>
      <c r="IH800" s="59"/>
      <c r="II800" s="59"/>
      <c r="IJ800" s="59"/>
      <c r="IK800" s="59"/>
      <c r="IL800" s="59"/>
      <c r="IM800" s="59"/>
      <c r="IN800" s="59"/>
      <c r="IO800" s="59"/>
      <c r="IP800" s="59"/>
      <c r="IQ800" s="59"/>
      <c r="IR800" s="59"/>
      <c r="IS800" s="59"/>
      <c r="IT800" s="59"/>
      <c r="IU800" s="59"/>
      <c r="IV800" s="59"/>
    </row>
    <row r="801" spans="1:11" ht="15" hidden="1" customHeight="1">
      <c r="A801" s="1845" t="s">
        <v>61</v>
      </c>
      <c r="B801" s="1828"/>
      <c r="C801" s="64">
        <v>6.75</v>
      </c>
      <c r="D801" s="64"/>
      <c r="E801" s="64"/>
      <c r="F801" s="64"/>
      <c r="G801" s="64">
        <f t="shared" si="51"/>
        <v>6.75</v>
      </c>
      <c r="H801" s="59"/>
      <c r="I801" s="60"/>
      <c r="J801" s="60"/>
      <c r="K801" s="61" t="s">
        <v>61</v>
      </c>
    </row>
    <row r="802" spans="1:11" ht="15" hidden="1" customHeight="1">
      <c r="A802" s="1845" t="s">
        <v>812</v>
      </c>
      <c r="B802" s="1828"/>
      <c r="C802" s="64">
        <f>3.03+2.47</f>
        <v>5.5</v>
      </c>
      <c r="D802" s="64"/>
      <c r="E802" s="64"/>
      <c r="F802" s="64"/>
      <c r="G802" s="64">
        <f t="shared" si="51"/>
        <v>5.5</v>
      </c>
      <c r="H802" s="59"/>
      <c r="I802" s="60"/>
      <c r="J802" s="60"/>
      <c r="K802" s="61" t="s">
        <v>61</v>
      </c>
    </row>
    <row r="803" spans="1:11" ht="15" hidden="1" customHeight="1">
      <c r="A803" s="1845" t="s">
        <v>813</v>
      </c>
      <c r="B803" s="1828"/>
      <c r="C803" s="64">
        <f>1.75+1.92</f>
        <v>3.67</v>
      </c>
      <c r="D803" s="64"/>
      <c r="E803" s="64"/>
      <c r="F803" s="64">
        <v>2</v>
      </c>
      <c r="G803" s="64">
        <f>+F803*C803</f>
        <v>7.34</v>
      </c>
      <c r="H803" s="59"/>
      <c r="I803" s="60"/>
      <c r="J803" s="60"/>
      <c r="K803" s="61" t="s">
        <v>61</v>
      </c>
    </row>
    <row r="804" spans="1:11" ht="14.25" hidden="1" customHeight="1">
      <c r="A804" s="1846" t="s">
        <v>798</v>
      </c>
      <c r="B804" s="1843"/>
      <c r="C804" s="64">
        <v>2.4500000000000002</v>
      </c>
      <c r="D804" s="64"/>
      <c r="E804" s="64"/>
      <c r="F804" s="64"/>
      <c r="G804" s="64">
        <f>+C804</f>
        <v>2.4500000000000002</v>
      </c>
      <c r="H804" s="59"/>
      <c r="I804" s="60"/>
      <c r="J804" s="60"/>
      <c r="K804" s="61"/>
    </row>
    <row r="805" spans="1:11" ht="14.25" hidden="1" customHeight="1">
      <c r="A805" s="1846" t="s">
        <v>751</v>
      </c>
      <c r="B805" s="1843"/>
      <c r="C805" s="64">
        <v>2.4700000000000002</v>
      </c>
      <c r="D805" s="64"/>
      <c r="E805" s="64"/>
      <c r="F805" s="64">
        <v>2</v>
      </c>
      <c r="G805" s="64">
        <f t="shared" ref="G805:G807" si="52">+F805*C805</f>
        <v>4.9400000000000004</v>
      </c>
      <c r="H805" s="59"/>
      <c r="I805" s="60"/>
      <c r="J805" s="60"/>
      <c r="K805" s="61"/>
    </row>
    <row r="806" spans="1:11" ht="14.25" hidden="1" customHeight="1">
      <c r="A806" s="1844" t="s">
        <v>752</v>
      </c>
      <c r="B806" s="1828"/>
      <c r="C806" s="64">
        <f>4.9+2.5</f>
        <v>7.4</v>
      </c>
      <c r="D806" s="64"/>
      <c r="E806" s="64"/>
      <c r="F806" s="64">
        <v>4</v>
      </c>
      <c r="G806" s="64">
        <f t="shared" si="52"/>
        <v>29.6</v>
      </c>
      <c r="H806" s="59"/>
      <c r="I806" s="60"/>
      <c r="J806" s="60"/>
      <c r="K806" s="61"/>
    </row>
    <row r="807" spans="1:11" ht="15" hidden="1" customHeight="1">
      <c r="A807" s="1844" t="s">
        <v>769</v>
      </c>
      <c r="B807" s="1828"/>
      <c r="C807" s="64">
        <f>1.93+3.24</f>
        <v>5.17</v>
      </c>
      <c r="D807" s="64"/>
      <c r="E807" s="64"/>
      <c r="F807" s="64">
        <v>2</v>
      </c>
      <c r="G807" s="64">
        <f t="shared" si="52"/>
        <v>10.34</v>
      </c>
      <c r="H807" s="59"/>
      <c r="I807" s="195">
        <f>7.8/2</f>
        <v>3.9</v>
      </c>
      <c r="J807" s="60"/>
      <c r="K807" s="61" t="s">
        <v>61</v>
      </c>
    </row>
    <row r="808" spans="1:11" ht="14.25" hidden="1" customHeight="1">
      <c r="A808" s="1844" t="s">
        <v>770</v>
      </c>
      <c r="B808" s="1828"/>
      <c r="C808" s="64">
        <f>3.25+1.93</f>
        <v>5.18</v>
      </c>
      <c r="D808" s="64"/>
      <c r="E808" s="64"/>
      <c r="F808" s="64"/>
      <c r="G808" s="64">
        <f t="shared" ref="G808:G810" si="53">+C808</f>
        <v>5.18</v>
      </c>
      <c r="H808" s="59"/>
      <c r="I808" s="60"/>
      <c r="J808" s="60"/>
      <c r="K808" s="61">
        <f>5.27+16.85+1.3+0.8+3.62+(7.7-(1.6*2.2))+((3.48-(0.7*2.2))*2)+1.3+3.48+4.85+2.15+5.7+1.1+3.25+3.2+(1.3-(0.9*2.2))+1.35+2.9+1.1+1.5+(2.8-(0.7*2.2))+0.4+4.35+4.5+(3.5-(0.9*2.2))+7.7+7.9+2.9+7.05+1.8</f>
        <v>106.48000000000002</v>
      </c>
    </row>
    <row r="809" spans="1:11" ht="14.25" hidden="1" customHeight="1">
      <c r="A809" s="1845" t="s">
        <v>771</v>
      </c>
      <c r="B809" s="1828"/>
      <c r="C809" s="64">
        <f>2.6+5.58+6.55</f>
        <v>14.73</v>
      </c>
      <c r="D809" s="64"/>
      <c r="E809" s="64"/>
      <c r="F809" s="64"/>
      <c r="G809" s="64">
        <f t="shared" si="53"/>
        <v>14.73</v>
      </c>
      <c r="H809" s="59"/>
      <c r="I809" s="60"/>
      <c r="J809" s="60"/>
      <c r="K809" s="61">
        <f>0.9*2.2</f>
        <v>1.9800000000000002</v>
      </c>
    </row>
    <row r="810" spans="1:11" ht="14.25" hidden="1" customHeight="1">
      <c r="A810" s="67" t="s">
        <v>806</v>
      </c>
      <c r="B810" s="196"/>
      <c r="C810" s="64">
        <v>4.68</v>
      </c>
      <c r="D810" s="64"/>
      <c r="E810" s="64"/>
      <c r="F810" s="64"/>
      <c r="G810" s="64">
        <f t="shared" si="53"/>
        <v>4.68</v>
      </c>
      <c r="H810" s="59"/>
      <c r="I810" s="60"/>
      <c r="J810" s="60"/>
      <c r="K810" s="61"/>
    </row>
    <row r="811" spans="1:11" ht="14.25" hidden="1" customHeight="1">
      <c r="A811" s="1829" t="s">
        <v>227</v>
      </c>
      <c r="B811" s="1830"/>
      <c r="C811" s="1830"/>
      <c r="D811" s="1830"/>
      <c r="E811" s="1830"/>
      <c r="F811" s="1828"/>
      <c r="G811" s="65">
        <f>SUM(G800:G810)</f>
        <v>98.259999999999991</v>
      </c>
      <c r="H811" s="59"/>
      <c r="I811" s="60"/>
      <c r="J811" s="60"/>
      <c r="K811" s="61"/>
    </row>
    <row r="812" spans="1:11" ht="14.25" hidden="1" customHeight="1">
      <c r="A812" s="1831"/>
      <c r="B812" s="1830"/>
      <c r="C812" s="1830"/>
      <c r="D812" s="1830"/>
      <c r="E812" s="1830"/>
      <c r="F812" s="1830"/>
      <c r="G812" s="1828"/>
      <c r="H812" s="59"/>
      <c r="I812" s="60"/>
      <c r="J812" s="60"/>
      <c r="K812" s="61"/>
    </row>
    <row r="813" spans="1:11" ht="14.25" hidden="1" customHeight="1">
      <c r="A813" s="66" t="s">
        <v>268</v>
      </c>
      <c r="B813" s="1832" t="str">
        <f>+B788</f>
        <v>ACABADOS</v>
      </c>
      <c r="C813" s="1830"/>
      <c r="D813" s="1828"/>
      <c r="E813" s="1833" t="s">
        <v>218</v>
      </c>
      <c r="F813" s="1828"/>
      <c r="G813" s="62" t="s">
        <v>228</v>
      </c>
      <c r="H813" s="59"/>
      <c r="I813" s="60"/>
      <c r="J813" s="60"/>
      <c r="K813" s="61"/>
    </row>
    <row r="814" spans="1:11" ht="14.25" hidden="1" customHeight="1">
      <c r="A814" s="66" t="s">
        <v>270</v>
      </c>
      <c r="B814" s="1840" t="s">
        <v>814</v>
      </c>
      <c r="C814" s="1830"/>
      <c r="D814" s="1830"/>
      <c r="E814" s="1830"/>
      <c r="F814" s="1830"/>
      <c r="G814" s="1828"/>
      <c r="H814" s="59"/>
      <c r="I814" s="60"/>
      <c r="J814" s="60"/>
      <c r="K814" s="61"/>
    </row>
    <row r="815" spans="1:11" ht="14.25" hidden="1" customHeight="1">
      <c r="A815" s="1836" t="s">
        <v>220</v>
      </c>
      <c r="B815" s="1830"/>
      <c r="C815" s="1830"/>
      <c r="D815" s="1830"/>
      <c r="E815" s="1830"/>
      <c r="F815" s="1830"/>
      <c r="G815" s="1828"/>
      <c r="H815" s="59"/>
      <c r="I815" s="60"/>
      <c r="J815" s="60"/>
      <c r="K815" s="61"/>
    </row>
    <row r="816" spans="1:11" ht="14.25" hidden="1" customHeight="1">
      <c r="A816" s="1829" t="s">
        <v>221</v>
      </c>
      <c r="B816" s="1828"/>
      <c r="C816" s="63" t="s">
        <v>222</v>
      </c>
      <c r="D816" s="63" t="s">
        <v>223</v>
      </c>
      <c r="E816" s="63" t="s">
        <v>224</v>
      </c>
      <c r="F816" s="63" t="s">
        <v>225</v>
      </c>
      <c r="G816" s="63" t="s">
        <v>226</v>
      </c>
      <c r="H816" s="59"/>
      <c r="I816" s="60"/>
      <c r="J816" s="60"/>
      <c r="K816" s="61"/>
    </row>
    <row r="817" spans="1:7" ht="14.25" hidden="1" customHeight="1">
      <c r="A817" s="1827" t="s">
        <v>59</v>
      </c>
      <c r="B817" s="1828"/>
      <c r="C817" s="64">
        <v>49.56</v>
      </c>
      <c r="D817" s="64"/>
      <c r="E817" s="64"/>
      <c r="F817" s="64">
        <v>1</v>
      </c>
      <c r="G817" s="64">
        <f t="shared" ref="G817:G818" si="54">+C817*F817</f>
        <v>49.56</v>
      </c>
    </row>
    <row r="818" spans="1:7" ht="14.25" hidden="1" customHeight="1">
      <c r="A818" s="1827" t="s">
        <v>61</v>
      </c>
      <c r="B818" s="1828"/>
      <c r="C818" s="64">
        <v>57.63</v>
      </c>
      <c r="D818" s="64"/>
      <c r="E818" s="64"/>
      <c r="F818" s="64">
        <v>1</v>
      </c>
      <c r="G818" s="64">
        <f t="shared" si="54"/>
        <v>57.63</v>
      </c>
    </row>
    <row r="819" spans="1:7" ht="14.25" hidden="1" customHeight="1">
      <c r="A819" s="1827"/>
      <c r="B819" s="1828"/>
      <c r="C819" s="64"/>
      <c r="D819" s="64"/>
      <c r="E819" s="64"/>
      <c r="F819" s="64"/>
      <c r="G819" s="64"/>
    </row>
    <row r="820" spans="1:7" ht="14.25" hidden="1" customHeight="1">
      <c r="A820" s="1829" t="s">
        <v>227</v>
      </c>
      <c r="B820" s="1830"/>
      <c r="C820" s="1830"/>
      <c r="D820" s="1830"/>
      <c r="E820" s="1830"/>
      <c r="F820" s="1828"/>
      <c r="G820" s="65">
        <f>SUM(G817:G819)</f>
        <v>107.19</v>
      </c>
    </row>
    <row r="821" spans="1:7" ht="14.25" hidden="1" customHeight="1">
      <c r="A821" s="1831"/>
      <c r="B821" s="1830"/>
      <c r="C821" s="1830"/>
      <c r="D821" s="1830"/>
      <c r="E821" s="1830"/>
      <c r="F821" s="1830"/>
      <c r="G821" s="1828"/>
    </row>
    <row r="822" spans="1:7" ht="14.25" hidden="1" customHeight="1">
      <c r="A822" s="66" t="s">
        <v>268</v>
      </c>
      <c r="B822" s="1832" t="str">
        <f>+B813</f>
        <v>ACABADOS</v>
      </c>
      <c r="C822" s="1830"/>
      <c r="D822" s="1828"/>
      <c r="E822" s="1833" t="s">
        <v>218</v>
      </c>
      <c r="F822" s="1828"/>
      <c r="G822" s="62" t="s">
        <v>151</v>
      </c>
    </row>
    <row r="823" spans="1:7" ht="69.75" hidden="1" customHeight="1">
      <c r="A823" s="66" t="s">
        <v>815</v>
      </c>
      <c r="B823" s="1832" t="s">
        <v>442</v>
      </c>
      <c r="C823" s="1830"/>
      <c r="D823" s="1830"/>
      <c r="E823" s="1830"/>
      <c r="F823" s="1830"/>
      <c r="G823" s="1828"/>
    </row>
    <row r="824" spans="1:7" ht="14.25" hidden="1" customHeight="1">
      <c r="A824" s="1836" t="s">
        <v>220</v>
      </c>
      <c r="B824" s="1830"/>
      <c r="C824" s="1830"/>
      <c r="D824" s="1830"/>
      <c r="E824" s="1830"/>
      <c r="F824" s="1830"/>
      <c r="G824" s="1828"/>
    </row>
    <row r="825" spans="1:7" ht="14.25" hidden="1" customHeight="1">
      <c r="A825" s="1829" t="s">
        <v>221</v>
      </c>
      <c r="B825" s="1828"/>
      <c r="C825" s="63" t="s">
        <v>222</v>
      </c>
      <c r="D825" s="63" t="s">
        <v>223</v>
      </c>
      <c r="E825" s="63" t="s">
        <v>224</v>
      </c>
      <c r="F825" s="63" t="s">
        <v>225</v>
      </c>
      <c r="G825" s="63" t="s">
        <v>226</v>
      </c>
    </row>
    <row r="826" spans="1:7" ht="14.25" hidden="1" customHeight="1">
      <c r="A826" s="1842" t="s">
        <v>816</v>
      </c>
      <c r="B826" s="1843"/>
      <c r="C826" s="64"/>
      <c r="D826" s="64"/>
      <c r="E826" s="64"/>
      <c r="F826" s="64">
        <v>2</v>
      </c>
      <c r="G826" s="64"/>
    </row>
    <row r="827" spans="1:7" ht="14.25" hidden="1" customHeight="1">
      <c r="A827" s="1829" t="s">
        <v>227</v>
      </c>
      <c r="B827" s="1830"/>
      <c r="C827" s="1830"/>
      <c r="D827" s="1830"/>
      <c r="E827" s="1830"/>
      <c r="F827" s="1828"/>
      <c r="G827" s="191">
        <f>+G826</f>
        <v>0</v>
      </c>
    </row>
    <row r="828" spans="1:7" ht="14.25" hidden="1" customHeight="1">
      <c r="A828" s="1831"/>
      <c r="B828" s="1830"/>
      <c r="C828" s="1830"/>
      <c r="D828" s="1830"/>
      <c r="E828" s="1830"/>
      <c r="F828" s="1830"/>
      <c r="G828" s="1828"/>
    </row>
    <row r="829" spans="1:7" ht="14.25" hidden="1" customHeight="1">
      <c r="A829" s="66" t="s">
        <v>817</v>
      </c>
      <c r="B829" s="1832" t="s">
        <v>818</v>
      </c>
      <c r="C829" s="1830"/>
      <c r="D829" s="1828"/>
      <c r="E829" s="1833" t="s">
        <v>218</v>
      </c>
      <c r="F829" s="1828"/>
      <c r="G829" s="62" t="s">
        <v>151</v>
      </c>
    </row>
    <row r="830" spans="1:7" ht="14.25" hidden="1" customHeight="1">
      <c r="A830" s="66" t="s">
        <v>819</v>
      </c>
      <c r="B830" s="1840" t="s">
        <v>820</v>
      </c>
      <c r="C830" s="1830"/>
      <c r="D830" s="1830"/>
      <c r="E830" s="1830"/>
      <c r="F830" s="1830"/>
      <c r="G830" s="1828"/>
    </row>
    <row r="831" spans="1:7" ht="14.25" hidden="1" customHeight="1">
      <c r="A831" s="1836" t="s">
        <v>220</v>
      </c>
      <c r="B831" s="1830"/>
      <c r="C831" s="1830"/>
      <c r="D831" s="1830"/>
      <c r="E831" s="1830"/>
      <c r="F831" s="1830"/>
      <c r="G831" s="1828"/>
    </row>
    <row r="832" spans="1:7" ht="14.25" hidden="1" customHeight="1">
      <c r="A832" s="1829" t="s">
        <v>221</v>
      </c>
      <c r="B832" s="1828"/>
      <c r="C832" s="63" t="s">
        <v>222</v>
      </c>
      <c r="D832" s="63" t="s">
        <v>223</v>
      </c>
      <c r="E832" s="63" t="s">
        <v>224</v>
      </c>
      <c r="F832" s="63" t="s">
        <v>225</v>
      </c>
      <c r="G832" s="63" t="s">
        <v>226</v>
      </c>
    </row>
    <row r="833" spans="1:7" ht="14.25" hidden="1" customHeight="1">
      <c r="A833" s="1827" t="s">
        <v>821</v>
      </c>
      <c r="B833" s="1828"/>
      <c r="C833" s="64"/>
      <c r="D833" s="64"/>
      <c r="E833" s="64"/>
      <c r="F833" s="64">
        <v>16</v>
      </c>
      <c r="G833" s="64">
        <f>+F833</f>
        <v>16</v>
      </c>
    </row>
    <row r="834" spans="1:7" ht="14.25" hidden="1" customHeight="1">
      <c r="A834" s="1827"/>
      <c r="B834" s="1828"/>
      <c r="C834" s="64"/>
      <c r="D834" s="64"/>
      <c r="E834" s="64"/>
      <c r="F834" s="64"/>
      <c r="G834" s="64"/>
    </row>
    <row r="835" spans="1:7" ht="14.25" hidden="1" customHeight="1">
      <c r="A835" s="1829" t="s">
        <v>227</v>
      </c>
      <c r="B835" s="1830"/>
      <c r="C835" s="1830"/>
      <c r="D835" s="1830"/>
      <c r="E835" s="1830"/>
      <c r="F835" s="1828"/>
      <c r="G835" s="65">
        <f>ROUND(SUM(G833:G834),2)</f>
        <v>16</v>
      </c>
    </row>
    <row r="836" spans="1:7" ht="14.25" hidden="1" customHeight="1">
      <c r="A836" s="1831"/>
      <c r="B836" s="1830"/>
      <c r="C836" s="1830"/>
      <c r="D836" s="1830"/>
      <c r="E836" s="1830"/>
      <c r="F836" s="1830"/>
      <c r="G836" s="1828"/>
    </row>
    <row r="837" spans="1:7" ht="14.25" hidden="1" customHeight="1">
      <c r="A837" s="66" t="s">
        <v>817</v>
      </c>
      <c r="B837" s="1832" t="str">
        <f>+B829</f>
        <v xml:space="preserve">INSTALACIONES HIDROSANITARIAS                  </v>
      </c>
      <c r="C837" s="1830"/>
      <c r="D837" s="1828"/>
      <c r="E837" s="1833" t="s">
        <v>218</v>
      </c>
      <c r="F837" s="1828"/>
      <c r="G837" s="62" t="s">
        <v>151</v>
      </c>
    </row>
    <row r="838" spans="1:7" ht="14.25" hidden="1" customHeight="1">
      <c r="A838" s="66" t="s">
        <v>822</v>
      </c>
      <c r="B838" s="1840" t="s">
        <v>823</v>
      </c>
      <c r="C838" s="1830"/>
      <c r="D838" s="1830"/>
      <c r="E838" s="1830"/>
      <c r="F838" s="1830"/>
      <c r="G838" s="1828"/>
    </row>
    <row r="839" spans="1:7" ht="14.25" hidden="1" customHeight="1">
      <c r="A839" s="1836" t="s">
        <v>220</v>
      </c>
      <c r="B839" s="1830"/>
      <c r="C839" s="1830"/>
      <c r="D839" s="1830"/>
      <c r="E839" s="1830"/>
      <c r="F839" s="1830"/>
      <c r="G839" s="1828"/>
    </row>
    <row r="840" spans="1:7" ht="14.25" hidden="1" customHeight="1">
      <c r="A840" s="1829" t="s">
        <v>221</v>
      </c>
      <c r="B840" s="1828"/>
      <c r="C840" s="63" t="s">
        <v>222</v>
      </c>
      <c r="D840" s="63" t="s">
        <v>223</v>
      </c>
      <c r="E840" s="63" t="s">
        <v>224</v>
      </c>
      <c r="F840" s="63" t="s">
        <v>225</v>
      </c>
      <c r="G840" s="63" t="s">
        <v>226</v>
      </c>
    </row>
    <row r="841" spans="1:7" ht="14.25" hidden="1" customHeight="1">
      <c r="A841" s="1841" t="s">
        <v>824</v>
      </c>
      <c r="B841" s="1622"/>
      <c r="C841" s="64"/>
      <c r="D841" s="64"/>
      <c r="E841" s="64"/>
      <c r="F841" s="64">
        <v>4</v>
      </c>
      <c r="G841" s="64">
        <f>+F841</f>
        <v>4</v>
      </c>
    </row>
    <row r="842" spans="1:7" ht="14.25" hidden="1" customHeight="1">
      <c r="A842" s="1827"/>
      <c r="B842" s="1828"/>
      <c r="C842" s="64"/>
      <c r="D842" s="64"/>
      <c r="E842" s="64"/>
      <c r="F842" s="64"/>
      <c r="G842" s="64"/>
    </row>
    <row r="843" spans="1:7" ht="14.25" hidden="1" customHeight="1">
      <c r="A843" s="1829" t="s">
        <v>227</v>
      </c>
      <c r="B843" s="1830"/>
      <c r="C843" s="1830"/>
      <c r="D843" s="1830"/>
      <c r="E843" s="1830"/>
      <c r="F843" s="1828"/>
      <c r="G843" s="65">
        <f>SUM(G841)</f>
        <v>4</v>
      </c>
    </row>
    <row r="844" spans="1:7" ht="14.25" hidden="1" customHeight="1">
      <c r="A844" s="1831"/>
      <c r="B844" s="1830"/>
      <c r="C844" s="1830"/>
      <c r="D844" s="1830"/>
      <c r="E844" s="1830"/>
      <c r="F844" s="1830"/>
      <c r="G844" s="1828"/>
    </row>
    <row r="845" spans="1:7" ht="14.25" hidden="1" customHeight="1">
      <c r="A845" s="66" t="s">
        <v>817</v>
      </c>
      <c r="B845" s="1832" t="str">
        <f>+B837</f>
        <v xml:space="preserve">INSTALACIONES HIDROSANITARIAS                  </v>
      </c>
      <c r="C845" s="1830"/>
      <c r="D845" s="1828"/>
      <c r="E845" s="1833" t="s">
        <v>218</v>
      </c>
      <c r="F845" s="1828"/>
      <c r="G845" s="62" t="s">
        <v>151</v>
      </c>
    </row>
    <row r="846" spans="1:7" ht="14.25" hidden="1" customHeight="1">
      <c r="A846" s="66" t="s">
        <v>825</v>
      </c>
      <c r="B846" s="1840" t="s">
        <v>826</v>
      </c>
      <c r="C846" s="1830"/>
      <c r="D846" s="1830"/>
      <c r="E846" s="1830"/>
      <c r="F846" s="1830"/>
      <c r="G846" s="1828"/>
    </row>
    <row r="847" spans="1:7" ht="14.25" hidden="1" customHeight="1">
      <c r="A847" s="1836" t="s">
        <v>220</v>
      </c>
      <c r="B847" s="1830"/>
      <c r="C847" s="1830"/>
      <c r="D847" s="1830"/>
      <c r="E847" s="1830"/>
      <c r="F847" s="1830"/>
      <c r="G847" s="1828"/>
    </row>
    <row r="848" spans="1:7" ht="14.25" hidden="1" customHeight="1">
      <c r="A848" s="1829" t="s">
        <v>221</v>
      </c>
      <c r="B848" s="1828"/>
      <c r="C848" s="63" t="s">
        <v>222</v>
      </c>
      <c r="D848" s="63" t="s">
        <v>223</v>
      </c>
      <c r="E848" s="63" t="s">
        <v>224</v>
      </c>
      <c r="F848" s="63" t="s">
        <v>225</v>
      </c>
      <c r="G848" s="63" t="s">
        <v>226</v>
      </c>
    </row>
    <row r="849" spans="1:7" ht="14.25" hidden="1" customHeight="1">
      <c r="A849" s="1827" t="s">
        <v>827</v>
      </c>
      <c r="B849" s="1828"/>
      <c r="C849" s="64"/>
      <c r="D849" s="64"/>
      <c r="E849" s="64"/>
      <c r="F849" s="64">
        <v>56</v>
      </c>
      <c r="G849" s="64">
        <f>+F849</f>
        <v>56</v>
      </c>
    </row>
    <row r="850" spans="1:7" ht="14.25" hidden="1" customHeight="1">
      <c r="A850" s="1829" t="s">
        <v>227</v>
      </c>
      <c r="B850" s="1830"/>
      <c r="C850" s="1830"/>
      <c r="D850" s="1830"/>
      <c r="E850" s="1830"/>
      <c r="F850" s="1828"/>
      <c r="G850" s="65">
        <f>SUM(G849)</f>
        <v>56</v>
      </c>
    </row>
    <row r="851" spans="1:7" ht="14.25" hidden="1" customHeight="1">
      <c r="A851" s="1831"/>
      <c r="B851" s="1830"/>
      <c r="C851" s="1830"/>
      <c r="D851" s="1830"/>
      <c r="E851" s="1830"/>
      <c r="F851" s="1830"/>
      <c r="G851" s="1828"/>
    </row>
    <row r="852" spans="1:7" ht="14.25" hidden="1" customHeight="1">
      <c r="A852" s="66" t="s">
        <v>817</v>
      </c>
      <c r="B852" s="1832" t="str">
        <f>+B845</f>
        <v xml:space="preserve">INSTALACIONES HIDROSANITARIAS                  </v>
      </c>
      <c r="C852" s="1830"/>
      <c r="D852" s="1828"/>
      <c r="E852" s="1833" t="s">
        <v>218</v>
      </c>
      <c r="F852" s="1828"/>
      <c r="G852" s="62" t="s">
        <v>151</v>
      </c>
    </row>
    <row r="853" spans="1:7" ht="14.25" hidden="1" customHeight="1">
      <c r="A853" s="66" t="s">
        <v>828</v>
      </c>
      <c r="B853" s="1840" t="s">
        <v>829</v>
      </c>
      <c r="C853" s="1830"/>
      <c r="D853" s="1830"/>
      <c r="E853" s="1830"/>
      <c r="F853" s="1830"/>
      <c r="G853" s="1828"/>
    </row>
    <row r="854" spans="1:7" ht="14.25" hidden="1" customHeight="1">
      <c r="A854" s="1836" t="s">
        <v>220</v>
      </c>
      <c r="B854" s="1830"/>
      <c r="C854" s="1830"/>
      <c r="D854" s="1830"/>
      <c r="E854" s="1830"/>
      <c r="F854" s="1830"/>
      <c r="G854" s="1828"/>
    </row>
    <row r="855" spans="1:7" ht="14.25" hidden="1" customHeight="1">
      <c r="A855" s="1829" t="s">
        <v>221</v>
      </c>
      <c r="B855" s="1828"/>
      <c r="C855" s="63" t="s">
        <v>222</v>
      </c>
      <c r="D855" s="63" t="s">
        <v>223</v>
      </c>
      <c r="E855" s="63" t="s">
        <v>224</v>
      </c>
      <c r="F855" s="63" t="s">
        <v>225</v>
      </c>
      <c r="G855" s="63" t="s">
        <v>226</v>
      </c>
    </row>
    <row r="856" spans="1:7" ht="14.25" hidden="1" customHeight="1">
      <c r="A856" s="1827" t="s">
        <v>827</v>
      </c>
      <c r="B856" s="1828"/>
      <c r="C856" s="64"/>
      <c r="D856" s="64"/>
      <c r="E856" s="64"/>
      <c r="F856" s="64">
        <v>105</v>
      </c>
      <c r="G856" s="64">
        <f>+F856</f>
        <v>105</v>
      </c>
    </row>
    <row r="857" spans="1:7" ht="14.25" hidden="1" customHeight="1">
      <c r="A857" s="1829" t="s">
        <v>227</v>
      </c>
      <c r="B857" s="1830"/>
      <c r="C857" s="1830"/>
      <c r="D857" s="1830"/>
      <c r="E857" s="1830"/>
      <c r="F857" s="1828"/>
      <c r="G857" s="65">
        <f>SUM(G856)</f>
        <v>105</v>
      </c>
    </row>
    <row r="858" spans="1:7" ht="14.25" hidden="1" customHeight="1">
      <c r="A858" s="1831"/>
      <c r="B858" s="1830"/>
      <c r="C858" s="1830"/>
      <c r="D858" s="1830"/>
      <c r="E858" s="1830"/>
      <c r="F858" s="1830"/>
      <c r="G858" s="1828"/>
    </row>
    <row r="859" spans="1:7" ht="14.25" hidden="1" customHeight="1">
      <c r="A859" s="66" t="s">
        <v>817</v>
      </c>
      <c r="B859" s="1832" t="str">
        <f>+B852</f>
        <v xml:space="preserve">INSTALACIONES HIDROSANITARIAS                  </v>
      </c>
      <c r="C859" s="1830"/>
      <c r="D859" s="1828"/>
      <c r="E859" s="1833" t="s">
        <v>218</v>
      </c>
      <c r="F859" s="1828"/>
      <c r="G859" s="62" t="s">
        <v>151</v>
      </c>
    </row>
    <row r="860" spans="1:7" ht="14.25" hidden="1" customHeight="1">
      <c r="A860" s="66" t="s">
        <v>830</v>
      </c>
      <c r="B860" s="1840" t="s">
        <v>831</v>
      </c>
      <c r="C860" s="1830"/>
      <c r="D860" s="1830"/>
      <c r="E860" s="1830"/>
      <c r="F860" s="1830"/>
      <c r="G860" s="1828"/>
    </row>
    <row r="861" spans="1:7" ht="14.25" hidden="1" customHeight="1">
      <c r="A861" s="1836" t="s">
        <v>220</v>
      </c>
      <c r="B861" s="1830"/>
      <c r="C861" s="1830"/>
      <c r="D861" s="1830"/>
      <c r="E861" s="1830"/>
      <c r="F861" s="1830"/>
      <c r="G861" s="1828"/>
    </row>
    <row r="862" spans="1:7" ht="14.25" hidden="1" customHeight="1">
      <c r="A862" s="1829" t="s">
        <v>221</v>
      </c>
      <c r="B862" s="1828"/>
      <c r="C862" s="63" t="s">
        <v>222</v>
      </c>
      <c r="D862" s="63" t="s">
        <v>223</v>
      </c>
      <c r="E862" s="63" t="s">
        <v>224</v>
      </c>
      <c r="F862" s="63" t="s">
        <v>225</v>
      </c>
      <c r="G862" s="63" t="s">
        <v>226</v>
      </c>
    </row>
    <row r="863" spans="1:7" ht="14.25" hidden="1" customHeight="1">
      <c r="A863" s="1827" t="s">
        <v>827</v>
      </c>
      <c r="B863" s="1828"/>
      <c r="C863" s="64"/>
      <c r="D863" s="64"/>
      <c r="E863" s="64"/>
      <c r="F863" s="64">
        <v>24</v>
      </c>
      <c r="G863" s="64">
        <f>+F863</f>
        <v>24</v>
      </c>
    </row>
    <row r="864" spans="1:7" ht="14.25" hidden="1" customHeight="1">
      <c r="A864" s="1829" t="s">
        <v>227</v>
      </c>
      <c r="B864" s="1830"/>
      <c r="C864" s="1830"/>
      <c r="D864" s="1830"/>
      <c r="E864" s="1830"/>
      <c r="F864" s="1828"/>
      <c r="G864" s="65">
        <f>SUM(G863)</f>
        <v>24</v>
      </c>
    </row>
    <row r="865" spans="1:7" ht="14.25" hidden="1" customHeight="1">
      <c r="A865" s="1831"/>
      <c r="B865" s="1830"/>
      <c r="C865" s="1830"/>
      <c r="D865" s="1830"/>
      <c r="E865" s="1830"/>
      <c r="F865" s="1830"/>
      <c r="G865" s="1828"/>
    </row>
    <row r="866" spans="1:7" ht="14.25" hidden="1" customHeight="1">
      <c r="A866" s="66" t="s">
        <v>817</v>
      </c>
      <c r="B866" s="1832" t="str">
        <f>+B859</f>
        <v xml:space="preserve">INSTALACIONES HIDROSANITARIAS                  </v>
      </c>
      <c r="C866" s="1830"/>
      <c r="D866" s="1828"/>
      <c r="E866" s="1833" t="s">
        <v>218</v>
      </c>
      <c r="F866" s="1828"/>
      <c r="G866" s="62" t="s">
        <v>151</v>
      </c>
    </row>
    <row r="867" spans="1:7" ht="14.25" hidden="1" customHeight="1">
      <c r="A867" s="66" t="s">
        <v>832</v>
      </c>
      <c r="B867" s="1840" t="s">
        <v>833</v>
      </c>
      <c r="C867" s="1830"/>
      <c r="D867" s="1830"/>
      <c r="E867" s="1830"/>
      <c r="F867" s="1830"/>
      <c r="G867" s="1828"/>
    </row>
    <row r="868" spans="1:7" ht="14.25" hidden="1" customHeight="1">
      <c r="A868" s="1836" t="s">
        <v>220</v>
      </c>
      <c r="B868" s="1830"/>
      <c r="C868" s="1830"/>
      <c r="D868" s="1830"/>
      <c r="E868" s="1830"/>
      <c r="F868" s="1830"/>
      <c r="G868" s="1828"/>
    </row>
    <row r="869" spans="1:7" ht="14.25" hidden="1" customHeight="1">
      <c r="A869" s="1829" t="s">
        <v>221</v>
      </c>
      <c r="B869" s="1828"/>
      <c r="C869" s="63" t="s">
        <v>222</v>
      </c>
      <c r="D869" s="63" t="s">
        <v>223</v>
      </c>
      <c r="E869" s="63" t="s">
        <v>224</v>
      </c>
      <c r="F869" s="63" t="s">
        <v>225</v>
      </c>
      <c r="G869" s="63" t="s">
        <v>226</v>
      </c>
    </row>
    <row r="870" spans="1:7" ht="14.25" hidden="1" customHeight="1">
      <c r="A870" s="1827" t="s">
        <v>827</v>
      </c>
      <c r="B870" s="1828"/>
      <c r="C870" s="64"/>
      <c r="D870" s="64"/>
      <c r="E870" s="64"/>
      <c r="F870" s="64">
        <v>105</v>
      </c>
      <c r="G870" s="64">
        <f>+F870</f>
        <v>105</v>
      </c>
    </row>
    <row r="871" spans="1:7" ht="14.25" hidden="1" customHeight="1">
      <c r="A871" s="1829" t="s">
        <v>227</v>
      </c>
      <c r="B871" s="1830"/>
      <c r="C871" s="1830"/>
      <c r="D871" s="1830"/>
      <c r="E871" s="1830"/>
      <c r="F871" s="1828"/>
      <c r="G871" s="65">
        <f>SUM(G870)</f>
        <v>105</v>
      </c>
    </row>
    <row r="872" spans="1:7" ht="14.25" hidden="1" customHeight="1">
      <c r="A872" s="1831"/>
      <c r="B872" s="1830"/>
      <c r="C872" s="1830"/>
      <c r="D872" s="1830"/>
      <c r="E872" s="1830"/>
      <c r="F872" s="1830"/>
      <c r="G872" s="1828"/>
    </row>
    <row r="873" spans="1:7" ht="14.25" hidden="1" customHeight="1">
      <c r="A873" s="66" t="s">
        <v>817</v>
      </c>
      <c r="B873" s="1832" t="str">
        <f>+B866</f>
        <v xml:space="preserve">INSTALACIONES HIDROSANITARIAS                  </v>
      </c>
      <c r="C873" s="1830"/>
      <c r="D873" s="1828"/>
      <c r="E873" s="1833" t="s">
        <v>218</v>
      </c>
      <c r="F873" s="1828"/>
      <c r="G873" s="62" t="str">
        <f>+G866</f>
        <v>Und</v>
      </c>
    </row>
    <row r="874" spans="1:7" ht="14.25" hidden="1" customHeight="1">
      <c r="A874" s="66" t="s">
        <v>834</v>
      </c>
      <c r="B874" s="1840" t="s">
        <v>835</v>
      </c>
      <c r="C874" s="1830"/>
      <c r="D874" s="1830"/>
      <c r="E874" s="1830"/>
      <c r="F874" s="1830"/>
      <c r="G874" s="1828"/>
    </row>
    <row r="875" spans="1:7" ht="14.25" hidden="1" customHeight="1">
      <c r="A875" s="1836" t="s">
        <v>220</v>
      </c>
      <c r="B875" s="1830"/>
      <c r="C875" s="1830"/>
      <c r="D875" s="1830"/>
      <c r="E875" s="1830"/>
      <c r="F875" s="1830"/>
      <c r="G875" s="1828"/>
    </row>
    <row r="876" spans="1:7" ht="14.25" hidden="1" customHeight="1">
      <c r="A876" s="1829" t="s">
        <v>221</v>
      </c>
      <c r="B876" s="1828"/>
      <c r="C876" s="63" t="s">
        <v>222</v>
      </c>
      <c r="D876" s="63" t="s">
        <v>223</v>
      </c>
      <c r="E876" s="63" t="s">
        <v>224</v>
      </c>
      <c r="F876" s="63" t="s">
        <v>225</v>
      </c>
      <c r="G876" s="63" t="s">
        <v>226</v>
      </c>
    </row>
    <row r="877" spans="1:7" ht="14.25" hidden="1" customHeight="1">
      <c r="A877" s="1827" t="s">
        <v>827</v>
      </c>
      <c r="B877" s="1828"/>
      <c r="C877" s="64"/>
      <c r="D877" s="64"/>
      <c r="E877" s="64"/>
      <c r="F877" s="64">
        <v>56</v>
      </c>
      <c r="G877" s="64">
        <f>+F877</f>
        <v>56</v>
      </c>
    </row>
    <row r="878" spans="1:7" ht="14.25" hidden="1" customHeight="1">
      <c r="A878" s="1829" t="s">
        <v>227</v>
      </c>
      <c r="B878" s="1830"/>
      <c r="C878" s="1830"/>
      <c r="D878" s="1830"/>
      <c r="E878" s="1830"/>
      <c r="F878" s="1828"/>
      <c r="G878" s="65">
        <f>SUM(G877)</f>
        <v>56</v>
      </c>
    </row>
    <row r="879" spans="1:7" ht="14.25" hidden="1" customHeight="1">
      <c r="A879" s="1831"/>
      <c r="B879" s="1830"/>
      <c r="C879" s="1830"/>
      <c r="D879" s="1830"/>
      <c r="E879" s="1830"/>
      <c r="F879" s="1830"/>
      <c r="G879" s="1828"/>
    </row>
    <row r="880" spans="1:7" ht="14.25" hidden="1" customHeight="1">
      <c r="A880" s="66" t="str">
        <f t="shared" ref="A880:B880" si="55">+A873</f>
        <v>CAPITULO 7:</v>
      </c>
      <c r="B880" s="1832" t="str">
        <f t="shared" si="55"/>
        <v xml:space="preserve">INSTALACIONES HIDROSANITARIAS                  </v>
      </c>
      <c r="C880" s="1830"/>
      <c r="D880" s="1828"/>
      <c r="E880" s="1833" t="s">
        <v>218</v>
      </c>
      <c r="F880" s="1828"/>
      <c r="G880" s="62" t="str">
        <f>+G873</f>
        <v>Und</v>
      </c>
    </row>
    <row r="881" spans="1:7" ht="14.25" hidden="1" customHeight="1">
      <c r="A881" s="66" t="s">
        <v>836</v>
      </c>
      <c r="B881" s="1840" t="s">
        <v>837</v>
      </c>
      <c r="C881" s="1830"/>
      <c r="D881" s="1830"/>
      <c r="E881" s="1830"/>
      <c r="F881" s="1830"/>
      <c r="G881" s="1828"/>
    </row>
    <row r="882" spans="1:7" ht="14.25" hidden="1" customHeight="1">
      <c r="A882" s="1836" t="s">
        <v>220</v>
      </c>
      <c r="B882" s="1830"/>
      <c r="C882" s="1830"/>
      <c r="D882" s="1830"/>
      <c r="E882" s="1830"/>
      <c r="F882" s="1830"/>
      <c r="G882" s="1828"/>
    </row>
    <row r="883" spans="1:7" ht="14.25" hidden="1" customHeight="1">
      <c r="A883" s="1829" t="s">
        <v>221</v>
      </c>
      <c r="B883" s="1828"/>
      <c r="C883" s="63" t="s">
        <v>222</v>
      </c>
      <c r="D883" s="63" t="s">
        <v>223</v>
      </c>
      <c r="E883" s="63" t="s">
        <v>224</v>
      </c>
      <c r="F883" s="63" t="s">
        <v>225</v>
      </c>
      <c r="G883" s="63" t="s">
        <v>226</v>
      </c>
    </row>
    <row r="884" spans="1:7" ht="14.25" hidden="1" customHeight="1">
      <c r="A884" s="1827" t="s">
        <v>827</v>
      </c>
      <c r="B884" s="1828"/>
      <c r="C884" s="64"/>
      <c r="D884" s="64"/>
      <c r="E884" s="64"/>
      <c r="F884" s="64">
        <v>45</v>
      </c>
      <c r="G884" s="64">
        <f>+F884</f>
        <v>45</v>
      </c>
    </row>
    <row r="885" spans="1:7" ht="14.25" hidden="1" customHeight="1">
      <c r="A885" s="1829" t="s">
        <v>227</v>
      </c>
      <c r="B885" s="1830"/>
      <c r="C885" s="1830"/>
      <c r="D885" s="1830"/>
      <c r="E885" s="1830"/>
      <c r="F885" s="1828"/>
      <c r="G885" s="191">
        <f>SUM(G884)</f>
        <v>45</v>
      </c>
    </row>
    <row r="886" spans="1:7" ht="14.25" hidden="1" customHeight="1">
      <c r="A886" s="1831"/>
      <c r="B886" s="1830"/>
      <c r="C886" s="1830"/>
      <c r="D886" s="1830"/>
      <c r="E886" s="1830"/>
      <c r="F886" s="1830"/>
      <c r="G886" s="1828"/>
    </row>
    <row r="887" spans="1:7" ht="14.25" hidden="1" customHeight="1">
      <c r="A887" s="66" t="str">
        <f t="shared" ref="A887:B887" si="56">+A880</f>
        <v>CAPITULO 7:</v>
      </c>
      <c r="B887" s="1832" t="str">
        <f t="shared" si="56"/>
        <v xml:space="preserve">INSTALACIONES HIDROSANITARIAS                  </v>
      </c>
      <c r="C887" s="1830"/>
      <c r="D887" s="1828"/>
      <c r="E887" s="1833" t="s">
        <v>218</v>
      </c>
      <c r="F887" s="1828"/>
      <c r="G887" s="197" t="s">
        <v>127</v>
      </c>
    </row>
    <row r="888" spans="1:7" ht="14.25" hidden="1" customHeight="1">
      <c r="A888" s="66" t="s">
        <v>838</v>
      </c>
      <c r="B888" s="1840" t="s">
        <v>839</v>
      </c>
      <c r="C888" s="1830"/>
      <c r="D888" s="1830"/>
      <c r="E888" s="1830"/>
      <c r="F888" s="1830"/>
      <c r="G888" s="1828"/>
    </row>
    <row r="889" spans="1:7" ht="14.25" hidden="1" customHeight="1">
      <c r="A889" s="1836" t="s">
        <v>220</v>
      </c>
      <c r="B889" s="1830"/>
      <c r="C889" s="1830"/>
      <c r="D889" s="1830"/>
      <c r="E889" s="1830"/>
      <c r="F889" s="1830"/>
      <c r="G889" s="1828"/>
    </row>
    <row r="890" spans="1:7" ht="14.25" hidden="1" customHeight="1">
      <c r="A890" s="1829" t="s">
        <v>221</v>
      </c>
      <c r="B890" s="1828"/>
      <c r="C890" s="63" t="s">
        <v>222</v>
      </c>
      <c r="D890" s="63" t="s">
        <v>223</v>
      </c>
      <c r="E890" s="63" t="s">
        <v>224</v>
      </c>
      <c r="F890" s="63" t="s">
        <v>225</v>
      </c>
      <c r="G890" s="63" t="s">
        <v>226</v>
      </c>
    </row>
    <row r="891" spans="1:7" ht="14.25" hidden="1" customHeight="1">
      <c r="A891" s="1827" t="s">
        <v>827</v>
      </c>
      <c r="B891" s="1828"/>
      <c r="C891" s="64"/>
      <c r="D891" s="64"/>
      <c r="E891" s="64"/>
      <c r="F891" s="64">
        <v>38</v>
      </c>
      <c r="G891" s="64">
        <f>+F891</f>
        <v>38</v>
      </c>
    </row>
    <row r="892" spans="1:7" ht="14.25" hidden="1" customHeight="1">
      <c r="A892" s="1829" t="s">
        <v>227</v>
      </c>
      <c r="B892" s="1830"/>
      <c r="C892" s="1830"/>
      <c r="D892" s="1830"/>
      <c r="E892" s="1830"/>
      <c r="F892" s="1828"/>
      <c r="G892" s="191">
        <f>SUM(G891)</f>
        <v>38</v>
      </c>
    </row>
    <row r="893" spans="1:7" ht="14.25" hidden="1" customHeight="1">
      <c r="A893" s="1831"/>
      <c r="B893" s="1830"/>
      <c r="C893" s="1830"/>
      <c r="D893" s="1830"/>
      <c r="E893" s="1830"/>
      <c r="F893" s="1830"/>
      <c r="G893" s="1828"/>
    </row>
    <row r="894" spans="1:7" ht="14.25" hidden="1" customHeight="1">
      <c r="A894" s="66" t="str">
        <f t="shared" ref="A894:B894" si="57">+A887</f>
        <v>CAPITULO 7:</v>
      </c>
      <c r="B894" s="1832" t="str">
        <f t="shared" si="57"/>
        <v xml:space="preserve">INSTALACIONES HIDROSANITARIAS                  </v>
      </c>
      <c r="C894" s="1830"/>
      <c r="D894" s="1828"/>
      <c r="E894" s="1833" t="s">
        <v>218</v>
      </c>
      <c r="F894" s="1828"/>
      <c r="G894" s="197" t="s">
        <v>127</v>
      </c>
    </row>
    <row r="895" spans="1:7" ht="14.25" hidden="1" customHeight="1">
      <c r="A895" s="66" t="s">
        <v>840</v>
      </c>
      <c r="B895" s="1840" t="s">
        <v>841</v>
      </c>
      <c r="C895" s="1830"/>
      <c r="D895" s="1830"/>
      <c r="E895" s="1830"/>
      <c r="F895" s="1830"/>
      <c r="G895" s="1828"/>
    </row>
    <row r="896" spans="1:7" ht="14.25" hidden="1" customHeight="1">
      <c r="A896" s="1836" t="s">
        <v>220</v>
      </c>
      <c r="B896" s="1830"/>
      <c r="C896" s="1830"/>
      <c r="D896" s="1830"/>
      <c r="E896" s="1830"/>
      <c r="F896" s="1830"/>
      <c r="G896" s="1828"/>
    </row>
    <row r="897" spans="1:7" ht="14.25" hidden="1" customHeight="1">
      <c r="A897" s="1829" t="s">
        <v>221</v>
      </c>
      <c r="B897" s="1828"/>
      <c r="C897" s="63" t="s">
        <v>222</v>
      </c>
      <c r="D897" s="63" t="s">
        <v>223</v>
      </c>
      <c r="E897" s="63" t="s">
        <v>224</v>
      </c>
      <c r="F897" s="63" t="s">
        <v>225</v>
      </c>
      <c r="G897" s="63" t="s">
        <v>226</v>
      </c>
    </row>
    <row r="898" spans="1:7" ht="14.25" hidden="1" customHeight="1">
      <c r="A898" s="1827" t="s">
        <v>827</v>
      </c>
      <c r="B898" s="1828"/>
      <c r="C898" s="64"/>
      <c r="D898" s="64"/>
      <c r="E898" s="64"/>
      <c r="F898" s="64">
        <f>12+37+27</f>
        <v>76</v>
      </c>
      <c r="G898" s="64">
        <f>+F898</f>
        <v>76</v>
      </c>
    </row>
    <row r="899" spans="1:7" ht="14.25" hidden="1" customHeight="1">
      <c r="A899" s="1829" t="s">
        <v>227</v>
      </c>
      <c r="B899" s="1830"/>
      <c r="C899" s="1830"/>
      <c r="D899" s="1830"/>
      <c r="E899" s="1830"/>
      <c r="F899" s="1828"/>
      <c r="G899" s="191">
        <f>SUM(G898)</f>
        <v>76</v>
      </c>
    </row>
    <row r="900" spans="1:7" ht="14.25" hidden="1" customHeight="1">
      <c r="A900" s="1831"/>
      <c r="B900" s="1830"/>
      <c r="C900" s="1830"/>
      <c r="D900" s="1830"/>
      <c r="E900" s="1830"/>
      <c r="F900" s="1830"/>
      <c r="G900" s="1828"/>
    </row>
    <row r="901" spans="1:7" ht="14.25" hidden="1" customHeight="1">
      <c r="A901" s="66" t="str">
        <f t="shared" ref="A901:B901" si="58">+A894</f>
        <v>CAPITULO 7:</v>
      </c>
      <c r="B901" s="1832" t="str">
        <f t="shared" si="58"/>
        <v xml:space="preserve">INSTALACIONES HIDROSANITARIAS                  </v>
      </c>
      <c r="C901" s="1830"/>
      <c r="D901" s="1828"/>
      <c r="E901" s="1833" t="s">
        <v>218</v>
      </c>
      <c r="F901" s="1828"/>
      <c r="G901" s="197" t="s">
        <v>120</v>
      </c>
    </row>
    <row r="902" spans="1:7" ht="14.25" hidden="1" customHeight="1">
      <c r="A902" s="66" t="s">
        <v>842</v>
      </c>
      <c r="B902" s="1840" t="s">
        <v>843</v>
      </c>
      <c r="C902" s="1830"/>
      <c r="D902" s="1830"/>
      <c r="E902" s="1830"/>
      <c r="F902" s="1830"/>
      <c r="G902" s="1828"/>
    </row>
    <row r="903" spans="1:7" ht="14.25" hidden="1" customHeight="1">
      <c r="A903" s="1836" t="s">
        <v>220</v>
      </c>
      <c r="B903" s="1830"/>
      <c r="C903" s="1830"/>
      <c r="D903" s="1830"/>
      <c r="E903" s="1830"/>
      <c r="F903" s="1830"/>
      <c r="G903" s="1828"/>
    </row>
    <row r="904" spans="1:7" ht="14.25" hidden="1" customHeight="1">
      <c r="A904" s="1829" t="s">
        <v>221</v>
      </c>
      <c r="B904" s="1828"/>
      <c r="C904" s="63" t="s">
        <v>222</v>
      </c>
      <c r="D904" s="63" t="s">
        <v>223</v>
      </c>
      <c r="E904" s="63" t="s">
        <v>224</v>
      </c>
      <c r="F904" s="63" t="s">
        <v>225</v>
      </c>
      <c r="G904" s="63" t="s">
        <v>226</v>
      </c>
    </row>
    <row r="905" spans="1:7" ht="14.25" hidden="1" customHeight="1">
      <c r="A905" s="1827" t="s">
        <v>827</v>
      </c>
      <c r="B905" s="1828"/>
      <c r="C905" s="64">
        <v>445.6</v>
      </c>
      <c r="D905" s="64"/>
      <c r="E905" s="64"/>
      <c r="F905" s="64"/>
      <c r="G905" s="64">
        <f>+C905</f>
        <v>445.6</v>
      </c>
    </row>
    <row r="906" spans="1:7" ht="14.25" hidden="1" customHeight="1">
      <c r="A906" s="1829" t="s">
        <v>227</v>
      </c>
      <c r="B906" s="1830"/>
      <c r="C906" s="1830"/>
      <c r="D906" s="1830"/>
      <c r="E906" s="1830"/>
      <c r="F906" s="1828"/>
      <c r="G906" s="191">
        <f>SUM(G905)</f>
        <v>445.6</v>
      </c>
    </row>
    <row r="907" spans="1:7" ht="14.25" hidden="1" customHeight="1">
      <c r="A907" s="1831"/>
      <c r="B907" s="1830"/>
      <c r="C907" s="1830"/>
      <c r="D907" s="1830"/>
      <c r="E907" s="1830"/>
      <c r="F907" s="1830"/>
      <c r="G907" s="1828"/>
    </row>
    <row r="908" spans="1:7" ht="14.25" hidden="1" customHeight="1">
      <c r="A908" s="66" t="str">
        <f t="shared" ref="A908:B908" si="59">+A901</f>
        <v>CAPITULO 7:</v>
      </c>
      <c r="B908" s="1832" t="str">
        <f t="shared" si="59"/>
        <v xml:space="preserve">INSTALACIONES HIDROSANITARIAS                  </v>
      </c>
      <c r="C908" s="1830"/>
      <c r="D908" s="1828"/>
      <c r="E908" s="1833" t="s">
        <v>218</v>
      </c>
      <c r="F908" s="1828"/>
      <c r="G908" s="197" t="str">
        <f>+G901</f>
        <v>ML</v>
      </c>
    </row>
    <row r="909" spans="1:7" ht="14.25" hidden="1" customHeight="1">
      <c r="A909" s="66" t="s">
        <v>844</v>
      </c>
      <c r="B909" s="1840" t="s">
        <v>845</v>
      </c>
      <c r="C909" s="1830"/>
      <c r="D909" s="1830"/>
      <c r="E909" s="1830"/>
      <c r="F909" s="1830"/>
      <c r="G909" s="1828"/>
    </row>
    <row r="910" spans="1:7" ht="14.25" hidden="1" customHeight="1">
      <c r="A910" s="1836" t="s">
        <v>220</v>
      </c>
      <c r="B910" s="1830"/>
      <c r="C910" s="1830"/>
      <c r="D910" s="1830"/>
      <c r="E910" s="1830"/>
      <c r="F910" s="1830"/>
      <c r="G910" s="1828"/>
    </row>
    <row r="911" spans="1:7" ht="14.25" hidden="1" customHeight="1">
      <c r="A911" s="1829" t="s">
        <v>221</v>
      </c>
      <c r="B911" s="1828"/>
      <c r="C911" s="63" t="s">
        <v>222</v>
      </c>
      <c r="D911" s="63" t="s">
        <v>223</v>
      </c>
      <c r="E911" s="63" t="s">
        <v>224</v>
      </c>
      <c r="F911" s="63" t="s">
        <v>225</v>
      </c>
      <c r="G911" s="63" t="s">
        <v>226</v>
      </c>
    </row>
    <row r="912" spans="1:7" ht="14.25" hidden="1" customHeight="1">
      <c r="A912" s="1827" t="s">
        <v>827</v>
      </c>
      <c r="B912" s="1828"/>
      <c r="C912" s="64">
        <f>103*4.5</f>
        <v>463.5</v>
      </c>
      <c r="D912" s="64"/>
      <c r="E912" s="64"/>
      <c r="F912" s="64"/>
      <c r="G912" s="64">
        <f>+C912</f>
        <v>463.5</v>
      </c>
    </row>
    <row r="913" spans="1:7" ht="14.25" hidden="1" customHeight="1">
      <c r="A913" s="1829" t="s">
        <v>227</v>
      </c>
      <c r="B913" s="1830"/>
      <c r="C913" s="1830"/>
      <c r="D913" s="1830"/>
      <c r="E913" s="1830"/>
      <c r="F913" s="1828"/>
      <c r="G913" s="191">
        <f>SUM(G912)</f>
        <v>463.5</v>
      </c>
    </row>
    <row r="914" spans="1:7" ht="14.25" hidden="1" customHeight="1">
      <c r="A914" s="1831"/>
      <c r="B914" s="1830"/>
      <c r="C914" s="1830"/>
      <c r="D914" s="1830"/>
      <c r="E914" s="1830"/>
      <c r="F914" s="1830"/>
      <c r="G914" s="1828"/>
    </row>
    <row r="915" spans="1:7" ht="14.25" hidden="1" customHeight="1">
      <c r="A915" s="66" t="str">
        <f t="shared" ref="A915:B915" si="60">+A908</f>
        <v>CAPITULO 7:</v>
      </c>
      <c r="B915" s="1832" t="str">
        <f t="shared" si="60"/>
        <v xml:space="preserve">INSTALACIONES HIDROSANITARIAS                  </v>
      </c>
      <c r="C915" s="1830"/>
      <c r="D915" s="1828"/>
      <c r="E915" s="1833" t="s">
        <v>218</v>
      </c>
      <c r="F915" s="1828"/>
      <c r="G915" s="197" t="s">
        <v>120</v>
      </c>
    </row>
    <row r="916" spans="1:7" ht="14.25" hidden="1" customHeight="1">
      <c r="A916" s="66" t="s">
        <v>846</v>
      </c>
      <c r="B916" s="1840" t="s">
        <v>847</v>
      </c>
      <c r="C916" s="1830"/>
      <c r="D916" s="1830"/>
      <c r="E916" s="1830"/>
      <c r="F916" s="1830"/>
      <c r="G916" s="1828"/>
    </row>
    <row r="917" spans="1:7" ht="14.25" hidden="1" customHeight="1">
      <c r="A917" s="1836" t="s">
        <v>220</v>
      </c>
      <c r="B917" s="1830"/>
      <c r="C917" s="1830"/>
      <c r="D917" s="1830"/>
      <c r="E917" s="1830"/>
      <c r="F917" s="1830"/>
      <c r="G917" s="1828"/>
    </row>
    <row r="918" spans="1:7" ht="14.25" hidden="1" customHeight="1">
      <c r="A918" s="1829" t="s">
        <v>221</v>
      </c>
      <c r="B918" s="1828"/>
      <c r="C918" s="63" t="s">
        <v>222</v>
      </c>
      <c r="D918" s="63" t="s">
        <v>252</v>
      </c>
      <c r="E918" s="63" t="s">
        <v>224</v>
      </c>
      <c r="F918" s="63" t="s">
        <v>225</v>
      </c>
      <c r="G918" s="63" t="s">
        <v>226</v>
      </c>
    </row>
    <row r="919" spans="1:7" ht="14.25" hidden="1" customHeight="1">
      <c r="A919" s="1827" t="s">
        <v>827</v>
      </c>
      <c r="B919" s="1828"/>
      <c r="C919" s="64">
        <f>52*6</f>
        <v>312</v>
      </c>
      <c r="D919" s="64"/>
      <c r="E919" s="64"/>
      <c r="F919" s="64"/>
      <c r="G919" s="64">
        <f>+C919</f>
        <v>312</v>
      </c>
    </row>
    <row r="920" spans="1:7" ht="14.25" hidden="1" customHeight="1">
      <c r="A920" s="1829" t="s">
        <v>227</v>
      </c>
      <c r="B920" s="1830"/>
      <c r="C920" s="1830"/>
      <c r="D920" s="1830"/>
      <c r="E920" s="1830"/>
      <c r="F920" s="1828"/>
      <c r="G920" s="191">
        <f>SUM(G919)</f>
        <v>312</v>
      </c>
    </row>
    <row r="921" spans="1:7" ht="14.25" hidden="1" customHeight="1">
      <c r="A921" s="1831"/>
      <c r="B921" s="1830"/>
      <c r="C921" s="1830"/>
      <c r="D921" s="1830"/>
      <c r="E921" s="1830"/>
      <c r="F921" s="1830"/>
      <c r="G921" s="1828"/>
    </row>
    <row r="922" spans="1:7" ht="14.25" hidden="1" customHeight="1">
      <c r="A922" s="66" t="str">
        <f t="shared" ref="A922:B922" si="61">+A915</f>
        <v>CAPITULO 7:</v>
      </c>
      <c r="B922" s="1832" t="str">
        <f t="shared" si="61"/>
        <v xml:space="preserve">INSTALACIONES HIDROSANITARIAS                  </v>
      </c>
      <c r="C922" s="1830"/>
      <c r="D922" s="1828"/>
      <c r="E922" s="1833" t="s">
        <v>218</v>
      </c>
      <c r="F922" s="1828"/>
      <c r="G922" s="197" t="s">
        <v>127</v>
      </c>
    </row>
    <row r="923" spans="1:7" ht="14.25" hidden="1" customHeight="1">
      <c r="A923" s="66" t="s">
        <v>848</v>
      </c>
      <c r="B923" s="1840" t="s">
        <v>849</v>
      </c>
      <c r="C923" s="1830"/>
      <c r="D923" s="1830"/>
      <c r="E923" s="1830"/>
      <c r="F923" s="1830"/>
      <c r="G923" s="1828"/>
    </row>
    <row r="924" spans="1:7" ht="14.25" hidden="1" customHeight="1">
      <c r="A924" s="1836" t="s">
        <v>220</v>
      </c>
      <c r="B924" s="1830"/>
      <c r="C924" s="1830"/>
      <c r="D924" s="1830"/>
      <c r="E924" s="1830"/>
      <c r="F924" s="1830"/>
      <c r="G924" s="1828"/>
    </row>
    <row r="925" spans="1:7" ht="14.25" hidden="1" customHeight="1">
      <c r="A925" s="1829" t="s">
        <v>221</v>
      </c>
      <c r="B925" s="1828"/>
      <c r="C925" s="63" t="s">
        <v>222</v>
      </c>
      <c r="D925" s="63" t="s">
        <v>252</v>
      </c>
      <c r="E925" s="63" t="s">
        <v>224</v>
      </c>
      <c r="F925" s="63" t="s">
        <v>225</v>
      </c>
      <c r="G925" s="63" t="s">
        <v>226</v>
      </c>
    </row>
    <row r="926" spans="1:7" ht="14.25" hidden="1" customHeight="1">
      <c r="A926" s="1827" t="s">
        <v>827</v>
      </c>
      <c r="B926" s="1828"/>
      <c r="C926" s="64"/>
      <c r="D926" s="64"/>
      <c r="E926" s="64"/>
      <c r="F926" s="64">
        <v>14</v>
      </c>
      <c r="G926" s="64">
        <f>+F926</f>
        <v>14</v>
      </c>
    </row>
    <row r="927" spans="1:7" ht="14.25" hidden="1" customHeight="1">
      <c r="A927" s="1829" t="s">
        <v>227</v>
      </c>
      <c r="B927" s="1830"/>
      <c r="C927" s="1830"/>
      <c r="D927" s="1830"/>
      <c r="E927" s="1830"/>
      <c r="F927" s="1828"/>
      <c r="G927" s="191">
        <f>SUM(G926)</f>
        <v>14</v>
      </c>
    </row>
    <row r="928" spans="1:7" ht="14.25" hidden="1" customHeight="1">
      <c r="A928" s="1837"/>
      <c r="B928" s="1838"/>
      <c r="C928" s="1838"/>
      <c r="D928" s="1838"/>
      <c r="E928" s="1838"/>
      <c r="F928" s="1838"/>
      <c r="G928" s="1839"/>
    </row>
    <row r="929" spans="1:7" ht="14.25" hidden="1" customHeight="1">
      <c r="A929" s="66" t="str">
        <f t="shared" ref="A929:B929" si="62">+A922</f>
        <v>CAPITULO 7:</v>
      </c>
      <c r="B929" s="1832" t="str">
        <f t="shared" si="62"/>
        <v xml:space="preserve">INSTALACIONES HIDROSANITARIAS                  </v>
      </c>
      <c r="C929" s="1830"/>
      <c r="D929" s="1828"/>
      <c r="E929" s="1833" t="s">
        <v>218</v>
      </c>
      <c r="F929" s="1828"/>
      <c r="G929" s="197" t="s">
        <v>127</v>
      </c>
    </row>
    <row r="930" spans="1:7" ht="14.25" hidden="1" customHeight="1">
      <c r="A930" s="66" t="s">
        <v>850</v>
      </c>
      <c r="B930" s="1840" t="s">
        <v>851</v>
      </c>
      <c r="C930" s="1830"/>
      <c r="D930" s="1830"/>
      <c r="E930" s="1830"/>
      <c r="F930" s="1830"/>
      <c r="G930" s="1828"/>
    </row>
    <row r="931" spans="1:7" ht="14.25" hidden="1" customHeight="1">
      <c r="A931" s="1836" t="s">
        <v>220</v>
      </c>
      <c r="B931" s="1830"/>
      <c r="C931" s="1830"/>
      <c r="D931" s="1830"/>
      <c r="E931" s="1830"/>
      <c r="F931" s="1830"/>
      <c r="G931" s="1828"/>
    </row>
    <row r="932" spans="1:7" ht="14.25" hidden="1" customHeight="1">
      <c r="A932" s="1829" t="s">
        <v>221</v>
      </c>
      <c r="B932" s="1828"/>
      <c r="C932" s="63" t="s">
        <v>222</v>
      </c>
      <c r="D932" s="63" t="s">
        <v>252</v>
      </c>
      <c r="E932" s="63" t="s">
        <v>224</v>
      </c>
      <c r="F932" s="63" t="s">
        <v>225</v>
      </c>
      <c r="G932" s="63" t="s">
        <v>226</v>
      </c>
    </row>
    <row r="933" spans="1:7" ht="14.25" hidden="1" customHeight="1">
      <c r="A933" s="1827" t="s">
        <v>827</v>
      </c>
      <c r="B933" s="1828"/>
      <c r="C933" s="64"/>
      <c r="D933" s="64"/>
      <c r="E933" s="64"/>
      <c r="F933" s="64">
        <v>32</v>
      </c>
      <c r="G933" s="64">
        <f>+F933</f>
        <v>32</v>
      </c>
    </row>
    <row r="934" spans="1:7" ht="14.25" hidden="1" customHeight="1">
      <c r="A934" s="1829" t="s">
        <v>227</v>
      </c>
      <c r="B934" s="1830"/>
      <c r="C934" s="1830"/>
      <c r="D934" s="1830"/>
      <c r="E934" s="1830"/>
      <c r="F934" s="1828"/>
      <c r="G934" s="191">
        <f>SUM(G933)</f>
        <v>32</v>
      </c>
    </row>
    <row r="935" spans="1:7" ht="14.25" hidden="1" customHeight="1">
      <c r="A935" s="1837"/>
      <c r="B935" s="1838"/>
      <c r="C935" s="1838"/>
      <c r="D935" s="1838"/>
      <c r="E935" s="1838"/>
      <c r="F935" s="1838"/>
      <c r="G935" s="1839"/>
    </row>
    <row r="936" spans="1:7" ht="14.25" hidden="1" customHeight="1">
      <c r="A936" s="66" t="str">
        <f t="shared" ref="A936:B936" si="63">+A922</f>
        <v>CAPITULO 7:</v>
      </c>
      <c r="B936" s="1832" t="str">
        <f t="shared" si="63"/>
        <v xml:space="preserve">INSTALACIONES HIDROSANITARIAS                  </v>
      </c>
      <c r="C936" s="1830"/>
      <c r="D936" s="1828"/>
      <c r="E936" s="1833" t="s">
        <v>218</v>
      </c>
      <c r="F936" s="1834"/>
      <c r="G936" s="197" t="s">
        <v>127</v>
      </c>
    </row>
    <row r="937" spans="1:7" ht="14.25" hidden="1" customHeight="1">
      <c r="A937" s="66" t="s">
        <v>852</v>
      </c>
      <c r="B937" s="1835" t="s">
        <v>853</v>
      </c>
      <c r="C937" s="1621"/>
      <c r="D937" s="1621"/>
      <c r="E937" s="1621"/>
      <c r="F937" s="1621"/>
      <c r="G937" s="1622"/>
    </row>
    <row r="938" spans="1:7" ht="14.25" hidden="1" customHeight="1">
      <c r="A938" s="1836" t="s">
        <v>220</v>
      </c>
      <c r="B938" s="1830"/>
      <c r="C938" s="1830"/>
      <c r="D938" s="1830"/>
      <c r="E938" s="1830"/>
      <c r="F938" s="1830"/>
      <c r="G938" s="1828"/>
    </row>
    <row r="939" spans="1:7" ht="14.25" hidden="1" customHeight="1">
      <c r="A939" s="1829" t="s">
        <v>221</v>
      </c>
      <c r="B939" s="1828"/>
      <c r="C939" s="63" t="s">
        <v>222</v>
      </c>
      <c r="D939" s="63" t="s">
        <v>252</v>
      </c>
      <c r="E939" s="63" t="s">
        <v>224</v>
      </c>
      <c r="F939" s="63" t="s">
        <v>225</v>
      </c>
      <c r="G939" s="63" t="s">
        <v>226</v>
      </c>
    </row>
    <row r="940" spans="1:7" ht="14.25" hidden="1" customHeight="1">
      <c r="A940" s="1827" t="s">
        <v>827</v>
      </c>
      <c r="B940" s="1828"/>
      <c r="C940" s="64"/>
      <c r="D940" s="64"/>
      <c r="E940" s="64"/>
      <c r="F940" s="64">
        <v>27</v>
      </c>
      <c r="G940" s="64">
        <f>+F940</f>
        <v>27</v>
      </c>
    </row>
    <row r="941" spans="1:7" ht="14.25" hidden="1" customHeight="1">
      <c r="A941" s="1850"/>
      <c r="B941" s="1828"/>
      <c r="C941" s="64"/>
      <c r="D941" s="64"/>
      <c r="E941" s="64"/>
      <c r="F941" s="64"/>
      <c r="G941" s="64"/>
    </row>
    <row r="942" spans="1:7" ht="14.25" hidden="1" customHeight="1">
      <c r="A942" s="1829" t="s">
        <v>227</v>
      </c>
      <c r="B942" s="1830"/>
      <c r="C942" s="1830"/>
      <c r="D942" s="1830"/>
      <c r="E942" s="1830"/>
      <c r="F942" s="1828"/>
      <c r="G942" s="191">
        <f>SUM(G940:G941)</f>
        <v>27</v>
      </c>
    </row>
    <row r="943" spans="1:7" ht="14.25" hidden="1" customHeight="1">
      <c r="A943" s="1837"/>
      <c r="B943" s="1838"/>
      <c r="C943" s="1838"/>
      <c r="D943" s="1838"/>
      <c r="E943" s="1838"/>
      <c r="F943" s="1838"/>
      <c r="G943" s="1839"/>
    </row>
    <row r="944" spans="1:7" ht="14.25" hidden="1" customHeight="1">
      <c r="A944" s="66" t="str">
        <f t="shared" ref="A944:B944" si="64">+A936</f>
        <v>CAPITULO 7:</v>
      </c>
      <c r="B944" s="1832" t="str">
        <f t="shared" si="64"/>
        <v xml:space="preserve">INSTALACIONES HIDROSANITARIAS                  </v>
      </c>
      <c r="C944" s="1830"/>
      <c r="D944" s="1828"/>
      <c r="E944" s="1833" t="s">
        <v>218</v>
      </c>
      <c r="F944" s="1834"/>
      <c r="G944" s="197" t="s">
        <v>120</v>
      </c>
    </row>
    <row r="945" spans="1:7" ht="32.25" hidden="1" customHeight="1">
      <c r="A945" s="66" t="s">
        <v>854</v>
      </c>
      <c r="B945" s="1835" t="s">
        <v>855</v>
      </c>
      <c r="C945" s="1621"/>
      <c r="D945" s="1621"/>
      <c r="E945" s="1621"/>
      <c r="F945" s="1621"/>
      <c r="G945" s="1622"/>
    </row>
    <row r="946" spans="1:7" ht="14.25" hidden="1" customHeight="1">
      <c r="A946" s="1836" t="s">
        <v>220</v>
      </c>
      <c r="B946" s="1830"/>
      <c r="C946" s="1830"/>
      <c r="D946" s="1830"/>
      <c r="E946" s="1830"/>
      <c r="F946" s="1830"/>
      <c r="G946" s="1828"/>
    </row>
    <row r="947" spans="1:7" ht="14.25" hidden="1" customHeight="1">
      <c r="A947" s="1829" t="s">
        <v>221</v>
      </c>
      <c r="B947" s="1828"/>
      <c r="C947" s="63" t="s">
        <v>222</v>
      </c>
      <c r="D947" s="63" t="s">
        <v>252</v>
      </c>
      <c r="E947" s="63" t="s">
        <v>224</v>
      </c>
      <c r="F947" s="63" t="s">
        <v>225</v>
      </c>
      <c r="G947" s="63" t="s">
        <v>226</v>
      </c>
    </row>
    <row r="948" spans="1:7" ht="14.25" hidden="1" customHeight="1">
      <c r="A948" s="1827" t="s">
        <v>856</v>
      </c>
      <c r="B948" s="1828"/>
      <c r="C948" s="64">
        <v>12.45</v>
      </c>
      <c r="D948" s="64"/>
      <c r="E948" s="64"/>
      <c r="F948" s="64"/>
      <c r="G948" s="64">
        <f>+C948</f>
        <v>12.45</v>
      </c>
    </row>
    <row r="949" spans="1:7" ht="14.25" hidden="1" customHeight="1">
      <c r="A949" s="1827"/>
      <c r="B949" s="1828"/>
      <c r="C949" s="64"/>
      <c r="D949" s="64"/>
      <c r="E949" s="64"/>
      <c r="F949" s="64"/>
      <c r="G949" s="64"/>
    </row>
    <row r="950" spans="1:7" ht="14.25" hidden="1" customHeight="1">
      <c r="A950" s="1829" t="s">
        <v>227</v>
      </c>
      <c r="B950" s="1830"/>
      <c r="C950" s="1830"/>
      <c r="D950" s="1830"/>
      <c r="E950" s="1830"/>
      <c r="F950" s="1828"/>
      <c r="G950" s="191">
        <f>SUM(G948:G949)</f>
        <v>12.45</v>
      </c>
    </row>
    <row r="951" spans="1:7" ht="14.25" hidden="1" customHeight="1">
      <c r="A951" s="1837"/>
      <c r="B951" s="1838"/>
      <c r="C951" s="1838"/>
      <c r="D951" s="1838"/>
      <c r="E951" s="1838"/>
      <c r="F951" s="1838"/>
      <c r="G951" s="1839"/>
    </row>
    <row r="952" spans="1:7" ht="14.25" hidden="1" customHeight="1">
      <c r="A952" s="66" t="str">
        <f>+A944</f>
        <v>CAPITULO 7:</v>
      </c>
      <c r="B952" s="1832" t="s">
        <v>255</v>
      </c>
      <c r="C952" s="1830"/>
      <c r="D952" s="1828"/>
      <c r="E952" s="1833" t="s">
        <v>218</v>
      </c>
      <c r="F952" s="1834"/>
      <c r="G952" s="70" t="s">
        <v>127</v>
      </c>
    </row>
    <row r="953" spans="1:7" ht="29.25" hidden="1" customHeight="1">
      <c r="A953" s="66" t="s">
        <v>857</v>
      </c>
      <c r="B953" s="1835" t="s">
        <v>858</v>
      </c>
      <c r="C953" s="1621"/>
      <c r="D953" s="1621"/>
      <c r="E953" s="1621"/>
      <c r="F953" s="1621"/>
      <c r="G953" s="1622"/>
    </row>
    <row r="954" spans="1:7" ht="14.25" hidden="1" customHeight="1">
      <c r="A954" s="1836" t="s">
        <v>220</v>
      </c>
      <c r="B954" s="1830"/>
      <c r="C954" s="1830"/>
      <c r="D954" s="1830"/>
      <c r="E954" s="1830"/>
      <c r="F954" s="1830"/>
      <c r="G954" s="1828"/>
    </row>
    <row r="955" spans="1:7" ht="14.25" hidden="1" customHeight="1">
      <c r="A955" s="1829" t="s">
        <v>221</v>
      </c>
      <c r="B955" s="1828"/>
      <c r="C955" s="63" t="s">
        <v>222</v>
      </c>
      <c r="D955" s="63" t="s">
        <v>252</v>
      </c>
      <c r="E955" s="63" t="s">
        <v>224</v>
      </c>
      <c r="F955" s="63" t="s">
        <v>225</v>
      </c>
      <c r="G955" s="63" t="s">
        <v>226</v>
      </c>
    </row>
    <row r="956" spans="1:7" ht="14.25" hidden="1" customHeight="1">
      <c r="A956" s="1827" t="s">
        <v>827</v>
      </c>
      <c r="B956" s="1828"/>
      <c r="C956" s="64"/>
      <c r="D956" s="64"/>
      <c r="E956" s="64"/>
      <c r="F956" s="64">
        <v>163</v>
      </c>
      <c r="G956" s="64">
        <f>+F956</f>
        <v>163</v>
      </c>
    </row>
    <row r="957" spans="1:7" ht="14.25" hidden="1" customHeight="1">
      <c r="A957" s="1829" t="s">
        <v>227</v>
      </c>
      <c r="B957" s="1830"/>
      <c r="C957" s="1830"/>
      <c r="D957" s="1830"/>
      <c r="E957" s="1830"/>
      <c r="F957" s="1828"/>
      <c r="G957" s="191">
        <f>SUM(G956)</f>
        <v>163</v>
      </c>
    </row>
    <row r="958" spans="1:7" ht="14.25" hidden="1" customHeight="1">
      <c r="A958" s="1837"/>
      <c r="B958" s="1838"/>
      <c r="C958" s="1838"/>
      <c r="D958" s="1838"/>
      <c r="E958" s="1838"/>
      <c r="F958" s="1838"/>
      <c r="G958" s="1839"/>
    </row>
    <row r="959" spans="1:7" ht="14.25" hidden="1" customHeight="1">
      <c r="A959" s="66" t="str">
        <f t="shared" ref="A959:B959" si="65">+A952</f>
        <v>CAPITULO 7:</v>
      </c>
      <c r="B959" s="1832" t="str">
        <f t="shared" si="65"/>
        <v xml:space="preserve">INSTALACIONES HIDROSANITARIAS           </v>
      </c>
      <c r="C959" s="1830"/>
      <c r="D959" s="1828"/>
      <c r="E959" s="1833" t="s">
        <v>218</v>
      </c>
      <c r="F959" s="1834"/>
      <c r="G959" s="70" t="s">
        <v>120</v>
      </c>
    </row>
    <row r="960" spans="1:7" ht="14.25" hidden="1" customHeight="1">
      <c r="A960" s="66" t="s">
        <v>859</v>
      </c>
      <c r="B960" s="1835" t="s">
        <v>860</v>
      </c>
      <c r="C960" s="1621"/>
      <c r="D960" s="1621"/>
      <c r="E960" s="1621"/>
      <c r="F960" s="1621"/>
      <c r="G960" s="1622"/>
    </row>
    <row r="961" spans="1:7" ht="14.25" hidden="1" customHeight="1">
      <c r="A961" s="1836" t="s">
        <v>220</v>
      </c>
      <c r="B961" s="1830"/>
      <c r="C961" s="1830"/>
      <c r="D961" s="1830"/>
      <c r="E961" s="1830"/>
      <c r="F961" s="1830"/>
      <c r="G961" s="1828"/>
    </row>
    <row r="962" spans="1:7" ht="14.25" hidden="1" customHeight="1">
      <c r="A962" s="1829" t="s">
        <v>221</v>
      </c>
      <c r="B962" s="1828"/>
      <c r="C962" s="63" t="s">
        <v>222</v>
      </c>
      <c r="D962" s="63" t="s">
        <v>252</v>
      </c>
      <c r="E962" s="63" t="s">
        <v>224</v>
      </c>
      <c r="F962" s="63" t="s">
        <v>225</v>
      </c>
      <c r="G962" s="63" t="s">
        <v>226</v>
      </c>
    </row>
    <row r="963" spans="1:7" ht="14.25" hidden="1" customHeight="1">
      <c r="A963" s="1827" t="s">
        <v>827</v>
      </c>
      <c r="B963" s="1828"/>
      <c r="C963" s="64">
        <f>+F956*1.5</f>
        <v>244.5</v>
      </c>
      <c r="D963" s="64"/>
      <c r="E963" s="64"/>
      <c r="F963" s="64"/>
      <c r="G963" s="64">
        <f>+C963</f>
        <v>244.5</v>
      </c>
    </row>
    <row r="964" spans="1:7" ht="14.25" hidden="1" customHeight="1">
      <c r="A964" s="1829" t="s">
        <v>227</v>
      </c>
      <c r="B964" s="1830"/>
      <c r="C964" s="1830"/>
      <c r="D964" s="1830"/>
      <c r="E964" s="1830"/>
      <c r="F964" s="1828"/>
      <c r="G964" s="191">
        <f>SUM(G963)</f>
        <v>244.5</v>
      </c>
    </row>
    <row r="965" spans="1:7" ht="14.25" hidden="1" customHeight="1">
      <c r="A965" s="1837"/>
      <c r="B965" s="1838"/>
      <c r="C965" s="1838"/>
      <c r="D965" s="1838"/>
      <c r="E965" s="1838"/>
      <c r="F965" s="1838"/>
      <c r="G965" s="1839"/>
    </row>
    <row r="966" spans="1:7" ht="14.25" hidden="1" customHeight="1">
      <c r="A966" s="66" t="str">
        <f t="shared" ref="A966:B966" si="66">+A959</f>
        <v>CAPITULO 7:</v>
      </c>
      <c r="B966" s="1832" t="str">
        <f t="shared" si="66"/>
        <v xml:space="preserve">INSTALACIONES HIDROSANITARIAS           </v>
      </c>
      <c r="C966" s="1830"/>
      <c r="D966" s="1828"/>
      <c r="E966" s="1833" t="s">
        <v>218</v>
      </c>
      <c r="F966" s="1834"/>
      <c r="G966" s="70" t="s">
        <v>120</v>
      </c>
    </row>
    <row r="967" spans="1:7" ht="14.25" hidden="1" customHeight="1">
      <c r="A967" s="66" t="s">
        <v>861</v>
      </c>
      <c r="B967" s="1835" t="s">
        <v>862</v>
      </c>
      <c r="C967" s="1621"/>
      <c r="D967" s="1621"/>
      <c r="E967" s="1621"/>
      <c r="F967" s="1621"/>
      <c r="G967" s="1622"/>
    </row>
    <row r="968" spans="1:7" ht="14.25" hidden="1" customHeight="1">
      <c r="A968" s="1836" t="s">
        <v>220</v>
      </c>
      <c r="B968" s="1830"/>
      <c r="C968" s="1830"/>
      <c r="D968" s="1830"/>
      <c r="E968" s="1830"/>
      <c r="F968" s="1830"/>
      <c r="G968" s="1828"/>
    </row>
    <row r="969" spans="1:7" ht="14.25" hidden="1" customHeight="1">
      <c r="A969" s="1829" t="s">
        <v>221</v>
      </c>
      <c r="B969" s="1828"/>
      <c r="C969" s="63" t="s">
        <v>222</v>
      </c>
      <c r="D969" s="63" t="s">
        <v>252</v>
      </c>
      <c r="E969" s="63" t="s">
        <v>224</v>
      </c>
      <c r="F969" s="63" t="s">
        <v>225</v>
      </c>
      <c r="G969" s="63" t="s">
        <v>226</v>
      </c>
    </row>
    <row r="970" spans="1:7" ht="14.25" hidden="1" customHeight="1">
      <c r="A970" s="1827" t="s">
        <v>827</v>
      </c>
      <c r="B970" s="1828"/>
      <c r="C970" s="64">
        <f>+G956*0.75</f>
        <v>122.25</v>
      </c>
      <c r="D970" s="64"/>
      <c r="E970" s="64"/>
      <c r="F970" s="64"/>
      <c r="G970" s="64">
        <f>+C970</f>
        <v>122.25</v>
      </c>
    </row>
    <row r="971" spans="1:7" ht="14.25" hidden="1" customHeight="1">
      <c r="A971" s="1829" t="s">
        <v>227</v>
      </c>
      <c r="B971" s="1830"/>
      <c r="C971" s="1830"/>
      <c r="D971" s="1830"/>
      <c r="E971" s="1830"/>
      <c r="F971" s="1828"/>
      <c r="G971" s="191">
        <f>SUM(G970)</f>
        <v>122.25</v>
      </c>
    </row>
    <row r="972" spans="1:7" ht="14.25" hidden="1" customHeight="1">
      <c r="A972" s="1837"/>
      <c r="B972" s="1838"/>
      <c r="C972" s="1838"/>
      <c r="D972" s="1838"/>
      <c r="E972" s="1838"/>
      <c r="F972" s="1838"/>
      <c r="G972" s="1839"/>
    </row>
    <row r="973" spans="1:7" ht="14.25" hidden="1" customHeight="1">
      <c r="A973" s="66" t="str">
        <f t="shared" ref="A973:B973" si="67">+A966</f>
        <v>CAPITULO 7:</v>
      </c>
      <c r="B973" s="1832" t="str">
        <f t="shared" si="67"/>
        <v xml:space="preserve">INSTALACIONES HIDROSANITARIAS           </v>
      </c>
      <c r="C973" s="1830"/>
      <c r="D973" s="1828"/>
      <c r="E973" s="1833" t="s">
        <v>218</v>
      </c>
      <c r="F973" s="1834"/>
      <c r="G973" s="70" t="s">
        <v>120</v>
      </c>
    </row>
    <row r="974" spans="1:7" ht="14.25" hidden="1" customHeight="1">
      <c r="A974" s="66" t="s">
        <v>863</v>
      </c>
      <c r="B974" s="1835" t="s">
        <v>864</v>
      </c>
      <c r="C974" s="1621"/>
      <c r="D974" s="1621"/>
      <c r="E974" s="1621"/>
      <c r="F974" s="1621"/>
      <c r="G974" s="1622"/>
    </row>
    <row r="975" spans="1:7" ht="14.25" hidden="1" customHeight="1">
      <c r="A975" s="1836" t="s">
        <v>220</v>
      </c>
      <c r="B975" s="1830"/>
      <c r="C975" s="1830"/>
      <c r="D975" s="1830"/>
      <c r="E975" s="1830"/>
      <c r="F975" s="1830"/>
      <c r="G975" s="1828"/>
    </row>
    <row r="976" spans="1:7" ht="14.25" hidden="1" customHeight="1">
      <c r="A976" s="1829" t="s">
        <v>221</v>
      </c>
      <c r="B976" s="1828"/>
      <c r="C976" s="63" t="s">
        <v>222</v>
      </c>
      <c r="D976" s="63" t="s">
        <v>252</v>
      </c>
      <c r="E976" s="63" t="s">
        <v>224</v>
      </c>
      <c r="F976" s="63" t="s">
        <v>225</v>
      </c>
      <c r="G976" s="63" t="s">
        <v>226</v>
      </c>
    </row>
    <row r="977" spans="1:7" ht="14.25" hidden="1" customHeight="1">
      <c r="A977" s="1827" t="s">
        <v>827</v>
      </c>
      <c r="B977" s="1828"/>
      <c r="C977" s="64">
        <f>+F956*4.5</f>
        <v>733.5</v>
      </c>
      <c r="D977" s="64"/>
      <c r="E977" s="64"/>
      <c r="F977" s="64"/>
      <c r="G977" s="64">
        <f>+C977</f>
        <v>733.5</v>
      </c>
    </row>
    <row r="978" spans="1:7" ht="14.25" hidden="1" customHeight="1">
      <c r="A978" s="1827"/>
      <c r="B978" s="1828"/>
      <c r="C978" s="64"/>
      <c r="D978" s="64"/>
      <c r="E978" s="64"/>
      <c r="F978" s="64"/>
      <c r="G978" s="64"/>
    </row>
    <row r="979" spans="1:7" ht="14.25" hidden="1" customHeight="1">
      <c r="A979" s="1829" t="s">
        <v>227</v>
      </c>
      <c r="B979" s="1830"/>
      <c r="C979" s="1830"/>
      <c r="D979" s="1830"/>
      <c r="E979" s="1830"/>
      <c r="F979" s="1828"/>
      <c r="G979" s="191">
        <f>SUM(G977:G978)</f>
        <v>733.5</v>
      </c>
    </row>
    <row r="980" spans="1:7" ht="14.25" hidden="1" customHeight="1">
      <c r="A980" s="1837"/>
      <c r="B980" s="1838"/>
      <c r="C980" s="1838"/>
      <c r="D980" s="1838"/>
      <c r="E980" s="1838"/>
      <c r="F980" s="1838"/>
      <c r="G980" s="1839"/>
    </row>
    <row r="981" spans="1:7" ht="14.25" hidden="1" customHeight="1">
      <c r="A981" s="66" t="str">
        <f t="shared" ref="A981:B981" si="68">+A973</f>
        <v>CAPITULO 7:</v>
      </c>
      <c r="B981" s="1832" t="str">
        <f t="shared" si="68"/>
        <v xml:space="preserve">INSTALACIONES HIDROSANITARIAS           </v>
      </c>
      <c r="C981" s="1830"/>
      <c r="D981" s="1828"/>
      <c r="E981" s="1833" t="s">
        <v>218</v>
      </c>
      <c r="F981" s="1834"/>
      <c r="G981" s="70" t="s">
        <v>127</v>
      </c>
    </row>
    <row r="982" spans="1:7" ht="14.25" hidden="1" customHeight="1">
      <c r="A982" s="66" t="s">
        <v>865</v>
      </c>
      <c r="B982" s="1835" t="s">
        <v>866</v>
      </c>
      <c r="C982" s="1621"/>
      <c r="D982" s="1621"/>
      <c r="E982" s="1621"/>
      <c r="F982" s="1621"/>
      <c r="G982" s="1622"/>
    </row>
    <row r="983" spans="1:7" ht="14.25" hidden="1" customHeight="1">
      <c r="A983" s="1836" t="s">
        <v>220</v>
      </c>
      <c r="B983" s="1830"/>
      <c r="C983" s="1830"/>
      <c r="D983" s="1830"/>
      <c r="E983" s="1830"/>
      <c r="F983" s="1830"/>
      <c r="G983" s="1828"/>
    </row>
    <row r="984" spans="1:7" ht="14.25" hidden="1" customHeight="1">
      <c r="A984" s="1829" t="s">
        <v>221</v>
      </c>
      <c r="B984" s="1828"/>
      <c r="C984" s="63" t="s">
        <v>222</v>
      </c>
      <c r="D984" s="63" t="s">
        <v>252</v>
      </c>
      <c r="E984" s="63" t="s">
        <v>224</v>
      </c>
      <c r="F984" s="63" t="s">
        <v>225</v>
      </c>
      <c r="G984" s="63" t="s">
        <v>226</v>
      </c>
    </row>
    <row r="985" spans="1:7" ht="14.25" hidden="1" customHeight="1">
      <c r="A985" s="1827" t="s">
        <v>827</v>
      </c>
      <c r="B985" s="1828"/>
      <c r="C985" s="64"/>
      <c r="D985" s="64"/>
      <c r="E985" s="64"/>
      <c r="F985" s="64">
        <v>22</v>
      </c>
      <c r="G985" s="64">
        <f>+F985</f>
        <v>22</v>
      </c>
    </row>
    <row r="986" spans="1:7" ht="14.25" hidden="1" customHeight="1">
      <c r="A986" s="1829" t="s">
        <v>227</v>
      </c>
      <c r="B986" s="1830"/>
      <c r="C986" s="1830"/>
      <c r="D986" s="1830"/>
      <c r="E986" s="1830"/>
      <c r="F986" s="1828"/>
      <c r="G986" s="191">
        <f>SUM(G985)</f>
        <v>22</v>
      </c>
    </row>
    <row r="987" spans="1:7" ht="14.25" hidden="1" customHeight="1">
      <c r="A987" s="1837"/>
      <c r="B987" s="1838"/>
      <c r="C987" s="1838"/>
      <c r="D987" s="1838"/>
      <c r="E987" s="1838"/>
      <c r="F987" s="1838"/>
      <c r="G987" s="1839"/>
    </row>
    <row r="988" spans="1:7" ht="14.25" hidden="1" customHeight="1">
      <c r="A988" s="66" t="str">
        <f t="shared" ref="A988:B988" si="69">+A981</f>
        <v>CAPITULO 7:</v>
      </c>
      <c r="B988" s="1832" t="str">
        <f t="shared" si="69"/>
        <v xml:space="preserve">INSTALACIONES HIDROSANITARIAS           </v>
      </c>
      <c r="C988" s="1830"/>
      <c r="D988" s="1828"/>
      <c r="E988" s="1833" t="s">
        <v>218</v>
      </c>
      <c r="F988" s="1834"/>
      <c r="G988" s="70" t="s">
        <v>127</v>
      </c>
    </row>
    <row r="989" spans="1:7" ht="14.25" hidden="1" customHeight="1">
      <c r="A989" s="66" t="s">
        <v>867</v>
      </c>
      <c r="B989" s="1835" t="s">
        <v>868</v>
      </c>
      <c r="C989" s="1621"/>
      <c r="D989" s="1621"/>
      <c r="E989" s="1621"/>
      <c r="F989" s="1621"/>
      <c r="G989" s="1622"/>
    </row>
    <row r="990" spans="1:7" ht="14.25" hidden="1" customHeight="1">
      <c r="A990" s="1836" t="s">
        <v>220</v>
      </c>
      <c r="B990" s="1830"/>
      <c r="C990" s="1830"/>
      <c r="D990" s="1830"/>
      <c r="E990" s="1830"/>
      <c r="F990" s="1830"/>
      <c r="G990" s="1828"/>
    </row>
    <row r="991" spans="1:7" ht="14.25" hidden="1" customHeight="1">
      <c r="A991" s="1829" t="s">
        <v>221</v>
      </c>
      <c r="B991" s="1828"/>
      <c r="C991" s="63" t="s">
        <v>222</v>
      </c>
      <c r="D991" s="63" t="s">
        <v>252</v>
      </c>
      <c r="E991" s="63" t="s">
        <v>224</v>
      </c>
      <c r="F991" s="63" t="s">
        <v>225</v>
      </c>
      <c r="G991" s="63" t="s">
        <v>226</v>
      </c>
    </row>
    <row r="992" spans="1:7" ht="14.25" hidden="1" customHeight="1">
      <c r="A992" s="1827" t="s">
        <v>827</v>
      </c>
      <c r="B992" s="1828"/>
      <c r="C992" s="64"/>
      <c r="D992" s="64"/>
      <c r="E992" s="64"/>
      <c r="F992" s="64">
        <v>14</v>
      </c>
      <c r="G992" s="64">
        <f>+F992</f>
        <v>14</v>
      </c>
    </row>
    <row r="993" spans="1:7" ht="14.25" hidden="1" customHeight="1">
      <c r="A993" s="1827"/>
      <c r="B993" s="1828"/>
      <c r="C993" s="64"/>
      <c r="D993" s="64"/>
      <c r="E993" s="64"/>
      <c r="F993" s="64"/>
      <c r="G993" s="64"/>
    </row>
    <row r="994" spans="1:7" ht="14.25" hidden="1" customHeight="1">
      <c r="A994" s="1829" t="s">
        <v>227</v>
      </c>
      <c r="B994" s="1830"/>
      <c r="C994" s="1830"/>
      <c r="D994" s="1830"/>
      <c r="E994" s="1830"/>
      <c r="F994" s="1828"/>
      <c r="G994" s="191">
        <f>SUM(G992:G993)</f>
        <v>14</v>
      </c>
    </row>
    <row r="995" spans="1:7" ht="14.25" hidden="1" customHeight="1">
      <c r="A995" s="1837"/>
      <c r="B995" s="1838"/>
      <c r="C995" s="1838"/>
      <c r="D995" s="1838"/>
      <c r="E995" s="1838"/>
      <c r="F995" s="1838"/>
      <c r="G995" s="1839"/>
    </row>
    <row r="996" spans="1:7" ht="14.25" hidden="1" customHeight="1">
      <c r="A996" s="66" t="str">
        <f t="shared" ref="A996:B996" si="70">+A988</f>
        <v>CAPITULO 7:</v>
      </c>
      <c r="B996" s="1832" t="str">
        <f t="shared" si="70"/>
        <v xml:space="preserve">INSTALACIONES HIDROSANITARIAS           </v>
      </c>
      <c r="C996" s="1830"/>
      <c r="D996" s="1828"/>
      <c r="E996" s="1833" t="s">
        <v>218</v>
      </c>
      <c r="F996" s="1834"/>
      <c r="G996" s="70" t="s">
        <v>127</v>
      </c>
    </row>
    <row r="997" spans="1:7" ht="14.25" hidden="1" customHeight="1">
      <c r="A997" s="66" t="s">
        <v>869</v>
      </c>
      <c r="B997" s="1835" t="s">
        <v>870</v>
      </c>
      <c r="C997" s="1621"/>
      <c r="D997" s="1621"/>
      <c r="E997" s="1621"/>
      <c r="F997" s="1621"/>
      <c r="G997" s="1622"/>
    </row>
    <row r="998" spans="1:7" ht="14.25" hidden="1" customHeight="1">
      <c r="A998" s="1836" t="s">
        <v>220</v>
      </c>
      <c r="B998" s="1830"/>
      <c r="C998" s="1830"/>
      <c r="D998" s="1830"/>
      <c r="E998" s="1830"/>
      <c r="F998" s="1830"/>
      <c r="G998" s="1828"/>
    </row>
    <row r="999" spans="1:7" ht="14.25" hidden="1" customHeight="1">
      <c r="A999" s="1829" t="s">
        <v>221</v>
      </c>
      <c r="B999" s="1828"/>
      <c r="C999" s="63" t="s">
        <v>222</v>
      </c>
      <c r="D999" s="63" t="s">
        <v>252</v>
      </c>
      <c r="E999" s="63" t="s">
        <v>224</v>
      </c>
      <c r="F999" s="63" t="s">
        <v>225</v>
      </c>
      <c r="G999" s="63" t="s">
        <v>226</v>
      </c>
    </row>
    <row r="1000" spans="1:7" ht="14.25" hidden="1" customHeight="1">
      <c r="A1000" s="1827" t="s">
        <v>827</v>
      </c>
      <c r="B1000" s="1828"/>
      <c r="C1000" s="64"/>
      <c r="D1000" s="64"/>
      <c r="E1000" s="64"/>
      <c r="F1000" s="64">
        <v>37</v>
      </c>
      <c r="G1000" s="64">
        <f>+F1000</f>
        <v>37</v>
      </c>
    </row>
    <row r="1001" spans="1:7" ht="14.25" hidden="1" customHeight="1">
      <c r="A1001" s="1827"/>
      <c r="B1001" s="1828"/>
      <c r="C1001" s="64"/>
      <c r="D1001" s="64"/>
      <c r="E1001" s="64"/>
      <c r="F1001" s="64"/>
      <c r="G1001" s="64"/>
    </row>
    <row r="1002" spans="1:7" ht="14.25" hidden="1" customHeight="1">
      <c r="A1002" s="1829" t="s">
        <v>227</v>
      </c>
      <c r="B1002" s="1830"/>
      <c r="C1002" s="1830"/>
      <c r="D1002" s="1830"/>
      <c r="E1002" s="1830"/>
      <c r="F1002" s="1828"/>
      <c r="G1002" s="191">
        <f>SUM(G1000:G1001)</f>
        <v>37</v>
      </c>
    </row>
    <row r="1003" spans="1:7" ht="14.25" hidden="1" customHeight="1">
      <c r="A1003" s="1837"/>
      <c r="B1003" s="1838"/>
      <c r="C1003" s="1838"/>
      <c r="D1003" s="1838"/>
      <c r="E1003" s="1838"/>
      <c r="F1003" s="1838"/>
      <c r="G1003" s="1839"/>
    </row>
    <row r="1004" spans="1:7" ht="14.25" hidden="1" customHeight="1">
      <c r="A1004" s="66" t="str">
        <f t="shared" ref="A1004:B1004" si="71">+A988</f>
        <v>CAPITULO 7:</v>
      </c>
      <c r="B1004" s="1832" t="str">
        <f t="shared" si="71"/>
        <v xml:space="preserve">INSTALACIONES HIDROSANITARIAS           </v>
      </c>
      <c r="C1004" s="1830"/>
      <c r="D1004" s="1828"/>
      <c r="E1004" s="1833" t="s">
        <v>218</v>
      </c>
      <c r="F1004" s="1834"/>
      <c r="G1004" s="70" t="s">
        <v>127</v>
      </c>
    </row>
    <row r="1005" spans="1:7" ht="14.25" hidden="1" customHeight="1">
      <c r="A1005" s="66" t="s">
        <v>871</v>
      </c>
      <c r="B1005" s="1835" t="s">
        <v>872</v>
      </c>
      <c r="C1005" s="1621"/>
      <c r="D1005" s="1621"/>
      <c r="E1005" s="1621"/>
      <c r="F1005" s="1621"/>
      <c r="G1005" s="1622"/>
    </row>
    <row r="1006" spans="1:7" ht="14.25" hidden="1" customHeight="1">
      <c r="A1006" s="1836" t="s">
        <v>220</v>
      </c>
      <c r="B1006" s="1830"/>
      <c r="C1006" s="1830"/>
      <c r="D1006" s="1830"/>
      <c r="E1006" s="1830"/>
      <c r="F1006" s="1830"/>
      <c r="G1006" s="1828"/>
    </row>
    <row r="1007" spans="1:7" ht="14.25" hidden="1" customHeight="1">
      <c r="A1007" s="1829" t="s">
        <v>221</v>
      </c>
      <c r="B1007" s="1828"/>
      <c r="C1007" s="63" t="s">
        <v>222</v>
      </c>
      <c r="D1007" s="63" t="s">
        <v>252</v>
      </c>
      <c r="E1007" s="63" t="s">
        <v>224</v>
      </c>
      <c r="F1007" s="63" t="s">
        <v>225</v>
      </c>
      <c r="G1007" s="63" t="s">
        <v>226</v>
      </c>
    </row>
    <row r="1008" spans="1:7" ht="14.25" hidden="1" customHeight="1">
      <c r="A1008" s="1827" t="s">
        <v>827</v>
      </c>
      <c r="B1008" s="1828"/>
      <c r="C1008" s="64"/>
      <c r="D1008" s="64"/>
      <c r="E1008" s="64"/>
      <c r="F1008" s="64">
        <v>1</v>
      </c>
      <c r="G1008" s="64">
        <f>+F1008</f>
        <v>1</v>
      </c>
    </row>
    <row r="1009" spans="1:7" ht="14.25" hidden="1" customHeight="1">
      <c r="A1009" s="1829" t="s">
        <v>227</v>
      </c>
      <c r="B1009" s="1830"/>
      <c r="C1009" s="1830"/>
      <c r="D1009" s="1830"/>
      <c r="E1009" s="1830"/>
      <c r="F1009" s="1828"/>
      <c r="G1009" s="191">
        <f>SUM(G1008)</f>
        <v>1</v>
      </c>
    </row>
    <row r="1010" spans="1:7" ht="14.25" hidden="1" customHeight="1">
      <c r="A1010" s="1837"/>
      <c r="B1010" s="1838"/>
      <c r="C1010" s="1838"/>
      <c r="D1010" s="1838"/>
      <c r="E1010" s="1838"/>
      <c r="F1010" s="1838"/>
      <c r="G1010" s="1839"/>
    </row>
    <row r="1011" spans="1:7" ht="14.25" hidden="1" customHeight="1">
      <c r="A1011" s="66" t="str">
        <f t="shared" ref="A1011:B1011" si="72">+A1004</f>
        <v>CAPITULO 7:</v>
      </c>
      <c r="B1011" s="1832" t="str">
        <f t="shared" si="72"/>
        <v xml:space="preserve">INSTALACIONES HIDROSANITARIAS           </v>
      </c>
      <c r="C1011" s="1830"/>
      <c r="D1011" s="1828"/>
      <c r="E1011" s="1833" t="s">
        <v>218</v>
      </c>
      <c r="F1011" s="1834"/>
      <c r="G1011" s="70" t="s">
        <v>127</v>
      </c>
    </row>
    <row r="1012" spans="1:7" ht="32.25" hidden="1" customHeight="1">
      <c r="A1012" s="66" t="s">
        <v>873</v>
      </c>
      <c r="B1012" s="1835" t="s">
        <v>874</v>
      </c>
      <c r="C1012" s="1621"/>
      <c r="D1012" s="1621"/>
      <c r="E1012" s="1621"/>
      <c r="F1012" s="1621"/>
      <c r="G1012" s="1622"/>
    </row>
    <row r="1013" spans="1:7" ht="14.25" hidden="1" customHeight="1">
      <c r="A1013" s="1836" t="s">
        <v>220</v>
      </c>
      <c r="B1013" s="1830"/>
      <c r="C1013" s="1830"/>
      <c r="D1013" s="1830"/>
      <c r="E1013" s="1830"/>
      <c r="F1013" s="1830"/>
      <c r="G1013" s="1828"/>
    </row>
    <row r="1014" spans="1:7" ht="14.25" hidden="1" customHeight="1">
      <c r="A1014" s="1829" t="s">
        <v>221</v>
      </c>
      <c r="B1014" s="1828"/>
      <c r="C1014" s="63" t="s">
        <v>222</v>
      </c>
      <c r="D1014" s="63" t="s">
        <v>252</v>
      </c>
      <c r="E1014" s="63" t="s">
        <v>224</v>
      </c>
      <c r="F1014" s="63" t="s">
        <v>225</v>
      </c>
      <c r="G1014" s="63" t="s">
        <v>226</v>
      </c>
    </row>
    <row r="1015" spans="1:7" ht="14.25" hidden="1" customHeight="1">
      <c r="A1015" s="1827" t="s">
        <v>827</v>
      </c>
      <c r="B1015" s="1828"/>
      <c r="C1015" s="64"/>
      <c r="D1015" s="64"/>
      <c r="E1015" s="64"/>
      <c r="F1015" s="64">
        <v>1</v>
      </c>
      <c r="G1015" s="64">
        <f>+F1015</f>
        <v>1</v>
      </c>
    </row>
    <row r="1016" spans="1:7" ht="14.25" hidden="1" customHeight="1">
      <c r="A1016" s="1829" t="s">
        <v>227</v>
      </c>
      <c r="B1016" s="1830"/>
      <c r="C1016" s="1830"/>
      <c r="D1016" s="1830"/>
      <c r="E1016" s="1830"/>
      <c r="F1016" s="1828"/>
      <c r="G1016" s="191">
        <f>SUM(G1015)</f>
        <v>1</v>
      </c>
    </row>
    <row r="1017" spans="1:7" ht="14.25" hidden="1" customHeight="1">
      <c r="A1017" s="63"/>
      <c r="B1017" s="180"/>
      <c r="C1017" s="180"/>
      <c r="D1017" s="180"/>
      <c r="E1017" s="180"/>
      <c r="F1017" s="180"/>
      <c r="G1017" s="180"/>
    </row>
    <row r="1018" spans="1:7" ht="14.25" hidden="1" customHeight="1">
      <c r="A1018" s="1837"/>
      <c r="B1018" s="1838"/>
      <c r="C1018" s="1838"/>
      <c r="D1018" s="1838"/>
      <c r="E1018" s="1838"/>
      <c r="F1018" s="1838"/>
      <c r="G1018" s="1839"/>
    </row>
    <row r="1019" spans="1:7" ht="14.25" hidden="1" customHeight="1">
      <c r="A1019" s="66" t="str">
        <f t="shared" ref="A1019:B1019" si="73">+A1011</f>
        <v>CAPITULO 7:</v>
      </c>
      <c r="B1019" s="1832" t="str">
        <f t="shared" si="73"/>
        <v xml:space="preserve">INSTALACIONES HIDROSANITARIAS           </v>
      </c>
      <c r="C1019" s="1830"/>
      <c r="D1019" s="1828"/>
      <c r="E1019" s="1833" t="s">
        <v>218</v>
      </c>
      <c r="F1019" s="1834"/>
      <c r="G1019" s="70" t="s">
        <v>127</v>
      </c>
    </row>
    <row r="1020" spans="1:7" ht="14.25" hidden="1" customHeight="1">
      <c r="A1020" s="66" t="s">
        <v>875</v>
      </c>
      <c r="B1020" s="1835" t="s">
        <v>876</v>
      </c>
      <c r="C1020" s="1621"/>
      <c r="D1020" s="1621"/>
      <c r="E1020" s="1621"/>
      <c r="F1020" s="1621"/>
      <c r="G1020" s="1622"/>
    </row>
    <row r="1021" spans="1:7" ht="14.25" hidden="1" customHeight="1">
      <c r="A1021" s="1836" t="s">
        <v>220</v>
      </c>
      <c r="B1021" s="1830"/>
      <c r="C1021" s="1830"/>
      <c r="D1021" s="1830"/>
      <c r="E1021" s="1830"/>
      <c r="F1021" s="1830"/>
      <c r="G1021" s="1828"/>
    </row>
    <row r="1022" spans="1:7" ht="14.25" hidden="1" customHeight="1">
      <c r="A1022" s="1829" t="s">
        <v>221</v>
      </c>
      <c r="B1022" s="1828"/>
      <c r="C1022" s="63" t="s">
        <v>222</v>
      </c>
      <c r="D1022" s="63" t="s">
        <v>252</v>
      </c>
      <c r="E1022" s="63" t="s">
        <v>224</v>
      </c>
      <c r="F1022" s="63" t="s">
        <v>225</v>
      </c>
      <c r="G1022" s="63" t="s">
        <v>226</v>
      </c>
    </row>
    <row r="1023" spans="1:7" ht="14.25" hidden="1" customHeight="1">
      <c r="A1023" s="1827" t="s">
        <v>827</v>
      </c>
      <c r="B1023" s="1828"/>
      <c r="C1023" s="64"/>
      <c r="D1023" s="64"/>
      <c r="E1023" s="64"/>
      <c r="F1023" s="64">
        <v>10</v>
      </c>
      <c r="G1023" s="64">
        <f>+F1023</f>
        <v>10</v>
      </c>
    </row>
    <row r="1024" spans="1:7" ht="14.25" hidden="1" customHeight="1">
      <c r="A1024" s="1829" t="s">
        <v>227</v>
      </c>
      <c r="B1024" s="1830"/>
      <c r="C1024" s="1830"/>
      <c r="D1024" s="1830"/>
      <c r="E1024" s="1830"/>
      <c r="F1024" s="1828"/>
      <c r="G1024" s="191">
        <f>SUM(G1023)</f>
        <v>10</v>
      </c>
    </row>
    <row r="1025" spans="1:7" ht="14.25" hidden="1" customHeight="1">
      <c r="A1025" s="1837"/>
      <c r="B1025" s="1838"/>
      <c r="C1025" s="1838"/>
      <c r="D1025" s="1838"/>
      <c r="E1025" s="1838"/>
      <c r="F1025" s="1838"/>
      <c r="G1025" s="1839"/>
    </row>
    <row r="1026" spans="1:7" ht="14.25" hidden="1" customHeight="1">
      <c r="A1026" s="66" t="str">
        <f t="shared" ref="A1026:B1026" si="74">+A1019</f>
        <v>CAPITULO 7:</v>
      </c>
      <c r="B1026" s="1832" t="str">
        <f t="shared" si="74"/>
        <v xml:space="preserve">INSTALACIONES HIDROSANITARIAS           </v>
      </c>
      <c r="C1026" s="1830"/>
      <c r="D1026" s="1828"/>
      <c r="E1026" s="1833" t="s">
        <v>218</v>
      </c>
      <c r="F1026" s="1834"/>
      <c r="G1026" s="70" t="s">
        <v>228</v>
      </c>
    </row>
    <row r="1027" spans="1:7" ht="14.25" hidden="1" customHeight="1">
      <c r="A1027" s="66" t="s">
        <v>873</v>
      </c>
      <c r="B1027" s="1835" t="e">
        <f>+#REF!</f>
        <v>#REF!</v>
      </c>
      <c r="C1027" s="1621"/>
      <c r="D1027" s="1621"/>
      <c r="E1027" s="1621"/>
      <c r="F1027" s="1621"/>
      <c r="G1027" s="1622"/>
    </row>
    <row r="1028" spans="1:7" ht="14.25" hidden="1" customHeight="1">
      <c r="A1028" s="1836" t="s">
        <v>220</v>
      </c>
      <c r="B1028" s="1830"/>
      <c r="C1028" s="1830"/>
      <c r="D1028" s="1830"/>
      <c r="E1028" s="1830"/>
      <c r="F1028" s="1830"/>
      <c r="G1028" s="1828"/>
    </row>
    <row r="1029" spans="1:7" ht="14.25" hidden="1" customHeight="1">
      <c r="A1029" s="1829" t="s">
        <v>221</v>
      </c>
      <c r="B1029" s="1828"/>
      <c r="C1029" s="63" t="s">
        <v>222</v>
      </c>
      <c r="D1029" s="63" t="s">
        <v>252</v>
      </c>
      <c r="E1029" s="63" t="s">
        <v>224</v>
      </c>
      <c r="F1029" s="63" t="s">
        <v>225</v>
      </c>
      <c r="G1029" s="63" t="s">
        <v>226</v>
      </c>
    </row>
    <row r="1030" spans="1:7" ht="14.25" hidden="1" customHeight="1">
      <c r="A1030" s="1827" t="s">
        <v>827</v>
      </c>
      <c r="B1030" s="1828"/>
      <c r="C1030" s="64"/>
      <c r="D1030" s="64"/>
      <c r="E1030" s="64"/>
      <c r="F1030" s="64">
        <v>1</v>
      </c>
      <c r="G1030" s="64">
        <f>+F1030</f>
        <v>1</v>
      </c>
    </row>
    <row r="1031" spans="1:7" ht="14.25" hidden="1" customHeight="1">
      <c r="A1031" s="1829" t="s">
        <v>227</v>
      </c>
      <c r="B1031" s="1830"/>
      <c r="C1031" s="1830"/>
      <c r="D1031" s="1830"/>
      <c r="E1031" s="1830"/>
      <c r="F1031" s="1828"/>
      <c r="G1031" s="191">
        <f>SUM(G1030)</f>
        <v>1</v>
      </c>
    </row>
    <row r="1032" spans="1:7" ht="14.25" hidden="1" customHeight="1">
      <c r="A1032" s="1837"/>
      <c r="B1032" s="1838"/>
      <c r="C1032" s="1838"/>
      <c r="D1032" s="1838"/>
      <c r="E1032" s="1838"/>
      <c r="F1032" s="1838"/>
      <c r="G1032" s="1839"/>
    </row>
    <row r="1033" spans="1:7" ht="32.25" hidden="1" customHeight="1">
      <c r="A1033" s="66" t="s">
        <v>877</v>
      </c>
      <c r="B1033" s="1832" t="e">
        <f>+#REF!</f>
        <v>#REF!</v>
      </c>
      <c r="C1033" s="1830"/>
      <c r="D1033" s="1828"/>
      <c r="E1033" s="1833" t="s">
        <v>218</v>
      </c>
      <c r="F1033" s="1834"/>
      <c r="G1033" s="70" t="e">
        <f>+#REF!</f>
        <v>#REF!</v>
      </c>
    </row>
    <row r="1034" spans="1:7" ht="14.25" hidden="1" customHeight="1">
      <c r="A1034" s="66" t="s">
        <v>878</v>
      </c>
      <c r="B1034" s="1835" t="e">
        <f>+#REF!</f>
        <v>#REF!</v>
      </c>
      <c r="C1034" s="1621"/>
      <c r="D1034" s="1621"/>
      <c r="E1034" s="1621"/>
      <c r="F1034" s="1621"/>
      <c r="G1034" s="1622"/>
    </row>
    <row r="1035" spans="1:7" ht="14.25" hidden="1" customHeight="1">
      <c r="A1035" s="1836" t="s">
        <v>220</v>
      </c>
      <c r="B1035" s="1830"/>
      <c r="C1035" s="1830"/>
      <c r="D1035" s="1830"/>
      <c r="E1035" s="1830"/>
      <c r="F1035" s="1830"/>
      <c r="G1035" s="1828"/>
    </row>
    <row r="1036" spans="1:7" ht="14.25" hidden="1" customHeight="1">
      <c r="A1036" s="1829" t="s">
        <v>221</v>
      </c>
      <c r="B1036" s="1828"/>
      <c r="C1036" s="63" t="s">
        <v>222</v>
      </c>
      <c r="D1036" s="63" t="s">
        <v>252</v>
      </c>
      <c r="E1036" s="63" t="s">
        <v>224</v>
      </c>
      <c r="F1036" s="63" t="s">
        <v>225</v>
      </c>
      <c r="G1036" s="63" t="s">
        <v>226</v>
      </c>
    </row>
    <row r="1037" spans="1:7" ht="14.25" hidden="1" customHeight="1">
      <c r="A1037" s="1827" t="e">
        <f>+#REF!</f>
        <v>#REF!</v>
      </c>
      <c r="B1037" s="1828"/>
      <c r="C1037" s="64"/>
      <c r="D1037" s="64"/>
      <c r="E1037" s="64"/>
      <c r="F1037" s="64">
        <v>1</v>
      </c>
      <c r="G1037" s="64">
        <f>+F1037</f>
        <v>1</v>
      </c>
    </row>
    <row r="1038" spans="1:7" ht="14.25" hidden="1" customHeight="1">
      <c r="A1038" s="1829" t="s">
        <v>227</v>
      </c>
      <c r="B1038" s="1830"/>
      <c r="C1038" s="1830"/>
      <c r="D1038" s="1830"/>
      <c r="E1038" s="1830"/>
      <c r="F1038" s="1828"/>
      <c r="G1038" s="191">
        <f>SUM(G1037)</f>
        <v>1</v>
      </c>
    </row>
    <row r="1039" spans="1:7" ht="14.25" hidden="1" customHeight="1">
      <c r="A1039" s="1837"/>
      <c r="B1039" s="1838"/>
      <c r="C1039" s="1838"/>
      <c r="D1039" s="1838"/>
      <c r="E1039" s="1838"/>
      <c r="F1039" s="1838"/>
      <c r="G1039" s="1839"/>
    </row>
    <row r="1040" spans="1:7" ht="21" hidden="1" customHeight="1">
      <c r="A1040" s="66" t="str">
        <f>+A1033</f>
        <v>CAPITULO 8:</v>
      </c>
      <c r="B1040" s="1832" t="e">
        <f>+$B$1033</f>
        <v>#REF!</v>
      </c>
      <c r="C1040" s="1830"/>
      <c r="D1040" s="1828"/>
      <c r="E1040" s="1833" t="s">
        <v>218</v>
      </c>
      <c r="F1040" s="1834"/>
      <c r="G1040" s="70" t="e">
        <f>+#REF!</f>
        <v>#REF!</v>
      </c>
    </row>
    <row r="1041" spans="1:7" ht="36.75" hidden="1" customHeight="1">
      <c r="A1041" s="66" t="s">
        <v>879</v>
      </c>
      <c r="B1041" s="1835" t="e">
        <f>+#REF!</f>
        <v>#REF!</v>
      </c>
      <c r="C1041" s="1621"/>
      <c r="D1041" s="1621"/>
      <c r="E1041" s="1621"/>
      <c r="F1041" s="1621"/>
      <c r="G1041" s="1622"/>
    </row>
    <row r="1042" spans="1:7" ht="14.25" hidden="1" customHeight="1">
      <c r="A1042" s="1836" t="s">
        <v>220</v>
      </c>
      <c r="B1042" s="1830"/>
      <c r="C1042" s="1830"/>
      <c r="D1042" s="1830"/>
      <c r="E1042" s="1830"/>
      <c r="F1042" s="1830"/>
      <c r="G1042" s="1828"/>
    </row>
    <row r="1043" spans="1:7" ht="14.25" hidden="1" customHeight="1">
      <c r="A1043" s="1829" t="s">
        <v>221</v>
      </c>
      <c r="B1043" s="1828"/>
      <c r="C1043" s="63" t="s">
        <v>222</v>
      </c>
      <c r="D1043" s="63" t="s">
        <v>252</v>
      </c>
      <c r="E1043" s="63" t="s">
        <v>224</v>
      </c>
      <c r="F1043" s="63" t="s">
        <v>225</v>
      </c>
      <c r="G1043" s="63" t="s">
        <v>226</v>
      </c>
    </row>
    <row r="1044" spans="1:7" ht="14.25" hidden="1" customHeight="1">
      <c r="A1044" s="1827" t="e">
        <f>+A1037</f>
        <v>#REF!</v>
      </c>
      <c r="B1044" s="1828"/>
      <c r="C1044" s="64"/>
      <c r="D1044" s="64"/>
      <c r="E1044" s="64"/>
      <c r="F1044" s="64">
        <v>1</v>
      </c>
      <c r="G1044" s="64">
        <f>+F1044</f>
        <v>1</v>
      </c>
    </row>
    <row r="1045" spans="1:7" ht="14.25" hidden="1" customHeight="1">
      <c r="A1045" s="1829" t="s">
        <v>227</v>
      </c>
      <c r="B1045" s="1830"/>
      <c r="C1045" s="1830"/>
      <c r="D1045" s="1830"/>
      <c r="E1045" s="1830"/>
      <c r="F1045" s="1828"/>
      <c r="G1045" s="191">
        <f>SUM(G1044)</f>
        <v>1</v>
      </c>
    </row>
    <row r="1046" spans="1:7" ht="14.25" hidden="1" customHeight="1">
      <c r="A1046" s="1837"/>
      <c r="B1046" s="1838"/>
      <c r="C1046" s="1838"/>
      <c r="D1046" s="1838"/>
      <c r="E1046" s="1838"/>
      <c r="F1046" s="1838"/>
      <c r="G1046" s="1839"/>
    </row>
    <row r="1047" spans="1:7" ht="14.25" hidden="1" customHeight="1">
      <c r="A1047" s="66" t="str">
        <f>+A1040</f>
        <v>CAPITULO 8:</v>
      </c>
      <c r="B1047" s="1832" t="e">
        <f>+$B$1033</f>
        <v>#REF!</v>
      </c>
      <c r="C1047" s="1830"/>
      <c r="D1047" s="1828"/>
      <c r="E1047" s="1833" t="s">
        <v>218</v>
      </c>
      <c r="F1047" s="1834"/>
      <c r="G1047" s="70" t="e">
        <f>+#REF!</f>
        <v>#REF!</v>
      </c>
    </row>
    <row r="1048" spans="1:7" ht="24.75" hidden="1" customHeight="1">
      <c r="A1048" s="66" t="s">
        <v>880</v>
      </c>
      <c r="B1048" s="1835" t="e">
        <f>+#REF!</f>
        <v>#REF!</v>
      </c>
      <c r="C1048" s="1621"/>
      <c r="D1048" s="1621"/>
      <c r="E1048" s="1621"/>
      <c r="F1048" s="1621"/>
      <c r="G1048" s="1622"/>
    </row>
    <row r="1049" spans="1:7" ht="14.25" hidden="1" customHeight="1">
      <c r="A1049" s="1836" t="s">
        <v>220</v>
      </c>
      <c r="B1049" s="1830"/>
      <c r="C1049" s="1830"/>
      <c r="D1049" s="1830"/>
      <c r="E1049" s="1830"/>
      <c r="F1049" s="1830"/>
      <c r="G1049" s="1828"/>
    </row>
    <row r="1050" spans="1:7" ht="14.25" hidden="1" customHeight="1">
      <c r="A1050" s="1829" t="s">
        <v>221</v>
      </c>
      <c r="B1050" s="1828"/>
      <c r="C1050" s="63" t="s">
        <v>222</v>
      </c>
      <c r="D1050" s="63" t="s">
        <v>252</v>
      </c>
      <c r="E1050" s="63" t="s">
        <v>224</v>
      </c>
      <c r="F1050" s="63" t="s">
        <v>225</v>
      </c>
      <c r="G1050" s="63" t="s">
        <v>226</v>
      </c>
    </row>
    <row r="1051" spans="1:7" ht="14.25" hidden="1" customHeight="1">
      <c r="A1051" s="1827" t="e">
        <f>+#REF!</f>
        <v>#REF!</v>
      </c>
      <c r="B1051" s="1828"/>
      <c r="C1051" s="64"/>
      <c r="D1051" s="64"/>
      <c r="E1051" s="64"/>
      <c r="F1051" s="64">
        <v>15.04975313748978</v>
      </c>
      <c r="G1051" s="64">
        <f>+F1051</f>
        <v>15.04975313748978</v>
      </c>
    </row>
    <row r="1052" spans="1:7" ht="14.25" hidden="1" customHeight="1">
      <c r="A1052" s="1829" t="s">
        <v>227</v>
      </c>
      <c r="B1052" s="1830"/>
      <c r="C1052" s="1830"/>
      <c r="D1052" s="1830"/>
      <c r="E1052" s="1830"/>
      <c r="F1052" s="1828"/>
      <c r="G1052" s="191">
        <f>SUM(G1051)</f>
        <v>15.04975313748978</v>
      </c>
    </row>
    <row r="1053" spans="1:7" ht="14.25" hidden="1" customHeight="1">
      <c r="A1053" s="1837"/>
      <c r="B1053" s="1838"/>
      <c r="C1053" s="1838"/>
      <c r="D1053" s="1838"/>
      <c r="E1053" s="1838"/>
      <c r="F1053" s="1838"/>
      <c r="G1053" s="1839"/>
    </row>
    <row r="1054" spans="1:7" ht="14.25" hidden="1" customHeight="1">
      <c r="A1054" s="66" t="s">
        <v>877</v>
      </c>
      <c r="B1054" s="1832" t="e">
        <f>+$B$1033</f>
        <v>#REF!</v>
      </c>
      <c r="C1054" s="1830"/>
      <c r="D1054" s="1828"/>
      <c r="E1054" s="1833" t="s">
        <v>218</v>
      </c>
      <c r="F1054" s="1862"/>
      <c r="G1054" s="70" t="e">
        <f>+#REF!</f>
        <v>#REF!</v>
      </c>
    </row>
    <row r="1055" spans="1:7" ht="36.75" hidden="1" customHeight="1">
      <c r="A1055" s="66" t="s">
        <v>881</v>
      </c>
      <c r="B1055" s="1835" t="e">
        <f>+#REF!</f>
        <v>#REF!</v>
      </c>
      <c r="C1055" s="1621"/>
      <c r="D1055" s="1621"/>
      <c r="E1055" s="1621"/>
      <c r="F1055" s="1621"/>
      <c r="G1055" s="1622"/>
    </row>
    <row r="1056" spans="1:7" ht="14.25" hidden="1" customHeight="1">
      <c r="A1056" s="1836" t="s">
        <v>220</v>
      </c>
      <c r="B1056" s="1830"/>
      <c r="C1056" s="1830"/>
      <c r="D1056" s="1830"/>
      <c r="E1056" s="1830"/>
      <c r="F1056" s="1830"/>
      <c r="G1056" s="1828"/>
    </row>
    <row r="1057" spans="1:7" ht="14.25" hidden="1" customHeight="1">
      <c r="A1057" s="1829" t="s">
        <v>221</v>
      </c>
      <c r="B1057" s="1828"/>
      <c r="C1057" s="63" t="s">
        <v>222</v>
      </c>
      <c r="D1057" s="63" t="s">
        <v>252</v>
      </c>
      <c r="E1057" s="63" t="s">
        <v>224</v>
      </c>
      <c r="F1057" s="63" t="s">
        <v>225</v>
      </c>
      <c r="G1057" s="63" t="s">
        <v>226</v>
      </c>
    </row>
    <row r="1058" spans="1:7" ht="14.25" hidden="1" customHeight="1">
      <c r="A1058" s="1827" t="e">
        <f>+$A$1051</f>
        <v>#REF!</v>
      </c>
      <c r="B1058" s="1828"/>
      <c r="C1058" s="64"/>
      <c r="D1058" s="64"/>
      <c r="E1058" s="64"/>
      <c r="F1058" s="64">
        <v>45</v>
      </c>
      <c r="G1058" s="64">
        <f>+F1058</f>
        <v>45</v>
      </c>
    </row>
    <row r="1059" spans="1:7" ht="14.25" hidden="1" customHeight="1">
      <c r="A1059" s="1829" t="s">
        <v>227</v>
      </c>
      <c r="B1059" s="1830"/>
      <c r="C1059" s="1830"/>
      <c r="D1059" s="1830"/>
      <c r="E1059" s="1830"/>
      <c r="F1059" s="1828"/>
      <c r="G1059" s="191">
        <f>ROUND(SUM(G1058),2)</f>
        <v>45</v>
      </c>
    </row>
    <row r="1060" spans="1:7" ht="14.25" hidden="1" customHeight="1">
      <c r="A1060" s="1837"/>
      <c r="B1060" s="1838"/>
      <c r="C1060" s="1838"/>
      <c r="D1060" s="1838"/>
      <c r="E1060" s="1838"/>
      <c r="F1060" s="1838"/>
      <c r="G1060" s="1839"/>
    </row>
    <row r="1061" spans="1:7" ht="14.25" hidden="1" customHeight="1">
      <c r="A1061" s="66" t="s">
        <v>877</v>
      </c>
      <c r="B1061" s="1832" t="s">
        <v>498</v>
      </c>
      <c r="C1061" s="1830"/>
      <c r="D1061" s="1828"/>
      <c r="E1061" s="1833" t="s">
        <v>218</v>
      </c>
      <c r="F1061" s="1862"/>
      <c r="G1061" s="70" t="s">
        <v>127</v>
      </c>
    </row>
    <row r="1062" spans="1:7" ht="14.25" hidden="1" customHeight="1">
      <c r="A1062" s="66" t="s">
        <v>882</v>
      </c>
      <c r="B1062" s="1835" t="e">
        <f>+#REF!</f>
        <v>#REF!</v>
      </c>
      <c r="C1062" s="1621"/>
      <c r="D1062" s="1621"/>
      <c r="E1062" s="1621"/>
      <c r="F1062" s="1621"/>
      <c r="G1062" s="1622"/>
    </row>
    <row r="1063" spans="1:7" ht="14.25" hidden="1" customHeight="1">
      <c r="A1063" s="1836" t="s">
        <v>220</v>
      </c>
      <c r="B1063" s="1830"/>
      <c r="C1063" s="1830"/>
      <c r="D1063" s="1830"/>
      <c r="E1063" s="1830"/>
      <c r="F1063" s="1830"/>
      <c r="G1063" s="1828"/>
    </row>
    <row r="1064" spans="1:7" ht="14.25" hidden="1" customHeight="1">
      <c r="A1064" s="1829" t="s">
        <v>221</v>
      </c>
      <c r="B1064" s="1828"/>
      <c r="C1064" s="63" t="s">
        <v>222</v>
      </c>
      <c r="D1064" s="63" t="s">
        <v>252</v>
      </c>
      <c r="E1064" s="63" t="s">
        <v>224</v>
      </c>
      <c r="F1064" s="63" t="s">
        <v>225</v>
      </c>
      <c r="G1064" s="63" t="s">
        <v>226</v>
      </c>
    </row>
    <row r="1065" spans="1:7" ht="15" hidden="1" customHeight="1">
      <c r="A1065" s="1827" t="e">
        <f>+$A$1051</f>
        <v>#REF!</v>
      </c>
      <c r="B1065" s="1828"/>
      <c r="C1065" s="64"/>
      <c r="D1065" s="64"/>
      <c r="E1065" s="64"/>
      <c r="F1065" s="64">
        <v>2</v>
      </c>
      <c r="G1065" s="64">
        <f>+F1065</f>
        <v>2</v>
      </c>
    </row>
    <row r="1066" spans="1:7" ht="14.25" hidden="1" customHeight="1">
      <c r="A1066" s="1829" t="s">
        <v>227</v>
      </c>
      <c r="B1066" s="1830"/>
      <c r="C1066" s="1830"/>
      <c r="D1066" s="1830"/>
      <c r="E1066" s="1830"/>
      <c r="F1066" s="1828"/>
      <c r="G1066" s="191">
        <f>ROUND(SUM(G1065),2)</f>
        <v>2</v>
      </c>
    </row>
    <row r="1067" spans="1:7" ht="14.25" hidden="1" customHeight="1">
      <c r="A1067" s="1837"/>
      <c r="B1067" s="1838"/>
      <c r="C1067" s="1838"/>
      <c r="D1067" s="1838"/>
      <c r="E1067" s="1838"/>
      <c r="F1067" s="1838"/>
      <c r="G1067" s="1839"/>
    </row>
    <row r="1068" spans="1:7" ht="19.5" hidden="1" customHeight="1">
      <c r="A1068" s="66" t="str">
        <f>+A1047</f>
        <v>CAPITULO 8:</v>
      </c>
      <c r="B1068" s="1832" t="e">
        <f>+$B$1033</f>
        <v>#REF!</v>
      </c>
      <c r="C1068" s="1830"/>
      <c r="D1068" s="1828"/>
      <c r="E1068" s="1833" t="s">
        <v>218</v>
      </c>
      <c r="F1068" s="1834"/>
      <c r="G1068" s="70" t="e">
        <f>+#REF!</f>
        <v>#REF!</v>
      </c>
    </row>
    <row r="1069" spans="1:7" ht="23.25" hidden="1" customHeight="1">
      <c r="A1069" s="66" t="s">
        <v>883</v>
      </c>
      <c r="B1069" s="1835" t="e">
        <f>+#REF!</f>
        <v>#REF!</v>
      </c>
      <c r="C1069" s="1621"/>
      <c r="D1069" s="1621"/>
      <c r="E1069" s="1621"/>
      <c r="F1069" s="1621"/>
      <c r="G1069" s="1622"/>
    </row>
    <row r="1070" spans="1:7" ht="14.25" hidden="1" customHeight="1">
      <c r="A1070" s="1836" t="s">
        <v>220</v>
      </c>
      <c r="B1070" s="1830"/>
      <c r="C1070" s="1830"/>
      <c r="D1070" s="1830"/>
      <c r="E1070" s="1830"/>
      <c r="F1070" s="1830"/>
      <c r="G1070" s="1828"/>
    </row>
    <row r="1071" spans="1:7" ht="14.25" hidden="1" customHeight="1">
      <c r="A1071" s="1829" t="s">
        <v>221</v>
      </c>
      <c r="B1071" s="1828"/>
      <c r="C1071" s="63" t="s">
        <v>222</v>
      </c>
      <c r="D1071" s="63" t="s">
        <v>252</v>
      </c>
      <c r="E1071" s="63" t="s">
        <v>224</v>
      </c>
      <c r="F1071" s="63" t="s">
        <v>225</v>
      </c>
      <c r="G1071" s="63" t="s">
        <v>226</v>
      </c>
    </row>
    <row r="1072" spans="1:7" ht="14.25" hidden="1" customHeight="1">
      <c r="A1072" s="1827" t="e">
        <f>+$A$1051</f>
        <v>#REF!</v>
      </c>
      <c r="B1072" s="1828"/>
      <c r="C1072" s="64"/>
      <c r="D1072" s="64"/>
      <c r="E1072" s="64"/>
      <c r="F1072" s="64">
        <v>440</v>
      </c>
      <c r="G1072" s="64">
        <f>+F1072</f>
        <v>440</v>
      </c>
    </row>
    <row r="1073" spans="1:7" ht="14.25" hidden="1" customHeight="1">
      <c r="A1073" s="1829" t="s">
        <v>227</v>
      </c>
      <c r="B1073" s="1830"/>
      <c r="C1073" s="1830"/>
      <c r="D1073" s="1830"/>
      <c r="E1073" s="1830"/>
      <c r="F1073" s="1828"/>
      <c r="G1073" s="191">
        <f>SUM(G1072)</f>
        <v>440</v>
      </c>
    </row>
    <row r="1074" spans="1:7" ht="14.25" hidden="1" customHeight="1">
      <c r="A1074" s="1837"/>
      <c r="B1074" s="1838"/>
      <c r="C1074" s="1838"/>
      <c r="D1074" s="1838"/>
      <c r="E1074" s="1838"/>
      <c r="F1074" s="1838"/>
      <c r="G1074" s="1839"/>
    </row>
    <row r="1075" spans="1:7" ht="18.75" hidden="1" customHeight="1">
      <c r="A1075" s="66" t="str">
        <f>+A1068</f>
        <v>CAPITULO 8:</v>
      </c>
      <c r="B1075" s="1832" t="e">
        <f>+$B$1033</f>
        <v>#REF!</v>
      </c>
      <c r="C1075" s="1830"/>
      <c r="D1075" s="1828"/>
      <c r="E1075" s="1833" t="s">
        <v>218</v>
      </c>
      <c r="F1075" s="1834"/>
      <c r="G1075" s="70" t="e">
        <f>+#REF!</f>
        <v>#REF!</v>
      </c>
    </row>
    <row r="1076" spans="1:7" ht="25.5" hidden="1" customHeight="1">
      <c r="A1076" s="66" t="s">
        <v>884</v>
      </c>
      <c r="B1076" s="1835" t="e">
        <f>+#REF!</f>
        <v>#REF!</v>
      </c>
      <c r="C1076" s="1621"/>
      <c r="D1076" s="1621"/>
      <c r="E1076" s="1621"/>
      <c r="F1076" s="1621"/>
      <c r="G1076" s="1622"/>
    </row>
    <row r="1077" spans="1:7" ht="14.25" hidden="1" customHeight="1">
      <c r="A1077" s="1836" t="s">
        <v>220</v>
      </c>
      <c r="B1077" s="1830"/>
      <c r="C1077" s="1830"/>
      <c r="D1077" s="1830"/>
      <c r="E1077" s="1830"/>
      <c r="F1077" s="1830"/>
      <c r="G1077" s="1828"/>
    </row>
    <row r="1078" spans="1:7" ht="14.25" hidden="1" customHeight="1">
      <c r="A1078" s="1829" t="s">
        <v>221</v>
      </c>
      <c r="B1078" s="1828"/>
      <c r="C1078" s="63" t="s">
        <v>222</v>
      </c>
      <c r="D1078" s="63" t="s">
        <v>252</v>
      </c>
      <c r="E1078" s="63" t="s">
        <v>224</v>
      </c>
      <c r="F1078" s="63" t="s">
        <v>225</v>
      </c>
      <c r="G1078" s="63" t="s">
        <v>226</v>
      </c>
    </row>
    <row r="1079" spans="1:7" ht="27.75" hidden="1" customHeight="1">
      <c r="A1079" s="1827" t="s">
        <v>885</v>
      </c>
      <c r="B1079" s="1828"/>
      <c r="C1079" s="64"/>
      <c r="D1079" s="64"/>
      <c r="E1079" s="64"/>
      <c r="F1079" s="64">
        <v>440</v>
      </c>
      <c r="G1079" s="64">
        <f>+F1079</f>
        <v>440</v>
      </c>
    </row>
    <row r="1080" spans="1:7" ht="14.25" hidden="1" customHeight="1">
      <c r="A1080" s="1829" t="s">
        <v>227</v>
      </c>
      <c r="B1080" s="1830"/>
      <c r="C1080" s="1830"/>
      <c r="D1080" s="1830"/>
      <c r="E1080" s="1830"/>
      <c r="F1080" s="1828"/>
      <c r="G1080" s="191">
        <f>SUM(G1079)</f>
        <v>440</v>
      </c>
    </row>
    <row r="1081" spans="1:7" ht="14.25" hidden="1" customHeight="1">
      <c r="A1081" s="198"/>
      <c r="B1081" s="198"/>
      <c r="C1081" s="198"/>
      <c r="D1081" s="198"/>
      <c r="E1081" s="198"/>
      <c r="F1081" s="198"/>
      <c r="G1081" s="198"/>
    </row>
    <row r="1082" spans="1:7" ht="14.25" hidden="1" customHeight="1">
      <c r="A1082" s="1837"/>
      <c r="B1082" s="1838"/>
      <c r="C1082" s="1838"/>
      <c r="D1082" s="1838"/>
      <c r="E1082" s="1838"/>
      <c r="F1082" s="1838"/>
      <c r="G1082" s="1839"/>
    </row>
    <row r="1083" spans="1:7" ht="20.25" hidden="1" customHeight="1">
      <c r="A1083" s="66" t="str">
        <f>+A1075</f>
        <v>CAPITULO 8:</v>
      </c>
      <c r="B1083" s="1832" t="e">
        <f>+$B$1033</f>
        <v>#REF!</v>
      </c>
      <c r="C1083" s="1830"/>
      <c r="D1083" s="1828"/>
      <c r="E1083" s="1833" t="s">
        <v>218</v>
      </c>
      <c r="F1083" s="1834"/>
      <c r="G1083" s="70" t="e">
        <f>+#REF!</f>
        <v>#REF!</v>
      </c>
    </row>
    <row r="1084" spans="1:7" ht="14.25" hidden="1" customHeight="1">
      <c r="A1084" s="66" t="s">
        <v>886</v>
      </c>
      <c r="B1084" s="1835" t="e">
        <f>+#REF!</f>
        <v>#REF!</v>
      </c>
      <c r="C1084" s="1621"/>
      <c r="D1084" s="1621"/>
      <c r="E1084" s="1621"/>
      <c r="F1084" s="1621"/>
      <c r="G1084" s="1622"/>
    </row>
    <row r="1085" spans="1:7" ht="14.25" hidden="1" customHeight="1">
      <c r="A1085" s="1836" t="s">
        <v>220</v>
      </c>
      <c r="B1085" s="1830"/>
      <c r="C1085" s="1830"/>
      <c r="D1085" s="1830"/>
      <c r="E1085" s="1830"/>
      <c r="F1085" s="1830"/>
      <c r="G1085" s="1828"/>
    </row>
    <row r="1086" spans="1:7" ht="14.25" hidden="1" customHeight="1">
      <c r="A1086" s="1829" t="s">
        <v>221</v>
      </c>
      <c r="B1086" s="1828"/>
      <c r="C1086" s="63" t="s">
        <v>222</v>
      </c>
      <c r="D1086" s="63" t="s">
        <v>252</v>
      </c>
      <c r="E1086" s="63" t="s">
        <v>224</v>
      </c>
      <c r="F1086" s="63" t="s">
        <v>225</v>
      </c>
      <c r="G1086" s="63" t="s">
        <v>226</v>
      </c>
    </row>
    <row r="1087" spans="1:7" ht="33" hidden="1" customHeight="1">
      <c r="A1087" s="1827" t="str">
        <f>+A1079</f>
        <v xml:space="preserve">ACOMETIDAS DESDE  TABLERO DISTRIBUCION  T.D.  </v>
      </c>
      <c r="B1087" s="1828"/>
      <c r="C1087" s="64"/>
      <c r="D1087" s="64"/>
      <c r="E1087" s="64"/>
      <c r="F1087" s="64">
        <v>20</v>
      </c>
      <c r="G1087" s="64">
        <f t="shared" ref="G1087:G1088" si="75">+F1087</f>
        <v>20</v>
      </c>
    </row>
    <row r="1088" spans="1:7" ht="14.25" hidden="1" customHeight="1">
      <c r="A1088" s="1827"/>
      <c r="B1088" s="1828"/>
      <c r="C1088" s="64"/>
      <c r="D1088" s="64"/>
      <c r="E1088" s="64"/>
      <c r="F1088" s="64"/>
      <c r="G1088" s="64">
        <f t="shared" si="75"/>
        <v>0</v>
      </c>
    </row>
    <row r="1089" spans="1:7" ht="14.25" hidden="1" customHeight="1">
      <c r="A1089" s="1829" t="s">
        <v>227</v>
      </c>
      <c r="B1089" s="1830"/>
      <c r="C1089" s="1830"/>
      <c r="D1089" s="1830"/>
      <c r="E1089" s="1830"/>
      <c r="F1089" s="1828"/>
      <c r="G1089" s="191">
        <f>SUM(G1087:G1088)</f>
        <v>20</v>
      </c>
    </row>
    <row r="1090" spans="1:7" ht="29.25" hidden="1" customHeight="1">
      <c r="A1090" s="66" t="str">
        <f t="shared" ref="A1090:B1090" si="76">+A1083</f>
        <v>CAPITULO 8:</v>
      </c>
      <c r="B1090" s="1832" t="e">
        <f t="shared" si="76"/>
        <v>#REF!</v>
      </c>
      <c r="C1090" s="1830"/>
      <c r="D1090" s="1828"/>
      <c r="E1090" s="1833" t="s">
        <v>218</v>
      </c>
      <c r="F1090" s="1834"/>
      <c r="G1090" s="70" t="s">
        <v>127</v>
      </c>
    </row>
    <row r="1091" spans="1:7" ht="14.25" hidden="1" customHeight="1">
      <c r="A1091" s="66" t="s">
        <v>887</v>
      </c>
      <c r="B1091" s="1835" t="e">
        <f>+#REF!</f>
        <v>#REF!</v>
      </c>
      <c r="C1091" s="1621"/>
      <c r="D1091" s="1621"/>
      <c r="E1091" s="1621"/>
      <c r="F1091" s="1621"/>
      <c r="G1091" s="1622"/>
    </row>
    <row r="1092" spans="1:7" ht="14.25" hidden="1" customHeight="1">
      <c r="A1092" s="1836" t="s">
        <v>220</v>
      </c>
      <c r="B1092" s="1830"/>
      <c r="C1092" s="1830"/>
      <c r="D1092" s="1830"/>
      <c r="E1092" s="1830"/>
      <c r="F1092" s="1830"/>
      <c r="G1092" s="1828"/>
    </row>
    <row r="1093" spans="1:7" ht="14.25" hidden="1" customHeight="1">
      <c r="A1093" s="1829" t="s">
        <v>221</v>
      </c>
      <c r="B1093" s="1828"/>
      <c r="C1093" s="63" t="s">
        <v>222</v>
      </c>
      <c r="D1093" s="63" t="s">
        <v>252</v>
      </c>
      <c r="E1093" s="63" t="s">
        <v>224</v>
      </c>
      <c r="F1093" s="63" t="s">
        <v>225</v>
      </c>
      <c r="G1093" s="63" t="s">
        <v>226</v>
      </c>
    </row>
    <row r="1094" spans="1:7" ht="14.25" hidden="1" customHeight="1">
      <c r="A1094" s="1827" t="e">
        <f>+#REF!</f>
        <v>#REF!</v>
      </c>
      <c r="B1094" s="1828"/>
      <c r="C1094" s="64"/>
      <c r="D1094" s="64"/>
      <c r="E1094" s="64"/>
      <c r="F1094" s="64">
        <v>260</v>
      </c>
      <c r="G1094" s="64">
        <f t="shared" ref="G1094:G1095" si="77">+F1094</f>
        <v>260</v>
      </c>
    </row>
    <row r="1095" spans="1:7" ht="14.25" hidden="1" customHeight="1">
      <c r="A1095" s="1827"/>
      <c r="B1095" s="1828"/>
      <c r="C1095" s="64"/>
      <c r="D1095" s="64"/>
      <c r="E1095" s="64"/>
      <c r="F1095" s="64"/>
      <c r="G1095" s="64">
        <f t="shared" si="77"/>
        <v>0</v>
      </c>
    </row>
    <row r="1096" spans="1:7" ht="14.25" hidden="1" customHeight="1">
      <c r="A1096" s="1829" t="s">
        <v>227</v>
      </c>
      <c r="B1096" s="1830"/>
      <c r="C1096" s="1830"/>
      <c r="D1096" s="1830"/>
      <c r="E1096" s="1830"/>
      <c r="F1096" s="1828"/>
      <c r="G1096" s="191">
        <f>SUM(G1094:G1095)</f>
        <v>260</v>
      </c>
    </row>
    <row r="1097" spans="1:7" ht="14.25" hidden="1" customHeight="1">
      <c r="A1097" s="1837"/>
      <c r="B1097" s="1838"/>
      <c r="C1097" s="1838"/>
      <c r="D1097" s="1838"/>
      <c r="E1097" s="1838"/>
      <c r="F1097" s="1838"/>
      <c r="G1097" s="1839"/>
    </row>
    <row r="1098" spans="1:7" ht="22.5" hidden="1" customHeight="1">
      <c r="A1098" s="66" t="str">
        <f>+A1090</f>
        <v>CAPITULO 8:</v>
      </c>
      <c r="B1098" s="1832" t="e">
        <f>+$B$1033</f>
        <v>#REF!</v>
      </c>
      <c r="C1098" s="1830"/>
      <c r="D1098" s="1828"/>
      <c r="E1098" s="1833" t="s">
        <v>218</v>
      </c>
      <c r="F1098" s="1834"/>
      <c r="G1098" s="70" t="s">
        <v>127</v>
      </c>
    </row>
    <row r="1099" spans="1:7" ht="14.25" hidden="1" customHeight="1">
      <c r="A1099" s="66" t="s">
        <v>888</v>
      </c>
      <c r="B1099" s="1835" t="e">
        <f>+#REF!</f>
        <v>#REF!</v>
      </c>
      <c r="C1099" s="1621"/>
      <c r="D1099" s="1621"/>
      <c r="E1099" s="1621"/>
      <c r="F1099" s="1621"/>
      <c r="G1099" s="1622"/>
    </row>
    <row r="1100" spans="1:7" ht="14.25" hidden="1" customHeight="1">
      <c r="A1100" s="1836" t="s">
        <v>220</v>
      </c>
      <c r="B1100" s="1830"/>
      <c r="C1100" s="1830"/>
      <c r="D1100" s="1830"/>
      <c r="E1100" s="1830"/>
      <c r="F1100" s="1830"/>
      <c r="G1100" s="1828"/>
    </row>
    <row r="1101" spans="1:7" ht="14.25" hidden="1" customHeight="1">
      <c r="A1101" s="1829" t="s">
        <v>221</v>
      </c>
      <c r="B1101" s="1828"/>
      <c r="C1101" s="63" t="s">
        <v>222</v>
      </c>
      <c r="D1101" s="63" t="s">
        <v>252</v>
      </c>
      <c r="E1101" s="63" t="s">
        <v>224</v>
      </c>
      <c r="F1101" s="63" t="s">
        <v>225</v>
      </c>
      <c r="G1101" s="63" t="s">
        <v>226</v>
      </c>
    </row>
    <row r="1102" spans="1:7" ht="14.25" hidden="1" customHeight="1">
      <c r="A1102" s="1827" t="e">
        <f>+#REF!</f>
        <v>#REF!</v>
      </c>
      <c r="B1102" s="1828"/>
      <c r="C1102" s="64"/>
      <c r="D1102" s="64"/>
      <c r="E1102" s="64"/>
      <c r="F1102" s="64">
        <v>90</v>
      </c>
      <c r="G1102" s="64">
        <f t="shared" ref="G1102:G1103" si="78">+F1102</f>
        <v>90</v>
      </c>
    </row>
    <row r="1103" spans="1:7" ht="14.25" hidden="1" customHeight="1">
      <c r="A1103" s="1827"/>
      <c r="B1103" s="1828"/>
      <c r="C1103" s="64"/>
      <c r="D1103" s="64"/>
      <c r="E1103" s="64"/>
      <c r="F1103" s="64"/>
      <c r="G1103" s="64">
        <f t="shared" si="78"/>
        <v>0</v>
      </c>
    </row>
    <row r="1104" spans="1:7" ht="14.25" hidden="1" customHeight="1">
      <c r="A1104" s="1829" t="s">
        <v>227</v>
      </c>
      <c r="B1104" s="1830"/>
      <c r="C1104" s="1830"/>
      <c r="D1104" s="1830"/>
      <c r="E1104" s="1830"/>
      <c r="F1104" s="1828"/>
      <c r="G1104" s="191">
        <f>SUM(G1102:G1103)</f>
        <v>90</v>
      </c>
    </row>
    <row r="1105" spans="1:7" ht="14.25" hidden="1" customHeight="1">
      <c r="A1105" s="1837"/>
      <c r="B1105" s="1838"/>
      <c r="C1105" s="1838"/>
      <c r="D1105" s="1838"/>
      <c r="E1105" s="1838"/>
      <c r="F1105" s="1838"/>
      <c r="G1105" s="1839"/>
    </row>
    <row r="1106" spans="1:7" ht="27" hidden="1" customHeight="1">
      <c r="A1106" s="66" t="str">
        <f>+A1098</f>
        <v>CAPITULO 8:</v>
      </c>
      <c r="B1106" s="1832" t="s">
        <v>889</v>
      </c>
      <c r="C1106" s="1830"/>
      <c r="D1106" s="1828"/>
      <c r="E1106" s="1833" t="s">
        <v>218</v>
      </c>
      <c r="F1106" s="1834"/>
      <c r="G1106" s="70" t="s">
        <v>127</v>
      </c>
    </row>
    <row r="1107" spans="1:7" ht="14.25" hidden="1" customHeight="1">
      <c r="A1107" s="66" t="s">
        <v>890</v>
      </c>
      <c r="B1107" s="1835" t="e">
        <f>+#REF!</f>
        <v>#REF!</v>
      </c>
      <c r="C1107" s="1621"/>
      <c r="D1107" s="1621"/>
      <c r="E1107" s="1621"/>
      <c r="F1107" s="1621"/>
      <c r="G1107" s="1622"/>
    </row>
    <row r="1108" spans="1:7" ht="14.25" hidden="1" customHeight="1">
      <c r="A1108" s="1836" t="s">
        <v>220</v>
      </c>
      <c r="B1108" s="1830"/>
      <c r="C1108" s="1830"/>
      <c r="D1108" s="1830"/>
      <c r="E1108" s="1830"/>
      <c r="F1108" s="1830"/>
      <c r="G1108" s="1828"/>
    </row>
    <row r="1109" spans="1:7" ht="14.25" hidden="1" customHeight="1">
      <c r="A1109" s="1829" t="s">
        <v>221</v>
      </c>
      <c r="B1109" s="1828"/>
      <c r="C1109" s="63" t="s">
        <v>222</v>
      </c>
      <c r="D1109" s="63" t="s">
        <v>252</v>
      </c>
      <c r="E1109" s="63" t="s">
        <v>224</v>
      </c>
      <c r="F1109" s="63" t="s">
        <v>225</v>
      </c>
      <c r="G1109" s="63" t="s">
        <v>226</v>
      </c>
    </row>
    <row r="1110" spans="1:7" ht="14.25" hidden="1" customHeight="1">
      <c r="A1110" s="1827" t="e">
        <f>+#REF!</f>
        <v>#REF!</v>
      </c>
      <c r="B1110" s="1828"/>
      <c r="C1110" s="64"/>
      <c r="D1110" s="64"/>
      <c r="E1110" s="64"/>
      <c r="F1110" s="64">
        <v>412</v>
      </c>
      <c r="G1110" s="64">
        <f t="shared" ref="G1110:G1111" si="79">+F1110</f>
        <v>412</v>
      </c>
    </row>
    <row r="1111" spans="1:7" ht="14.25" hidden="1" customHeight="1">
      <c r="A1111" s="1827"/>
      <c r="B1111" s="1828"/>
      <c r="C1111" s="64"/>
      <c r="D1111" s="64"/>
      <c r="E1111" s="64"/>
      <c r="F1111" s="64"/>
      <c r="G1111" s="64">
        <f t="shared" si="79"/>
        <v>0</v>
      </c>
    </row>
    <row r="1112" spans="1:7" ht="14.25" hidden="1" customHeight="1">
      <c r="A1112" s="1829" t="s">
        <v>227</v>
      </c>
      <c r="B1112" s="1830"/>
      <c r="C1112" s="1830"/>
      <c r="D1112" s="1830"/>
      <c r="E1112" s="1830"/>
      <c r="F1112" s="1828"/>
      <c r="G1112" s="191">
        <f>SUM(G1110:G1111)</f>
        <v>412</v>
      </c>
    </row>
    <row r="1113" spans="1:7" ht="14.25" hidden="1" customHeight="1">
      <c r="A1113" s="1837"/>
      <c r="B1113" s="1838"/>
      <c r="C1113" s="1838"/>
      <c r="D1113" s="1838"/>
      <c r="E1113" s="1838"/>
      <c r="F1113" s="1838"/>
      <c r="G1113" s="1839"/>
    </row>
    <row r="1114" spans="1:7" ht="14.25" hidden="1" customHeight="1">
      <c r="A1114" s="66" t="str">
        <f>+A1106</f>
        <v>CAPITULO 8:</v>
      </c>
      <c r="B1114" s="1832" t="s">
        <v>498</v>
      </c>
      <c r="C1114" s="1830"/>
      <c r="D1114" s="1828"/>
      <c r="E1114" s="1833" t="s">
        <v>218</v>
      </c>
      <c r="F1114" s="1834"/>
      <c r="G1114" s="70" t="s">
        <v>127</v>
      </c>
    </row>
    <row r="1115" spans="1:7" ht="14.25" hidden="1" customHeight="1">
      <c r="A1115" s="66" t="s">
        <v>891</v>
      </c>
      <c r="B1115" s="1835" t="e">
        <f>+#REF!</f>
        <v>#REF!</v>
      </c>
      <c r="C1115" s="1621"/>
      <c r="D1115" s="1621"/>
      <c r="E1115" s="1621"/>
      <c r="F1115" s="1621"/>
      <c r="G1115" s="1622"/>
    </row>
    <row r="1116" spans="1:7" ht="14.25" hidden="1" customHeight="1">
      <c r="A1116" s="1836" t="s">
        <v>220</v>
      </c>
      <c r="B1116" s="1830"/>
      <c r="C1116" s="1830"/>
      <c r="D1116" s="1830"/>
      <c r="E1116" s="1830"/>
      <c r="F1116" s="1830"/>
      <c r="G1116" s="1828"/>
    </row>
    <row r="1117" spans="1:7" ht="14.25" hidden="1" customHeight="1">
      <c r="A1117" s="1829" t="s">
        <v>221</v>
      </c>
      <c r="B1117" s="1828"/>
      <c r="C1117" s="63" t="s">
        <v>222</v>
      </c>
      <c r="D1117" s="63" t="s">
        <v>252</v>
      </c>
      <c r="E1117" s="63" t="s">
        <v>224</v>
      </c>
      <c r="F1117" s="63" t="s">
        <v>225</v>
      </c>
      <c r="G1117" s="63" t="s">
        <v>226</v>
      </c>
    </row>
    <row r="1118" spans="1:7" ht="14.25" hidden="1" customHeight="1">
      <c r="A1118" s="1827" t="e">
        <f>+#REF!</f>
        <v>#REF!</v>
      </c>
      <c r="B1118" s="1828"/>
      <c r="C1118" s="64"/>
      <c r="D1118" s="64"/>
      <c r="E1118" s="64"/>
      <c r="F1118" s="64">
        <v>149</v>
      </c>
      <c r="G1118" s="64">
        <f t="shared" ref="G1118:G1119" si="80">+F1118</f>
        <v>149</v>
      </c>
    </row>
    <row r="1119" spans="1:7" ht="14.25" hidden="1" customHeight="1">
      <c r="A1119" s="1827"/>
      <c r="B1119" s="1828"/>
      <c r="C1119" s="64"/>
      <c r="D1119" s="64"/>
      <c r="E1119" s="64"/>
      <c r="F1119" s="64"/>
      <c r="G1119" s="64">
        <f t="shared" si="80"/>
        <v>0</v>
      </c>
    </row>
    <row r="1120" spans="1:7" ht="14.25" hidden="1" customHeight="1">
      <c r="A1120" s="1829" t="s">
        <v>227</v>
      </c>
      <c r="B1120" s="1830"/>
      <c r="C1120" s="1830"/>
      <c r="D1120" s="1830"/>
      <c r="E1120" s="1830"/>
      <c r="F1120" s="1828"/>
      <c r="G1120" s="191">
        <f>SUM(G1118:G1119)</f>
        <v>149</v>
      </c>
    </row>
    <row r="1121" spans="1:7" ht="14.25" hidden="1" customHeight="1">
      <c r="A1121" s="1837"/>
      <c r="B1121" s="1838"/>
      <c r="C1121" s="1838"/>
      <c r="D1121" s="1838"/>
      <c r="E1121" s="1838"/>
      <c r="F1121" s="1838"/>
      <c r="G1121" s="1839"/>
    </row>
    <row r="1122" spans="1:7" ht="14.25" hidden="1" customHeight="1">
      <c r="A1122" s="66" t="str">
        <f t="shared" ref="A1122:B1122" si="81">+A1114</f>
        <v>CAPITULO 8:</v>
      </c>
      <c r="B1122" s="1832" t="str">
        <f t="shared" si="81"/>
        <v>INSTALACIONES ELECTRICAS</v>
      </c>
      <c r="C1122" s="1830"/>
      <c r="D1122" s="1828"/>
      <c r="E1122" s="1833" t="s">
        <v>218</v>
      </c>
      <c r="F1122" s="1834"/>
      <c r="G1122" s="70" t="e">
        <f>+#REF!</f>
        <v>#REF!</v>
      </c>
    </row>
    <row r="1123" spans="1:7" ht="14.25" hidden="1" customHeight="1">
      <c r="A1123" s="66" t="s">
        <v>892</v>
      </c>
      <c r="B1123" s="1835" t="e">
        <f>+#REF!</f>
        <v>#REF!</v>
      </c>
      <c r="C1123" s="1621"/>
      <c r="D1123" s="1621"/>
      <c r="E1123" s="1621"/>
      <c r="F1123" s="1621"/>
      <c r="G1123" s="1622"/>
    </row>
    <row r="1124" spans="1:7" ht="14.25" hidden="1" customHeight="1">
      <c r="A1124" s="1836" t="s">
        <v>220</v>
      </c>
      <c r="B1124" s="1830"/>
      <c r="C1124" s="1830"/>
      <c r="D1124" s="1830"/>
      <c r="E1124" s="1830"/>
      <c r="F1124" s="1830"/>
      <c r="G1124" s="1828"/>
    </row>
    <row r="1125" spans="1:7" ht="14.25" hidden="1" customHeight="1">
      <c r="A1125" s="1829" t="s">
        <v>221</v>
      </c>
      <c r="B1125" s="1828"/>
      <c r="C1125" s="63" t="s">
        <v>222</v>
      </c>
      <c r="D1125" s="63" t="s">
        <v>252</v>
      </c>
      <c r="E1125" s="63" t="s">
        <v>224</v>
      </c>
      <c r="F1125" s="63" t="s">
        <v>225</v>
      </c>
      <c r="G1125" s="63" t="s">
        <v>226</v>
      </c>
    </row>
    <row r="1126" spans="1:7" ht="14.25" hidden="1" customHeight="1">
      <c r="A1126" s="1827" t="e">
        <f>+#REF!</f>
        <v>#REF!</v>
      </c>
      <c r="B1126" s="1828"/>
      <c r="C1126" s="64"/>
      <c r="D1126" s="64"/>
      <c r="E1126" s="64"/>
      <c r="F1126" s="64">
        <v>60</v>
      </c>
      <c r="G1126" s="64">
        <f t="shared" ref="G1126:G1127" si="82">+F1126</f>
        <v>60</v>
      </c>
    </row>
    <row r="1127" spans="1:7" ht="14.25" hidden="1" customHeight="1">
      <c r="A1127" s="1827"/>
      <c r="B1127" s="1828"/>
      <c r="C1127" s="64"/>
      <c r="D1127" s="64"/>
      <c r="E1127" s="64"/>
      <c r="F1127" s="64"/>
      <c r="G1127" s="64">
        <f t="shared" si="82"/>
        <v>0</v>
      </c>
    </row>
    <row r="1128" spans="1:7" ht="14.25" hidden="1" customHeight="1">
      <c r="A1128" s="1829" t="s">
        <v>227</v>
      </c>
      <c r="B1128" s="1830"/>
      <c r="C1128" s="1830"/>
      <c r="D1128" s="1830"/>
      <c r="E1128" s="1830"/>
      <c r="F1128" s="1828"/>
      <c r="G1128" s="191">
        <f>SUM(G1126:G1127)</f>
        <v>60</v>
      </c>
    </row>
    <row r="1129" spans="1:7" ht="14.25" hidden="1" customHeight="1">
      <c r="A1129" s="1837"/>
      <c r="B1129" s="1838"/>
      <c r="C1129" s="1838"/>
      <c r="D1129" s="1838"/>
      <c r="E1129" s="1838"/>
      <c r="F1129" s="1838"/>
      <c r="G1129" s="1839"/>
    </row>
    <row r="1130" spans="1:7" ht="14.25" hidden="1" customHeight="1">
      <c r="A1130" s="66" t="str">
        <f>+A1122</f>
        <v>CAPITULO 8:</v>
      </c>
      <c r="B1130" s="1832" t="s">
        <v>260</v>
      </c>
      <c r="C1130" s="1830"/>
      <c r="D1130" s="1828"/>
      <c r="E1130" s="1833" t="s">
        <v>218</v>
      </c>
      <c r="F1130" s="1834"/>
      <c r="G1130" s="70" t="e">
        <f>+#REF!</f>
        <v>#REF!</v>
      </c>
    </row>
    <row r="1131" spans="1:7" ht="14.25" hidden="1" customHeight="1">
      <c r="A1131" s="66" t="s">
        <v>893</v>
      </c>
      <c r="B1131" s="1835" t="e">
        <f>+#REF!</f>
        <v>#REF!</v>
      </c>
      <c r="C1131" s="1621"/>
      <c r="D1131" s="1621"/>
      <c r="E1131" s="1621"/>
      <c r="F1131" s="1621"/>
      <c r="G1131" s="1622"/>
    </row>
    <row r="1132" spans="1:7" ht="14.25" hidden="1" customHeight="1">
      <c r="A1132" s="1836" t="s">
        <v>220</v>
      </c>
      <c r="B1132" s="1830"/>
      <c r="C1132" s="1830"/>
      <c r="D1132" s="1830"/>
      <c r="E1132" s="1830"/>
      <c r="F1132" s="1830"/>
      <c r="G1132" s="1828"/>
    </row>
    <row r="1133" spans="1:7" ht="14.25" hidden="1" customHeight="1">
      <c r="A1133" s="1829" t="s">
        <v>221</v>
      </c>
      <c r="B1133" s="1828"/>
      <c r="C1133" s="63" t="s">
        <v>222</v>
      </c>
      <c r="D1133" s="63" t="s">
        <v>252</v>
      </c>
      <c r="E1133" s="63" t="s">
        <v>224</v>
      </c>
      <c r="F1133" s="63" t="s">
        <v>225</v>
      </c>
      <c r="G1133" s="63" t="s">
        <v>226</v>
      </c>
    </row>
    <row r="1134" spans="1:7" ht="14.25" hidden="1" customHeight="1">
      <c r="A1134" s="1827" t="e">
        <f>+#REF!</f>
        <v>#REF!</v>
      </c>
      <c r="B1134" s="1828"/>
      <c r="C1134" s="64"/>
      <c r="D1134" s="64"/>
      <c r="E1134" s="64"/>
      <c r="F1134" s="64">
        <v>415</v>
      </c>
      <c r="G1134" s="64">
        <f t="shared" ref="G1134:G1135" si="83">+F1134</f>
        <v>415</v>
      </c>
    </row>
    <row r="1135" spans="1:7" ht="14.25" hidden="1" customHeight="1">
      <c r="A1135" s="1827"/>
      <c r="B1135" s="1828"/>
      <c r="C1135" s="64"/>
      <c r="D1135" s="64"/>
      <c r="E1135" s="64"/>
      <c r="F1135" s="64"/>
      <c r="G1135" s="64">
        <f t="shared" si="83"/>
        <v>0</v>
      </c>
    </row>
    <row r="1136" spans="1:7" ht="14.25" hidden="1" customHeight="1">
      <c r="A1136" s="1829" t="s">
        <v>227</v>
      </c>
      <c r="B1136" s="1830"/>
      <c r="C1136" s="1830"/>
      <c r="D1136" s="1830"/>
      <c r="E1136" s="1830"/>
      <c r="F1136" s="1828"/>
      <c r="G1136" s="191">
        <f>SUM(G1134:G1135)</f>
        <v>415</v>
      </c>
    </row>
    <row r="1137" spans="1:7" ht="14.25" hidden="1" customHeight="1">
      <c r="A1137" s="1837"/>
      <c r="B1137" s="1838"/>
      <c r="C1137" s="1838"/>
      <c r="D1137" s="1838"/>
      <c r="E1137" s="1838"/>
      <c r="F1137" s="1838"/>
      <c r="G1137" s="1839"/>
    </row>
    <row r="1138" spans="1:7" ht="14.25" hidden="1" customHeight="1">
      <c r="A1138" s="66" t="str">
        <f>+A1130</f>
        <v>CAPITULO 8:</v>
      </c>
      <c r="B1138" s="1832" t="s">
        <v>260</v>
      </c>
      <c r="C1138" s="1830"/>
      <c r="D1138" s="1828"/>
      <c r="E1138" s="1833" t="s">
        <v>218</v>
      </c>
      <c r="F1138" s="1834"/>
      <c r="G1138" s="70" t="e">
        <f>+#REF!</f>
        <v>#REF!</v>
      </c>
    </row>
    <row r="1139" spans="1:7" ht="14.25" hidden="1" customHeight="1">
      <c r="A1139" s="66" t="s">
        <v>894</v>
      </c>
      <c r="B1139" s="1835" t="e">
        <f>+#REF!</f>
        <v>#REF!</v>
      </c>
      <c r="C1139" s="1621"/>
      <c r="D1139" s="1621"/>
      <c r="E1139" s="1621"/>
      <c r="F1139" s="1621"/>
      <c r="G1139" s="1622"/>
    </row>
    <row r="1140" spans="1:7" ht="14.25" hidden="1" customHeight="1">
      <c r="A1140" s="1836" t="s">
        <v>220</v>
      </c>
      <c r="B1140" s="1830"/>
      <c r="C1140" s="1830"/>
      <c r="D1140" s="1830"/>
      <c r="E1140" s="1830"/>
      <c r="F1140" s="1830"/>
      <c r="G1140" s="1828"/>
    </row>
    <row r="1141" spans="1:7" ht="14.25" hidden="1" customHeight="1">
      <c r="A1141" s="1829" t="s">
        <v>221</v>
      </c>
      <c r="B1141" s="1828"/>
      <c r="C1141" s="63" t="s">
        <v>222</v>
      </c>
      <c r="D1141" s="63" t="s">
        <v>252</v>
      </c>
      <c r="E1141" s="63" t="s">
        <v>224</v>
      </c>
      <c r="F1141" s="63" t="s">
        <v>225</v>
      </c>
      <c r="G1141" s="63" t="s">
        <v>226</v>
      </c>
    </row>
    <row r="1142" spans="1:7" ht="14.25" hidden="1" customHeight="1">
      <c r="A1142" s="1827" t="e">
        <f>+#REF!</f>
        <v>#REF!</v>
      </c>
      <c r="B1142" s="1828"/>
      <c r="C1142" s="64"/>
      <c r="D1142" s="64"/>
      <c r="E1142" s="64"/>
      <c r="F1142" s="64">
        <v>50</v>
      </c>
      <c r="G1142" s="64">
        <f t="shared" ref="G1142:G1143" si="84">+F1142</f>
        <v>50</v>
      </c>
    </row>
    <row r="1143" spans="1:7" ht="14.25" hidden="1" customHeight="1">
      <c r="A1143" s="1827"/>
      <c r="B1143" s="1828"/>
      <c r="C1143" s="64"/>
      <c r="D1143" s="64"/>
      <c r="E1143" s="64"/>
      <c r="F1143" s="64"/>
      <c r="G1143" s="64">
        <f t="shared" si="84"/>
        <v>0</v>
      </c>
    </row>
    <row r="1144" spans="1:7" ht="14.25" hidden="1" customHeight="1">
      <c r="A1144" s="1829" t="s">
        <v>227</v>
      </c>
      <c r="B1144" s="1830"/>
      <c r="C1144" s="1830"/>
      <c r="D1144" s="1830"/>
      <c r="E1144" s="1830"/>
      <c r="F1144" s="1828"/>
      <c r="G1144" s="191">
        <f>SUM(G1142:G1143)</f>
        <v>50</v>
      </c>
    </row>
    <row r="1145" spans="1:7" ht="14.25" hidden="1" customHeight="1">
      <c r="A1145" s="1831"/>
      <c r="B1145" s="1830"/>
      <c r="C1145" s="1830"/>
      <c r="D1145" s="1830"/>
      <c r="E1145" s="1830"/>
      <c r="F1145" s="1830"/>
      <c r="G1145" s="1828"/>
    </row>
    <row r="1146" spans="1:7" ht="14.25" hidden="1" customHeight="1">
      <c r="A1146" s="66" t="str">
        <f>+A1138</f>
        <v>CAPITULO 8:</v>
      </c>
      <c r="B1146" s="1832" t="s">
        <v>260</v>
      </c>
      <c r="C1146" s="1830"/>
      <c r="D1146" s="1828"/>
      <c r="E1146" s="1833" t="s">
        <v>218</v>
      </c>
      <c r="F1146" s="1834"/>
      <c r="G1146" s="70" t="e">
        <f>+#REF!</f>
        <v>#REF!</v>
      </c>
    </row>
    <row r="1147" spans="1:7" ht="14.25" hidden="1" customHeight="1">
      <c r="A1147" s="66" t="s">
        <v>895</v>
      </c>
      <c r="B1147" s="1835" t="e">
        <f>+#REF!</f>
        <v>#REF!</v>
      </c>
      <c r="C1147" s="1621"/>
      <c r="D1147" s="1621"/>
      <c r="E1147" s="1621"/>
      <c r="F1147" s="1621"/>
      <c r="G1147" s="1622"/>
    </row>
    <row r="1148" spans="1:7" ht="14.25" hidden="1" customHeight="1">
      <c r="A1148" s="1836" t="s">
        <v>220</v>
      </c>
      <c r="B1148" s="1830"/>
      <c r="C1148" s="1830"/>
      <c r="D1148" s="1830"/>
      <c r="E1148" s="1830"/>
      <c r="F1148" s="1830"/>
      <c r="G1148" s="1828"/>
    </row>
    <row r="1149" spans="1:7" ht="14.25" hidden="1" customHeight="1">
      <c r="A1149" s="1829" t="s">
        <v>221</v>
      </c>
      <c r="B1149" s="1828"/>
      <c r="C1149" s="63" t="s">
        <v>222</v>
      </c>
      <c r="D1149" s="63" t="s">
        <v>252</v>
      </c>
      <c r="E1149" s="63" t="s">
        <v>224</v>
      </c>
      <c r="F1149" s="63" t="s">
        <v>225</v>
      </c>
      <c r="G1149" s="63" t="s">
        <v>226</v>
      </c>
    </row>
    <row r="1150" spans="1:7" ht="14.25" hidden="1" customHeight="1">
      <c r="A1150" s="1827" t="e">
        <f>+#REF!</f>
        <v>#REF!</v>
      </c>
      <c r="B1150" s="1828"/>
      <c r="C1150" s="64"/>
      <c r="D1150" s="64"/>
      <c r="E1150" s="64"/>
      <c r="F1150" s="64">
        <v>87</v>
      </c>
      <c r="G1150" s="64">
        <f t="shared" ref="G1150:G1151" si="85">+F1150</f>
        <v>87</v>
      </c>
    </row>
    <row r="1151" spans="1:7" ht="14.25" hidden="1" customHeight="1">
      <c r="A1151" s="1827"/>
      <c r="B1151" s="1828"/>
      <c r="C1151" s="64"/>
      <c r="D1151" s="64"/>
      <c r="E1151" s="64"/>
      <c r="F1151" s="64"/>
      <c r="G1151" s="64">
        <f t="shared" si="85"/>
        <v>0</v>
      </c>
    </row>
    <row r="1152" spans="1:7" ht="14.25" hidden="1" customHeight="1">
      <c r="A1152" s="1829" t="s">
        <v>227</v>
      </c>
      <c r="B1152" s="1830"/>
      <c r="C1152" s="1830"/>
      <c r="D1152" s="1830"/>
      <c r="E1152" s="1830"/>
      <c r="F1152" s="1828"/>
      <c r="G1152" s="191">
        <f>SUM(G1150:G1151)</f>
        <v>87</v>
      </c>
    </row>
    <row r="1153" spans="1:7" ht="14.25" hidden="1" customHeight="1">
      <c r="A1153" s="1831"/>
      <c r="B1153" s="1830"/>
      <c r="C1153" s="1830"/>
      <c r="D1153" s="1830"/>
      <c r="E1153" s="1830"/>
      <c r="F1153" s="1830"/>
      <c r="G1153" s="1828"/>
    </row>
    <row r="1154" spans="1:7" ht="14.25" hidden="1" customHeight="1">
      <c r="A1154" s="66" t="str">
        <f>+A1146</f>
        <v>CAPITULO 8:</v>
      </c>
      <c r="B1154" s="1832" t="s">
        <v>260</v>
      </c>
      <c r="C1154" s="1830"/>
      <c r="D1154" s="1828"/>
      <c r="E1154" s="1833" t="s">
        <v>218</v>
      </c>
      <c r="F1154" s="1834"/>
      <c r="G1154" s="70" t="e">
        <f>+#REF!</f>
        <v>#REF!</v>
      </c>
    </row>
    <row r="1155" spans="1:7" ht="14.25" hidden="1" customHeight="1">
      <c r="A1155" s="66" t="s">
        <v>896</v>
      </c>
      <c r="B1155" s="1835" t="e">
        <f>+#REF!</f>
        <v>#REF!</v>
      </c>
      <c r="C1155" s="1621"/>
      <c r="D1155" s="1621"/>
      <c r="E1155" s="1621"/>
      <c r="F1155" s="1621"/>
      <c r="G1155" s="1622"/>
    </row>
    <row r="1156" spans="1:7" ht="14.25" hidden="1" customHeight="1">
      <c r="A1156" s="1836" t="s">
        <v>220</v>
      </c>
      <c r="B1156" s="1830"/>
      <c r="C1156" s="1830"/>
      <c r="D1156" s="1830"/>
      <c r="E1156" s="1830"/>
      <c r="F1156" s="1830"/>
      <c r="G1156" s="1828"/>
    </row>
    <row r="1157" spans="1:7" ht="14.25" hidden="1" customHeight="1">
      <c r="A1157" s="1829" t="s">
        <v>221</v>
      </c>
      <c r="B1157" s="1828"/>
      <c r="C1157" s="63" t="s">
        <v>222</v>
      </c>
      <c r="D1157" s="63" t="s">
        <v>252</v>
      </c>
      <c r="E1157" s="63" t="s">
        <v>224</v>
      </c>
      <c r="F1157" s="63" t="s">
        <v>225</v>
      </c>
      <c r="G1157" s="63" t="s">
        <v>226</v>
      </c>
    </row>
    <row r="1158" spans="1:7" ht="14.25" hidden="1" customHeight="1">
      <c r="A1158" s="1827" t="e">
        <f>+#REF!</f>
        <v>#REF!</v>
      </c>
      <c r="B1158" s="1828"/>
      <c r="C1158" s="64"/>
      <c r="D1158" s="64"/>
      <c r="E1158" s="64"/>
      <c r="F1158" s="64">
        <v>64</v>
      </c>
      <c r="G1158" s="64">
        <f t="shared" ref="G1158:G1159" si="86">+F1158</f>
        <v>64</v>
      </c>
    </row>
    <row r="1159" spans="1:7" ht="14.25" hidden="1" customHeight="1">
      <c r="A1159" s="1827"/>
      <c r="B1159" s="1828"/>
      <c r="C1159" s="64"/>
      <c r="D1159" s="64"/>
      <c r="E1159" s="64"/>
      <c r="F1159" s="64"/>
      <c r="G1159" s="64">
        <f t="shared" si="86"/>
        <v>0</v>
      </c>
    </row>
    <row r="1160" spans="1:7" ht="14.25" hidden="1" customHeight="1">
      <c r="A1160" s="1829" t="s">
        <v>227</v>
      </c>
      <c r="B1160" s="1830"/>
      <c r="C1160" s="1830"/>
      <c r="D1160" s="1830"/>
      <c r="E1160" s="1830"/>
      <c r="F1160" s="1828"/>
      <c r="G1160" s="191">
        <f>SUM(G1158:G1159)</f>
        <v>64</v>
      </c>
    </row>
    <row r="1161" spans="1:7" ht="14.25" hidden="1" customHeight="1">
      <c r="A1161" s="1831"/>
      <c r="B1161" s="1830"/>
      <c r="C1161" s="1830"/>
      <c r="D1161" s="1830"/>
      <c r="E1161" s="1830"/>
      <c r="F1161" s="1830"/>
      <c r="G1161" s="1828"/>
    </row>
    <row r="1162" spans="1:7" ht="14.25" hidden="1" customHeight="1">
      <c r="A1162" s="66" t="str">
        <f>+A1154</f>
        <v>CAPITULO 8:</v>
      </c>
      <c r="B1162" s="1832" t="s">
        <v>260</v>
      </c>
      <c r="C1162" s="1830"/>
      <c r="D1162" s="1828"/>
      <c r="E1162" s="1833" t="s">
        <v>218</v>
      </c>
      <c r="F1162" s="1834"/>
      <c r="G1162" s="70" t="e">
        <f>+#REF!</f>
        <v>#REF!</v>
      </c>
    </row>
    <row r="1163" spans="1:7" ht="14.25" hidden="1" customHeight="1">
      <c r="A1163" s="66" t="s">
        <v>897</v>
      </c>
      <c r="B1163" s="1835" t="e">
        <f>+#REF!</f>
        <v>#REF!</v>
      </c>
      <c r="C1163" s="1621"/>
      <c r="D1163" s="1621"/>
      <c r="E1163" s="1621"/>
      <c r="F1163" s="1621"/>
      <c r="G1163" s="1622"/>
    </row>
    <row r="1164" spans="1:7" ht="14.25" hidden="1" customHeight="1">
      <c r="A1164" s="1836" t="s">
        <v>220</v>
      </c>
      <c r="B1164" s="1830"/>
      <c r="C1164" s="1830"/>
      <c r="D1164" s="1830"/>
      <c r="E1164" s="1830"/>
      <c r="F1164" s="1830"/>
      <c r="G1164" s="1828"/>
    </row>
    <row r="1165" spans="1:7" ht="14.25" hidden="1" customHeight="1">
      <c r="A1165" s="1829" t="s">
        <v>221</v>
      </c>
      <c r="B1165" s="1828"/>
      <c r="C1165" s="63" t="s">
        <v>222</v>
      </c>
      <c r="D1165" s="63" t="s">
        <v>252</v>
      </c>
      <c r="E1165" s="63" t="s">
        <v>224</v>
      </c>
      <c r="F1165" s="63" t="s">
        <v>225</v>
      </c>
      <c r="G1165" s="63" t="s">
        <v>226</v>
      </c>
    </row>
    <row r="1166" spans="1:7" ht="14.25" hidden="1" customHeight="1">
      <c r="A1166" s="1827" t="e">
        <f>+#REF!</f>
        <v>#REF!</v>
      </c>
      <c r="B1166" s="1828"/>
      <c r="C1166" s="64"/>
      <c r="D1166" s="64"/>
      <c r="E1166" s="64"/>
      <c r="F1166" s="64">
        <v>47</v>
      </c>
      <c r="G1166" s="64">
        <f t="shared" ref="G1166:G1167" si="87">+F1166</f>
        <v>47</v>
      </c>
    </row>
    <row r="1167" spans="1:7" ht="14.25" hidden="1" customHeight="1">
      <c r="A1167" s="1827"/>
      <c r="B1167" s="1828"/>
      <c r="C1167" s="64"/>
      <c r="D1167" s="64"/>
      <c r="E1167" s="64"/>
      <c r="F1167" s="64"/>
      <c r="G1167" s="64">
        <f t="shared" si="87"/>
        <v>0</v>
      </c>
    </row>
    <row r="1168" spans="1:7" ht="14.25" hidden="1" customHeight="1">
      <c r="A1168" s="1829" t="s">
        <v>227</v>
      </c>
      <c r="B1168" s="1830"/>
      <c r="C1168" s="1830"/>
      <c r="D1168" s="1830"/>
      <c r="E1168" s="1830"/>
      <c r="F1168" s="1828"/>
      <c r="G1168" s="191">
        <f>SUM(G1166:G1167)</f>
        <v>47</v>
      </c>
    </row>
    <row r="1169" spans="1:7" ht="14.25" hidden="1" customHeight="1">
      <c r="A1169" s="1831"/>
      <c r="B1169" s="1830"/>
      <c r="C1169" s="1830"/>
      <c r="D1169" s="1830"/>
      <c r="E1169" s="1830"/>
      <c r="F1169" s="1830"/>
      <c r="G1169" s="1828"/>
    </row>
    <row r="1170" spans="1:7" ht="17.25" hidden="1" customHeight="1">
      <c r="A1170" s="66" t="str">
        <f>+A1162</f>
        <v>CAPITULO 8:</v>
      </c>
      <c r="B1170" s="1832" t="s">
        <v>260</v>
      </c>
      <c r="C1170" s="1830"/>
      <c r="D1170" s="1828"/>
      <c r="E1170" s="1833" t="s">
        <v>218</v>
      </c>
      <c r="F1170" s="1834"/>
      <c r="G1170" s="70" t="e">
        <f>+#REF!</f>
        <v>#REF!</v>
      </c>
    </row>
    <row r="1171" spans="1:7" ht="14.25" hidden="1" customHeight="1">
      <c r="A1171" s="66" t="s">
        <v>898</v>
      </c>
      <c r="B1171" s="1835" t="e">
        <f>+#REF!</f>
        <v>#REF!</v>
      </c>
      <c r="C1171" s="1621"/>
      <c r="D1171" s="1621"/>
      <c r="E1171" s="1621"/>
      <c r="F1171" s="1621"/>
      <c r="G1171" s="1622"/>
    </row>
    <row r="1172" spans="1:7" ht="14.25" hidden="1" customHeight="1">
      <c r="A1172" s="1836" t="s">
        <v>220</v>
      </c>
      <c r="B1172" s="1830"/>
      <c r="C1172" s="1830"/>
      <c r="D1172" s="1830"/>
      <c r="E1172" s="1830"/>
      <c r="F1172" s="1830"/>
      <c r="G1172" s="1828"/>
    </row>
    <row r="1173" spans="1:7" ht="14.25" hidden="1" customHeight="1">
      <c r="A1173" s="1829" t="s">
        <v>221</v>
      </c>
      <c r="B1173" s="1828"/>
      <c r="C1173" s="63" t="s">
        <v>222</v>
      </c>
      <c r="D1173" s="63" t="s">
        <v>252</v>
      </c>
      <c r="E1173" s="63" t="s">
        <v>224</v>
      </c>
      <c r="F1173" s="63" t="s">
        <v>225</v>
      </c>
      <c r="G1173" s="63" t="s">
        <v>226</v>
      </c>
    </row>
    <row r="1174" spans="1:7" ht="14.25" hidden="1" customHeight="1">
      <c r="A1174" s="1827" t="e">
        <f>+#REF!</f>
        <v>#REF!</v>
      </c>
      <c r="B1174" s="1828"/>
      <c r="C1174" s="64"/>
      <c r="D1174" s="64"/>
      <c r="E1174" s="64"/>
      <c r="F1174" s="64">
        <v>42.000000071427294</v>
      </c>
      <c r="G1174" s="64">
        <f t="shared" ref="G1174:G1175" si="88">+F1174</f>
        <v>42.000000071427294</v>
      </c>
    </row>
    <row r="1175" spans="1:7" ht="14.25" hidden="1" customHeight="1">
      <c r="A1175" s="1827"/>
      <c r="B1175" s="1828"/>
      <c r="C1175" s="64"/>
      <c r="D1175" s="64"/>
      <c r="E1175" s="64"/>
      <c r="F1175" s="64"/>
      <c r="G1175" s="64">
        <f t="shared" si="88"/>
        <v>0</v>
      </c>
    </row>
    <row r="1176" spans="1:7" ht="14.25" hidden="1" customHeight="1">
      <c r="A1176" s="1829" t="s">
        <v>227</v>
      </c>
      <c r="B1176" s="1830"/>
      <c r="C1176" s="1830"/>
      <c r="D1176" s="1830"/>
      <c r="E1176" s="1830"/>
      <c r="F1176" s="1828"/>
      <c r="G1176" s="191">
        <f>SUM(G1174:G1175)</f>
        <v>42.000000071427294</v>
      </c>
    </row>
    <row r="1177" spans="1:7" ht="14.25" hidden="1" customHeight="1">
      <c r="A1177" s="1831"/>
      <c r="B1177" s="1830"/>
      <c r="C1177" s="1830"/>
      <c r="D1177" s="1830"/>
      <c r="E1177" s="1830"/>
      <c r="F1177" s="1830"/>
      <c r="G1177" s="1828"/>
    </row>
    <row r="1178" spans="1:7" ht="14.25" hidden="1" customHeight="1">
      <c r="A1178" s="66" t="str">
        <f>+A1170</f>
        <v>CAPITULO 8:</v>
      </c>
      <c r="B1178" s="1832" t="s">
        <v>260</v>
      </c>
      <c r="C1178" s="1830"/>
      <c r="D1178" s="1828"/>
      <c r="E1178" s="1833" t="s">
        <v>218</v>
      </c>
      <c r="F1178" s="1834"/>
      <c r="G1178" s="70" t="s">
        <v>899</v>
      </c>
    </row>
    <row r="1179" spans="1:7" ht="14.25" hidden="1" customHeight="1">
      <c r="A1179" s="66" t="s">
        <v>900</v>
      </c>
      <c r="B1179" s="1835" t="e">
        <f>+#REF!</f>
        <v>#REF!</v>
      </c>
      <c r="C1179" s="1621"/>
      <c r="D1179" s="1621"/>
      <c r="E1179" s="1621"/>
      <c r="F1179" s="1621"/>
      <c r="G1179" s="1622"/>
    </row>
    <row r="1180" spans="1:7" ht="14.25" hidden="1" customHeight="1">
      <c r="A1180" s="1836" t="s">
        <v>220</v>
      </c>
      <c r="B1180" s="1830"/>
      <c r="C1180" s="1830"/>
      <c r="D1180" s="1830"/>
      <c r="E1180" s="1830"/>
      <c r="F1180" s="1830"/>
      <c r="G1180" s="1828"/>
    </row>
    <row r="1181" spans="1:7" ht="14.25" hidden="1" customHeight="1">
      <c r="A1181" s="1829" t="s">
        <v>221</v>
      </c>
      <c r="B1181" s="1828"/>
      <c r="C1181" s="63" t="s">
        <v>222</v>
      </c>
      <c r="D1181" s="63" t="s">
        <v>252</v>
      </c>
      <c r="E1181" s="63" t="s">
        <v>224</v>
      </c>
      <c r="F1181" s="63" t="s">
        <v>225</v>
      </c>
      <c r="G1181" s="63" t="s">
        <v>226</v>
      </c>
    </row>
    <row r="1182" spans="1:7" ht="14.25" hidden="1" customHeight="1">
      <c r="A1182" s="1827" t="e">
        <f>+#REF!</f>
        <v>#REF!</v>
      </c>
      <c r="B1182" s="1828"/>
      <c r="C1182" s="64"/>
      <c r="D1182" s="64"/>
      <c r="E1182" s="64"/>
      <c r="F1182" s="64">
        <v>4</v>
      </c>
      <c r="G1182" s="64">
        <f t="shared" ref="G1182:G1183" si="89">+F1182</f>
        <v>4</v>
      </c>
    </row>
    <row r="1183" spans="1:7" ht="14.25" hidden="1" customHeight="1">
      <c r="A1183" s="1827"/>
      <c r="B1183" s="1828"/>
      <c r="C1183" s="64"/>
      <c r="D1183" s="64"/>
      <c r="E1183" s="64"/>
      <c r="F1183" s="64"/>
      <c r="G1183" s="64">
        <f t="shared" si="89"/>
        <v>0</v>
      </c>
    </row>
    <row r="1184" spans="1:7" ht="14.25" hidden="1" customHeight="1">
      <c r="A1184" s="1829" t="s">
        <v>227</v>
      </c>
      <c r="B1184" s="1830"/>
      <c r="C1184" s="1830"/>
      <c r="D1184" s="1830"/>
      <c r="E1184" s="1830"/>
      <c r="F1184" s="1828"/>
      <c r="G1184" s="191">
        <f>SUM(G1182:G1183)</f>
        <v>4</v>
      </c>
    </row>
    <row r="1185" spans="1:7" ht="14.25" hidden="1" customHeight="1">
      <c r="A1185" s="1831"/>
      <c r="B1185" s="1830"/>
      <c r="C1185" s="1830"/>
      <c r="D1185" s="1830"/>
      <c r="E1185" s="1830"/>
      <c r="F1185" s="1830"/>
      <c r="G1185" s="1828"/>
    </row>
    <row r="1186" spans="1:7" ht="14.25" hidden="1" customHeight="1">
      <c r="A1186" s="66" t="str">
        <f>+A1178</f>
        <v>CAPITULO 8:</v>
      </c>
      <c r="B1186" s="1832" t="s">
        <v>260</v>
      </c>
      <c r="C1186" s="1830"/>
      <c r="D1186" s="1828"/>
      <c r="E1186" s="1833" t="s">
        <v>218</v>
      </c>
      <c r="F1186" s="1834"/>
      <c r="G1186" s="70" t="e">
        <f>+#REF!</f>
        <v>#REF!</v>
      </c>
    </row>
    <row r="1187" spans="1:7" ht="14.25" hidden="1" customHeight="1">
      <c r="A1187" s="66" t="s">
        <v>901</v>
      </c>
      <c r="B1187" s="1835" t="e">
        <f>+#REF!</f>
        <v>#REF!</v>
      </c>
      <c r="C1187" s="1621"/>
      <c r="D1187" s="1621"/>
      <c r="E1187" s="1621"/>
      <c r="F1187" s="1621"/>
      <c r="G1187" s="1622"/>
    </row>
    <row r="1188" spans="1:7" ht="14.25" hidden="1" customHeight="1">
      <c r="A1188" s="1836" t="s">
        <v>220</v>
      </c>
      <c r="B1188" s="1830"/>
      <c r="C1188" s="1830"/>
      <c r="D1188" s="1830"/>
      <c r="E1188" s="1830"/>
      <c r="F1188" s="1830"/>
      <c r="G1188" s="1828"/>
    </row>
    <row r="1189" spans="1:7" ht="14.25" hidden="1" customHeight="1">
      <c r="A1189" s="1829" t="s">
        <v>221</v>
      </c>
      <c r="B1189" s="1828"/>
      <c r="C1189" s="63" t="s">
        <v>222</v>
      </c>
      <c r="D1189" s="63" t="s">
        <v>252</v>
      </c>
      <c r="E1189" s="63" t="s">
        <v>224</v>
      </c>
      <c r="F1189" s="63" t="s">
        <v>225</v>
      </c>
      <c r="G1189" s="63" t="s">
        <v>226</v>
      </c>
    </row>
    <row r="1190" spans="1:7" ht="14.25" hidden="1" customHeight="1">
      <c r="A1190" s="1827" t="e">
        <f>+#REF!</f>
        <v>#REF!</v>
      </c>
      <c r="B1190" s="1828"/>
      <c r="C1190" s="64"/>
      <c r="D1190" s="64"/>
      <c r="E1190" s="64"/>
      <c r="F1190" s="64">
        <v>4</v>
      </c>
      <c r="G1190" s="64">
        <f t="shared" ref="G1190:G1191" si="90">+F1190</f>
        <v>4</v>
      </c>
    </row>
    <row r="1191" spans="1:7" ht="14.25" hidden="1" customHeight="1">
      <c r="A1191" s="1827"/>
      <c r="B1191" s="1828"/>
      <c r="C1191" s="64"/>
      <c r="D1191" s="64"/>
      <c r="E1191" s="64"/>
      <c r="F1191" s="64"/>
      <c r="G1191" s="64">
        <f t="shared" si="90"/>
        <v>0</v>
      </c>
    </row>
    <row r="1192" spans="1:7" ht="14.25" hidden="1" customHeight="1">
      <c r="A1192" s="1829" t="s">
        <v>227</v>
      </c>
      <c r="B1192" s="1830"/>
      <c r="C1192" s="1830"/>
      <c r="D1192" s="1830"/>
      <c r="E1192" s="1830"/>
      <c r="F1192" s="1828"/>
      <c r="G1192" s="191">
        <f>SUM(G1190:G1191)</f>
        <v>4</v>
      </c>
    </row>
    <row r="1193" spans="1:7" ht="14.25" hidden="1" customHeight="1">
      <c r="A1193" s="1831"/>
      <c r="B1193" s="1830"/>
      <c r="C1193" s="1830"/>
      <c r="D1193" s="1830"/>
      <c r="E1193" s="1830"/>
      <c r="F1193" s="1830"/>
      <c r="G1193" s="1828"/>
    </row>
    <row r="1194" spans="1:7" ht="14.25" hidden="1" customHeight="1">
      <c r="A1194" s="66" t="str">
        <f>+A1186</f>
        <v>CAPITULO 8:</v>
      </c>
      <c r="B1194" s="1832" t="s">
        <v>260</v>
      </c>
      <c r="C1194" s="1830"/>
      <c r="D1194" s="1828"/>
      <c r="E1194" s="1833" t="s">
        <v>218</v>
      </c>
      <c r="F1194" s="1834"/>
      <c r="G1194" s="70" t="e">
        <f>+#REF!</f>
        <v>#REF!</v>
      </c>
    </row>
    <row r="1195" spans="1:7" ht="14.25" hidden="1" customHeight="1">
      <c r="A1195" s="66" t="s">
        <v>902</v>
      </c>
      <c r="B1195" s="1835" t="e">
        <f>+#REF!</f>
        <v>#REF!</v>
      </c>
      <c r="C1195" s="1621"/>
      <c r="D1195" s="1621"/>
      <c r="E1195" s="1621"/>
      <c r="F1195" s="1621"/>
      <c r="G1195" s="1622"/>
    </row>
    <row r="1196" spans="1:7" ht="14.25" hidden="1" customHeight="1">
      <c r="A1196" s="1836" t="s">
        <v>220</v>
      </c>
      <c r="B1196" s="1830"/>
      <c r="C1196" s="1830"/>
      <c r="D1196" s="1830"/>
      <c r="E1196" s="1830"/>
      <c r="F1196" s="1830"/>
      <c r="G1196" s="1828"/>
    </row>
    <row r="1197" spans="1:7" ht="14.25" hidden="1" customHeight="1">
      <c r="A1197" s="1829" t="s">
        <v>221</v>
      </c>
      <c r="B1197" s="1828"/>
      <c r="C1197" s="63" t="s">
        <v>222</v>
      </c>
      <c r="D1197" s="63" t="s">
        <v>252</v>
      </c>
      <c r="E1197" s="63" t="s">
        <v>224</v>
      </c>
      <c r="F1197" s="63" t="s">
        <v>225</v>
      </c>
      <c r="G1197" s="63" t="s">
        <v>226</v>
      </c>
    </row>
    <row r="1198" spans="1:7" ht="14.25" hidden="1" customHeight="1">
      <c r="A1198" s="1827" t="s">
        <v>903</v>
      </c>
      <c r="B1198" s="1828"/>
      <c r="C1198" s="64"/>
      <c r="D1198" s="64"/>
      <c r="E1198" s="64"/>
      <c r="F1198" s="64">
        <v>6</v>
      </c>
      <c r="G1198" s="64">
        <f t="shared" ref="G1198:G1199" si="91">+F1198</f>
        <v>6</v>
      </c>
    </row>
    <row r="1199" spans="1:7" ht="14.25" hidden="1" customHeight="1">
      <c r="A1199" s="1827"/>
      <c r="B1199" s="1828"/>
      <c r="C1199" s="64"/>
      <c r="D1199" s="64"/>
      <c r="E1199" s="64"/>
      <c r="F1199" s="64"/>
      <c r="G1199" s="64">
        <f t="shared" si="91"/>
        <v>0</v>
      </c>
    </row>
    <row r="1200" spans="1:7" ht="14.25" hidden="1" customHeight="1">
      <c r="A1200" s="1829" t="s">
        <v>227</v>
      </c>
      <c r="B1200" s="1830"/>
      <c r="C1200" s="1830"/>
      <c r="D1200" s="1830"/>
      <c r="E1200" s="1830"/>
      <c r="F1200" s="1828"/>
      <c r="G1200" s="191">
        <f>SUM(G1198:G1199)</f>
        <v>6</v>
      </c>
    </row>
    <row r="1201" spans="1:7" ht="14.25" hidden="1" customHeight="1">
      <c r="A1201" s="1831"/>
      <c r="B1201" s="1830"/>
      <c r="C1201" s="1830"/>
      <c r="D1201" s="1830"/>
      <c r="E1201" s="1830"/>
      <c r="F1201" s="1830"/>
      <c r="G1201" s="1828"/>
    </row>
    <row r="1202" spans="1:7" ht="14.25" hidden="1" customHeight="1">
      <c r="A1202" s="66" t="str">
        <f>+A1194</f>
        <v>CAPITULO 8:</v>
      </c>
      <c r="B1202" s="1832" t="s">
        <v>260</v>
      </c>
      <c r="C1202" s="1830"/>
      <c r="D1202" s="1828"/>
      <c r="E1202" s="1833" t="s">
        <v>218</v>
      </c>
      <c r="F1202" s="1834"/>
      <c r="G1202" s="70" t="e">
        <f>+#REF!</f>
        <v>#REF!</v>
      </c>
    </row>
    <row r="1203" spans="1:7" ht="14.25" hidden="1" customHeight="1">
      <c r="A1203" s="66" t="s">
        <v>904</v>
      </c>
      <c r="B1203" s="1835" t="e">
        <f>+#REF!</f>
        <v>#REF!</v>
      </c>
      <c r="C1203" s="1621"/>
      <c r="D1203" s="1621"/>
      <c r="E1203" s="1621"/>
      <c r="F1203" s="1621"/>
      <c r="G1203" s="1622"/>
    </row>
    <row r="1204" spans="1:7" ht="14.25" hidden="1" customHeight="1">
      <c r="A1204" s="1836" t="s">
        <v>220</v>
      </c>
      <c r="B1204" s="1830"/>
      <c r="C1204" s="1830"/>
      <c r="D1204" s="1830"/>
      <c r="E1204" s="1830"/>
      <c r="F1204" s="1830"/>
      <c r="G1204" s="1828"/>
    </row>
    <row r="1205" spans="1:7" ht="14.25" hidden="1" customHeight="1">
      <c r="A1205" s="1829" t="s">
        <v>221</v>
      </c>
      <c r="B1205" s="1828"/>
      <c r="C1205" s="63" t="s">
        <v>222</v>
      </c>
      <c r="D1205" s="63" t="s">
        <v>252</v>
      </c>
      <c r="E1205" s="63" t="s">
        <v>224</v>
      </c>
      <c r="F1205" s="63" t="s">
        <v>225</v>
      </c>
      <c r="G1205" s="63" t="s">
        <v>226</v>
      </c>
    </row>
    <row r="1206" spans="1:7" ht="14.25" hidden="1" customHeight="1">
      <c r="A1206" s="1827" t="s">
        <v>903</v>
      </c>
      <c r="B1206" s="1828"/>
      <c r="C1206" s="64"/>
      <c r="D1206" s="64"/>
      <c r="E1206" s="64"/>
      <c r="F1206" s="64">
        <v>2</v>
      </c>
      <c r="G1206" s="64">
        <f t="shared" ref="G1206:G1207" si="92">+F1206</f>
        <v>2</v>
      </c>
    </row>
    <row r="1207" spans="1:7" ht="14.25" hidden="1" customHeight="1">
      <c r="A1207" s="1827"/>
      <c r="B1207" s="1828"/>
      <c r="C1207" s="64"/>
      <c r="D1207" s="64"/>
      <c r="E1207" s="64"/>
      <c r="F1207" s="64"/>
      <c r="G1207" s="64">
        <f t="shared" si="92"/>
        <v>0</v>
      </c>
    </row>
    <row r="1208" spans="1:7" ht="14.25" hidden="1" customHeight="1">
      <c r="A1208" s="1829" t="s">
        <v>227</v>
      </c>
      <c r="B1208" s="1830"/>
      <c r="C1208" s="1830"/>
      <c r="D1208" s="1830"/>
      <c r="E1208" s="1830"/>
      <c r="F1208" s="1828"/>
      <c r="G1208" s="191">
        <f>SUM(G1206:G1207)</f>
        <v>2</v>
      </c>
    </row>
    <row r="1209" spans="1:7" ht="14.25" hidden="1" customHeight="1">
      <c r="A1209" s="1831"/>
      <c r="B1209" s="1830"/>
      <c r="C1209" s="1830"/>
      <c r="D1209" s="1830"/>
      <c r="E1209" s="1830"/>
      <c r="F1209" s="1830"/>
      <c r="G1209" s="1828"/>
    </row>
    <row r="1210" spans="1:7" ht="14.25" hidden="1" customHeight="1">
      <c r="A1210" s="66" t="str">
        <f>+A1202</f>
        <v>CAPITULO 8:</v>
      </c>
      <c r="B1210" s="1832" t="s">
        <v>260</v>
      </c>
      <c r="C1210" s="1830"/>
      <c r="D1210" s="1828"/>
      <c r="E1210" s="1833" t="s">
        <v>218</v>
      </c>
      <c r="F1210" s="1834"/>
      <c r="G1210" s="70" t="e">
        <f>+#REF!</f>
        <v>#REF!</v>
      </c>
    </row>
    <row r="1211" spans="1:7" ht="14.25" hidden="1" customHeight="1">
      <c r="A1211" s="66" t="s">
        <v>905</v>
      </c>
      <c r="B1211" s="1835" t="e">
        <f>+#REF!</f>
        <v>#REF!</v>
      </c>
      <c r="C1211" s="1621"/>
      <c r="D1211" s="1621"/>
      <c r="E1211" s="1621"/>
      <c r="F1211" s="1621"/>
      <c r="G1211" s="1622"/>
    </row>
    <row r="1212" spans="1:7" ht="14.25" hidden="1" customHeight="1">
      <c r="A1212" s="1836" t="s">
        <v>220</v>
      </c>
      <c r="B1212" s="1830"/>
      <c r="C1212" s="1830"/>
      <c r="D1212" s="1830"/>
      <c r="E1212" s="1830"/>
      <c r="F1212" s="1830"/>
      <c r="G1212" s="1828"/>
    </row>
    <row r="1213" spans="1:7" ht="14.25" hidden="1" customHeight="1">
      <c r="A1213" s="1829" t="s">
        <v>221</v>
      </c>
      <c r="B1213" s="1828"/>
      <c r="C1213" s="63" t="s">
        <v>222</v>
      </c>
      <c r="D1213" s="63" t="s">
        <v>252</v>
      </c>
      <c r="E1213" s="63" t="s">
        <v>224</v>
      </c>
      <c r="F1213" s="63" t="s">
        <v>225</v>
      </c>
      <c r="G1213" s="63" t="s">
        <v>226</v>
      </c>
    </row>
    <row r="1214" spans="1:7" ht="14.25" hidden="1" customHeight="1">
      <c r="A1214" s="1827" t="s">
        <v>906</v>
      </c>
      <c r="B1214" s="1828"/>
      <c r="C1214" s="64"/>
      <c r="D1214" s="64"/>
      <c r="E1214" s="64"/>
      <c r="F1214" s="64">
        <v>1</v>
      </c>
      <c r="G1214" s="64">
        <f t="shared" ref="G1214:G1215" si="93">+F1214</f>
        <v>1</v>
      </c>
    </row>
    <row r="1215" spans="1:7" ht="14.25" hidden="1" customHeight="1">
      <c r="A1215" s="1827"/>
      <c r="B1215" s="1828"/>
      <c r="C1215" s="64"/>
      <c r="D1215" s="64"/>
      <c r="E1215" s="64"/>
      <c r="F1215" s="64"/>
      <c r="G1215" s="64">
        <f t="shared" si="93"/>
        <v>0</v>
      </c>
    </row>
    <row r="1216" spans="1:7" ht="14.25" hidden="1" customHeight="1">
      <c r="A1216" s="1829" t="s">
        <v>227</v>
      </c>
      <c r="B1216" s="1830"/>
      <c r="C1216" s="1830"/>
      <c r="D1216" s="1830"/>
      <c r="E1216" s="1830"/>
      <c r="F1216" s="1828"/>
      <c r="G1216" s="191">
        <f>SUM(G1214:G1215)</f>
        <v>1</v>
      </c>
    </row>
    <row r="1217" spans="1:7" ht="14.25" hidden="1" customHeight="1">
      <c r="A1217" s="1831"/>
      <c r="B1217" s="1830"/>
      <c r="C1217" s="1830"/>
      <c r="D1217" s="1830"/>
      <c r="E1217" s="1830"/>
      <c r="F1217" s="1830"/>
      <c r="G1217" s="1828"/>
    </row>
    <row r="1218" spans="1:7" ht="14.25" hidden="1" customHeight="1">
      <c r="A1218" s="66" t="str">
        <f>+A1210</f>
        <v>CAPITULO 8:</v>
      </c>
      <c r="B1218" s="1832" t="s">
        <v>260</v>
      </c>
      <c r="C1218" s="1830"/>
      <c r="D1218" s="1828"/>
      <c r="E1218" s="1833" t="s">
        <v>218</v>
      </c>
      <c r="F1218" s="1834"/>
      <c r="G1218" s="70" t="e">
        <f>+#REF!</f>
        <v>#REF!</v>
      </c>
    </row>
    <row r="1219" spans="1:7" ht="14.25" hidden="1" customHeight="1">
      <c r="A1219" s="66" t="s">
        <v>907</v>
      </c>
      <c r="B1219" s="1835" t="e">
        <f>+#REF!</f>
        <v>#REF!</v>
      </c>
      <c r="C1219" s="1621"/>
      <c r="D1219" s="1621"/>
      <c r="E1219" s="1621"/>
      <c r="F1219" s="1621"/>
      <c r="G1219" s="1622"/>
    </row>
    <row r="1220" spans="1:7" ht="14.25" hidden="1" customHeight="1">
      <c r="A1220" s="1836" t="s">
        <v>220</v>
      </c>
      <c r="B1220" s="1830"/>
      <c r="C1220" s="1830"/>
      <c r="D1220" s="1830"/>
      <c r="E1220" s="1830"/>
      <c r="F1220" s="1830"/>
      <c r="G1220" s="1828"/>
    </row>
    <row r="1221" spans="1:7" ht="14.25" hidden="1" customHeight="1">
      <c r="A1221" s="1829" t="s">
        <v>221</v>
      </c>
      <c r="B1221" s="1828"/>
      <c r="C1221" s="63" t="s">
        <v>222</v>
      </c>
      <c r="D1221" s="63" t="s">
        <v>252</v>
      </c>
      <c r="E1221" s="63" t="s">
        <v>224</v>
      </c>
      <c r="F1221" s="63" t="s">
        <v>225</v>
      </c>
      <c r="G1221" s="63" t="s">
        <v>226</v>
      </c>
    </row>
    <row r="1222" spans="1:7" ht="14.25" hidden="1" customHeight="1">
      <c r="A1222" s="1827" t="s">
        <v>906</v>
      </c>
      <c r="B1222" s="1828"/>
      <c r="C1222" s="64"/>
      <c r="D1222" s="64"/>
      <c r="E1222" s="64"/>
      <c r="F1222" s="64">
        <v>1</v>
      </c>
      <c r="G1222" s="64">
        <f t="shared" ref="G1222:G1223" si="94">+F1222</f>
        <v>1</v>
      </c>
    </row>
    <row r="1223" spans="1:7" ht="14.25" hidden="1" customHeight="1">
      <c r="A1223" s="1827"/>
      <c r="B1223" s="1828"/>
      <c r="C1223" s="64"/>
      <c r="D1223" s="64"/>
      <c r="E1223" s="64"/>
      <c r="F1223" s="64"/>
      <c r="G1223" s="64">
        <f t="shared" si="94"/>
        <v>0</v>
      </c>
    </row>
    <row r="1224" spans="1:7" ht="14.25" hidden="1" customHeight="1">
      <c r="A1224" s="1829" t="s">
        <v>227</v>
      </c>
      <c r="B1224" s="1830"/>
      <c r="C1224" s="1830"/>
      <c r="D1224" s="1830"/>
      <c r="E1224" s="1830"/>
      <c r="F1224" s="1828"/>
      <c r="G1224" s="191">
        <f>SUM(G1222:G1223)</f>
        <v>1</v>
      </c>
    </row>
    <row r="1225" spans="1:7" ht="14.25" hidden="1" customHeight="1">
      <c r="A1225" s="1831"/>
      <c r="B1225" s="1830"/>
      <c r="C1225" s="1830"/>
      <c r="D1225" s="1830"/>
      <c r="E1225" s="1830"/>
      <c r="F1225" s="1830"/>
      <c r="G1225" s="1828"/>
    </row>
    <row r="1226" spans="1:7" ht="14.25" hidden="1" customHeight="1">
      <c r="A1226" s="66" t="str">
        <f>+A1218</f>
        <v>CAPITULO 8:</v>
      </c>
      <c r="B1226" s="1832" t="s">
        <v>260</v>
      </c>
      <c r="C1226" s="1830"/>
      <c r="D1226" s="1828"/>
      <c r="E1226" s="1833" t="s">
        <v>218</v>
      </c>
      <c r="F1226" s="1834"/>
      <c r="G1226" s="70" t="e">
        <f>+#REF!</f>
        <v>#REF!</v>
      </c>
    </row>
    <row r="1227" spans="1:7" ht="14.25" hidden="1" customHeight="1">
      <c r="A1227" s="66" t="s">
        <v>908</v>
      </c>
      <c r="B1227" s="1835" t="e">
        <f>+#REF!</f>
        <v>#REF!</v>
      </c>
      <c r="C1227" s="1621"/>
      <c r="D1227" s="1621"/>
      <c r="E1227" s="1621"/>
      <c r="F1227" s="1621"/>
      <c r="G1227" s="1622"/>
    </row>
    <row r="1228" spans="1:7" ht="14.25" hidden="1" customHeight="1">
      <c r="A1228" s="1836" t="s">
        <v>220</v>
      </c>
      <c r="B1228" s="1830"/>
      <c r="C1228" s="1830"/>
      <c r="D1228" s="1830"/>
      <c r="E1228" s="1830"/>
      <c r="F1228" s="1830"/>
      <c r="G1228" s="1828"/>
    </row>
    <row r="1229" spans="1:7" ht="14.25" hidden="1" customHeight="1">
      <c r="A1229" s="1829" t="s">
        <v>221</v>
      </c>
      <c r="B1229" s="1828"/>
      <c r="C1229" s="63" t="s">
        <v>222</v>
      </c>
      <c r="D1229" s="63" t="s">
        <v>252</v>
      </c>
      <c r="E1229" s="63" t="s">
        <v>224</v>
      </c>
      <c r="F1229" s="63" t="s">
        <v>225</v>
      </c>
      <c r="G1229" s="63" t="s">
        <v>226</v>
      </c>
    </row>
    <row r="1230" spans="1:7" ht="14.25" hidden="1" customHeight="1">
      <c r="A1230" s="1827" t="s">
        <v>906</v>
      </c>
      <c r="B1230" s="1828"/>
      <c r="C1230" s="64"/>
      <c r="D1230" s="64"/>
      <c r="E1230" s="64"/>
      <c r="F1230" s="64">
        <v>1</v>
      </c>
      <c r="G1230" s="64">
        <f t="shared" ref="G1230:G1231" si="95">+F1230</f>
        <v>1</v>
      </c>
    </row>
    <row r="1231" spans="1:7" ht="14.25" hidden="1" customHeight="1">
      <c r="A1231" s="1827"/>
      <c r="B1231" s="1828"/>
      <c r="C1231" s="64"/>
      <c r="D1231" s="64"/>
      <c r="E1231" s="64"/>
      <c r="F1231" s="64"/>
      <c r="G1231" s="64">
        <f t="shared" si="95"/>
        <v>0</v>
      </c>
    </row>
    <row r="1232" spans="1:7" ht="14.25" hidden="1" customHeight="1">
      <c r="A1232" s="1829" t="s">
        <v>227</v>
      </c>
      <c r="B1232" s="1830"/>
      <c r="C1232" s="1830"/>
      <c r="D1232" s="1830"/>
      <c r="E1232" s="1830"/>
      <c r="F1232" s="1828"/>
      <c r="G1232" s="191">
        <f>SUM(G1230:G1231)</f>
        <v>1</v>
      </c>
    </row>
    <row r="1233" spans="1:7" ht="14.25" hidden="1" customHeight="1">
      <c r="A1233" s="1831"/>
      <c r="B1233" s="1830"/>
      <c r="C1233" s="1830"/>
      <c r="D1233" s="1830"/>
      <c r="E1233" s="1830"/>
      <c r="F1233" s="1830"/>
      <c r="G1233" s="1828"/>
    </row>
    <row r="1234" spans="1:7" ht="14.25" hidden="1" customHeight="1">
      <c r="A1234" s="66" t="str">
        <f>+A1226</f>
        <v>CAPITULO 8:</v>
      </c>
      <c r="B1234" s="1832" t="s">
        <v>260</v>
      </c>
      <c r="C1234" s="1830"/>
      <c r="D1234" s="1828"/>
      <c r="E1234" s="1833" t="s">
        <v>218</v>
      </c>
      <c r="F1234" s="1834"/>
      <c r="G1234" s="70" t="s">
        <v>899</v>
      </c>
    </row>
    <row r="1235" spans="1:7" ht="14.25" hidden="1" customHeight="1">
      <c r="A1235" s="66" t="s">
        <v>909</v>
      </c>
      <c r="B1235" s="1835" t="e">
        <f>+#REF!</f>
        <v>#REF!</v>
      </c>
      <c r="C1235" s="1621"/>
      <c r="D1235" s="1621"/>
      <c r="E1235" s="1621"/>
      <c r="F1235" s="1621"/>
      <c r="G1235" s="1622"/>
    </row>
    <row r="1236" spans="1:7" ht="14.25" hidden="1" customHeight="1">
      <c r="A1236" s="1836" t="s">
        <v>220</v>
      </c>
      <c r="B1236" s="1830"/>
      <c r="C1236" s="1830"/>
      <c r="D1236" s="1830"/>
      <c r="E1236" s="1830"/>
      <c r="F1236" s="1830"/>
      <c r="G1236" s="1828"/>
    </row>
    <row r="1237" spans="1:7" ht="14.25" hidden="1" customHeight="1">
      <c r="A1237" s="1829" t="s">
        <v>221</v>
      </c>
      <c r="B1237" s="1828"/>
      <c r="C1237" s="63" t="s">
        <v>222</v>
      </c>
      <c r="D1237" s="63" t="s">
        <v>252</v>
      </c>
      <c r="E1237" s="63" t="s">
        <v>224</v>
      </c>
      <c r="F1237" s="63" t="s">
        <v>225</v>
      </c>
      <c r="G1237" s="63" t="s">
        <v>226</v>
      </c>
    </row>
    <row r="1238" spans="1:7" ht="14.25" hidden="1" customHeight="1">
      <c r="A1238" s="1827" t="s">
        <v>906</v>
      </c>
      <c r="B1238" s="1828"/>
      <c r="C1238" s="64"/>
      <c r="D1238" s="64"/>
      <c r="E1238" s="64"/>
      <c r="F1238" s="64">
        <v>45</v>
      </c>
      <c r="G1238" s="64">
        <f t="shared" ref="G1238:G1239" si="96">+F1238</f>
        <v>45</v>
      </c>
    </row>
    <row r="1239" spans="1:7" ht="14.25" hidden="1" customHeight="1">
      <c r="A1239" s="1827"/>
      <c r="B1239" s="1828"/>
      <c r="C1239" s="64"/>
      <c r="D1239" s="64"/>
      <c r="E1239" s="64"/>
      <c r="F1239" s="64"/>
      <c r="G1239" s="64">
        <f t="shared" si="96"/>
        <v>0</v>
      </c>
    </row>
    <row r="1240" spans="1:7" ht="14.25" hidden="1" customHeight="1">
      <c r="A1240" s="1829" t="s">
        <v>227</v>
      </c>
      <c r="B1240" s="1830"/>
      <c r="C1240" s="1830"/>
      <c r="D1240" s="1830"/>
      <c r="E1240" s="1830"/>
      <c r="F1240" s="1828"/>
      <c r="G1240" s="191">
        <f>SUM(G1238:G1239)</f>
        <v>45</v>
      </c>
    </row>
    <row r="1241" spans="1:7" ht="14.25" hidden="1" customHeight="1">
      <c r="A1241" s="1831"/>
      <c r="B1241" s="1830"/>
      <c r="C1241" s="1830"/>
      <c r="D1241" s="1830"/>
      <c r="E1241" s="1830"/>
      <c r="F1241" s="1830"/>
      <c r="G1241" s="1828"/>
    </row>
    <row r="1242" spans="1:7" ht="14.25" hidden="1" customHeight="1">
      <c r="A1242" s="66" t="str">
        <f>+A1234</f>
        <v>CAPITULO 8:</v>
      </c>
      <c r="B1242" s="1832" t="s">
        <v>260</v>
      </c>
      <c r="C1242" s="1830"/>
      <c r="D1242" s="1828"/>
      <c r="E1242" s="1833" t="s">
        <v>218</v>
      </c>
      <c r="F1242" s="1834"/>
      <c r="G1242" s="70" t="s">
        <v>910</v>
      </c>
    </row>
    <row r="1243" spans="1:7" ht="14.25" hidden="1" customHeight="1">
      <c r="A1243" s="66" t="s">
        <v>911</v>
      </c>
      <c r="B1243" s="1835" t="e">
        <f>+#REF!</f>
        <v>#REF!</v>
      </c>
      <c r="C1243" s="1621"/>
      <c r="D1243" s="1621"/>
      <c r="E1243" s="1621"/>
      <c r="F1243" s="1621"/>
      <c r="G1243" s="1622"/>
    </row>
    <row r="1244" spans="1:7" ht="14.25" hidden="1" customHeight="1">
      <c r="A1244" s="1836" t="s">
        <v>220</v>
      </c>
      <c r="B1244" s="1830"/>
      <c r="C1244" s="1830"/>
      <c r="D1244" s="1830"/>
      <c r="E1244" s="1830"/>
      <c r="F1244" s="1830"/>
      <c r="G1244" s="1828"/>
    </row>
    <row r="1245" spans="1:7" ht="14.25" hidden="1" customHeight="1">
      <c r="A1245" s="1829" t="s">
        <v>221</v>
      </c>
      <c r="B1245" s="1828"/>
      <c r="C1245" s="63" t="s">
        <v>222</v>
      </c>
      <c r="D1245" s="63" t="s">
        <v>252</v>
      </c>
      <c r="E1245" s="63" t="s">
        <v>224</v>
      </c>
      <c r="F1245" s="63" t="s">
        <v>225</v>
      </c>
      <c r="G1245" s="63" t="s">
        <v>226</v>
      </c>
    </row>
    <row r="1246" spans="1:7" ht="14.25" hidden="1" customHeight="1">
      <c r="A1246" s="1827" t="s">
        <v>906</v>
      </c>
      <c r="B1246" s="1828"/>
      <c r="C1246" s="64"/>
      <c r="D1246" s="64"/>
      <c r="E1246" s="64"/>
      <c r="F1246" s="64">
        <v>1</v>
      </c>
      <c r="G1246" s="64">
        <f t="shared" ref="G1246:G1247" si="97">+F1246</f>
        <v>1</v>
      </c>
    </row>
    <row r="1247" spans="1:7" ht="14.25" hidden="1" customHeight="1">
      <c r="A1247" s="1827"/>
      <c r="B1247" s="1828"/>
      <c r="C1247" s="64"/>
      <c r="D1247" s="64"/>
      <c r="E1247" s="64"/>
      <c r="F1247" s="64"/>
      <c r="G1247" s="64">
        <f t="shared" si="97"/>
        <v>0</v>
      </c>
    </row>
    <row r="1248" spans="1:7" ht="14.25" hidden="1" customHeight="1">
      <c r="A1248" s="1829" t="s">
        <v>227</v>
      </c>
      <c r="B1248" s="1830"/>
      <c r="C1248" s="1830"/>
      <c r="D1248" s="1830"/>
      <c r="E1248" s="1830"/>
      <c r="F1248" s="1828"/>
      <c r="G1248" s="191">
        <f>SUM(G1246:G1247)</f>
        <v>1</v>
      </c>
    </row>
    <row r="1249" spans="1:7" ht="14.25" hidden="1" customHeight="1">
      <c r="A1249" s="1831"/>
      <c r="B1249" s="1830"/>
      <c r="C1249" s="1830"/>
      <c r="D1249" s="1830"/>
      <c r="E1249" s="1830"/>
      <c r="F1249" s="1830"/>
      <c r="G1249" s="1828"/>
    </row>
    <row r="1250" spans="1:7" ht="14.25" hidden="1" customHeight="1">
      <c r="A1250" s="66" t="str">
        <f>+A1242</f>
        <v>CAPITULO 8:</v>
      </c>
      <c r="B1250" s="1832" t="s">
        <v>260</v>
      </c>
      <c r="C1250" s="1830"/>
      <c r="D1250" s="1828"/>
      <c r="E1250" s="1833" t="s">
        <v>218</v>
      </c>
      <c r="F1250" s="1834"/>
      <c r="G1250" s="70" t="e">
        <f>+#REF!</f>
        <v>#REF!</v>
      </c>
    </row>
    <row r="1251" spans="1:7" ht="14.25" hidden="1" customHeight="1">
      <c r="A1251" s="66" t="s">
        <v>912</v>
      </c>
      <c r="B1251" s="1835" t="e">
        <f>+#REF!</f>
        <v>#REF!</v>
      </c>
      <c r="C1251" s="1621"/>
      <c r="D1251" s="1621"/>
      <c r="E1251" s="1621"/>
      <c r="F1251" s="1621"/>
      <c r="G1251" s="1622"/>
    </row>
    <row r="1252" spans="1:7" ht="14.25" hidden="1" customHeight="1">
      <c r="A1252" s="1836" t="s">
        <v>220</v>
      </c>
      <c r="B1252" s="1830"/>
      <c r="C1252" s="1830"/>
      <c r="D1252" s="1830"/>
      <c r="E1252" s="1830"/>
      <c r="F1252" s="1830"/>
      <c r="G1252" s="1828"/>
    </row>
    <row r="1253" spans="1:7" ht="14.25" hidden="1" customHeight="1">
      <c r="A1253" s="1829" t="s">
        <v>221</v>
      </c>
      <c r="B1253" s="1828"/>
      <c r="C1253" s="63" t="s">
        <v>222</v>
      </c>
      <c r="D1253" s="63" t="s">
        <v>252</v>
      </c>
      <c r="E1253" s="63" t="s">
        <v>224</v>
      </c>
      <c r="F1253" s="63" t="s">
        <v>225</v>
      </c>
      <c r="G1253" s="63" t="s">
        <v>226</v>
      </c>
    </row>
    <row r="1254" spans="1:7" ht="14.25" hidden="1" customHeight="1">
      <c r="A1254" s="1827" t="s">
        <v>906</v>
      </c>
      <c r="B1254" s="1828"/>
      <c r="C1254" s="64"/>
      <c r="D1254" s="64"/>
      <c r="E1254" s="64"/>
      <c r="F1254" s="64">
        <v>1</v>
      </c>
      <c r="G1254" s="64">
        <f t="shared" ref="G1254:G1255" si="98">+F1254</f>
        <v>1</v>
      </c>
    </row>
    <row r="1255" spans="1:7" ht="14.25" hidden="1" customHeight="1">
      <c r="A1255" s="1827"/>
      <c r="B1255" s="1828"/>
      <c r="C1255" s="64"/>
      <c r="D1255" s="64"/>
      <c r="E1255" s="64"/>
      <c r="F1255" s="64"/>
      <c r="G1255" s="64">
        <f t="shared" si="98"/>
        <v>0</v>
      </c>
    </row>
    <row r="1256" spans="1:7" ht="14.25" hidden="1" customHeight="1">
      <c r="A1256" s="1829" t="s">
        <v>227</v>
      </c>
      <c r="B1256" s="1830"/>
      <c r="C1256" s="1830"/>
      <c r="D1256" s="1830"/>
      <c r="E1256" s="1830"/>
      <c r="F1256" s="1828"/>
      <c r="G1256" s="191">
        <f>SUM(G1254:G1255)</f>
        <v>1</v>
      </c>
    </row>
    <row r="1257" spans="1:7" ht="14.25" hidden="1" customHeight="1">
      <c r="A1257" s="1831"/>
      <c r="B1257" s="1830"/>
      <c r="C1257" s="1830"/>
      <c r="D1257" s="1830"/>
      <c r="E1257" s="1830"/>
      <c r="F1257" s="1830"/>
      <c r="G1257" s="1828"/>
    </row>
    <row r="1258" spans="1:7" ht="14.25" hidden="1" customHeight="1">
      <c r="A1258" s="66" t="str">
        <f>+A1250</f>
        <v>CAPITULO 8:</v>
      </c>
      <c r="B1258" s="1832" t="s">
        <v>260</v>
      </c>
      <c r="C1258" s="1830"/>
      <c r="D1258" s="1828"/>
      <c r="E1258" s="1833" t="s">
        <v>218</v>
      </c>
      <c r="F1258" s="1834"/>
      <c r="G1258" s="70" t="e">
        <f>+#REF!</f>
        <v>#REF!</v>
      </c>
    </row>
    <row r="1259" spans="1:7" ht="14.25" hidden="1" customHeight="1">
      <c r="A1259" s="66" t="s">
        <v>913</v>
      </c>
      <c r="B1259" s="1835" t="e">
        <f>+#REF!</f>
        <v>#REF!</v>
      </c>
      <c r="C1259" s="1621"/>
      <c r="D1259" s="1621"/>
      <c r="E1259" s="1621"/>
      <c r="F1259" s="1621"/>
      <c r="G1259" s="1622"/>
    </row>
    <row r="1260" spans="1:7" ht="14.25" hidden="1" customHeight="1">
      <c r="A1260" s="1836" t="s">
        <v>220</v>
      </c>
      <c r="B1260" s="1830"/>
      <c r="C1260" s="1830"/>
      <c r="D1260" s="1830"/>
      <c r="E1260" s="1830"/>
      <c r="F1260" s="1830"/>
      <c r="G1260" s="1828"/>
    </row>
    <row r="1261" spans="1:7" ht="14.25" hidden="1" customHeight="1">
      <c r="A1261" s="1829" t="s">
        <v>221</v>
      </c>
      <c r="B1261" s="1828"/>
      <c r="C1261" s="63" t="s">
        <v>222</v>
      </c>
      <c r="D1261" s="63" t="s">
        <v>252</v>
      </c>
      <c r="E1261" s="63" t="s">
        <v>224</v>
      </c>
      <c r="F1261" s="63" t="s">
        <v>225</v>
      </c>
      <c r="G1261" s="63" t="s">
        <v>226</v>
      </c>
    </row>
    <row r="1262" spans="1:7" ht="14.25" hidden="1" customHeight="1">
      <c r="A1262" s="1827" t="s">
        <v>906</v>
      </c>
      <c r="B1262" s="1828"/>
      <c r="C1262" s="64"/>
      <c r="D1262" s="64"/>
      <c r="E1262" s="64"/>
      <c r="F1262" s="64">
        <v>12</v>
      </c>
      <c r="G1262" s="64">
        <f t="shared" ref="G1262:G1263" si="99">+F1262</f>
        <v>12</v>
      </c>
    </row>
    <row r="1263" spans="1:7" ht="14.25" hidden="1" customHeight="1">
      <c r="A1263" s="1827"/>
      <c r="B1263" s="1828"/>
      <c r="C1263" s="64"/>
      <c r="D1263" s="64"/>
      <c r="E1263" s="64"/>
      <c r="F1263" s="64"/>
      <c r="G1263" s="64">
        <f t="shared" si="99"/>
        <v>0</v>
      </c>
    </row>
    <row r="1264" spans="1:7" ht="14.25" hidden="1" customHeight="1">
      <c r="A1264" s="1829" t="s">
        <v>227</v>
      </c>
      <c r="B1264" s="1830"/>
      <c r="C1264" s="1830"/>
      <c r="D1264" s="1830"/>
      <c r="E1264" s="1830"/>
      <c r="F1264" s="1828"/>
      <c r="G1264" s="191">
        <f>SUM(G1262:G1263)</f>
        <v>12</v>
      </c>
    </row>
    <row r="1265" spans="1:7" ht="14.25" hidden="1" customHeight="1">
      <c r="A1265" s="1831"/>
      <c r="B1265" s="1830"/>
      <c r="C1265" s="1830"/>
      <c r="D1265" s="1830"/>
      <c r="E1265" s="1830"/>
      <c r="F1265" s="1830"/>
      <c r="G1265" s="1828"/>
    </row>
    <row r="1266" spans="1:7" ht="14.25" hidden="1" customHeight="1">
      <c r="A1266" s="66" t="s">
        <v>914</v>
      </c>
      <c r="B1266" s="1832" t="e">
        <f>+#REF!</f>
        <v>#REF!</v>
      </c>
      <c r="C1266" s="1830"/>
      <c r="D1266" s="1828"/>
      <c r="E1266" s="1833" t="s">
        <v>218</v>
      </c>
      <c r="F1266" s="1834"/>
      <c r="G1266" s="70" t="e">
        <f>+#REF!</f>
        <v>#REF!</v>
      </c>
    </row>
    <row r="1267" spans="1:7" ht="27" hidden="1" customHeight="1">
      <c r="A1267" s="66" t="s">
        <v>915</v>
      </c>
      <c r="B1267" s="1863" t="e">
        <f>+#REF!</f>
        <v>#REF!</v>
      </c>
      <c r="C1267" s="1621"/>
      <c r="D1267" s="1621"/>
      <c r="E1267" s="1621"/>
      <c r="F1267" s="1621"/>
      <c r="G1267" s="1622"/>
    </row>
    <row r="1268" spans="1:7" ht="14.25" hidden="1" customHeight="1">
      <c r="A1268" s="1836" t="s">
        <v>220</v>
      </c>
      <c r="B1268" s="1830"/>
      <c r="C1268" s="1830"/>
      <c r="D1268" s="1830"/>
      <c r="E1268" s="1830"/>
      <c r="F1268" s="1830"/>
      <c r="G1268" s="1828"/>
    </row>
    <row r="1269" spans="1:7" ht="14.25" hidden="1" customHeight="1">
      <c r="A1269" s="1829" t="s">
        <v>221</v>
      </c>
      <c r="B1269" s="1828"/>
      <c r="C1269" s="63" t="s">
        <v>222</v>
      </c>
      <c r="D1269" s="63" t="s">
        <v>252</v>
      </c>
      <c r="E1269" s="63" t="s">
        <v>224</v>
      </c>
      <c r="F1269" s="63" t="s">
        <v>225</v>
      </c>
      <c r="G1269" s="63" t="s">
        <v>226</v>
      </c>
    </row>
    <row r="1270" spans="1:7" ht="14.25" hidden="1" customHeight="1">
      <c r="A1270" s="1827" t="s">
        <v>916</v>
      </c>
      <c r="B1270" s="1828"/>
      <c r="C1270" s="64">
        <v>1</v>
      </c>
      <c r="D1270" s="64">
        <v>1</v>
      </c>
      <c r="E1270" s="64"/>
      <c r="F1270" s="64"/>
      <c r="G1270" s="64">
        <f>++ROUND(D1270*C1270,2)</f>
        <v>1</v>
      </c>
    </row>
    <row r="1271" spans="1:7" ht="14.25" hidden="1" customHeight="1">
      <c r="A1271" s="1827"/>
      <c r="B1271" s="1828"/>
      <c r="C1271" s="64"/>
      <c r="D1271" s="64"/>
      <c r="E1271" s="64"/>
      <c r="F1271" s="64"/>
      <c r="G1271" s="64">
        <f>+F1271</f>
        <v>0</v>
      </c>
    </row>
    <row r="1272" spans="1:7" ht="14.25" hidden="1" customHeight="1">
      <c r="A1272" s="1829" t="s">
        <v>227</v>
      </c>
      <c r="B1272" s="1830"/>
      <c r="C1272" s="1830"/>
      <c r="D1272" s="1830"/>
      <c r="E1272" s="1830"/>
      <c r="F1272" s="1828"/>
      <c r="G1272" s="65">
        <f>SUM(G1270:G1271)</f>
        <v>1</v>
      </c>
    </row>
    <row r="1273" spans="1:7" ht="14.25" hidden="1" customHeight="1">
      <c r="A1273" s="1831"/>
      <c r="B1273" s="1830"/>
      <c r="C1273" s="1830"/>
      <c r="D1273" s="1830"/>
      <c r="E1273" s="1830"/>
      <c r="F1273" s="1830"/>
      <c r="G1273" s="1828"/>
    </row>
    <row r="1274" spans="1:7" ht="25.5" hidden="1" customHeight="1">
      <c r="A1274" s="66" t="s">
        <v>914</v>
      </c>
      <c r="B1274" s="1832" t="e">
        <f>+B1266</f>
        <v>#REF!</v>
      </c>
      <c r="C1274" s="1830"/>
      <c r="D1274" s="1828"/>
      <c r="E1274" s="1833" t="s">
        <v>218</v>
      </c>
      <c r="F1274" s="1834"/>
      <c r="G1274" s="70" t="e">
        <f>+#REF!</f>
        <v>#REF!</v>
      </c>
    </row>
    <row r="1275" spans="1:7" ht="27" hidden="1" customHeight="1">
      <c r="A1275" s="66" t="s">
        <v>917</v>
      </c>
      <c r="B1275" s="1863" t="e">
        <f>+#REF!</f>
        <v>#REF!</v>
      </c>
      <c r="C1275" s="1621"/>
      <c r="D1275" s="1621"/>
      <c r="E1275" s="1621"/>
      <c r="F1275" s="1621"/>
      <c r="G1275" s="1622"/>
    </row>
    <row r="1276" spans="1:7" ht="14.25" hidden="1" customHeight="1">
      <c r="A1276" s="1836" t="s">
        <v>220</v>
      </c>
      <c r="B1276" s="1830"/>
      <c r="C1276" s="1830"/>
      <c r="D1276" s="1830"/>
      <c r="E1276" s="1830"/>
      <c r="F1276" s="1830"/>
      <c r="G1276" s="1828"/>
    </row>
    <row r="1277" spans="1:7" ht="14.25" hidden="1" customHeight="1">
      <c r="A1277" s="1829" t="s">
        <v>221</v>
      </c>
      <c r="B1277" s="1828"/>
      <c r="C1277" s="63" t="s">
        <v>222</v>
      </c>
      <c r="D1277" s="63" t="s">
        <v>252</v>
      </c>
      <c r="E1277" s="63" t="s">
        <v>224</v>
      </c>
      <c r="F1277" s="63" t="s">
        <v>225</v>
      </c>
      <c r="G1277" s="63" t="s">
        <v>226</v>
      </c>
    </row>
    <row r="1278" spans="1:7" ht="14.25" hidden="1" customHeight="1">
      <c r="A1278" s="1827" t="s">
        <v>916</v>
      </c>
      <c r="B1278" s="1828"/>
      <c r="C1278" s="64">
        <f t="shared" ref="C1278:D1278" si="100">+C1270</f>
        <v>1</v>
      </c>
      <c r="D1278" s="64">
        <f t="shared" si="100"/>
        <v>1</v>
      </c>
      <c r="E1278" s="64">
        <v>1</v>
      </c>
      <c r="F1278" s="64"/>
      <c r="G1278" s="64">
        <f>+E1278*D1278*C1278</f>
        <v>1</v>
      </c>
    </row>
    <row r="1279" spans="1:7" ht="14.25" hidden="1" customHeight="1">
      <c r="A1279" s="1827"/>
      <c r="B1279" s="1828"/>
      <c r="C1279" s="64"/>
      <c r="D1279" s="64"/>
      <c r="E1279" s="64"/>
      <c r="F1279" s="64"/>
      <c r="G1279" s="64">
        <f>+F1279</f>
        <v>0</v>
      </c>
    </row>
    <row r="1280" spans="1:7" ht="14.25" hidden="1" customHeight="1">
      <c r="A1280" s="1829" t="s">
        <v>227</v>
      </c>
      <c r="B1280" s="1830"/>
      <c r="C1280" s="1830"/>
      <c r="D1280" s="1830"/>
      <c r="E1280" s="1830"/>
      <c r="F1280" s="1828"/>
      <c r="G1280" s="65">
        <f>SUM(G1278:G1279)</f>
        <v>1</v>
      </c>
    </row>
    <row r="1281" spans="1:7" ht="14.25" hidden="1" customHeight="1">
      <c r="A1281" s="1831"/>
      <c r="B1281" s="1830"/>
      <c r="C1281" s="1830"/>
      <c r="D1281" s="1830"/>
      <c r="E1281" s="1830"/>
      <c r="F1281" s="1830"/>
      <c r="G1281" s="1828"/>
    </row>
    <row r="1282" spans="1:7" ht="14.25" hidden="1" customHeight="1">
      <c r="A1282" s="66" t="s">
        <v>918</v>
      </c>
      <c r="B1282" s="1832" t="e">
        <f>+B1266</f>
        <v>#REF!</v>
      </c>
      <c r="C1282" s="1830"/>
      <c r="D1282" s="1828"/>
      <c r="E1282" s="1833" t="s">
        <v>218</v>
      </c>
      <c r="F1282" s="1834"/>
      <c r="G1282" s="70" t="s">
        <v>228</v>
      </c>
    </row>
    <row r="1283" spans="1:7" ht="61.5" hidden="1" customHeight="1">
      <c r="A1283" s="66" t="s">
        <v>919</v>
      </c>
      <c r="B1283" s="1863" t="e">
        <f>+#REF!</f>
        <v>#REF!</v>
      </c>
      <c r="C1283" s="1621"/>
      <c r="D1283" s="1621"/>
      <c r="E1283" s="1621"/>
      <c r="F1283" s="1621"/>
      <c r="G1283" s="1622"/>
    </row>
    <row r="1284" spans="1:7" ht="14.25" hidden="1" customHeight="1">
      <c r="A1284" s="1836" t="s">
        <v>220</v>
      </c>
      <c r="B1284" s="1830"/>
      <c r="C1284" s="1830"/>
      <c r="D1284" s="1830"/>
      <c r="E1284" s="1830"/>
      <c r="F1284" s="1830"/>
      <c r="G1284" s="1828"/>
    </row>
    <row r="1285" spans="1:7" ht="14.25" hidden="1" customHeight="1">
      <c r="A1285" s="1829" t="s">
        <v>221</v>
      </c>
      <c r="B1285" s="1828"/>
      <c r="C1285" s="63" t="s">
        <v>222</v>
      </c>
      <c r="D1285" s="63" t="s">
        <v>252</v>
      </c>
      <c r="E1285" s="63" t="s">
        <v>224</v>
      </c>
      <c r="F1285" s="63" t="s">
        <v>225</v>
      </c>
      <c r="G1285" s="63" t="s">
        <v>226</v>
      </c>
    </row>
    <row r="1286" spans="1:7" ht="14.25" hidden="1" customHeight="1">
      <c r="A1286" s="1827" t="s">
        <v>920</v>
      </c>
      <c r="B1286" s="1828"/>
      <c r="C1286" s="64">
        <f>+C1270</f>
        <v>1</v>
      </c>
      <c r="D1286" s="64">
        <v>88.19</v>
      </c>
      <c r="E1286" s="64"/>
      <c r="F1286" s="64"/>
      <c r="G1286" s="64">
        <f>+C1286*D1286</f>
        <v>88.19</v>
      </c>
    </row>
    <row r="1287" spans="1:7" ht="14.25" hidden="1" customHeight="1">
      <c r="A1287" s="1827"/>
      <c r="B1287" s="1828"/>
      <c r="C1287" s="64"/>
      <c r="D1287" s="64"/>
      <c r="E1287" s="64"/>
      <c r="F1287" s="64"/>
      <c r="G1287" s="64">
        <f>+F1287</f>
        <v>0</v>
      </c>
    </row>
    <row r="1288" spans="1:7" ht="14.25" hidden="1" customHeight="1">
      <c r="A1288" s="1829" t="s">
        <v>227</v>
      </c>
      <c r="B1288" s="1830"/>
      <c r="C1288" s="1830"/>
      <c r="D1288" s="1830"/>
      <c r="E1288" s="1830"/>
      <c r="F1288" s="1828"/>
      <c r="G1288" s="65">
        <f>SUM(G1286:G1287)</f>
        <v>88.19</v>
      </c>
    </row>
    <row r="1289" spans="1:7" ht="14.25" hidden="1" customHeight="1">
      <c r="A1289" s="1831"/>
      <c r="B1289" s="1830"/>
      <c r="C1289" s="1830"/>
      <c r="D1289" s="1830"/>
      <c r="E1289" s="1830"/>
      <c r="F1289" s="1830"/>
      <c r="G1289" s="1828"/>
    </row>
    <row r="1290" spans="1:7" ht="14.25" hidden="1" customHeight="1">
      <c r="A1290" s="66" t="s">
        <v>918</v>
      </c>
      <c r="B1290" s="1832" t="e">
        <f>+B1274</f>
        <v>#REF!</v>
      </c>
      <c r="C1290" s="1830"/>
      <c r="D1290" s="1828"/>
      <c r="E1290" s="1833" t="s">
        <v>218</v>
      </c>
      <c r="F1290" s="1834"/>
      <c r="G1290" s="70" t="s">
        <v>910</v>
      </c>
    </row>
    <row r="1291" spans="1:7" ht="78" hidden="1" customHeight="1">
      <c r="A1291" s="66" t="s">
        <v>921</v>
      </c>
      <c r="B1291" s="1863" t="e">
        <f>+#REF!</f>
        <v>#REF!</v>
      </c>
      <c r="C1291" s="1621"/>
      <c r="D1291" s="1621"/>
      <c r="E1291" s="1621"/>
      <c r="F1291" s="1621"/>
      <c r="G1291" s="1622"/>
    </row>
    <row r="1292" spans="1:7" ht="14.25" hidden="1" customHeight="1">
      <c r="A1292" s="1836" t="s">
        <v>220</v>
      </c>
      <c r="B1292" s="1830"/>
      <c r="C1292" s="1830"/>
      <c r="D1292" s="1830"/>
      <c r="E1292" s="1830"/>
      <c r="F1292" s="1830"/>
      <c r="G1292" s="1828"/>
    </row>
    <row r="1293" spans="1:7" ht="14.25" hidden="1" customHeight="1">
      <c r="A1293" s="1829" t="s">
        <v>221</v>
      </c>
      <c r="B1293" s="1828"/>
      <c r="C1293" s="63" t="s">
        <v>222</v>
      </c>
      <c r="D1293" s="63" t="s">
        <v>252</v>
      </c>
      <c r="E1293" s="63" t="s">
        <v>224</v>
      </c>
      <c r="F1293" s="63" t="s">
        <v>225</v>
      </c>
      <c r="G1293" s="63" t="s">
        <v>226</v>
      </c>
    </row>
    <row r="1294" spans="1:7" ht="14.25" hidden="1" customHeight="1">
      <c r="A1294" s="1827" t="s">
        <v>920</v>
      </c>
      <c r="B1294" s="1828"/>
      <c r="C1294" s="64"/>
      <c r="D1294" s="64"/>
      <c r="E1294" s="64"/>
      <c r="F1294" s="64">
        <v>6</v>
      </c>
      <c r="G1294" s="64">
        <f t="shared" ref="G1294:G1295" si="101">+F1294</f>
        <v>6</v>
      </c>
    </row>
    <row r="1295" spans="1:7" ht="14.25" hidden="1" customHeight="1">
      <c r="A1295" s="1827"/>
      <c r="B1295" s="1828"/>
      <c r="C1295" s="64"/>
      <c r="D1295" s="64"/>
      <c r="E1295" s="64"/>
      <c r="F1295" s="64"/>
      <c r="G1295" s="64">
        <f t="shared" si="101"/>
        <v>0</v>
      </c>
    </row>
    <row r="1296" spans="1:7" ht="14.25" hidden="1" customHeight="1">
      <c r="A1296" s="1829" t="s">
        <v>227</v>
      </c>
      <c r="B1296" s="1830"/>
      <c r="C1296" s="1830"/>
      <c r="D1296" s="1830"/>
      <c r="E1296" s="1830"/>
      <c r="F1296" s="1828"/>
      <c r="G1296" s="191">
        <f>SUM(G1294:G1295)</f>
        <v>6</v>
      </c>
    </row>
    <row r="1297" spans="1:7" ht="14.25" hidden="1" customHeight="1">
      <c r="A1297" s="1831"/>
      <c r="B1297" s="1830"/>
      <c r="C1297" s="1830"/>
      <c r="D1297" s="1830"/>
      <c r="E1297" s="1830"/>
      <c r="F1297" s="1830"/>
      <c r="G1297" s="1828"/>
    </row>
    <row r="1298" spans="1:7" ht="14.25" hidden="1" customHeight="1">
      <c r="A1298" s="66" t="s">
        <v>918</v>
      </c>
      <c r="B1298" s="1832" t="e">
        <f>+B1282</f>
        <v>#REF!</v>
      </c>
      <c r="C1298" s="1830"/>
      <c r="D1298" s="1828"/>
      <c r="E1298" s="1833" t="s">
        <v>218</v>
      </c>
      <c r="F1298" s="1834"/>
      <c r="G1298" s="70" t="e">
        <f>+#REF!</f>
        <v>#REF!</v>
      </c>
    </row>
    <row r="1299" spans="1:7" ht="92.25" hidden="1" customHeight="1">
      <c r="A1299" s="66" t="s">
        <v>922</v>
      </c>
      <c r="B1299" s="1863" t="e">
        <f>+#REF!</f>
        <v>#REF!</v>
      </c>
      <c r="C1299" s="1621"/>
      <c r="D1299" s="1621"/>
      <c r="E1299" s="1621"/>
      <c r="F1299" s="1621"/>
      <c r="G1299" s="1622"/>
    </row>
    <row r="1300" spans="1:7" ht="14.25" hidden="1" customHeight="1">
      <c r="A1300" s="1836" t="s">
        <v>220</v>
      </c>
      <c r="B1300" s="1830"/>
      <c r="C1300" s="1830"/>
      <c r="D1300" s="1830"/>
      <c r="E1300" s="1830"/>
      <c r="F1300" s="1830"/>
      <c r="G1300" s="1828"/>
    </row>
    <row r="1301" spans="1:7" ht="14.25" hidden="1" customHeight="1">
      <c r="A1301" s="1829" t="s">
        <v>221</v>
      </c>
      <c r="B1301" s="1828"/>
      <c r="C1301" s="63" t="s">
        <v>222</v>
      </c>
      <c r="D1301" s="63" t="s">
        <v>252</v>
      </c>
      <c r="E1301" s="63" t="s">
        <v>224</v>
      </c>
      <c r="F1301" s="63" t="s">
        <v>225</v>
      </c>
      <c r="G1301" s="63" t="s">
        <v>226</v>
      </c>
    </row>
    <row r="1302" spans="1:7" ht="14.25" hidden="1" customHeight="1">
      <c r="A1302" s="1827" t="s">
        <v>923</v>
      </c>
      <c r="B1302" s="1828"/>
      <c r="C1302" s="64">
        <v>112</v>
      </c>
      <c r="D1302" s="64">
        <v>74.22</v>
      </c>
      <c r="E1302" s="64">
        <v>0.1</v>
      </c>
      <c r="F1302" s="64"/>
      <c r="G1302" s="64">
        <f>+ROUND(E1302*D1302*C1302,2)</f>
        <v>831.26</v>
      </c>
    </row>
    <row r="1303" spans="1:7" ht="14.25" hidden="1" customHeight="1">
      <c r="A1303" s="1827"/>
      <c r="B1303" s="1828"/>
      <c r="C1303" s="64"/>
      <c r="D1303" s="64"/>
      <c r="E1303" s="64"/>
      <c r="F1303" s="64"/>
      <c r="G1303" s="64">
        <f>+F1303</f>
        <v>0</v>
      </c>
    </row>
    <row r="1304" spans="1:7" ht="14.25" hidden="1" customHeight="1">
      <c r="A1304" s="1829" t="s">
        <v>227</v>
      </c>
      <c r="B1304" s="1830"/>
      <c r="C1304" s="1830"/>
      <c r="D1304" s="1830"/>
      <c r="E1304" s="1830"/>
      <c r="F1304" s="1828"/>
      <c r="G1304" s="191">
        <f>SUM(G1302:G1303)</f>
        <v>831.26</v>
      </c>
    </row>
    <row r="1305" spans="1:7" ht="14.25" hidden="1" customHeight="1">
      <c r="A1305" s="1831"/>
      <c r="B1305" s="1830"/>
      <c r="C1305" s="1830"/>
      <c r="D1305" s="1830"/>
      <c r="E1305" s="1830"/>
      <c r="F1305" s="1830"/>
      <c r="G1305" s="1828"/>
    </row>
    <row r="1306" spans="1:7" ht="14.25" hidden="1" customHeight="1">
      <c r="A1306" s="66" t="s">
        <v>918</v>
      </c>
      <c r="B1306" s="1832" t="e">
        <f>+B1290</f>
        <v>#REF!</v>
      </c>
      <c r="C1306" s="1830"/>
      <c r="D1306" s="1828"/>
      <c r="E1306" s="1833" t="s">
        <v>218</v>
      </c>
      <c r="F1306" s="1834"/>
      <c r="G1306" s="70" t="s">
        <v>228</v>
      </c>
    </row>
    <row r="1307" spans="1:7" ht="57.75" hidden="1" customHeight="1">
      <c r="A1307" s="66" t="s">
        <v>924</v>
      </c>
      <c r="B1307" s="1864" t="e">
        <f>+#REF!</f>
        <v>#REF!</v>
      </c>
      <c r="C1307" s="1621"/>
      <c r="D1307" s="1621"/>
      <c r="E1307" s="1621"/>
      <c r="F1307" s="1621"/>
      <c r="G1307" s="1622"/>
    </row>
    <row r="1308" spans="1:7" ht="14.25" hidden="1" customHeight="1">
      <c r="A1308" s="1836" t="s">
        <v>220</v>
      </c>
      <c r="B1308" s="1830"/>
      <c r="C1308" s="1830"/>
      <c r="D1308" s="1830"/>
      <c r="E1308" s="1830"/>
      <c r="F1308" s="1830"/>
      <c r="G1308" s="1828"/>
    </row>
    <row r="1309" spans="1:7" ht="14.25" hidden="1" customHeight="1">
      <c r="A1309" s="1829" t="s">
        <v>221</v>
      </c>
      <c r="B1309" s="1828"/>
      <c r="C1309" s="63" t="s">
        <v>222</v>
      </c>
      <c r="D1309" s="63" t="s">
        <v>252</v>
      </c>
      <c r="E1309" s="63" t="s">
        <v>224</v>
      </c>
      <c r="F1309" s="63" t="s">
        <v>225</v>
      </c>
      <c r="G1309" s="63" t="s">
        <v>226</v>
      </c>
    </row>
    <row r="1310" spans="1:7" ht="14.25" hidden="1" customHeight="1">
      <c r="A1310" s="1827" t="s">
        <v>923</v>
      </c>
      <c r="B1310" s="1828"/>
      <c r="C1310" s="64">
        <v>112</v>
      </c>
      <c r="D1310" s="64">
        <v>74.22</v>
      </c>
      <c r="E1310" s="64"/>
      <c r="F1310" s="64"/>
      <c r="G1310" s="64">
        <f>+ROUND(D1310*C1310,2)</f>
        <v>8312.64</v>
      </c>
    </row>
    <row r="1311" spans="1:7" ht="14.25" hidden="1" customHeight="1">
      <c r="A1311" s="1827"/>
      <c r="B1311" s="1828"/>
      <c r="C1311" s="64"/>
      <c r="D1311" s="64"/>
      <c r="E1311" s="64"/>
      <c r="F1311" s="64"/>
      <c r="G1311" s="64">
        <f>+F1311</f>
        <v>0</v>
      </c>
    </row>
    <row r="1312" spans="1:7" ht="14.25" hidden="1" customHeight="1">
      <c r="A1312" s="1829" t="s">
        <v>227</v>
      </c>
      <c r="B1312" s="1830"/>
      <c r="C1312" s="1830"/>
      <c r="D1312" s="1830"/>
      <c r="E1312" s="1830"/>
      <c r="F1312" s="1828"/>
      <c r="G1312" s="65">
        <f>SUM(G1310:G1311)</f>
        <v>8312.64</v>
      </c>
    </row>
    <row r="1313" spans="1:7" ht="14.25" hidden="1" customHeight="1">
      <c r="A1313" s="1829"/>
      <c r="B1313" s="1830"/>
      <c r="C1313" s="1830"/>
      <c r="D1313" s="1830"/>
      <c r="E1313" s="1830"/>
      <c r="F1313" s="1830"/>
      <c r="G1313" s="1828"/>
    </row>
    <row r="1314" spans="1:7" ht="14.25" hidden="1" customHeight="1">
      <c r="A1314" s="66" t="s">
        <v>918</v>
      </c>
      <c r="B1314" s="1832" t="e">
        <f>+B1298</f>
        <v>#REF!</v>
      </c>
      <c r="C1314" s="1830"/>
      <c r="D1314" s="1828"/>
      <c r="E1314" s="1833" t="s">
        <v>218</v>
      </c>
      <c r="F1314" s="1834"/>
      <c r="G1314" s="70" t="e">
        <f>+#REF!</f>
        <v>#REF!</v>
      </c>
    </row>
    <row r="1315" spans="1:7" ht="103.5" hidden="1" customHeight="1">
      <c r="A1315" s="66" t="s">
        <v>925</v>
      </c>
      <c r="B1315" s="1863" t="e">
        <f>+#REF!</f>
        <v>#REF!</v>
      </c>
      <c r="C1315" s="1621"/>
      <c r="D1315" s="1621"/>
      <c r="E1315" s="1621"/>
      <c r="F1315" s="1621"/>
      <c r="G1315" s="1622"/>
    </row>
    <row r="1316" spans="1:7" ht="14.25" hidden="1" customHeight="1">
      <c r="A1316" s="1836" t="s">
        <v>220</v>
      </c>
      <c r="B1316" s="1830"/>
      <c r="C1316" s="1830"/>
      <c r="D1316" s="1830"/>
      <c r="E1316" s="1830"/>
      <c r="F1316" s="1830"/>
      <c r="G1316" s="1828"/>
    </row>
    <row r="1317" spans="1:7" ht="14.25" hidden="1" customHeight="1">
      <c r="A1317" s="1829" t="s">
        <v>221</v>
      </c>
      <c r="B1317" s="1828"/>
      <c r="C1317" s="63" t="s">
        <v>222</v>
      </c>
      <c r="D1317" s="63" t="s">
        <v>252</v>
      </c>
      <c r="E1317" s="63" t="s">
        <v>224</v>
      </c>
      <c r="F1317" s="63" t="s">
        <v>225</v>
      </c>
      <c r="G1317" s="63" t="s">
        <v>226</v>
      </c>
    </row>
    <row r="1318" spans="1:7" ht="14.25" hidden="1" customHeight="1">
      <c r="A1318" s="1827" t="s">
        <v>923</v>
      </c>
      <c r="B1318" s="1828"/>
      <c r="C1318" s="64">
        <v>112</v>
      </c>
      <c r="D1318" s="64">
        <v>74.22</v>
      </c>
      <c r="E1318" s="64"/>
      <c r="F1318" s="64"/>
      <c r="G1318" s="64">
        <f>+ROUND(D1318*C1318,2)</f>
        <v>8312.64</v>
      </c>
    </row>
    <row r="1319" spans="1:7" ht="14.25" hidden="1" customHeight="1">
      <c r="A1319" s="1827"/>
      <c r="B1319" s="1828"/>
      <c r="C1319" s="64"/>
      <c r="D1319" s="64"/>
      <c r="E1319" s="64"/>
      <c r="F1319" s="64"/>
      <c r="G1319" s="64">
        <f>+F1319</f>
        <v>0</v>
      </c>
    </row>
    <row r="1320" spans="1:7" ht="14.25" hidden="1" customHeight="1">
      <c r="A1320" s="1829" t="s">
        <v>227</v>
      </c>
      <c r="B1320" s="1830"/>
      <c r="C1320" s="1830"/>
      <c r="D1320" s="1830"/>
      <c r="E1320" s="1830"/>
      <c r="F1320" s="1828"/>
      <c r="G1320" s="65">
        <f>SUM(G1318:G1319)</f>
        <v>8312.64</v>
      </c>
    </row>
    <row r="1321" spans="1:7" ht="14.25" hidden="1" customHeight="1">
      <c r="A1321" s="1831"/>
      <c r="B1321" s="1830"/>
      <c r="C1321" s="1830"/>
      <c r="D1321" s="1830"/>
      <c r="E1321" s="1830"/>
      <c r="F1321" s="1830"/>
      <c r="G1321" s="1828"/>
    </row>
    <row r="1322" spans="1:7" ht="28.5" hidden="1" customHeight="1">
      <c r="A1322" s="66" t="s">
        <v>918</v>
      </c>
      <c r="B1322" s="1832" t="e">
        <f>+B1314</f>
        <v>#REF!</v>
      </c>
      <c r="C1322" s="1830"/>
      <c r="D1322" s="1828"/>
      <c r="E1322" s="1833" t="s">
        <v>218</v>
      </c>
      <c r="F1322" s="1834"/>
      <c r="G1322" s="70" t="e">
        <f>+#REF!</f>
        <v>#REF!</v>
      </c>
    </row>
    <row r="1323" spans="1:7" ht="14.25" hidden="1" customHeight="1">
      <c r="A1323" s="66" t="s">
        <v>926</v>
      </c>
      <c r="B1323" s="1835" t="e">
        <f>+#REF!</f>
        <v>#REF!</v>
      </c>
      <c r="C1323" s="1621"/>
      <c r="D1323" s="1621"/>
      <c r="E1323" s="1621"/>
      <c r="F1323" s="1621"/>
      <c r="G1323" s="1622"/>
    </row>
    <row r="1324" spans="1:7" ht="14.25" hidden="1" customHeight="1">
      <c r="A1324" s="1836" t="s">
        <v>220</v>
      </c>
      <c r="B1324" s="1830"/>
      <c r="C1324" s="1830"/>
      <c r="D1324" s="1830"/>
      <c r="E1324" s="1830"/>
      <c r="F1324" s="1830"/>
      <c r="G1324" s="1828"/>
    </row>
    <row r="1325" spans="1:7" ht="14.25" hidden="1" customHeight="1">
      <c r="A1325" s="1829" t="s">
        <v>221</v>
      </c>
      <c r="B1325" s="1828"/>
      <c r="C1325" s="63" t="s">
        <v>222</v>
      </c>
      <c r="D1325" s="63" t="s">
        <v>252</v>
      </c>
      <c r="E1325" s="63" t="s">
        <v>224</v>
      </c>
      <c r="F1325" s="63" t="s">
        <v>225</v>
      </c>
      <c r="G1325" s="63" t="s">
        <v>226</v>
      </c>
    </row>
    <row r="1326" spans="1:7" ht="14.25" hidden="1" customHeight="1">
      <c r="A1326" s="1827" t="s">
        <v>923</v>
      </c>
      <c r="B1326" s="1828"/>
      <c r="C1326" s="64"/>
      <c r="D1326" s="64"/>
      <c r="E1326" s="64"/>
      <c r="F1326" s="64">
        <v>24</v>
      </c>
      <c r="G1326" s="64">
        <f t="shared" ref="G1326:G1327" si="102">+F1326</f>
        <v>24</v>
      </c>
    </row>
    <row r="1327" spans="1:7" ht="14.25" hidden="1" customHeight="1">
      <c r="A1327" s="1827"/>
      <c r="B1327" s="1828"/>
      <c r="C1327" s="64"/>
      <c r="D1327" s="64"/>
      <c r="E1327" s="64"/>
      <c r="F1327" s="64"/>
      <c r="G1327" s="64">
        <f t="shared" si="102"/>
        <v>0</v>
      </c>
    </row>
    <row r="1328" spans="1:7" ht="14.25" hidden="1" customHeight="1">
      <c r="A1328" s="1829" t="s">
        <v>227</v>
      </c>
      <c r="B1328" s="1830"/>
      <c r="C1328" s="1830"/>
      <c r="D1328" s="1830"/>
      <c r="E1328" s="1830"/>
      <c r="F1328" s="1828"/>
      <c r="G1328" s="191">
        <f>SUM(G1326:G1327)</f>
        <v>24</v>
      </c>
    </row>
    <row r="1329" spans="1:7" ht="14.25" hidden="1" customHeight="1">
      <c r="A1329" s="1831"/>
      <c r="B1329" s="1830"/>
      <c r="C1329" s="1830"/>
      <c r="D1329" s="1830"/>
      <c r="E1329" s="1830"/>
      <c r="F1329" s="1830"/>
      <c r="G1329" s="1828"/>
    </row>
    <row r="1330" spans="1:7" ht="28.5" hidden="1" customHeight="1">
      <c r="A1330" s="66" t="s">
        <v>918</v>
      </c>
      <c r="B1330" s="1832" t="e">
        <f>+B1322</f>
        <v>#REF!</v>
      </c>
      <c r="C1330" s="1830"/>
      <c r="D1330" s="1828"/>
      <c r="E1330" s="1833" t="s">
        <v>218</v>
      </c>
      <c r="F1330" s="1834"/>
      <c r="G1330" s="70" t="e">
        <f>+#REF!</f>
        <v>#REF!</v>
      </c>
    </row>
    <row r="1331" spans="1:7" ht="27" hidden="1" customHeight="1">
      <c r="A1331" s="66" t="s">
        <v>927</v>
      </c>
      <c r="B1331" s="1835" t="e">
        <f>+#REF!</f>
        <v>#REF!</v>
      </c>
      <c r="C1331" s="1621"/>
      <c r="D1331" s="1621"/>
      <c r="E1331" s="1621"/>
      <c r="F1331" s="1621"/>
      <c r="G1331" s="1622"/>
    </row>
    <row r="1332" spans="1:7" ht="14.25" hidden="1" customHeight="1">
      <c r="A1332" s="1836" t="s">
        <v>220</v>
      </c>
      <c r="B1332" s="1830"/>
      <c r="C1332" s="1830"/>
      <c r="D1332" s="1830"/>
      <c r="E1332" s="1830"/>
      <c r="F1332" s="1830"/>
      <c r="G1332" s="1828"/>
    </row>
    <row r="1333" spans="1:7" ht="14.25" hidden="1" customHeight="1">
      <c r="A1333" s="1829" t="s">
        <v>221</v>
      </c>
      <c r="B1333" s="1828"/>
      <c r="C1333" s="63" t="s">
        <v>222</v>
      </c>
      <c r="D1333" s="63" t="s">
        <v>252</v>
      </c>
      <c r="E1333" s="63" t="s">
        <v>224</v>
      </c>
      <c r="F1333" s="63" t="s">
        <v>225</v>
      </c>
      <c r="G1333" s="63" t="s">
        <v>226</v>
      </c>
    </row>
    <row r="1334" spans="1:7" ht="14.25" hidden="1" customHeight="1">
      <c r="A1334" s="1827" t="s">
        <v>923</v>
      </c>
      <c r="B1334" s="1828"/>
      <c r="C1334" s="64"/>
      <c r="D1334" s="64"/>
      <c r="E1334" s="64"/>
      <c r="F1334" s="64">
        <v>7</v>
      </c>
      <c r="G1334" s="64">
        <f t="shared" ref="G1334:G1335" si="103">+F1334</f>
        <v>7</v>
      </c>
    </row>
    <row r="1335" spans="1:7" ht="14.25" hidden="1" customHeight="1">
      <c r="A1335" s="1827"/>
      <c r="B1335" s="1828"/>
      <c r="C1335" s="64"/>
      <c r="D1335" s="64"/>
      <c r="E1335" s="64"/>
      <c r="F1335" s="64"/>
      <c r="G1335" s="64">
        <f t="shared" si="103"/>
        <v>0</v>
      </c>
    </row>
    <row r="1336" spans="1:7" ht="14.25" hidden="1" customHeight="1">
      <c r="A1336" s="1829" t="s">
        <v>227</v>
      </c>
      <c r="B1336" s="1830"/>
      <c r="C1336" s="1830"/>
      <c r="D1336" s="1830"/>
      <c r="E1336" s="1830"/>
      <c r="F1336" s="1828"/>
      <c r="G1336" s="191">
        <f>SUM(G1334:G1335)</f>
        <v>7</v>
      </c>
    </row>
    <row r="1337" spans="1:7" ht="14.25" hidden="1" customHeight="1">
      <c r="A1337" s="1831"/>
      <c r="B1337" s="1830"/>
      <c r="C1337" s="1830"/>
      <c r="D1337" s="1830"/>
      <c r="E1337" s="1830"/>
      <c r="F1337" s="1830"/>
      <c r="G1337" s="1828"/>
    </row>
    <row r="1338" spans="1:7" ht="14.25" hidden="1" customHeight="1">
      <c r="A1338" s="66" t="s">
        <v>918</v>
      </c>
      <c r="B1338" s="1832" t="e">
        <f>+B1322</f>
        <v>#REF!</v>
      </c>
      <c r="C1338" s="1830"/>
      <c r="D1338" s="1828"/>
      <c r="E1338" s="1833" t="s">
        <v>218</v>
      </c>
      <c r="F1338" s="1834"/>
      <c r="G1338" s="70" t="e">
        <f>+#REF!</f>
        <v>#REF!</v>
      </c>
    </row>
    <row r="1339" spans="1:7" ht="14.25" hidden="1" customHeight="1">
      <c r="A1339" s="66" t="s">
        <v>928</v>
      </c>
      <c r="B1339" s="1835" t="e">
        <f>+#REF!</f>
        <v>#REF!</v>
      </c>
      <c r="C1339" s="1621"/>
      <c r="D1339" s="1621"/>
      <c r="E1339" s="1621"/>
      <c r="F1339" s="1621"/>
      <c r="G1339" s="1622"/>
    </row>
    <row r="1340" spans="1:7" ht="14.25" hidden="1" customHeight="1">
      <c r="A1340" s="1836" t="s">
        <v>220</v>
      </c>
      <c r="B1340" s="1830"/>
      <c r="C1340" s="1830"/>
      <c r="D1340" s="1830"/>
      <c r="E1340" s="1830"/>
      <c r="F1340" s="1830"/>
      <c r="G1340" s="1828"/>
    </row>
    <row r="1341" spans="1:7" ht="14.25" hidden="1" customHeight="1">
      <c r="A1341" s="1829" t="s">
        <v>221</v>
      </c>
      <c r="B1341" s="1828"/>
      <c r="C1341" s="63" t="s">
        <v>222</v>
      </c>
      <c r="D1341" s="63" t="s">
        <v>252</v>
      </c>
      <c r="E1341" s="63" t="s">
        <v>224</v>
      </c>
      <c r="F1341" s="63" t="s">
        <v>225</v>
      </c>
      <c r="G1341" s="63" t="s">
        <v>226</v>
      </c>
    </row>
    <row r="1342" spans="1:7" ht="14.25" hidden="1" customHeight="1">
      <c r="A1342" s="1827" t="s">
        <v>923</v>
      </c>
      <c r="B1342" s="1828"/>
      <c r="C1342" s="64"/>
      <c r="D1342" s="64"/>
      <c r="E1342" s="64"/>
      <c r="F1342" s="64">
        <v>483.16</v>
      </c>
      <c r="G1342" s="64">
        <f t="shared" ref="G1342:G1343" si="104">+F1342</f>
        <v>483.16</v>
      </c>
    </row>
    <row r="1343" spans="1:7" ht="14.25" hidden="1" customHeight="1">
      <c r="A1343" s="1827"/>
      <c r="B1343" s="1828"/>
      <c r="C1343" s="64"/>
      <c r="D1343" s="64"/>
      <c r="E1343" s="64"/>
      <c r="F1343" s="64"/>
      <c r="G1343" s="64">
        <f t="shared" si="104"/>
        <v>0</v>
      </c>
    </row>
    <row r="1344" spans="1:7" ht="14.25" hidden="1" customHeight="1">
      <c r="A1344" s="1829" t="s">
        <v>227</v>
      </c>
      <c r="B1344" s="1830"/>
      <c r="C1344" s="1830"/>
      <c r="D1344" s="1830"/>
      <c r="E1344" s="1830"/>
      <c r="F1344" s="1828"/>
      <c r="G1344" s="191">
        <f>SUM(G1342:G1343)</f>
        <v>483.16</v>
      </c>
    </row>
    <row r="1345" spans="1:7" ht="14.25" hidden="1" customHeight="1">
      <c r="A1345" s="1831"/>
      <c r="B1345" s="1830"/>
      <c r="C1345" s="1830"/>
      <c r="D1345" s="1830"/>
      <c r="E1345" s="1830"/>
      <c r="F1345" s="1830"/>
      <c r="G1345" s="1828"/>
    </row>
    <row r="1346" spans="1:7" ht="14.25" hidden="1" customHeight="1">
      <c r="A1346" s="66" t="s">
        <v>918</v>
      </c>
      <c r="B1346" s="1832" t="e">
        <f>+B1338</f>
        <v>#REF!</v>
      </c>
      <c r="C1346" s="1830"/>
      <c r="D1346" s="1828"/>
      <c r="E1346" s="1833" t="s">
        <v>218</v>
      </c>
      <c r="F1346" s="1834"/>
      <c r="G1346" s="70" t="e">
        <f>+#REF!</f>
        <v>#REF!</v>
      </c>
    </row>
    <row r="1347" spans="1:7" ht="14.25" hidden="1" customHeight="1">
      <c r="A1347" s="66" t="s">
        <v>929</v>
      </c>
      <c r="B1347" s="1835" t="e">
        <f>+#REF!</f>
        <v>#REF!</v>
      </c>
      <c r="C1347" s="1621"/>
      <c r="D1347" s="1621"/>
      <c r="E1347" s="1621"/>
      <c r="F1347" s="1621"/>
      <c r="G1347" s="1622"/>
    </row>
    <row r="1348" spans="1:7" ht="14.25" hidden="1" customHeight="1">
      <c r="A1348" s="1836" t="s">
        <v>220</v>
      </c>
      <c r="B1348" s="1830"/>
      <c r="C1348" s="1830"/>
      <c r="D1348" s="1830"/>
      <c r="E1348" s="1830"/>
      <c r="F1348" s="1830"/>
      <c r="G1348" s="1828"/>
    </row>
    <row r="1349" spans="1:7" ht="14.25" hidden="1" customHeight="1">
      <c r="A1349" s="1829" t="s">
        <v>221</v>
      </c>
      <c r="B1349" s="1828"/>
      <c r="C1349" s="63" t="s">
        <v>222</v>
      </c>
      <c r="D1349" s="63" t="s">
        <v>252</v>
      </c>
      <c r="E1349" s="63" t="s">
        <v>224</v>
      </c>
      <c r="F1349" s="63" t="s">
        <v>225</v>
      </c>
      <c r="G1349" s="63" t="s">
        <v>226</v>
      </c>
    </row>
    <row r="1350" spans="1:7" ht="14.25" hidden="1" customHeight="1">
      <c r="A1350" s="1827" t="s">
        <v>923</v>
      </c>
      <c r="B1350" s="1828"/>
      <c r="C1350" s="64"/>
      <c r="D1350" s="64"/>
      <c r="E1350" s="64"/>
      <c r="F1350" s="64">
        <v>31.91</v>
      </c>
      <c r="G1350" s="64">
        <f t="shared" ref="G1350:G1351" si="105">+F1350</f>
        <v>31.91</v>
      </c>
    </row>
    <row r="1351" spans="1:7" ht="14.25" hidden="1" customHeight="1">
      <c r="A1351" s="1827"/>
      <c r="B1351" s="1828"/>
      <c r="C1351" s="64"/>
      <c r="D1351" s="64"/>
      <c r="E1351" s="64"/>
      <c r="F1351" s="64"/>
      <c r="G1351" s="64">
        <f t="shared" si="105"/>
        <v>0</v>
      </c>
    </row>
    <row r="1352" spans="1:7" ht="14.25" hidden="1" customHeight="1">
      <c r="A1352" s="1829" t="s">
        <v>227</v>
      </c>
      <c r="B1352" s="1830"/>
      <c r="C1352" s="1830"/>
      <c r="D1352" s="1830"/>
      <c r="E1352" s="1830"/>
      <c r="F1352" s="1828"/>
      <c r="G1352" s="191">
        <f>SUM(G1350:G1351)</f>
        <v>31.91</v>
      </c>
    </row>
    <row r="1353" spans="1:7" ht="14.25" hidden="1" customHeight="1">
      <c r="A1353" s="1831"/>
      <c r="B1353" s="1830"/>
      <c r="C1353" s="1830"/>
      <c r="D1353" s="1830"/>
      <c r="E1353" s="1830"/>
      <c r="F1353" s="1830"/>
      <c r="G1353" s="1828"/>
    </row>
    <row r="1354" spans="1:7" ht="14.25" hidden="1" customHeight="1">
      <c r="A1354" s="1831"/>
      <c r="B1354" s="1830"/>
      <c r="C1354" s="1830"/>
      <c r="D1354" s="1830"/>
      <c r="E1354" s="1830"/>
      <c r="F1354" s="1830"/>
      <c r="G1354" s="1828"/>
    </row>
    <row r="1355" spans="1:7" ht="14.25" hidden="1" customHeight="1">
      <c r="A1355" s="66" t="s">
        <v>918</v>
      </c>
      <c r="B1355" s="1832" t="e">
        <f>+B1346</f>
        <v>#REF!</v>
      </c>
      <c r="C1355" s="1830"/>
      <c r="D1355" s="1828"/>
      <c r="E1355" s="1833" t="s">
        <v>218</v>
      </c>
      <c r="F1355" s="1834"/>
      <c r="G1355" s="70" t="e">
        <f>+#REF!</f>
        <v>#REF!</v>
      </c>
    </row>
    <row r="1356" spans="1:7" ht="48" hidden="1" customHeight="1">
      <c r="A1356" s="66" t="s">
        <v>930</v>
      </c>
      <c r="B1356" s="1863" t="e">
        <f>+#REF!</f>
        <v>#REF!</v>
      </c>
      <c r="C1356" s="1621"/>
      <c r="D1356" s="1621"/>
      <c r="E1356" s="1621"/>
      <c r="F1356" s="1621"/>
      <c r="G1356" s="1622"/>
    </row>
    <row r="1357" spans="1:7" ht="14.25" hidden="1" customHeight="1">
      <c r="A1357" s="1836" t="s">
        <v>220</v>
      </c>
      <c r="B1357" s="1830"/>
      <c r="C1357" s="1830"/>
      <c r="D1357" s="1830"/>
      <c r="E1357" s="1830"/>
      <c r="F1357" s="1830"/>
      <c r="G1357" s="1828"/>
    </row>
    <row r="1358" spans="1:7" ht="14.25" hidden="1" customHeight="1">
      <c r="A1358" s="1829" t="s">
        <v>221</v>
      </c>
      <c r="B1358" s="1828"/>
      <c r="C1358" s="63" t="s">
        <v>222</v>
      </c>
      <c r="D1358" s="63" t="s">
        <v>252</v>
      </c>
      <c r="E1358" s="63" t="s">
        <v>224</v>
      </c>
      <c r="F1358" s="63" t="s">
        <v>225</v>
      </c>
      <c r="G1358" s="63" t="s">
        <v>226</v>
      </c>
    </row>
    <row r="1359" spans="1:7" ht="14.25" hidden="1" customHeight="1">
      <c r="A1359" s="1827" t="s">
        <v>923</v>
      </c>
      <c r="B1359" s="1828"/>
      <c r="C1359" s="64"/>
      <c r="D1359" s="64"/>
      <c r="E1359" s="64"/>
      <c r="F1359" s="64">
        <v>1</v>
      </c>
      <c r="G1359" s="64">
        <f t="shared" ref="G1359:G1360" si="106">+F1359</f>
        <v>1</v>
      </c>
    </row>
    <row r="1360" spans="1:7" ht="14.25" hidden="1" customHeight="1">
      <c r="A1360" s="1827"/>
      <c r="B1360" s="1828"/>
      <c r="C1360" s="64"/>
      <c r="D1360" s="64"/>
      <c r="E1360" s="64"/>
      <c r="F1360" s="64"/>
      <c r="G1360" s="64">
        <f t="shared" si="106"/>
        <v>0</v>
      </c>
    </row>
    <row r="1361" spans="1:7" ht="14.25" hidden="1" customHeight="1">
      <c r="A1361" s="1829" t="s">
        <v>227</v>
      </c>
      <c r="B1361" s="1830"/>
      <c r="C1361" s="1830"/>
      <c r="D1361" s="1830"/>
      <c r="E1361" s="1830"/>
      <c r="F1361" s="1828"/>
      <c r="G1361" s="191">
        <f>SUM(G1359:G1360)</f>
        <v>1</v>
      </c>
    </row>
    <row r="1362" spans="1:7" ht="14.25" hidden="1" customHeight="1">
      <c r="A1362" s="1831"/>
      <c r="B1362" s="1830"/>
      <c r="C1362" s="1830"/>
      <c r="D1362" s="1830"/>
      <c r="E1362" s="1830"/>
      <c r="F1362" s="1830"/>
      <c r="G1362" s="1828"/>
    </row>
    <row r="1363" spans="1:7" ht="14.25" hidden="1" customHeight="1">
      <c r="A1363" s="66" t="s">
        <v>918</v>
      </c>
      <c r="B1363" s="1832" t="e">
        <f>+B1355</f>
        <v>#REF!</v>
      </c>
      <c r="C1363" s="1830"/>
      <c r="D1363" s="1828"/>
      <c r="E1363" s="1833" t="s">
        <v>218</v>
      </c>
      <c r="F1363" s="1834"/>
      <c r="G1363" s="70" t="e">
        <f>+#REF!</f>
        <v>#REF!</v>
      </c>
    </row>
    <row r="1364" spans="1:7" ht="32.25" hidden="1" customHeight="1">
      <c r="A1364" s="66" t="s">
        <v>931</v>
      </c>
      <c r="B1364" s="1863" t="e">
        <f>+#REF!</f>
        <v>#REF!</v>
      </c>
      <c r="C1364" s="1621"/>
      <c r="D1364" s="1621"/>
      <c r="E1364" s="1621"/>
      <c r="F1364" s="1621"/>
      <c r="G1364" s="1622"/>
    </row>
    <row r="1365" spans="1:7" ht="14.25" hidden="1" customHeight="1">
      <c r="A1365" s="1836" t="s">
        <v>220</v>
      </c>
      <c r="B1365" s="1830"/>
      <c r="C1365" s="1830"/>
      <c r="D1365" s="1830"/>
      <c r="E1365" s="1830"/>
      <c r="F1365" s="1830"/>
      <c r="G1365" s="1828"/>
    </row>
    <row r="1366" spans="1:7" ht="14.25" hidden="1" customHeight="1">
      <c r="A1366" s="1829" t="s">
        <v>221</v>
      </c>
      <c r="B1366" s="1828"/>
      <c r="C1366" s="63" t="s">
        <v>222</v>
      </c>
      <c r="D1366" s="63" t="s">
        <v>252</v>
      </c>
      <c r="E1366" s="63" t="s">
        <v>224</v>
      </c>
      <c r="F1366" s="63" t="s">
        <v>225</v>
      </c>
      <c r="G1366" s="63" t="s">
        <v>226</v>
      </c>
    </row>
    <row r="1367" spans="1:7" ht="14.25" hidden="1" customHeight="1">
      <c r="A1367" s="1827" t="s">
        <v>923</v>
      </c>
      <c r="B1367" s="1828"/>
      <c r="C1367" s="64"/>
      <c r="D1367" s="64"/>
      <c r="E1367" s="64"/>
      <c r="F1367" s="64">
        <v>1</v>
      </c>
      <c r="G1367" s="64">
        <f t="shared" ref="G1367:G1368" si="107">+F1367</f>
        <v>1</v>
      </c>
    </row>
    <row r="1368" spans="1:7" ht="14.25" hidden="1" customHeight="1">
      <c r="A1368" s="1827"/>
      <c r="B1368" s="1828"/>
      <c r="C1368" s="64"/>
      <c r="D1368" s="64"/>
      <c r="E1368" s="64"/>
      <c r="F1368" s="64"/>
      <c r="G1368" s="64">
        <f t="shared" si="107"/>
        <v>0</v>
      </c>
    </row>
    <row r="1369" spans="1:7" ht="14.25" hidden="1" customHeight="1">
      <c r="A1369" s="1829" t="s">
        <v>227</v>
      </c>
      <c r="B1369" s="1830"/>
      <c r="C1369" s="1830"/>
      <c r="D1369" s="1830"/>
      <c r="E1369" s="1830"/>
      <c r="F1369" s="1828"/>
      <c r="G1369" s="191">
        <f>SUM(G1367:G1368)</f>
        <v>1</v>
      </c>
    </row>
    <row r="1370" spans="1:7" ht="14.25" hidden="1" customHeight="1">
      <c r="A1370" s="1831"/>
      <c r="B1370" s="1830"/>
      <c r="C1370" s="1830"/>
      <c r="D1370" s="1830"/>
      <c r="E1370" s="1830"/>
      <c r="F1370" s="1830"/>
      <c r="G1370" s="1828"/>
    </row>
    <row r="1371" spans="1:7" ht="14.25" hidden="1" customHeight="1">
      <c r="A1371" s="66" t="s">
        <v>918</v>
      </c>
      <c r="B1371" s="1832" t="e">
        <f>+B1363</f>
        <v>#REF!</v>
      </c>
      <c r="C1371" s="1830"/>
      <c r="D1371" s="1828"/>
      <c r="E1371" s="1833" t="s">
        <v>218</v>
      </c>
      <c r="F1371" s="1834"/>
      <c r="G1371" s="70" t="e">
        <f>+#REF!</f>
        <v>#REF!</v>
      </c>
    </row>
    <row r="1372" spans="1:7" ht="28.5" hidden="1" customHeight="1">
      <c r="A1372" s="66" t="s">
        <v>932</v>
      </c>
      <c r="B1372" s="1863" t="e">
        <f>+#REF!</f>
        <v>#REF!</v>
      </c>
      <c r="C1372" s="1621"/>
      <c r="D1372" s="1621"/>
      <c r="E1372" s="1621"/>
      <c r="F1372" s="1621"/>
      <c r="G1372" s="1622"/>
    </row>
    <row r="1373" spans="1:7" ht="14.25" hidden="1" customHeight="1">
      <c r="A1373" s="1836" t="s">
        <v>220</v>
      </c>
      <c r="B1373" s="1830"/>
      <c r="C1373" s="1830"/>
      <c r="D1373" s="1830"/>
      <c r="E1373" s="1830"/>
      <c r="F1373" s="1830"/>
      <c r="G1373" s="1828"/>
    </row>
    <row r="1374" spans="1:7" ht="14.25" hidden="1" customHeight="1">
      <c r="A1374" s="1829" t="s">
        <v>221</v>
      </c>
      <c r="B1374" s="1828"/>
      <c r="C1374" s="63" t="s">
        <v>222</v>
      </c>
      <c r="D1374" s="63" t="s">
        <v>252</v>
      </c>
      <c r="E1374" s="63" t="s">
        <v>224</v>
      </c>
      <c r="F1374" s="63" t="s">
        <v>225</v>
      </c>
      <c r="G1374" s="63" t="s">
        <v>226</v>
      </c>
    </row>
    <row r="1375" spans="1:7" ht="14.25" hidden="1" customHeight="1">
      <c r="A1375" s="1827" t="s">
        <v>923</v>
      </c>
      <c r="B1375" s="1828"/>
      <c r="C1375" s="64">
        <f>+(C1270*2)+(D1270*2)</f>
        <v>4</v>
      </c>
      <c r="D1375" s="64"/>
      <c r="E1375" s="64"/>
      <c r="F1375" s="64">
        <f>+C1375</f>
        <v>4</v>
      </c>
      <c r="G1375" s="64">
        <f t="shared" ref="G1375:G1376" si="108">+F1375</f>
        <v>4</v>
      </c>
    </row>
    <row r="1376" spans="1:7" ht="14.25" hidden="1" customHeight="1">
      <c r="A1376" s="1827"/>
      <c r="B1376" s="1828"/>
      <c r="C1376" s="64"/>
      <c r="D1376" s="64"/>
      <c r="E1376" s="64"/>
      <c r="F1376" s="64"/>
      <c r="G1376" s="64">
        <f t="shared" si="108"/>
        <v>0</v>
      </c>
    </row>
    <row r="1377" spans="1:7" ht="14.25" hidden="1" customHeight="1">
      <c r="A1377" s="1829" t="s">
        <v>227</v>
      </c>
      <c r="B1377" s="1830"/>
      <c r="C1377" s="1830"/>
      <c r="D1377" s="1830"/>
      <c r="E1377" s="1830"/>
      <c r="F1377" s="1828"/>
      <c r="G1377" s="65">
        <f>SUM(G1375:G1376)</f>
        <v>4</v>
      </c>
    </row>
    <row r="1378" spans="1:7" ht="14.25" hidden="1" customHeight="1">
      <c r="A1378" s="1831"/>
      <c r="B1378" s="1830"/>
      <c r="C1378" s="1830"/>
      <c r="D1378" s="1830"/>
      <c r="E1378" s="1830"/>
      <c r="F1378" s="1830"/>
      <c r="G1378" s="1828"/>
    </row>
    <row r="1379" spans="1:7" ht="14.25" hidden="1" customHeight="1">
      <c r="A1379" s="66" t="s">
        <v>918</v>
      </c>
      <c r="B1379" s="1832" t="e">
        <f>+B1371</f>
        <v>#REF!</v>
      </c>
      <c r="C1379" s="1830"/>
      <c r="D1379" s="1828"/>
      <c r="E1379" s="1833" t="s">
        <v>218</v>
      </c>
      <c r="F1379" s="1834"/>
      <c r="G1379" s="70" t="e">
        <f>+#REF!</f>
        <v>#REF!</v>
      </c>
    </row>
    <row r="1380" spans="1:7" ht="26.25" hidden="1" customHeight="1">
      <c r="A1380" s="66" t="s">
        <v>933</v>
      </c>
      <c r="B1380" s="1835" t="e">
        <f>+#REF!</f>
        <v>#REF!</v>
      </c>
      <c r="C1380" s="1621"/>
      <c r="D1380" s="1621"/>
      <c r="E1380" s="1621"/>
      <c r="F1380" s="1621"/>
      <c r="G1380" s="1622"/>
    </row>
    <row r="1381" spans="1:7" ht="14.25" hidden="1" customHeight="1">
      <c r="A1381" s="1836" t="s">
        <v>220</v>
      </c>
      <c r="B1381" s="1830"/>
      <c r="C1381" s="1830"/>
      <c r="D1381" s="1830"/>
      <c r="E1381" s="1830"/>
      <c r="F1381" s="1830"/>
      <c r="G1381" s="1828"/>
    </row>
    <row r="1382" spans="1:7" ht="14.25" hidden="1" customHeight="1">
      <c r="A1382" s="1829" t="s">
        <v>221</v>
      </c>
      <c r="B1382" s="1828"/>
      <c r="C1382" s="63" t="s">
        <v>222</v>
      </c>
      <c r="D1382" s="63" t="s">
        <v>252</v>
      </c>
      <c r="E1382" s="63" t="s">
        <v>224</v>
      </c>
      <c r="F1382" s="63" t="s">
        <v>225</v>
      </c>
      <c r="G1382" s="63" t="s">
        <v>226</v>
      </c>
    </row>
    <row r="1383" spans="1:7" ht="14.25" hidden="1" customHeight="1">
      <c r="A1383" s="1827" t="s">
        <v>923</v>
      </c>
      <c r="B1383" s="1828"/>
      <c r="C1383" s="64">
        <f>48.04+52.26+42.28</f>
        <v>142.57999999999998</v>
      </c>
      <c r="D1383" s="64"/>
      <c r="E1383" s="64"/>
      <c r="F1383" s="64"/>
      <c r="G1383" s="64">
        <f>+C1383</f>
        <v>142.57999999999998</v>
      </c>
    </row>
    <row r="1384" spans="1:7" ht="14.25" hidden="1" customHeight="1">
      <c r="A1384" s="1827"/>
      <c r="B1384" s="1828"/>
      <c r="C1384" s="64"/>
      <c r="D1384" s="64"/>
      <c r="E1384" s="64"/>
      <c r="F1384" s="64"/>
      <c r="G1384" s="64">
        <f>+F1384</f>
        <v>0</v>
      </c>
    </row>
    <row r="1385" spans="1:7" ht="14.25" hidden="1" customHeight="1">
      <c r="A1385" s="1829" t="s">
        <v>227</v>
      </c>
      <c r="B1385" s="1830"/>
      <c r="C1385" s="1830"/>
      <c r="D1385" s="1830"/>
      <c r="E1385" s="1830"/>
      <c r="F1385" s="1828"/>
      <c r="G1385" s="191">
        <f>SUM(G1383:G1384)</f>
        <v>142.57999999999998</v>
      </c>
    </row>
    <row r="1386" spans="1:7" ht="14.25" hidden="1" customHeight="1">
      <c r="A1386" s="1831"/>
      <c r="B1386" s="1830"/>
      <c r="C1386" s="1830"/>
      <c r="D1386" s="1830"/>
      <c r="E1386" s="1830"/>
      <c r="F1386" s="1830"/>
      <c r="G1386" s="1828"/>
    </row>
    <row r="1387" spans="1:7" ht="14.25" hidden="1" customHeight="1">
      <c r="A1387" s="66" t="s">
        <v>918</v>
      </c>
      <c r="B1387" s="1832" t="e">
        <f>+B1371</f>
        <v>#REF!</v>
      </c>
      <c r="C1387" s="1830"/>
      <c r="D1387" s="1828"/>
      <c r="E1387" s="1833" t="s">
        <v>218</v>
      </c>
      <c r="F1387" s="1834"/>
      <c r="G1387" s="70" t="e">
        <f>+#REF!</f>
        <v>#REF!</v>
      </c>
    </row>
    <row r="1388" spans="1:7" ht="32.25" hidden="1" customHeight="1">
      <c r="A1388" s="66" t="s">
        <v>934</v>
      </c>
      <c r="B1388" s="1863" t="e">
        <f>+#REF!</f>
        <v>#REF!</v>
      </c>
      <c r="C1388" s="1621"/>
      <c r="D1388" s="1621"/>
      <c r="E1388" s="1621"/>
      <c r="F1388" s="1621"/>
      <c r="G1388" s="1622"/>
    </row>
    <row r="1389" spans="1:7" ht="14.25" hidden="1" customHeight="1">
      <c r="A1389" s="1836" t="s">
        <v>220</v>
      </c>
      <c r="B1389" s="1830"/>
      <c r="C1389" s="1830"/>
      <c r="D1389" s="1830"/>
      <c r="E1389" s="1830"/>
      <c r="F1389" s="1830"/>
      <c r="G1389" s="1828"/>
    </row>
    <row r="1390" spans="1:7" ht="14.25" hidden="1" customHeight="1">
      <c r="A1390" s="1829" t="s">
        <v>221</v>
      </c>
      <c r="B1390" s="1828"/>
      <c r="C1390" s="63" t="s">
        <v>222</v>
      </c>
      <c r="D1390" s="63" t="s">
        <v>252</v>
      </c>
      <c r="E1390" s="63" t="s">
        <v>224</v>
      </c>
      <c r="F1390" s="63" t="s">
        <v>225</v>
      </c>
      <c r="G1390" s="63" t="s">
        <v>226</v>
      </c>
    </row>
    <row r="1391" spans="1:7" ht="14.25" hidden="1" customHeight="1">
      <c r="A1391" s="1827" t="s">
        <v>923</v>
      </c>
      <c r="B1391" s="1828"/>
      <c r="C1391" s="64">
        <f>8.11+9.34+28.07+38.06+32.3+22.32+12.34</f>
        <v>150.54</v>
      </c>
      <c r="D1391" s="64"/>
      <c r="E1391" s="64"/>
      <c r="F1391" s="64"/>
      <c r="G1391" s="64">
        <f>+C1391</f>
        <v>150.54</v>
      </c>
    </row>
    <row r="1392" spans="1:7" ht="14.25" hidden="1" customHeight="1">
      <c r="A1392" s="1827"/>
      <c r="B1392" s="1828"/>
      <c r="C1392" s="64"/>
      <c r="D1392" s="64"/>
      <c r="E1392" s="64"/>
      <c r="F1392" s="64"/>
      <c r="G1392" s="64">
        <f>+F1392</f>
        <v>0</v>
      </c>
    </row>
    <row r="1393" spans="1:7" ht="14.25" hidden="1" customHeight="1">
      <c r="A1393" s="1829" t="s">
        <v>227</v>
      </c>
      <c r="B1393" s="1830"/>
      <c r="C1393" s="1830"/>
      <c r="D1393" s="1830"/>
      <c r="E1393" s="1830"/>
      <c r="F1393" s="1828"/>
      <c r="G1393" s="65">
        <f>SUM(G1391:G1392)</f>
        <v>150.54</v>
      </c>
    </row>
    <row r="1394" spans="1:7" ht="14.25" hidden="1" customHeight="1">
      <c r="A1394" s="1831"/>
      <c r="B1394" s="1830"/>
      <c r="C1394" s="1830"/>
      <c r="D1394" s="1830"/>
      <c r="E1394" s="1830"/>
      <c r="F1394" s="1830"/>
      <c r="G1394" s="1828"/>
    </row>
    <row r="1395" spans="1:7" ht="14.25" hidden="1" customHeight="1">
      <c r="A1395" s="66" t="s">
        <v>918</v>
      </c>
      <c r="B1395" s="1832" t="e">
        <f>+B1379</f>
        <v>#REF!</v>
      </c>
      <c r="C1395" s="1830"/>
      <c r="D1395" s="1828"/>
      <c r="E1395" s="1833" t="s">
        <v>218</v>
      </c>
      <c r="F1395" s="1834"/>
      <c r="G1395" s="70" t="e">
        <f>+#REF!</f>
        <v>#REF!</v>
      </c>
    </row>
    <row r="1396" spans="1:7" ht="30" hidden="1" customHeight="1">
      <c r="A1396" s="66" t="s">
        <v>935</v>
      </c>
      <c r="B1396" s="1863" t="e">
        <f>+#REF!</f>
        <v>#REF!</v>
      </c>
      <c r="C1396" s="1621"/>
      <c r="D1396" s="1621"/>
      <c r="E1396" s="1621"/>
      <c r="F1396" s="1621"/>
      <c r="G1396" s="1622"/>
    </row>
    <row r="1397" spans="1:7" ht="14.25" hidden="1" customHeight="1">
      <c r="A1397" s="1836" t="s">
        <v>220</v>
      </c>
      <c r="B1397" s="1830"/>
      <c r="C1397" s="1830"/>
      <c r="D1397" s="1830"/>
      <c r="E1397" s="1830"/>
      <c r="F1397" s="1830"/>
      <c r="G1397" s="1828"/>
    </row>
    <row r="1398" spans="1:7" ht="14.25" hidden="1" customHeight="1">
      <c r="A1398" s="1829" t="s">
        <v>221</v>
      </c>
      <c r="B1398" s="1828"/>
      <c r="C1398" s="63" t="s">
        <v>222</v>
      </c>
      <c r="D1398" s="63" t="s">
        <v>252</v>
      </c>
      <c r="E1398" s="63" t="s">
        <v>224</v>
      </c>
      <c r="F1398" s="63" t="s">
        <v>225</v>
      </c>
      <c r="G1398" s="63" t="s">
        <v>226</v>
      </c>
    </row>
    <row r="1399" spans="1:7" ht="14.25" hidden="1" customHeight="1">
      <c r="A1399" s="1827" t="s">
        <v>923</v>
      </c>
      <c r="B1399" s="1828"/>
      <c r="C1399" s="64">
        <f>+(C1270)</f>
        <v>1</v>
      </c>
      <c r="D1399" s="64"/>
      <c r="E1399" s="64"/>
      <c r="F1399" s="64">
        <f>+C1399</f>
        <v>1</v>
      </c>
      <c r="G1399" s="64">
        <f t="shared" ref="G1399:G1400" si="109">+F1399</f>
        <v>1</v>
      </c>
    </row>
    <row r="1400" spans="1:7" ht="14.25" hidden="1" customHeight="1">
      <c r="A1400" s="1827"/>
      <c r="B1400" s="1828"/>
      <c r="C1400" s="64"/>
      <c r="D1400" s="64"/>
      <c r="E1400" s="64"/>
      <c r="F1400" s="64"/>
      <c r="G1400" s="64">
        <f t="shared" si="109"/>
        <v>0</v>
      </c>
    </row>
    <row r="1401" spans="1:7" ht="14.25" hidden="1" customHeight="1">
      <c r="A1401" s="1829" t="s">
        <v>227</v>
      </c>
      <c r="B1401" s="1830"/>
      <c r="C1401" s="1830"/>
      <c r="D1401" s="1830"/>
      <c r="E1401" s="1830"/>
      <c r="F1401" s="1828"/>
      <c r="G1401" s="65">
        <f>SUM(G1399:G1400)</f>
        <v>1</v>
      </c>
    </row>
    <row r="1402" spans="1:7" ht="14.25" hidden="1" customHeight="1">
      <c r="A1402" s="1831"/>
      <c r="B1402" s="1830"/>
      <c r="C1402" s="1830"/>
      <c r="D1402" s="1830"/>
      <c r="E1402" s="1830"/>
      <c r="F1402" s="1830"/>
      <c r="G1402" s="1828"/>
    </row>
    <row r="1403" spans="1:7" ht="14.25" hidden="1" customHeight="1">
      <c r="A1403" s="66" t="s">
        <v>918</v>
      </c>
      <c r="B1403" s="1832" t="e">
        <f>+B1395</f>
        <v>#REF!</v>
      </c>
      <c r="C1403" s="1830"/>
      <c r="D1403" s="1828"/>
      <c r="E1403" s="1833" t="s">
        <v>218</v>
      </c>
      <c r="F1403" s="1834"/>
      <c r="G1403" s="70" t="e">
        <f>+#REF!</f>
        <v>#REF!</v>
      </c>
    </row>
    <row r="1404" spans="1:7" ht="34.5" hidden="1" customHeight="1">
      <c r="A1404" s="66" t="s">
        <v>936</v>
      </c>
      <c r="B1404" s="1835" t="e">
        <f>+#REF!</f>
        <v>#REF!</v>
      </c>
      <c r="C1404" s="1621"/>
      <c r="D1404" s="1621"/>
      <c r="E1404" s="1621"/>
      <c r="F1404" s="1621"/>
      <c r="G1404" s="1622"/>
    </row>
    <row r="1405" spans="1:7" ht="14.25" hidden="1" customHeight="1">
      <c r="A1405" s="1836" t="s">
        <v>220</v>
      </c>
      <c r="B1405" s="1830"/>
      <c r="C1405" s="1830"/>
      <c r="D1405" s="1830"/>
      <c r="E1405" s="1830"/>
      <c r="F1405" s="1830"/>
      <c r="G1405" s="1828"/>
    </row>
    <row r="1406" spans="1:7" ht="14.25" hidden="1" customHeight="1">
      <c r="A1406" s="1829" t="s">
        <v>221</v>
      </c>
      <c r="B1406" s="1828"/>
      <c r="C1406" s="63" t="s">
        <v>222</v>
      </c>
      <c r="D1406" s="63" t="s">
        <v>252</v>
      </c>
      <c r="E1406" s="63" t="s">
        <v>224</v>
      </c>
      <c r="F1406" s="63" t="s">
        <v>225</v>
      </c>
      <c r="G1406" s="63" t="s">
        <v>226</v>
      </c>
    </row>
    <row r="1407" spans="1:7" ht="14.25" hidden="1" customHeight="1">
      <c r="A1407" s="1827" t="s">
        <v>923</v>
      </c>
      <c r="B1407" s="1828"/>
      <c r="C1407" s="64"/>
      <c r="D1407" s="64"/>
      <c r="E1407" s="64"/>
      <c r="F1407" s="64">
        <v>2</v>
      </c>
      <c r="G1407" s="64">
        <f t="shared" ref="G1407:G1408" si="110">+F1407</f>
        <v>2</v>
      </c>
    </row>
    <row r="1408" spans="1:7" ht="14.25" hidden="1" customHeight="1">
      <c r="A1408" s="1827"/>
      <c r="B1408" s="1828"/>
      <c r="C1408" s="64"/>
      <c r="D1408" s="64"/>
      <c r="E1408" s="64"/>
      <c r="F1408" s="64"/>
      <c r="G1408" s="64">
        <f t="shared" si="110"/>
        <v>0</v>
      </c>
    </row>
    <row r="1409" spans="1:7" ht="14.25" hidden="1" customHeight="1">
      <c r="A1409" s="1829" t="s">
        <v>227</v>
      </c>
      <c r="B1409" s="1830"/>
      <c r="C1409" s="1830"/>
      <c r="D1409" s="1830"/>
      <c r="E1409" s="1830"/>
      <c r="F1409" s="1828"/>
      <c r="G1409" s="65">
        <f>SUM(G1407:G1408)</f>
        <v>2</v>
      </c>
    </row>
    <row r="1410" spans="1:7" ht="14.25" hidden="1" customHeight="1">
      <c r="A1410" s="1831"/>
      <c r="B1410" s="1830"/>
      <c r="C1410" s="1830"/>
      <c r="D1410" s="1830"/>
      <c r="E1410" s="1830"/>
      <c r="F1410" s="1830"/>
      <c r="G1410" s="1828"/>
    </row>
    <row r="1411" spans="1:7" ht="14.25" hidden="1" customHeight="1">
      <c r="A1411" s="66" t="s">
        <v>918</v>
      </c>
      <c r="B1411" s="1832" t="e">
        <f>+B1403</f>
        <v>#REF!</v>
      </c>
      <c r="C1411" s="1830"/>
      <c r="D1411" s="1828"/>
      <c r="E1411" s="1833" t="s">
        <v>218</v>
      </c>
      <c r="F1411" s="1834"/>
      <c r="G1411" s="70" t="e">
        <f>+#REF!</f>
        <v>#REF!</v>
      </c>
    </row>
    <row r="1412" spans="1:7" ht="36.75" hidden="1" customHeight="1">
      <c r="A1412" s="66" t="s">
        <v>937</v>
      </c>
      <c r="B1412" s="1835" t="e">
        <f>+#REF!</f>
        <v>#REF!</v>
      </c>
      <c r="C1412" s="1621"/>
      <c r="D1412" s="1621"/>
      <c r="E1412" s="1621"/>
      <c r="F1412" s="1621"/>
      <c r="G1412" s="1622"/>
    </row>
    <row r="1413" spans="1:7" ht="14.25" hidden="1" customHeight="1">
      <c r="A1413" s="1836" t="s">
        <v>220</v>
      </c>
      <c r="B1413" s="1830"/>
      <c r="C1413" s="1830"/>
      <c r="D1413" s="1830"/>
      <c r="E1413" s="1830"/>
      <c r="F1413" s="1830"/>
      <c r="G1413" s="1828"/>
    </row>
    <row r="1414" spans="1:7" ht="14.25" hidden="1" customHeight="1">
      <c r="A1414" s="1829" t="s">
        <v>221</v>
      </c>
      <c r="B1414" s="1828"/>
      <c r="C1414" s="63" t="s">
        <v>222</v>
      </c>
      <c r="D1414" s="63" t="s">
        <v>252</v>
      </c>
      <c r="E1414" s="63" t="s">
        <v>224</v>
      </c>
      <c r="F1414" s="63" t="s">
        <v>225</v>
      </c>
      <c r="G1414" s="63" t="s">
        <v>226</v>
      </c>
    </row>
    <row r="1415" spans="1:7" ht="14.25" hidden="1" customHeight="1">
      <c r="A1415" s="1827" t="s">
        <v>938</v>
      </c>
      <c r="B1415" s="1828"/>
      <c r="C1415" s="64">
        <f>+$G$1288</f>
        <v>88.19</v>
      </c>
      <c r="D1415" s="64"/>
      <c r="E1415" s="64"/>
      <c r="F1415" s="64">
        <f>-$G$1320</f>
        <v>-8312.64</v>
      </c>
      <c r="G1415" s="64">
        <f>+C1415+F1415</f>
        <v>-8224.4499999999989</v>
      </c>
    </row>
    <row r="1416" spans="1:7" ht="14.25" hidden="1" customHeight="1">
      <c r="A1416" s="1827"/>
      <c r="B1416" s="1828"/>
      <c r="C1416" s="64"/>
      <c r="D1416" s="64"/>
      <c r="E1416" s="64"/>
      <c r="F1416" s="64"/>
      <c r="G1416" s="64">
        <f>+F1416</f>
        <v>0</v>
      </c>
    </row>
    <row r="1417" spans="1:7" ht="14.25" hidden="1" customHeight="1">
      <c r="A1417" s="1829" t="s">
        <v>227</v>
      </c>
      <c r="B1417" s="1830"/>
      <c r="C1417" s="1830"/>
      <c r="D1417" s="1830"/>
      <c r="E1417" s="1830"/>
      <c r="F1417" s="1828"/>
      <c r="G1417" s="65">
        <f>SUM(G1415:G1416)</f>
        <v>-8224.4499999999989</v>
      </c>
    </row>
    <row r="1418" spans="1:7" ht="14.25" hidden="1" customHeight="1">
      <c r="A1418" s="1831"/>
      <c r="B1418" s="1830"/>
      <c r="C1418" s="1830"/>
      <c r="D1418" s="1830"/>
      <c r="E1418" s="1830"/>
      <c r="F1418" s="1830"/>
      <c r="G1418" s="1828"/>
    </row>
    <row r="1419" spans="1:7" ht="14.25" hidden="1" customHeight="1">
      <c r="A1419" s="66" t="s">
        <v>918</v>
      </c>
      <c r="B1419" s="1832" t="e">
        <f>+B1411</f>
        <v>#REF!</v>
      </c>
      <c r="C1419" s="1830"/>
      <c r="D1419" s="1828"/>
      <c r="E1419" s="1833" t="s">
        <v>218</v>
      </c>
      <c r="F1419" s="1834"/>
      <c r="G1419" s="70" t="e">
        <f>+#REF!</f>
        <v>#REF!</v>
      </c>
    </row>
    <row r="1420" spans="1:7" ht="33" hidden="1" customHeight="1">
      <c r="A1420" s="66" t="s">
        <v>939</v>
      </c>
      <c r="B1420" s="1835" t="e">
        <f>+#REF!</f>
        <v>#REF!</v>
      </c>
      <c r="C1420" s="1621"/>
      <c r="D1420" s="1621"/>
      <c r="E1420" s="1621"/>
      <c r="F1420" s="1621"/>
      <c r="G1420" s="1622"/>
    </row>
    <row r="1421" spans="1:7" ht="14.25" hidden="1" customHeight="1">
      <c r="A1421" s="1836" t="s">
        <v>220</v>
      </c>
      <c r="B1421" s="1830"/>
      <c r="C1421" s="1830"/>
      <c r="D1421" s="1830"/>
      <c r="E1421" s="1830"/>
      <c r="F1421" s="1830"/>
      <c r="G1421" s="1828"/>
    </row>
    <row r="1422" spans="1:7" ht="14.25" hidden="1" customHeight="1">
      <c r="A1422" s="1829" t="s">
        <v>221</v>
      </c>
      <c r="B1422" s="1828"/>
      <c r="C1422" s="63" t="s">
        <v>222</v>
      </c>
      <c r="D1422" s="63" t="s">
        <v>252</v>
      </c>
      <c r="E1422" s="63" t="s">
        <v>224</v>
      </c>
      <c r="F1422" s="63" t="s">
        <v>225</v>
      </c>
      <c r="G1422" s="63" t="s">
        <v>226</v>
      </c>
    </row>
    <row r="1423" spans="1:7" ht="14.25" hidden="1" customHeight="1">
      <c r="A1423" s="1827" t="s">
        <v>938</v>
      </c>
      <c r="B1423" s="1828"/>
      <c r="C1423" s="64">
        <f>+$G$1288</f>
        <v>88.19</v>
      </c>
      <c r="D1423" s="64"/>
      <c r="E1423" s="64"/>
      <c r="F1423" s="64">
        <f>-$G$1320</f>
        <v>-8312.64</v>
      </c>
      <c r="G1423" s="64">
        <f>+C1423+F1423</f>
        <v>-8224.4499999999989</v>
      </c>
    </row>
    <row r="1424" spans="1:7" ht="14.25" hidden="1" customHeight="1">
      <c r="A1424" s="1827"/>
      <c r="B1424" s="1828"/>
      <c r="C1424" s="64"/>
      <c r="D1424" s="64"/>
      <c r="E1424" s="64"/>
      <c r="F1424" s="64"/>
      <c r="G1424" s="64">
        <f>+F1424</f>
        <v>0</v>
      </c>
    </row>
    <row r="1425" spans="1:7" ht="14.25" hidden="1" customHeight="1">
      <c r="A1425" s="1829" t="s">
        <v>227</v>
      </c>
      <c r="B1425" s="1830"/>
      <c r="C1425" s="1830"/>
      <c r="D1425" s="1830"/>
      <c r="E1425" s="1830"/>
      <c r="F1425" s="1828"/>
      <c r="G1425" s="65">
        <f>SUM(G1423:G1424)</f>
        <v>-8224.4499999999989</v>
      </c>
    </row>
    <row r="1426" spans="1:7" ht="14.25" hidden="1" customHeight="1">
      <c r="A1426" s="1831"/>
      <c r="B1426" s="1830"/>
      <c r="C1426" s="1830"/>
      <c r="D1426" s="1830"/>
      <c r="E1426" s="1830"/>
      <c r="F1426" s="1830"/>
      <c r="G1426" s="1828"/>
    </row>
    <row r="1427" spans="1:7" ht="14.25" hidden="1" customHeight="1">
      <c r="A1427" s="66" t="s">
        <v>918</v>
      </c>
      <c r="B1427" s="1832" t="e">
        <f>+B1419</f>
        <v>#REF!</v>
      </c>
      <c r="C1427" s="1830"/>
      <c r="D1427" s="1828"/>
      <c r="E1427" s="1833" t="s">
        <v>218</v>
      </c>
      <c r="F1427" s="1834"/>
      <c r="G1427" s="70" t="e">
        <f>+#REF!</f>
        <v>#REF!</v>
      </c>
    </row>
    <row r="1428" spans="1:7" ht="33" hidden="1" customHeight="1">
      <c r="A1428" s="66" t="s">
        <v>940</v>
      </c>
      <c r="B1428" s="1835" t="e">
        <f>+#REF!</f>
        <v>#REF!</v>
      </c>
      <c r="C1428" s="1621"/>
      <c r="D1428" s="1621"/>
      <c r="E1428" s="1621"/>
      <c r="F1428" s="1621"/>
      <c r="G1428" s="1622"/>
    </row>
    <row r="1429" spans="1:7" ht="14.25" hidden="1" customHeight="1">
      <c r="A1429" s="1836" t="s">
        <v>220</v>
      </c>
      <c r="B1429" s="1830"/>
      <c r="C1429" s="1830"/>
      <c r="D1429" s="1830"/>
      <c r="E1429" s="1830"/>
      <c r="F1429" s="1830"/>
      <c r="G1429" s="1828"/>
    </row>
    <row r="1430" spans="1:7" ht="14.25" hidden="1" customHeight="1">
      <c r="A1430" s="1829" t="s">
        <v>221</v>
      </c>
      <c r="B1430" s="1828"/>
      <c r="C1430" s="63" t="s">
        <v>222</v>
      </c>
      <c r="D1430" s="63" t="s">
        <v>252</v>
      </c>
      <c r="E1430" s="63" t="s">
        <v>224</v>
      </c>
      <c r="F1430" s="63" t="s">
        <v>225</v>
      </c>
      <c r="G1430" s="63" t="s">
        <v>226</v>
      </c>
    </row>
    <row r="1431" spans="1:7" ht="14.25" hidden="1" customHeight="1">
      <c r="A1431" s="1827" t="s">
        <v>938</v>
      </c>
      <c r="B1431" s="1828"/>
      <c r="C1431" s="64"/>
      <c r="D1431" s="64"/>
      <c r="E1431" s="64"/>
      <c r="F1431" s="64">
        <v>2</v>
      </c>
      <c r="G1431" s="64">
        <f>+C1431+F1431</f>
        <v>2</v>
      </c>
    </row>
    <row r="1432" spans="1:7" ht="14.25" hidden="1" customHeight="1">
      <c r="A1432" s="1827"/>
      <c r="B1432" s="1828"/>
      <c r="C1432" s="64"/>
      <c r="D1432" s="64"/>
      <c r="E1432" s="64"/>
      <c r="F1432" s="64"/>
      <c r="G1432" s="64">
        <f>+F1432</f>
        <v>0</v>
      </c>
    </row>
    <row r="1433" spans="1:7" ht="14.25" hidden="1" customHeight="1">
      <c r="A1433" s="1829" t="s">
        <v>227</v>
      </c>
      <c r="B1433" s="1830"/>
      <c r="C1433" s="1830"/>
      <c r="D1433" s="1830"/>
      <c r="E1433" s="1830"/>
      <c r="F1433" s="1828"/>
      <c r="G1433" s="65">
        <f>SUM(G1431:G1432)</f>
        <v>2</v>
      </c>
    </row>
    <row r="1434" spans="1:7" ht="14.25" hidden="1" customHeight="1">
      <c r="A1434" s="1831"/>
      <c r="B1434" s="1830"/>
      <c r="C1434" s="1830"/>
      <c r="D1434" s="1830"/>
      <c r="E1434" s="1830"/>
      <c r="F1434" s="1830"/>
      <c r="G1434" s="1828"/>
    </row>
    <row r="1435" spans="1:7" ht="14.25" hidden="1" customHeight="1">
      <c r="A1435" s="66" t="s">
        <v>918</v>
      </c>
      <c r="B1435" s="1832" t="e">
        <f>+B1427</f>
        <v>#REF!</v>
      </c>
      <c r="C1435" s="1830"/>
      <c r="D1435" s="1828"/>
      <c r="E1435" s="1833" t="s">
        <v>218</v>
      </c>
      <c r="F1435" s="1834"/>
      <c r="G1435" s="70" t="e">
        <f>+#REF!</f>
        <v>#REF!</v>
      </c>
    </row>
    <row r="1436" spans="1:7" ht="33" hidden="1" customHeight="1">
      <c r="A1436" s="66" t="s">
        <v>941</v>
      </c>
      <c r="B1436" s="1835" t="e">
        <f>+#REF!</f>
        <v>#REF!</v>
      </c>
      <c r="C1436" s="1621"/>
      <c r="D1436" s="1621"/>
      <c r="E1436" s="1621"/>
      <c r="F1436" s="1621"/>
      <c r="G1436" s="1622"/>
    </row>
    <row r="1437" spans="1:7" ht="14.25" hidden="1" customHeight="1">
      <c r="A1437" s="1836" t="s">
        <v>220</v>
      </c>
      <c r="B1437" s="1830"/>
      <c r="C1437" s="1830"/>
      <c r="D1437" s="1830"/>
      <c r="E1437" s="1830"/>
      <c r="F1437" s="1830"/>
      <c r="G1437" s="1828"/>
    </row>
    <row r="1438" spans="1:7" ht="14.25" hidden="1" customHeight="1">
      <c r="A1438" s="1829" t="s">
        <v>221</v>
      </c>
      <c r="B1438" s="1828"/>
      <c r="C1438" s="63" t="s">
        <v>222</v>
      </c>
      <c r="D1438" s="63" t="s">
        <v>252</v>
      </c>
      <c r="E1438" s="63" t="s">
        <v>224</v>
      </c>
      <c r="F1438" s="63" t="s">
        <v>225</v>
      </c>
      <c r="G1438" s="63" t="s">
        <v>226</v>
      </c>
    </row>
    <row r="1439" spans="1:7" ht="14.25" hidden="1" customHeight="1">
      <c r="A1439" s="1827" t="s">
        <v>938</v>
      </c>
      <c r="B1439" s="1828"/>
      <c r="C1439" s="64"/>
      <c r="D1439" s="64"/>
      <c r="E1439" s="64"/>
      <c r="F1439" s="64">
        <v>2</v>
      </c>
      <c r="G1439" s="64">
        <f>+C1439+F1439</f>
        <v>2</v>
      </c>
    </row>
    <row r="1440" spans="1:7" ht="14.25" hidden="1" customHeight="1">
      <c r="A1440" s="1827"/>
      <c r="B1440" s="1828"/>
      <c r="C1440" s="64"/>
      <c r="D1440" s="64"/>
      <c r="E1440" s="64"/>
      <c r="F1440" s="64"/>
      <c r="G1440" s="64">
        <f>+F1440</f>
        <v>0</v>
      </c>
    </row>
    <row r="1441" spans="1:10" ht="14.25" hidden="1" customHeight="1">
      <c r="A1441" s="1829" t="s">
        <v>227</v>
      </c>
      <c r="B1441" s="1830"/>
      <c r="C1441" s="1830"/>
      <c r="D1441" s="1830"/>
      <c r="E1441" s="1830"/>
      <c r="F1441" s="1828"/>
      <c r="G1441" s="65">
        <f>SUM(G1439:G1440)</f>
        <v>2</v>
      </c>
      <c r="H1441" s="59"/>
      <c r="I1441" s="60"/>
      <c r="J1441" s="60"/>
    </row>
    <row r="1442" spans="1:10" ht="14.25" customHeight="1">
      <c r="A1442" s="59"/>
      <c r="B1442" s="59"/>
      <c r="C1442" s="59"/>
      <c r="D1442" s="59"/>
      <c r="E1442" s="59"/>
      <c r="F1442" s="59"/>
      <c r="G1442" s="59"/>
      <c r="H1442" s="59"/>
      <c r="I1442" s="60"/>
      <c r="J1442" s="60"/>
    </row>
    <row r="1443" spans="1:10" ht="14.25" customHeight="1">
      <c r="A1443" s="59"/>
      <c r="B1443" s="59"/>
      <c r="C1443" s="59"/>
      <c r="D1443" s="59"/>
      <c r="E1443" s="59"/>
      <c r="F1443" s="59"/>
      <c r="G1443" s="59"/>
      <c r="H1443" s="59"/>
      <c r="I1443" s="60"/>
      <c r="J1443" s="60"/>
    </row>
    <row r="1444" spans="1:10" ht="14.25" customHeight="1">
      <c r="A1444" s="59"/>
      <c r="B1444" s="59"/>
      <c r="C1444" s="59"/>
      <c r="D1444" s="59"/>
      <c r="E1444" s="59"/>
      <c r="F1444" s="59"/>
      <c r="G1444" s="59"/>
      <c r="H1444" s="59"/>
      <c r="I1444" s="60"/>
      <c r="J1444" s="60" t="s">
        <v>368</v>
      </c>
    </row>
    <row r="1445" spans="1:10" ht="14.25" customHeight="1">
      <c r="A1445" s="59"/>
      <c r="B1445" s="59"/>
      <c r="C1445" s="59"/>
      <c r="D1445" s="59"/>
      <c r="E1445" s="59"/>
      <c r="F1445" s="59"/>
      <c r="G1445" s="59"/>
      <c r="H1445" s="59"/>
      <c r="I1445" s="60"/>
      <c r="J1445" s="60"/>
    </row>
    <row r="1446" spans="1:10" ht="14.25" customHeight="1">
      <c r="A1446" s="168" t="s">
        <v>558</v>
      </c>
      <c r="B1446" s="59"/>
      <c r="C1446" s="59"/>
      <c r="D1446" s="59"/>
      <c r="E1446" s="59"/>
      <c r="F1446" s="59"/>
      <c r="G1446" s="59"/>
      <c r="H1446" s="59"/>
      <c r="I1446" s="60"/>
      <c r="J1446" s="60"/>
    </row>
    <row r="1447" spans="1:10" ht="14.25" customHeight="1">
      <c r="A1447" s="76" t="s">
        <v>559</v>
      </c>
      <c r="B1447" s="59"/>
      <c r="C1447" s="59"/>
      <c r="D1447" s="59"/>
      <c r="E1447" s="59"/>
      <c r="F1447" s="59"/>
      <c r="G1447" s="59"/>
      <c r="H1447" s="59"/>
      <c r="I1447" s="60"/>
      <c r="J1447" s="60"/>
    </row>
    <row r="1448" spans="1:10" ht="14.25" customHeight="1">
      <c r="A1448" s="76" t="s">
        <v>560</v>
      </c>
      <c r="B1448" s="59"/>
      <c r="C1448" s="59"/>
      <c r="D1448" s="59"/>
      <c r="E1448" s="59"/>
      <c r="F1448" s="59"/>
      <c r="G1448" s="59"/>
      <c r="H1448" s="59"/>
      <c r="I1448" s="60"/>
      <c r="J1448" s="60"/>
    </row>
  </sheetData>
  <mergeCells count="1529">
    <mergeCell ref="A2:A5"/>
    <mergeCell ref="B2:D2"/>
    <mergeCell ref="E2:G3"/>
    <mergeCell ref="B3:D4"/>
    <mergeCell ref="E4:G4"/>
    <mergeCell ref="E5:G5"/>
    <mergeCell ref="A6:G6"/>
    <mergeCell ref="B5:D5"/>
    <mergeCell ref="B7:D7"/>
    <mergeCell ref="E7:F7"/>
    <mergeCell ref="B8:G8"/>
    <mergeCell ref="A9:G9"/>
    <mergeCell ref="A10:B10"/>
    <mergeCell ref="A11:B11"/>
    <mergeCell ref="A12:B12"/>
    <mergeCell ref="A13:F13"/>
    <mergeCell ref="A14:G14"/>
    <mergeCell ref="A15:G15"/>
    <mergeCell ref="B16:D16"/>
    <mergeCell ref="E16:F16"/>
    <mergeCell ref="B17:G17"/>
    <mergeCell ref="A18:G18"/>
    <mergeCell ref="A19:B19"/>
    <mergeCell ref="A20:B20"/>
    <mergeCell ref="A21:B21"/>
    <mergeCell ref="A22:B22"/>
    <mergeCell ref="A23:B23"/>
    <mergeCell ref="A24:B24"/>
    <mergeCell ref="A25:B25"/>
    <mergeCell ref="A26:B26"/>
    <mergeCell ref="A27:B27"/>
    <mergeCell ref="A28:B28"/>
    <mergeCell ref="A29:B29"/>
    <mergeCell ref="A30:B30"/>
    <mergeCell ref="A47:B47"/>
    <mergeCell ref="A48:B48"/>
    <mergeCell ref="A49:F49"/>
    <mergeCell ref="A50:G50"/>
    <mergeCell ref="E51:F51"/>
    <mergeCell ref="B51:D51"/>
    <mergeCell ref="B52:G52"/>
    <mergeCell ref="A53:G53"/>
    <mergeCell ref="A54:B54"/>
    <mergeCell ref="A55:B55"/>
    <mergeCell ref="A56:B56"/>
    <mergeCell ref="A57:B57"/>
    <mergeCell ref="A64:G64"/>
    <mergeCell ref="B65:D65"/>
    <mergeCell ref="E65:F65"/>
    <mergeCell ref="B66:G66"/>
    <mergeCell ref="A67:G67"/>
    <mergeCell ref="A58:B58"/>
    <mergeCell ref="A59:B59"/>
    <mergeCell ref="A60:B60"/>
    <mergeCell ref="A31:B31"/>
    <mergeCell ref="A32:B32"/>
    <mergeCell ref="A33:B33"/>
    <mergeCell ref="A34:B34"/>
    <mergeCell ref="A35:F35"/>
    <mergeCell ref="A36:G36"/>
    <mergeCell ref="B37:D37"/>
    <mergeCell ref="E37:F37"/>
    <mergeCell ref="B38:G38"/>
    <mergeCell ref="A39:G39"/>
    <mergeCell ref="A40:B40"/>
    <mergeCell ref="A41:B41"/>
    <mergeCell ref="A42:B42"/>
    <mergeCell ref="A43:B43"/>
    <mergeCell ref="A44:B44"/>
    <mergeCell ref="A45:B45"/>
    <mergeCell ref="A46:B46"/>
    <mergeCell ref="A78:G78"/>
    <mergeCell ref="B79:D79"/>
    <mergeCell ref="E79:F79"/>
    <mergeCell ref="B80:G80"/>
    <mergeCell ref="A81:G81"/>
    <mergeCell ref="A82:B82"/>
    <mergeCell ref="A83:B83"/>
    <mergeCell ref="A97:B97"/>
    <mergeCell ref="A98:F98"/>
    <mergeCell ref="A99:G99"/>
    <mergeCell ref="B100:D100"/>
    <mergeCell ref="E100:F100"/>
    <mergeCell ref="B101:G101"/>
    <mergeCell ref="A102:G102"/>
    <mergeCell ref="A61:B61"/>
    <mergeCell ref="A62:B62"/>
    <mergeCell ref="A63:F63"/>
    <mergeCell ref="A68:B68"/>
    <mergeCell ref="A69:B69"/>
    <mergeCell ref="A70:B70"/>
    <mergeCell ref="A71:B71"/>
    <mergeCell ref="A72:B72"/>
    <mergeCell ref="A73:B73"/>
    <mergeCell ref="A74:B74"/>
    <mergeCell ref="A75:B75"/>
    <mergeCell ref="A76:B76"/>
    <mergeCell ref="A77:F77"/>
    <mergeCell ref="A103:B103"/>
    <mergeCell ref="A104:B104"/>
    <mergeCell ref="A105:B105"/>
    <mergeCell ref="A86:B86"/>
    <mergeCell ref="A87:B87"/>
    <mergeCell ref="A88:B88"/>
    <mergeCell ref="A89:F89"/>
    <mergeCell ref="A90:G90"/>
    <mergeCell ref="B91:D91"/>
    <mergeCell ref="E91:F91"/>
    <mergeCell ref="B92:G92"/>
    <mergeCell ref="A93:G93"/>
    <mergeCell ref="A94:B94"/>
    <mergeCell ref="A95:B95"/>
    <mergeCell ref="A96:B96"/>
    <mergeCell ref="A84:B84"/>
    <mergeCell ref="A85:B8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 ref="A121:B121"/>
    <mergeCell ref="A122:B122"/>
    <mergeCell ref="A123:B123"/>
    <mergeCell ref="A124:F124"/>
    <mergeCell ref="A125:G125"/>
    <mergeCell ref="B126:D126"/>
    <mergeCell ref="E126:F126"/>
    <mergeCell ref="B127:G127"/>
    <mergeCell ref="A128:G128"/>
    <mergeCell ref="A129:B129"/>
    <mergeCell ref="A130:B130"/>
    <mergeCell ref="A131:B131"/>
    <mergeCell ref="A132:B132"/>
    <mergeCell ref="A133:B133"/>
    <mergeCell ref="A134:B134"/>
    <mergeCell ref="A135:F135"/>
    <mergeCell ref="A136:G136"/>
    <mergeCell ref="B137:D137"/>
    <mergeCell ref="E137:F137"/>
    <mergeCell ref="B138:G138"/>
    <mergeCell ref="A139:G139"/>
    <mergeCell ref="A140:B140"/>
    <mergeCell ref="A141:B141"/>
    <mergeCell ref="A142:B142"/>
    <mergeCell ref="A143:B143"/>
    <mergeCell ref="A144:B144"/>
    <mergeCell ref="A145:B145"/>
    <mergeCell ref="A146:B146"/>
    <mergeCell ref="A147:B147"/>
    <mergeCell ref="A148:B148"/>
    <mergeCell ref="A149:B149"/>
    <mergeCell ref="A190:G190"/>
    <mergeCell ref="A191:B191"/>
    <mergeCell ref="A192:B192"/>
    <mergeCell ref="A193:B193"/>
    <mergeCell ref="A194:B194"/>
    <mergeCell ref="A173:B173"/>
    <mergeCell ref="A174:B174"/>
    <mergeCell ref="A175:B175"/>
    <mergeCell ref="A176:B176"/>
    <mergeCell ref="A177:B177"/>
    <mergeCell ref="A178:B178"/>
    <mergeCell ref="A179:B179"/>
    <mergeCell ref="A180:B180"/>
    <mergeCell ref="A181:B181"/>
    <mergeCell ref="A182:B182"/>
    <mergeCell ref="A183:B183"/>
    <mergeCell ref="A184:B184"/>
    <mergeCell ref="A185:B185"/>
    <mergeCell ref="A186:F186"/>
    <mergeCell ref="A187:G187"/>
    <mergeCell ref="A195:B195"/>
    <mergeCell ref="A196:F196"/>
    <mergeCell ref="A197:G197"/>
    <mergeCell ref="B198:D198"/>
    <mergeCell ref="E198:F198"/>
    <mergeCell ref="B199:G199"/>
    <mergeCell ref="A200:G200"/>
    <mergeCell ref="A201:B201"/>
    <mergeCell ref="A202:B202"/>
    <mergeCell ref="A203:B203"/>
    <mergeCell ref="A204:B204"/>
    <mergeCell ref="A205:B205"/>
    <mergeCell ref="A206:B206"/>
    <mergeCell ref="A207:F207"/>
    <mergeCell ref="A208:G208"/>
    <mergeCell ref="E209:F209"/>
    <mergeCell ref="B209:D209"/>
    <mergeCell ref="B210:G210"/>
    <mergeCell ref="A211:G211"/>
    <mergeCell ref="A212:B212"/>
    <mergeCell ref="A213:B213"/>
    <mergeCell ref="A214:B214"/>
    <mergeCell ref="A215:B215"/>
    <mergeCell ref="A216:B216"/>
    <mergeCell ref="A217:B217"/>
    <mergeCell ref="A218:B218"/>
    <mergeCell ref="A219:B219"/>
    <mergeCell ref="A220:B220"/>
    <mergeCell ref="A221:F221"/>
    <mergeCell ref="A222:G222"/>
    <mergeCell ref="B223:D223"/>
    <mergeCell ref="E223:F223"/>
    <mergeCell ref="B224:G224"/>
    <mergeCell ref="A225:G225"/>
    <mergeCell ref="A256:B256"/>
    <mergeCell ref="A257:B257"/>
    <mergeCell ref="A226:B226"/>
    <mergeCell ref="A227:B227"/>
    <mergeCell ref="A228:B228"/>
    <mergeCell ref="A229:B229"/>
    <mergeCell ref="A230:B230"/>
    <mergeCell ref="A231:B231"/>
    <mergeCell ref="A232:B232"/>
    <mergeCell ref="A233:F233"/>
    <mergeCell ref="A234:G234"/>
    <mergeCell ref="E235:F235"/>
    <mergeCell ref="B235:D235"/>
    <mergeCell ref="B236:G236"/>
    <mergeCell ref="A237:G237"/>
    <mergeCell ref="A238:B238"/>
    <mergeCell ref="A239:B239"/>
    <mergeCell ref="A240:B240"/>
    <mergeCell ref="A241:B241"/>
    <mergeCell ref="B166:G166"/>
    <mergeCell ref="A167:G167"/>
    <mergeCell ref="A168:B168"/>
    <mergeCell ref="A169:B169"/>
    <mergeCell ref="A170:B170"/>
    <mergeCell ref="A171:B171"/>
    <mergeCell ref="A172:B172"/>
    <mergeCell ref="A258:B258"/>
    <mergeCell ref="A259:B259"/>
    <mergeCell ref="A260:B260"/>
    <mergeCell ref="A261:F261"/>
    <mergeCell ref="A262:G262"/>
    <mergeCell ref="B263:D263"/>
    <mergeCell ref="E263:F263"/>
    <mergeCell ref="B264:G264"/>
    <mergeCell ref="A265:G265"/>
    <mergeCell ref="A266:B266"/>
    <mergeCell ref="A242:B242"/>
    <mergeCell ref="A243:B243"/>
    <mergeCell ref="A244:B244"/>
    <mergeCell ref="A245:F245"/>
    <mergeCell ref="A246:G246"/>
    <mergeCell ref="B247:D247"/>
    <mergeCell ref="E247:F247"/>
    <mergeCell ref="B248:G248"/>
    <mergeCell ref="A249:G249"/>
    <mergeCell ref="A250:B250"/>
    <mergeCell ref="A251:B251"/>
    <mergeCell ref="A252:B252"/>
    <mergeCell ref="A253:B253"/>
    <mergeCell ref="A254:B254"/>
    <mergeCell ref="A255:B255"/>
    <mergeCell ref="A150:B150"/>
    <mergeCell ref="A151:B151"/>
    <mergeCell ref="A152:B152"/>
    <mergeCell ref="A153:B153"/>
    <mergeCell ref="A154:F154"/>
    <mergeCell ref="A155:G155"/>
    <mergeCell ref="E156:F156"/>
    <mergeCell ref="B156:D156"/>
    <mergeCell ref="B157:G157"/>
    <mergeCell ref="A158:G158"/>
    <mergeCell ref="A159:B159"/>
    <mergeCell ref="A160:B160"/>
    <mergeCell ref="A161:B161"/>
    <mergeCell ref="A163:F163"/>
    <mergeCell ref="A164:G164"/>
    <mergeCell ref="B165:D165"/>
    <mergeCell ref="E165:F165"/>
    <mergeCell ref="B188:D188"/>
    <mergeCell ref="E188:F188"/>
    <mergeCell ref="B189:G189"/>
    <mergeCell ref="A281:B281"/>
    <mergeCell ref="A282:B282"/>
    <mergeCell ref="A283:B283"/>
    <mergeCell ref="A284:F284"/>
    <mergeCell ref="A285:G285"/>
    <mergeCell ref="B286:D286"/>
    <mergeCell ref="E286:F286"/>
    <mergeCell ref="B287:G287"/>
    <mergeCell ref="A288:G288"/>
    <mergeCell ref="B289:D289"/>
    <mergeCell ref="A294:F294"/>
    <mergeCell ref="A295:G295"/>
    <mergeCell ref="B296:D296"/>
    <mergeCell ref="E296:F296"/>
    <mergeCell ref="A274:G274"/>
    <mergeCell ref="B275:D275"/>
    <mergeCell ref="E275:F275"/>
    <mergeCell ref="B276:G276"/>
    <mergeCell ref="A277:G277"/>
    <mergeCell ref="A278:B278"/>
    <mergeCell ref="A279:B279"/>
    <mergeCell ref="A280:B280"/>
    <mergeCell ref="A267:B267"/>
    <mergeCell ref="A268:B268"/>
    <mergeCell ref="A269:B269"/>
    <mergeCell ref="A270:B270"/>
    <mergeCell ref="A271:B271"/>
    <mergeCell ref="A272:F272"/>
    <mergeCell ref="A273:G273"/>
    <mergeCell ref="B297:G297"/>
    <mergeCell ref="A298:G298"/>
    <mergeCell ref="B299:D299"/>
    <mergeCell ref="A305:F305"/>
    <mergeCell ref="A306:G306"/>
    <mergeCell ref="B307:D307"/>
    <mergeCell ref="E307:F307"/>
    <mergeCell ref="B308:G308"/>
    <mergeCell ref="A309:G309"/>
    <mergeCell ref="B310:D310"/>
    <mergeCell ref="A316:F316"/>
    <mergeCell ref="A317:G317"/>
    <mergeCell ref="B318:D318"/>
    <mergeCell ref="E318:F318"/>
    <mergeCell ref="B319:G319"/>
    <mergeCell ref="A320:G320"/>
    <mergeCell ref="B321:D321"/>
    <mergeCell ref="A327:F327"/>
    <mergeCell ref="A328:G328"/>
    <mergeCell ref="B329:D329"/>
    <mergeCell ref="E329:F329"/>
    <mergeCell ref="B330:G330"/>
    <mergeCell ref="A331:G331"/>
    <mergeCell ref="B332:D332"/>
    <mergeCell ref="A338:F338"/>
    <mergeCell ref="A339:G339"/>
    <mergeCell ref="B340:D340"/>
    <mergeCell ref="E340:F340"/>
    <mergeCell ref="B341:G341"/>
    <mergeCell ref="A342:G342"/>
    <mergeCell ref="A343:B343"/>
    <mergeCell ref="A344:B344"/>
    <mergeCell ref="A345:B345"/>
    <mergeCell ref="A346:B346"/>
    <mergeCell ref="A347:B347"/>
    <mergeCell ref="A348:F348"/>
    <mergeCell ref="A349:G349"/>
    <mergeCell ref="B350:D350"/>
    <mergeCell ref="E350:F350"/>
    <mergeCell ref="B351:G351"/>
    <mergeCell ref="A352:G352"/>
    <mergeCell ref="A353:B353"/>
    <mergeCell ref="A354:B354"/>
    <mergeCell ref="A355:B355"/>
    <mergeCell ref="A356:B356"/>
    <mergeCell ref="A357:B357"/>
    <mergeCell ref="A358:F358"/>
    <mergeCell ref="A359:G359"/>
    <mergeCell ref="E360:F360"/>
    <mergeCell ref="B360:D360"/>
    <mergeCell ref="B361:G361"/>
    <mergeCell ref="A362:G362"/>
    <mergeCell ref="A363:B363"/>
    <mergeCell ref="A364:B364"/>
    <mergeCell ref="A365:B365"/>
    <mergeCell ref="A366:B366"/>
    <mergeCell ref="A367:B367"/>
    <mergeCell ref="A368:B368"/>
    <mergeCell ref="A369:B369"/>
    <mergeCell ref="A370:B370"/>
    <mergeCell ref="A371:B371"/>
    <mergeCell ref="A372:B372"/>
    <mergeCell ref="A373:B373"/>
    <mergeCell ref="A374:B374"/>
    <mergeCell ref="A375:B375"/>
    <mergeCell ref="A376:B376"/>
    <mergeCell ref="A377:B377"/>
    <mergeCell ref="A378:B378"/>
    <mergeCell ref="A379:B379"/>
    <mergeCell ref="A380:B380"/>
    <mergeCell ref="A381:B381"/>
    <mergeCell ref="A382:B382"/>
    <mergeCell ref="A383:B383"/>
    <mergeCell ref="A384:B384"/>
    <mergeCell ref="A385:B385"/>
    <mergeCell ref="A386:B386"/>
    <mergeCell ref="A387:B387"/>
    <mergeCell ref="A388:B388"/>
    <mergeCell ref="A389:B389"/>
    <mergeCell ref="A390:B390"/>
    <mergeCell ref="A391:B391"/>
    <mergeCell ref="A392:B392"/>
    <mergeCell ref="A393:B393"/>
    <mergeCell ref="A394:B394"/>
    <mergeCell ref="A395:F395"/>
    <mergeCell ref="A396:G396"/>
    <mergeCell ref="B397:D397"/>
    <mergeCell ref="E397:F397"/>
    <mergeCell ref="B398:G398"/>
    <mergeCell ref="A399:G399"/>
    <mergeCell ref="A400:B400"/>
    <mergeCell ref="A581:G581"/>
    <mergeCell ref="B582:D582"/>
    <mergeCell ref="E582:F582"/>
    <mergeCell ref="B583:G583"/>
    <mergeCell ref="A584:G584"/>
    <mergeCell ref="A585:B585"/>
    <mergeCell ref="A586:B586"/>
    <mergeCell ref="A587:B587"/>
    <mergeCell ref="A588:B588"/>
    <mergeCell ref="A589:B589"/>
    <mergeCell ref="A590:B590"/>
    <mergeCell ref="A569:B569"/>
    <mergeCell ref="A570:B570"/>
    <mergeCell ref="A571:B571"/>
    <mergeCell ref="A572:F572"/>
    <mergeCell ref="A573:G573"/>
    <mergeCell ref="E574:F574"/>
    <mergeCell ref="B574:D574"/>
    <mergeCell ref="B575:G575"/>
    <mergeCell ref="A576:G576"/>
    <mergeCell ref="A577:B577"/>
    <mergeCell ref="A578:B578"/>
    <mergeCell ref="A579:B579"/>
    <mergeCell ref="A580:F580"/>
    <mergeCell ref="A461:B461"/>
    <mergeCell ref="A462:F462"/>
    <mergeCell ref="A591:B591"/>
    <mergeCell ref="A592:F592"/>
    <mergeCell ref="A593:G593"/>
    <mergeCell ref="A542:B542"/>
    <mergeCell ref="A543:B543"/>
    <mergeCell ref="A544:B544"/>
    <mergeCell ref="A545:B545"/>
    <mergeCell ref="A546:B546"/>
    <mergeCell ref="A547:B547"/>
    <mergeCell ref="A548:B548"/>
    <mergeCell ref="A549:B549"/>
    <mergeCell ref="A550:B550"/>
    <mergeCell ref="A551:B551"/>
    <mergeCell ref="A552:B552"/>
    <mergeCell ref="A553:B553"/>
    <mergeCell ref="A554:F554"/>
    <mergeCell ref="A555:G555"/>
    <mergeCell ref="B556:D556"/>
    <mergeCell ref="E556:F556"/>
    <mergeCell ref="B557:G557"/>
    <mergeCell ref="A558:G558"/>
    <mergeCell ref="A559:B559"/>
    <mergeCell ref="A560:B560"/>
    <mergeCell ref="A561:B561"/>
    <mergeCell ref="A562:B562"/>
    <mergeCell ref="A563:F563"/>
    <mergeCell ref="A564:G564"/>
    <mergeCell ref="B565:D565"/>
    <mergeCell ref="E565:F565"/>
    <mergeCell ref="B566:G566"/>
    <mergeCell ref="A567:G567"/>
    <mergeCell ref="A568:B568"/>
    <mergeCell ref="B594:D594"/>
    <mergeCell ref="E594:F594"/>
    <mergeCell ref="B595:G595"/>
    <mergeCell ref="A596:G596"/>
    <mergeCell ref="A597:B597"/>
    <mergeCell ref="A598:B598"/>
    <mergeCell ref="A599:B599"/>
    <mergeCell ref="A638:B638"/>
    <mergeCell ref="A639:B639"/>
    <mergeCell ref="A640:B640"/>
    <mergeCell ref="A641:B641"/>
    <mergeCell ref="A642:F642"/>
    <mergeCell ref="A644:G644"/>
    <mergeCell ref="E645:F645"/>
    <mergeCell ref="B645:D645"/>
    <mergeCell ref="B646:G646"/>
    <mergeCell ref="A647:G647"/>
    <mergeCell ref="B625:G625"/>
    <mergeCell ref="A626:G626"/>
    <mergeCell ref="A627:B627"/>
    <mergeCell ref="A628:B628"/>
    <mergeCell ref="A629:B629"/>
    <mergeCell ref="A630:F630"/>
    <mergeCell ref="A631:G631"/>
    <mergeCell ref="B632:D632"/>
    <mergeCell ref="E632:F632"/>
    <mergeCell ref="B633:G633"/>
    <mergeCell ref="A634:G634"/>
    <mergeCell ref="A635:B635"/>
    <mergeCell ref="A636:B636"/>
    <mergeCell ref="A637:B637"/>
    <mergeCell ref="A649:B649"/>
    <mergeCell ref="A650:B650"/>
    <mergeCell ref="A651:B651"/>
    <mergeCell ref="A600:B600"/>
    <mergeCell ref="A601:B601"/>
    <mergeCell ref="A602:F602"/>
    <mergeCell ref="A603:G603"/>
    <mergeCell ref="B604:D604"/>
    <mergeCell ref="E604:F604"/>
    <mergeCell ref="B605:G605"/>
    <mergeCell ref="A606:G606"/>
    <mergeCell ref="A607:B607"/>
    <mergeCell ref="A608:B608"/>
    <mergeCell ref="A609:B609"/>
    <mergeCell ref="A610:B610"/>
    <mergeCell ref="A611:F611"/>
    <mergeCell ref="A612:G612"/>
    <mergeCell ref="B613:D613"/>
    <mergeCell ref="E613:F613"/>
    <mergeCell ref="B614:G614"/>
    <mergeCell ref="A615:G615"/>
    <mergeCell ref="A616:B616"/>
    <mergeCell ref="A617:B617"/>
    <mergeCell ref="A618:B618"/>
    <mergeCell ref="A619:B619"/>
    <mergeCell ref="A620:B620"/>
    <mergeCell ref="A621:B621"/>
    <mergeCell ref="A622:F622"/>
    <mergeCell ref="A623:G623"/>
    <mergeCell ref="B624:D624"/>
    <mergeCell ref="E624:F624"/>
    <mergeCell ref="A653:B653"/>
    <mergeCell ref="A654:B654"/>
    <mergeCell ref="A655:B655"/>
    <mergeCell ref="A656:B656"/>
    <mergeCell ref="A657:B657"/>
    <mergeCell ref="A658:B658"/>
    <mergeCell ref="A439:G439"/>
    <mergeCell ref="B440:D440"/>
    <mergeCell ref="E440:F440"/>
    <mergeCell ref="B441:G441"/>
    <mergeCell ref="A442:G442"/>
    <mergeCell ref="A443:B443"/>
    <mergeCell ref="A444:B444"/>
    <mergeCell ref="A445:B445"/>
    <mergeCell ref="A446:F446"/>
    <mergeCell ref="A447:G447"/>
    <mergeCell ref="B448:D448"/>
    <mergeCell ref="E448:F448"/>
    <mergeCell ref="B449:G449"/>
    <mergeCell ref="A450:G450"/>
    <mergeCell ref="A451:B451"/>
    <mergeCell ref="A452:B452"/>
    <mergeCell ref="A453:B453"/>
    <mergeCell ref="A454:F454"/>
    <mergeCell ref="A455:G455"/>
    <mergeCell ref="B456:D456"/>
    <mergeCell ref="E456:F456"/>
    <mergeCell ref="B457:G457"/>
    <mergeCell ref="A458:G458"/>
    <mergeCell ref="A459:B459"/>
    <mergeCell ref="A460:B460"/>
    <mergeCell ref="A648:B648"/>
    <mergeCell ref="B416:G416"/>
    <mergeCell ref="A417:G417"/>
    <mergeCell ref="A418:B418"/>
    <mergeCell ref="A463:G463"/>
    <mergeCell ref="B464:D464"/>
    <mergeCell ref="E464:F464"/>
    <mergeCell ref="B465:G465"/>
    <mergeCell ref="A466:G466"/>
    <mergeCell ref="A467:B467"/>
    <mergeCell ref="A468:B468"/>
    <mergeCell ref="A469:B469"/>
    <mergeCell ref="A470:B470"/>
    <mergeCell ref="A471:F471"/>
    <mergeCell ref="A472:G472"/>
    <mergeCell ref="B473:D473"/>
    <mergeCell ref="E473:F473"/>
    <mergeCell ref="B474:G474"/>
    <mergeCell ref="A419:B419"/>
    <mergeCell ref="A420:B420"/>
    <mergeCell ref="A421:B421"/>
    <mergeCell ref="A422:F422"/>
    <mergeCell ref="A423:G423"/>
    <mergeCell ref="B424:D424"/>
    <mergeCell ref="E424:F424"/>
    <mergeCell ref="B425:G425"/>
    <mergeCell ref="A426:G426"/>
    <mergeCell ref="A427:B427"/>
    <mergeCell ref="A428:B428"/>
    <mergeCell ref="A429:B429"/>
    <mergeCell ref="A430:F430"/>
    <mergeCell ref="A431:G431"/>
    <mergeCell ref="E432:F432"/>
    <mergeCell ref="A401:B401"/>
    <mergeCell ref="A402:B402"/>
    <mergeCell ref="A403:B403"/>
    <mergeCell ref="A404:B404"/>
    <mergeCell ref="A405:F405"/>
    <mergeCell ref="A406:G406"/>
    <mergeCell ref="E407:F407"/>
    <mergeCell ref="B407:D407"/>
    <mergeCell ref="B408:G408"/>
    <mergeCell ref="A409:G409"/>
    <mergeCell ref="A410:B410"/>
    <mergeCell ref="A411:B411"/>
    <mergeCell ref="A412:B412"/>
    <mergeCell ref="A413:F413"/>
    <mergeCell ref="A414:G414"/>
    <mergeCell ref="B415:D415"/>
    <mergeCell ref="E415:F415"/>
    <mergeCell ref="B432:D432"/>
    <mergeCell ref="B433:G433"/>
    <mergeCell ref="A434:G434"/>
    <mergeCell ref="A435:B435"/>
    <mergeCell ref="A436:B436"/>
    <mergeCell ref="A437:B437"/>
    <mergeCell ref="A438:F438"/>
    <mergeCell ref="B489:D489"/>
    <mergeCell ref="E489:F489"/>
    <mergeCell ref="B490:G490"/>
    <mergeCell ref="A491:G491"/>
    <mergeCell ref="A492:B492"/>
    <mergeCell ref="A493:B493"/>
    <mergeCell ref="A494:B494"/>
    <mergeCell ref="A495:B495"/>
    <mergeCell ref="A496:B496"/>
    <mergeCell ref="A497:B497"/>
    <mergeCell ref="A498:B498"/>
    <mergeCell ref="A499:B499"/>
    <mergeCell ref="A478:B478"/>
    <mergeCell ref="A479:F479"/>
    <mergeCell ref="A480:G480"/>
    <mergeCell ref="B481:D481"/>
    <mergeCell ref="E481:F481"/>
    <mergeCell ref="B482:G482"/>
    <mergeCell ref="A483:G483"/>
    <mergeCell ref="A484:B484"/>
    <mergeCell ref="A485:B485"/>
    <mergeCell ref="A486:B486"/>
    <mergeCell ref="A487:F487"/>
    <mergeCell ref="A488:G488"/>
    <mergeCell ref="A475:G475"/>
    <mergeCell ref="A476:B476"/>
    <mergeCell ref="A477:B477"/>
    <mergeCell ref="A500:B500"/>
    <mergeCell ref="A501:F501"/>
    <mergeCell ref="A502:G502"/>
    <mergeCell ref="B503:D503"/>
    <mergeCell ref="E503:F503"/>
    <mergeCell ref="B504:G504"/>
    <mergeCell ref="A505:G505"/>
    <mergeCell ref="A506:B506"/>
    <mergeCell ref="A507:B507"/>
    <mergeCell ref="A508:B508"/>
    <mergeCell ref="A509:B509"/>
    <mergeCell ref="A510:B510"/>
    <mergeCell ref="A511:B511"/>
    <mergeCell ref="A512:B512"/>
    <mergeCell ref="A513:B513"/>
    <mergeCell ref="A514:B514"/>
    <mergeCell ref="A515:F515"/>
    <mergeCell ref="A516:G516"/>
    <mergeCell ref="B517:D517"/>
    <mergeCell ref="E517:F517"/>
    <mergeCell ref="B518:G518"/>
    <mergeCell ref="A519:G519"/>
    <mergeCell ref="A520:B520"/>
    <mergeCell ref="A521:B521"/>
    <mergeCell ref="A522:B522"/>
    <mergeCell ref="A523:B523"/>
    <mergeCell ref="A524:B524"/>
    <mergeCell ref="A525:B525"/>
    <mergeCell ref="A526:B526"/>
    <mergeCell ref="A527:B527"/>
    <mergeCell ref="A528:B528"/>
    <mergeCell ref="A529:B529"/>
    <mergeCell ref="A530:B530"/>
    <mergeCell ref="A531:B531"/>
    <mergeCell ref="A532:B532"/>
    <mergeCell ref="A533:B533"/>
    <mergeCell ref="A534:B534"/>
    <mergeCell ref="A535:B535"/>
    <mergeCell ref="A536:B536"/>
    <mergeCell ref="A537:B537"/>
    <mergeCell ref="A538:B538"/>
    <mergeCell ref="A539:B539"/>
    <mergeCell ref="A540:B540"/>
    <mergeCell ref="A541:B541"/>
    <mergeCell ref="B700:D700"/>
    <mergeCell ref="B701:G701"/>
    <mergeCell ref="A702:G702"/>
    <mergeCell ref="A703:B703"/>
    <mergeCell ref="A704:B704"/>
    <mergeCell ref="A705:B705"/>
    <mergeCell ref="A706:B706"/>
    <mergeCell ref="A688:B688"/>
    <mergeCell ref="A689:F689"/>
    <mergeCell ref="A690:G690"/>
    <mergeCell ref="B691:D691"/>
    <mergeCell ref="E691:F691"/>
    <mergeCell ref="B692:G692"/>
    <mergeCell ref="A693:G693"/>
    <mergeCell ref="A694:B694"/>
    <mergeCell ref="A695:B695"/>
    <mergeCell ref="A696:B696"/>
    <mergeCell ref="A697:B697"/>
    <mergeCell ref="A698:F698"/>
    <mergeCell ref="A699:G699"/>
    <mergeCell ref="E700:F700"/>
    <mergeCell ref="A652:B652"/>
    <mergeCell ref="A707:F707"/>
    <mergeCell ref="A708:G708"/>
    <mergeCell ref="B709:D709"/>
    <mergeCell ref="E709:F709"/>
    <mergeCell ref="B710:G710"/>
    <mergeCell ref="A711:G711"/>
    <mergeCell ref="A712:B712"/>
    <mergeCell ref="A713:B713"/>
    <mergeCell ref="A714:B714"/>
    <mergeCell ref="A715:F715"/>
    <mergeCell ref="A716:G716"/>
    <mergeCell ref="B717:D717"/>
    <mergeCell ref="E717:F717"/>
    <mergeCell ref="B718:G718"/>
    <mergeCell ref="A719:G719"/>
    <mergeCell ref="A720:B720"/>
    <mergeCell ref="A721:B721"/>
    <mergeCell ref="A722:B727"/>
    <mergeCell ref="A728:B729"/>
    <mergeCell ref="A730:B731"/>
    <mergeCell ref="A732:B732"/>
    <mergeCell ref="A659:B659"/>
    <mergeCell ref="A660:B660"/>
    <mergeCell ref="A661:B661"/>
    <mergeCell ref="A662:B662"/>
    <mergeCell ref="A663:B663"/>
    <mergeCell ref="A664:B664"/>
    <mergeCell ref="A665:B665"/>
    <mergeCell ref="A666:B667"/>
    <mergeCell ref="A668:B668"/>
    <mergeCell ref="A669:B669"/>
    <mergeCell ref="A670:B671"/>
    <mergeCell ref="A672:B672"/>
    <mergeCell ref="A673:B673"/>
    <mergeCell ref="A674:B674"/>
    <mergeCell ref="A675:B675"/>
    <mergeCell ref="A676:B676"/>
    <mergeCell ref="A677:B677"/>
    <mergeCell ref="A678:F678"/>
    <mergeCell ref="A679:G679"/>
    <mergeCell ref="B680:D680"/>
    <mergeCell ref="E680:F680"/>
    <mergeCell ref="B681:G681"/>
    <mergeCell ref="A682:G682"/>
    <mergeCell ref="A683:B683"/>
    <mergeCell ref="A684:B684"/>
    <mergeCell ref="A685:B685"/>
    <mergeCell ref="A686:B686"/>
    <mergeCell ref="A687:B687"/>
    <mergeCell ref="A733:B738"/>
    <mergeCell ref="A739:B740"/>
    <mergeCell ref="A741:B741"/>
    <mergeCell ref="A742:B742"/>
    <mergeCell ref="A743:B743"/>
    <mergeCell ref="A744:B744"/>
    <mergeCell ref="A745:B745"/>
    <mergeCell ref="A746:B746"/>
    <mergeCell ref="A747:B749"/>
    <mergeCell ref="A750:B750"/>
    <mergeCell ref="A751:B751"/>
    <mergeCell ref="A752:B752"/>
    <mergeCell ref="A753:B753"/>
    <mergeCell ref="A754:B756"/>
    <mergeCell ref="A757:B757"/>
    <mergeCell ref="A758:B759"/>
    <mergeCell ref="A760:B761"/>
    <mergeCell ref="A762:B762"/>
    <mergeCell ref="A763:B766"/>
    <mergeCell ref="A767:B767"/>
    <mergeCell ref="A768:B768"/>
    <mergeCell ref="A769:B769"/>
    <mergeCell ref="A770:B773"/>
    <mergeCell ref="A774:F774"/>
    <mergeCell ref="A775:G775"/>
    <mergeCell ref="B776:D776"/>
    <mergeCell ref="E776:F776"/>
    <mergeCell ref="B777:G777"/>
    <mergeCell ref="A778:G778"/>
    <mergeCell ref="A779:B779"/>
    <mergeCell ref="A780:B780"/>
    <mergeCell ref="A781:B781"/>
    <mergeCell ref="A782:B782"/>
    <mergeCell ref="A783:B783"/>
    <mergeCell ref="A784:B784"/>
    <mergeCell ref="A785:B785"/>
    <mergeCell ref="A786:F786"/>
    <mergeCell ref="A787:G787"/>
    <mergeCell ref="B788:D788"/>
    <mergeCell ref="E788:F788"/>
    <mergeCell ref="B789:G789"/>
    <mergeCell ref="A790:G790"/>
    <mergeCell ref="A791:B791"/>
    <mergeCell ref="A792:B792"/>
    <mergeCell ref="A793:B793"/>
    <mergeCell ref="A794:F794"/>
    <mergeCell ref="A795:G795"/>
    <mergeCell ref="B796:D796"/>
    <mergeCell ref="E796:F796"/>
    <mergeCell ref="B797:G797"/>
    <mergeCell ref="A798:G798"/>
    <mergeCell ref="A799:B799"/>
    <mergeCell ref="A800:B800"/>
    <mergeCell ref="A801:B801"/>
    <mergeCell ref="A802:B802"/>
    <mergeCell ref="A803:B803"/>
    <mergeCell ref="A843:F843"/>
    <mergeCell ref="A844:G844"/>
    <mergeCell ref="B845:D845"/>
    <mergeCell ref="E845:F845"/>
    <mergeCell ref="B846:G846"/>
    <mergeCell ref="A847:G847"/>
    <mergeCell ref="A848:B848"/>
    <mergeCell ref="A849:B849"/>
    <mergeCell ref="A850:F850"/>
    <mergeCell ref="A851:G851"/>
    <mergeCell ref="B852:D852"/>
    <mergeCell ref="E852:F852"/>
    <mergeCell ref="A832:B832"/>
    <mergeCell ref="A833:B833"/>
    <mergeCell ref="A834:B834"/>
    <mergeCell ref="A835:F835"/>
    <mergeCell ref="A836:G836"/>
    <mergeCell ref="B837:D837"/>
    <mergeCell ref="E837:F837"/>
    <mergeCell ref="B838:G838"/>
    <mergeCell ref="A839:G839"/>
    <mergeCell ref="A840:B840"/>
    <mergeCell ref="A841:B841"/>
    <mergeCell ref="A842:B842"/>
    <mergeCell ref="B853:G853"/>
    <mergeCell ref="A854:G854"/>
    <mergeCell ref="A804:B804"/>
    <mergeCell ref="A805:B805"/>
    <mergeCell ref="A806:B806"/>
    <mergeCell ref="A807:B807"/>
    <mergeCell ref="A808:B808"/>
    <mergeCell ref="A809:B809"/>
    <mergeCell ref="A811:F811"/>
    <mergeCell ref="A812:G812"/>
    <mergeCell ref="B813:D813"/>
    <mergeCell ref="E813:F813"/>
    <mergeCell ref="B814:G814"/>
    <mergeCell ref="A815:G815"/>
    <mergeCell ref="A816:B816"/>
    <mergeCell ref="A817:B817"/>
    <mergeCell ref="A818:B818"/>
    <mergeCell ref="A819:B819"/>
    <mergeCell ref="A820:F820"/>
    <mergeCell ref="A821:G821"/>
    <mergeCell ref="B822:D822"/>
    <mergeCell ref="E822:F822"/>
    <mergeCell ref="B823:G823"/>
    <mergeCell ref="A824:G824"/>
    <mergeCell ref="A825:B825"/>
    <mergeCell ref="A826:B826"/>
    <mergeCell ref="A827:F827"/>
    <mergeCell ref="A828:G828"/>
    <mergeCell ref="B829:D829"/>
    <mergeCell ref="E829:F829"/>
    <mergeCell ref="B830:G830"/>
    <mergeCell ref="A831:G831"/>
    <mergeCell ref="A855:B855"/>
    <mergeCell ref="A856:B856"/>
    <mergeCell ref="A857:F857"/>
    <mergeCell ref="A858:G858"/>
    <mergeCell ref="B859:D859"/>
    <mergeCell ref="E859:F859"/>
    <mergeCell ref="B860:G860"/>
    <mergeCell ref="A861:G861"/>
    <mergeCell ref="A862:B862"/>
    <mergeCell ref="A863:B863"/>
    <mergeCell ref="A864:F864"/>
    <mergeCell ref="A865:G865"/>
    <mergeCell ref="B866:D866"/>
    <mergeCell ref="E866:F866"/>
    <mergeCell ref="B867:G867"/>
    <mergeCell ref="A868:G868"/>
    <mergeCell ref="A869:B869"/>
    <mergeCell ref="A870:B870"/>
    <mergeCell ref="A871:F871"/>
    <mergeCell ref="A872:G872"/>
    <mergeCell ref="E873:F873"/>
    <mergeCell ref="B873:D873"/>
    <mergeCell ref="B874:G874"/>
    <mergeCell ref="A875:G875"/>
    <mergeCell ref="A876:B876"/>
    <mergeCell ref="A877:B877"/>
    <mergeCell ref="A878:F878"/>
    <mergeCell ref="A879:G879"/>
    <mergeCell ref="B880:D880"/>
    <mergeCell ref="E880:F880"/>
    <mergeCell ref="B881:G881"/>
    <mergeCell ref="A882:G882"/>
    <mergeCell ref="A883:B883"/>
    <mergeCell ref="A884:B884"/>
    <mergeCell ref="A885:F885"/>
    <mergeCell ref="A886:G886"/>
    <mergeCell ref="B887:D887"/>
    <mergeCell ref="E887:F887"/>
    <mergeCell ref="B888:G888"/>
    <mergeCell ref="A889:G889"/>
    <mergeCell ref="A890:B890"/>
    <mergeCell ref="A891:B891"/>
    <mergeCell ref="A892:F892"/>
    <mergeCell ref="A893:G893"/>
    <mergeCell ref="B894:D894"/>
    <mergeCell ref="E894:F894"/>
    <mergeCell ref="B895:G895"/>
    <mergeCell ref="A896:G896"/>
    <mergeCell ref="A897:B897"/>
    <mergeCell ref="A898:B898"/>
    <mergeCell ref="A899:F899"/>
    <mergeCell ref="A900:G900"/>
    <mergeCell ref="B901:D901"/>
    <mergeCell ref="E901:F901"/>
    <mergeCell ref="B902:G902"/>
    <mergeCell ref="A903:G903"/>
    <mergeCell ref="A904:B904"/>
    <mergeCell ref="A905:B905"/>
    <mergeCell ref="A906:F906"/>
    <mergeCell ref="A907:G907"/>
    <mergeCell ref="B908:D908"/>
    <mergeCell ref="E908:F908"/>
    <mergeCell ref="B909:G909"/>
    <mergeCell ref="A910:G910"/>
    <mergeCell ref="A911:B911"/>
    <mergeCell ref="A912:B912"/>
    <mergeCell ref="A913:F913"/>
    <mergeCell ref="A914:G914"/>
    <mergeCell ref="B915:D915"/>
    <mergeCell ref="E915:F915"/>
    <mergeCell ref="B916:G916"/>
    <mergeCell ref="A917:G917"/>
    <mergeCell ref="A918:B918"/>
    <mergeCell ref="A919:B919"/>
    <mergeCell ref="A920:F920"/>
    <mergeCell ref="A921:G921"/>
    <mergeCell ref="E922:F922"/>
    <mergeCell ref="B922:D922"/>
    <mergeCell ref="B923:G923"/>
    <mergeCell ref="A924:G924"/>
    <mergeCell ref="A925:B925"/>
    <mergeCell ref="A926:B926"/>
    <mergeCell ref="A927:F927"/>
    <mergeCell ref="A928:G928"/>
    <mergeCell ref="B929:D929"/>
    <mergeCell ref="E929:F929"/>
    <mergeCell ref="B930:G930"/>
    <mergeCell ref="A931:G931"/>
    <mergeCell ref="A932:B932"/>
    <mergeCell ref="A933:B933"/>
    <mergeCell ref="A934:F934"/>
    <mergeCell ref="A935:G935"/>
    <mergeCell ref="B936:D936"/>
    <mergeCell ref="E936:F936"/>
    <mergeCell ref="B937:G937"/>
    <mergeCell ref="A938:G938"/>
    <mergeCell ref="A939:B939"/>
    <mergeCell ref="A940:B940"/>
    <mergeCell ref="A941:B941"/>
    <mergeCell ref="A942:F942"/>
    <mergeCell ref="A943:G943"/>
    <mergeCell ref="B944:D944"/>
    <mergeCell ref="E944:F944"/>
    <mergeCell ref="B945:G945"/>
    <mergeCell ref="A946:G946"/>
    <mergeCell ref="B1258:D1258"/>
    <mergeCell ref="B1259:G1259"/>
    <mergeCell ref="A1260:G1260"/>
    <mergeCell ref="A1261:B1261"/>
    <mergeCell ref="A1262:B1262"/>
    <mergeCell ref="A1263:B1263"/>
    <mergeCell ref="A1264:F1264"/>
    <mergeCell ref="A1265:G1265"/>
    <mergeCell ref="B1266:D1266"/>
    <mergeCell ref="E1266:F1266"/>
    <mergeCell ref="B1267:G1267"/>
    <mergeCell ref="A1268:G1268"/>
    <mergeCell ref="A1269:B1269"/>
    <mergeCell ref="A1270:B1270"/>
    <mergeCell ref="A1221:B1221"/>
    <mergeCell ref="A1222:B1222"/>
    <mergeCell ref="A1223:B1223"/>
    <mergeCell ref="A1224:F1224"/>
    <mergeCell ref="A1225:G1225"/>
    <mergeCell ref="B1226:D1226"/>
    <mergeCell ref="E1226:F1226"/>
    <mergeCell ref="B1227:G1227"/>
    <mergeCell ref="A1228:G1228"/>
    <mergeCell ref="A1229:B1229"/>
    <mergeCell ref="A1230:B1230"/>
    <mergeCell ref="A1231:B1231"/>
    <mergeCell ref="A1232:F1232"/>
    <mergeCell ref="A1233:G1233"/>
    <mergeCell ref="B1234:D1234"/>
    <mergeCell ref="E1234:F1234"/>
    <mergeCell ref="B1235:G1235"/>
    <mergeCell ref="A1236:G1236"/>
    <mergeCell ref="A1237:B1237"/>
    <mergeCell ref="A1238:B1238"/>
    <mergeCell ref="A1239:B1239"/>
    <mergeCell ref="A1240:F1240"/>
    <mergeCell ref="A1241:G1241"/>
    <mergeCell ref="B1242:D1242"/>
    <mergeCell ref="E1242:F1242"/>
    <mergeCell ref="B1243:G1243"/>
    <mergeCell ref="A1244:G1244"/>
    <mergeCell ref="A1245:B1245"/>
    <mergeCell ref="A1246:B1246"/>
    <mergeCell ref="A1247:B1247"/>
    <mergeCell ref="A1248:F1248"/>
    <mergeCell ref="A1249:G1249"/>
    <mergeCell ref="B1250:D1250"/>
    <mergeCell ref="E1250:F1250"/>
    <mergeCell ref="B1251:G1251"/>
    <mergeCell ref="A1252:G1252"/>
    <mergeCell ref="A1253:B1253"/>
    <mergeCell ref="A1254:B1254"/>
    <mergeCell ref="A1255:B1255"/>
    <mergeCell ref="A1256:F1256"/>
    <mergeCell ref="A1257:G1257"/>
    <mergeCell ref="E1258:F1258"/>
    <mergeCell ref="A1271:B1271"/>
    <mergeCell ref="A1272:F1272"/>
    <mergeCell ref="A1273:G1273"/>
    <mergeCell ref="B1274:D1274"/>
    <mergeCell ref="E1274:F1274"/>
    <mergeCell ref="B1275:G1275"/>
    <mergeCell ref="A1276:G1276"/>
    <mergeCell ref="B1314:D1314"/>
    <mergeCell ref="B1315:G1315"/>
    <mergeCell ref="A1295:B1295"/>
    <mergeCell ref="A1296:F1296"/>
    <mergeCell ref="A1297:G1297"/>
    <mergeCell ref="B1298:D1298"/>
    <mergeCell ref="E1298:F1298"/>
    <mergeCell ref="B1299:G1299"/>
    <mergeCell ref="A1300:G1300"/>
    <mergeCell ref="A1301:B1301"/>
    <mergeCell ref="A1302:B1302"/>
    <mergeCell ref="A1303:B1303"/>
    <mergeCell ref="A1304:F1304"/>
    <mergeCell ref="A1305:G1305"/>
    <mergeCell ref="B1306:D1306"/>
    <mergeCell ref="E1306:F1306"/>
    <mergeCell ref="B1307:G1307"/>
    <mergeCell ref="A1316:G1316"/>
    <mergeCell ref="A1317:B1317"/>
    <mergeCell ref="A1318:B1318"/>
    <mergeCell ref="A1319:B1319"/>
    <mergeCell ref="A1320:F1320"/>
    <mergeCell ref="A1321:G1321"/>
    <mergeCell ref="B1322:D1322"/>
    <mergeCell ref="E1322:F1322"/>
    <mergeCell ref="B1323:G1323"/>
    <mergeCell ref="A1324:G1324"/>
    <mergeCell ref="A1325:B1325"/>
    <mergeCell ref="A1326:B1326"/>
    <mergeCell ref="A1277:B1277"/>
    <mergeCell ref="A1278:B1278"/>
    <mergeCell ref="A1279:B1279"/>
    <mergeCell ref="A1280:F1280"/>
    <mergeCell ref="A1281:G1281"/>
    <mergeCell ref="B1282:D1282"/>
    <mergeCell ref="E1282:F1282"/>
    <mergeCell ref="B1283:G1283"/>
    <mergeCell ref="A1284:G1284"/>
    <mergeCell ref="A1285:B1285"/>
    <mergeCell ref="A1286:B1286"/>
    <mergeCell ref="A1287:B1287"/>
    <mergeCell ref="A1288:F1288"/>
    <mergeCell ref="A1289:G1289"/>
    <mergeCell ref="B1290:D1290"/>
    <mergeCell ref="E1290:F1290"/>
    <mergeCell ref="B1291:G1291"/>
    <mergeCell ref="A1292:G1292"/>
    <mergeCell ref="A1293:B1293"/>
    <mergeCell ref="A1294:B1294"/>
    <mergeCell ref="A1308:G1308"/>
    <mergeCell ref="A1309:B1309"/>
    <mergeCell ref="A1310:B1310"/>
    <mergeCell ref="A1311:B1311"/>
    <mergeCell ref="A1312:F1312"/>
    <mergeCell ref="A1313:G1313"/>
    <mergeCell ref="E1314:F1314"/>
    <mergeCell ref="A1327:B1327"/>
    <mergeCell ref="A1328:F1328"/>
    <mergeCell ref="A1329:G1329"/>
    <mergeCell ref="B1330:D1330"/>
    <mergeCell ref="E1330:F1330"/>
    <mergeCell ref="B1331:G1331"/>
    <mergeCell ref="A1332:G1332"/>
    <mergeCell ref="B1371:D1371"/>
    <mergeCell ref="E1371:F1371"/>
    <mergeCell ref="B1372:G1372"/>
    <mergeCell ref="A1352:F1352"/>
    <mergeCell ref="A1353:G1353"/>
    <mergeCell ref="A1354:G1354"/>
    <mergeCell ref="B1355:D1355"/>
    <mergeCell ref="E1355:F1355"/>
    <mergeCell ref="B1356:G1356"/>
    <mergeCell ref="A1357:G1357"/>
    <mergeCell ref="A1358:B1358"/>
    <mergeCell ref="A1359:B1359"/>
    <mergeCell ref="A1360:B1360"/>
    <mergeCell ref="A1361:F1361"/>
    <mergeCell ref="A1362:G1362"/>
    <mergeCell ref="B1363:D1363"/>
    <mergeCell ref="E1363:F1363"/>
    <mergeCell ref="B1364:G1364"/>
    <mergeCell ref="A1373:G1373"/>
    <mergeCell ref="A1374:B1374"/>
    <mergeCell ref="A1375:B1375"/>
    <mergeCell ref="A1376:B1376"/>
    <mergeCell ref="A1377:F1377"/>
    <mergeCell ref="A1378:G1378"/>
    <mergeCell ref="B1379:D1379"/>
    <mergeCell ref="E1379:F1379"/>
    <mergeCell ref="B1380:G1380"/>
    <mergeCell ref="A1381:G1381"/>
    <mergeCell ref="A1382:B1382"/>
    <mergeCell ref="A1333:B1333"/>
    <mergeCell ref="A1334:B1334"/>
    <mergeCell ref="A1335:B1335"/>
    <mergeCell ref="A1336:F1336"/>
    <mergeCell ref="A1337:G1337"/>
    <mergeCell ref="B1338:D1338"/>
    <mergeCell ref="E1338:F1338"/>
    <mergeCell ref="B1339:G1339"/>
    <mergeCell ref="A1340:G1340"/>
    <mergeCell ref="A1341:B1341"/>
    <mergeCell ref="A1342:B1342"/>
    <mergeCell ref="A1343:B1343"/>
    <mergeCell ref="A1344:F1344"/>
    <mergeCell ref="A1345:G1345"/>
    <mergeCell ref="B1346:D1346"/>
    <mergeCell ref="E1346:F1346"/>
    <mergeCell ref="B1347:G1347"/>
    <mergeCell ref="A1348:G1348"/>
    <mergeCell ref="A1349:B1349"/>
    <mergeCell ref="A1350:B1350"/>
    <mergeCell ref="A1351:B1351"/>
    <mergeCell ref="A1365:G1365"/>
    <mergeCell ref="A1366:B1366"/>
    <mergeCell ref="A1367:B1367"/>
    <mergeCell ref="A1368:B1368"/>
    <mergeCell ref="A1369:F1369"/>
    <mergeCell ref="A1370:G1370"/>
    <mergeCell ref="A1383:B1383"/>
    <mergeCell ref="A1384:B1384"/>
    <mergeCell ref="A1385:F1385"/>
    <mergeCell ref="A1386:G1386"/>
    <mergeCell ref="B1387:D1387"/>
    <mergeCell ref="E1387:F1387"/>
    <mergeCell ref="B1388:G1388"/>
    <mergeCell ref="B1427:D1427"/>
    <mergeCell ref="E1427:F1427"/>
    <mergeCell ref="B1428:G1428"/>
    <mergeCell ref="A1429:G1429"/>
    <mergeCell ref="A1409:F1409"/>
    <mergeCell ref="A1410:G1410"/>
    <mergeCell ref="B1411:D1411"/>
    <mergeCell ref="E1411:F1411"/>
    <mergeCell ref="B1412:G1412"/>
    <mergeCell ref="A1413:G1413"/>
    <mergeCell ref="A1414:B1414"/>
    <mergeCell ref="A1415:B1415"/>
    <mergeCell ref="A1416:B1416"/>
    <mergeCell ref="A1417:F1417"/>
    <mergeCell ref="A1418:G1418"/>
    <mergeCell ref="B1419:D1419"/>
    <mergeCell ref="E1419:F1419"/>
    <mergeCell ref="B1420:G1420"/>
    <mergeCell ref="A1421:G1421"/>
    <mergeCell ref="A1430:B1430"/>
    <mergeCell ref="A1431:B1431"/>
    <mergeCell ref="A1432:B1432"/>
    <mergeCell ref="A1433:F1433"/>
    <mergeCell ref="A1434:G1434"/>
    <mergeCell ref="B1435:D1435"/>
    <mergeCell ref="E1435:F1435"/>
    <mergeCell ref="B1436:G1436"/>
    <mergeCell ref="A1437:G1437"/>
    <mergeCell ref="A1438:B1438"/>
    <mergeCell ref="A1389:G1389"/>
    <mergeCell ref="A1390:B1390"/>
    <mergeCell ref="A1391:B1391"/>
    <mergeCell ref="A1392:B1392"/>
    <mergeCell ref="A1393:F1393"/>
    <mergeCell ref="A1394:G1394"/>
    <mergeCell ref="E1395:F1395"/>
    <mergeCell ref="B1395:D1395"/>
    <mergeCell ref="B1396:G1396"/>
    <mergeCell ref="A1397:G1397"/>
    <mergeCell ref="A1398:B1398"/>
    <mergeCell ref="A1399:B1399"/>
    <mergeCell ref="A1400:B1400"/>
    <mergeCell ref="A1401:F1401"/>
    <mergeCell ref="A1402:G1402"/>
    <mergeCell ref="B1403:D1403"/>
    <mergeCell ref="E1403:F1403"/>
    <mergeCell ref="B1404:G1404"/>
    <mergeCell ref="A1405:G1405"/>
    <mergeCell ref="A1406:B1406"/>
    <mergeCell ref="A1407:B1407"/>
    <mergeCell ref="A1408:B1408"/>
    <mergeCell ref="A1422:B1422"/>
    <mergeCell ref="A1423:B1423"/>
    <mergeCell ref="A1424:B1424"/>
    <mergeCell ref="A1425:F1425"/>
    <mergeCell ref="A1426:G1426"/>
    <mergeCell ref="A1439:B1439"/>
    <mergeCell ref="A1440:B1440"/>
    <mergeCell ref="A1441:F1441"/>
    <mergeCell ref="A947:B947"/>
    <mergeCell ref="A948:B948"/>
    <mergeCell ref="A949:B949"/>
    <mergeCell ref="A950:F950"/>
    <mergeCell ref="A951:G951"/>
    <mergeCell ref="B952:D952"/>
    <mergeCell ref="E952:F952"/>
    <mergeCell ref="B953:G953"/>
    <mergeCell ref="A954:G954"/>
    <mergeCell ref="A955:B955"/>
    <mergeCell ref="A956:B956"/>
    <mergeCell ref="A957:F957"/>
    <mergeCell ref="A958:G958"/>
    <mergeCell ref="E959:F959"/>
    <mergeCell ref="B959:D959"/>
    <mergeCell ref="B960:G960"/>
    <mergeCell ref="A961:G961"/>
    <mergeCell ref="A962:B962"/>
    <mergeCell ref="A963:B963"/>
    <mergeCell ref="A964:F964"/>
    <mergeCell ref="A965:G965"/>
    <mergeCell ref="B966:D966"/>
    <mergeCell ref="E966:F966"/>
    <mergeCell ref="B967:G967"/>
    <mergeCell ref="A968:G968"/>
    <mergeCell ref="A969:B969"/>
    <mergeCell ref="A970:B970"/>
    <mergeCell ref="A971:F971"/>
    <mergeCell ref="A972:G972"/>
    <mergeCell ref="B973:D973"/>
    <mergeCell ref="E973:F973"/>
    <mergeCell ref="B974:G974"/>
    <mergeCell ref="A975:G975"/>
    <mergeCell ref="A976:B976"/>
    <mergeCell ref="A977:B977"/>
    <mergeCell ref="A978:B978"/>
    <mergeCell ref="A979:F979"/>
    <mergeCell ref="A980:G980"/>
    <mergeCell ref="B981:D981"/>
    <mergeCell ref="E981:F981"/>
    <mergeCell ref="B982:G982"/>
    <mergeCell ref="A983:G983"/>
    <mergeCell ref="A984:B984"/>
    <mergeCell ref="A985:B985"/>
    <mergeCell ref="A986:F986"/>
    <mergeCell ref="A987:G987"/>
    <mergeCell ref="B988:D988"/>
    <mergeCell ref="E988:F988"/>
    <mergeCell ref="B989:G989"/>
    <mergeCell ref="A990:G990"/>
    <mergeCell ref="A991:B991"/>
    <mergeCell ref="A992:B992"/>
    <mergeCell ref="A993:B993"/>
    <mergeCell ref="A994:F994"/>
    <mergeCell ref="A995:G995"/>
    <mergeCell ref="E996:F996"/>
    <mergeCell ref="B996:D996"/>
    <mergeCell ref="B997:G997"/>
    <mergeCell ref="A998:G998"/>
    <mergeCell ref="A999:B999"/>
    <mergeCell ref="A1000:B1000"/>
    <mergeCell ref="A1001:B1001"/>
    <mergeCell ref="A1002:F1002"/>
    <mergeCell ref="A1003:G1003"/>
    <mergeCell ref="B1004:D1004"/>
    <mergeCell ref="E1004:F1004"/>
    <mergeCell ref="B1005:G1005"/>
    <mergeCell ref="A1006:G1006"/>
    <mergeCell ref="A1007:B1007"/>
    <mergeCell ref="A1008:B1008"/>
    <mergeCell ref="A1009:F1009"/>
    <mergeCell ref="A1010:G1010"/>
    <mergeCell ref="B1011:D1011"/>
    <mergeCell ref="E1011:F1011"/>
    <mergeCell ref="B1012:G1012"/>
    <mergeCell ref="A1013:G1013"/>
    <mergeCell ref="A1014:B1014"/>
    <mergeCell ref="A1015:B1015"/>
    <mergeCell ref="A1016:F1016"/>
    <mergeCell ref="A1018:G1018"/>
    <mergeCell ref="B1019:D1019"/>
    <mergeCell ref="E1019:F1019"/>
    <mergeCell ref="B1020:G1020"/>
    <mergeCell ref="A1021:G1021"/>
    <mergeCell ref="A1022:B1022"/>
    <mergeCell ref="A1023:B1023"/>
    <mergeCell ref="A1024:F1024"/>
    <mergeCell ref="A1025:G1025"/>
    <mergeCell ref="B1026:D1026"/>
    <mergeCell ref="E1026:F1026"/>
    <mergeCell ref="B1027:G1027"/>
    <mergeCell ref="A1028:G1028"/>
    <mergeCell ref="A1029:B1029"/>
    <mergeCell ref="A1030:B1030"/>
    <mergeCell ref="A1031:F1031"/>
    <mergeCell ref="A1032:G1032"/>
    <mergeCell ref="B1033:D1033"/>
    <mergeCell ref="E1033:F1033"/>
    <mergeCell ref="B1034:G1034"/>
    <mergeCell ref="A1035:G1035"/>
    <mergeCell ref="A1036:B1036"/>
    <mergeCell ref="A1037:B1037"/>
    <mergeCell ref="A1038:F1038"/>
    <mergeCell ref="A1039:G1039"/>
    <mergeCell ref="E1040:F1040"/>
    <mergeCell ref="B1040:D1040"/>
    <mergeCell ref="B1041:G1041"/>
    <mergeCell ref="A1042:G1042"/>
    <mergeCell ref="A1043:B1043"/>
    <mergeCell ref="A1044:B1044"/>
    <mergeCell ref="A1045:F1045"/>
    <mergeCell ref="A1046:G1046"/>
    <mergeCell ref="B1047:D1047"/>
    <mergeCell ref="E1047:F1047"/>
    <mergeCell ref="B1048:G1048"/>
    <mergeCell ref="A1049:G1049"/>
    <mergeCell ref="A1050:B1050"/>
    <mergeCell ref="A1051:B1051"/>
    <mergeCell ref="A1052:F1052"/>
    <mergeCell ref="A1053:G1053"/>
    <mergeCell ref="B1054:D1054"/>
    <mergeCell ref="E1054:F1054"/>
    <mergeCell ref="B1055:G1055"/>
    <mergeCell ref="A1056:G1056"/>
    <mergeCell ref="A1057:B1057"/>
    <mergeCell ref="A1058:B1058"/>
    <mergeCell ref="A1059:F1059"/>
    <mergeCell ref="A1060:G1060"/>
    <mergeCell ref="B1061:D1061"/>
    <mergeCell ref="E1061:F1061"/>
    <mergeCell ref="B1062:G1062"/>
    <mergeCell ref="A1063:G1063"/>
    <mergeCell ref="A1064:B1064"/>
    <mergeCell ref="A1065:B1065"/>
    <mergeCell ref="A1066:F1066"/>
    <mergeCell ref="A1067:G1067"/>
    <mergeCell ref="B1068:D1068"/>
    <mergeCell ref="E1068:F1068"/>
    <mergeCell ref="B1069:G1069"/>
    <mergeCell ref="A1070:G1070"/>
    <mergeCell ref="A1071:B1071"/>
    <mergeCell ref="A1072:B1072"/>
    <mergeCell ref="A1073:F1073"/>
    <mergeCell ref="A1074:G1074"/>
    <mergeCell ref="B1075:D1075"/>
    <mergeCell ref="E1075:F1075"/>
    <mergeCell ref="B1076:G1076"/>
    <mergeCell ref="A1077:G1077"/>
    <mergeCell ref="A1078:B1078"/>
    <mergeCell ref="A1079:B1079"/>
    <mergeCell ref="A1080:F1080"/>
    <mergeCell ref="A1082:G1082"/>
    <mergeCell ref="B1083:D1083"/>
    <mergeCell ref="E1083:F1083"/>
    <mergeCell ref="B1084:G1084"/>
    <mergeCell ref="A1085:G1085"/>
    <mergeCell ref="A1086:B1086"/>
    <mergeCell ref="A1087:B1087"/>
    <mergeCell ref="A1088:B1088"/>
    <mergeCell ref="A1089:F1089"/>
    <mergeCell ref="E1090:F1090"/>
    <mergeCell ref="B1090:D1090"/>
    <mergeCell ref="B1091:G1091"/>
    <mergeCell ref="A1092:G1092"/>
    <mergeCell ref="A1093:B1093"/>
    <mergeCell ref="A1094:B1094"/>
    <mergeCell ref="A1095:B1095"/>
    <mergeCell ref="A1096:F1096"/>
    <mergeCell ref="A1097:G1097"/>
    <mergeCell ref="B1098:D1098"/>
    <mergeCell ref="E1098:F1098"/>
    <mergeCell ref="B1099:G1099"/>
    <mergeCell ref="A1100:G1100"/>
    <mergeCell ref="A1101:B1101"/>
    <mergeCell ref="A1102:B1102"/>
    <mergeCell ref="A1103:B1103"/>
    <mergeCell ref="A1104:F1104"/>
    <mergeCell ref="A1105:G1105"/>
    <mergeCell ref="B1106:D1106"/>
    <mergeCell ref="E1106:F1106"/>
    <mergeCell ref="B1107:G1107"/>
    <mergeCell ref="A1108:G1108"/>
    <mergeCell ref="A1109:B1109"/>
    <mergeCell ref="A1110:B1110"/>
    <mergeCell ref="A1111:B1111"/>
    <mergeCell ref="A1112:F1112"/>
    <mergeCell ref="A1113:G1113"/>
    <mergeCell ref="B1114:D1114"/>
    <mergeCell ref="E1114:F1114"/>
    <mergeCell ref="B1115:G1115"/>
    <mergeCell ref="A1116:G1116"/>
    <mergeCell ref="A1117:B1117"/>
    <mergeCell ref="A1118:B1118"/>
    <mergeCell ref="A1119:B1119"/>
    <mergeCell ref="A1120:F1120"/>
    <mergeCell ref="A1121:G1121"/>
    <mergeCell ref="B1122:D1122"/>
    <mergeCell ref="E1122:F1122"/>
    <mergeCell ref="B1123:G1123"/>
    <mergeCell ref="A1124:G1124"/>
    <mergeCell ref="A1125:B1125"/>
    <mergeCell ref="A1126:B1126"/>
    <mergeCell ref="A1127:B1127"/>
    <mergeCell ref="A1128:F1128"/>
    <mergeCell ref="A1129:G1129"/>
    <mergeCell ref="B1130:D1130"/>
    <mergeCell ref="E1130:F1130"/>
    <mergeCell ref="B1131:G1131"/>
    <mergeCell ref="A1132:G1132"/>
    <mergeCell ref="A1133:B1133"/>
    <mergeCell ref="A1134:B1134"/>
    <mergeCell ref="A1135:B1135"/>
    <mergeCell ref="A1136:F1136"/>
    <mergeCell ref="A1137:G1137"/>
    <mergeCell ref="B1138:D1138"/>
    <mergeCell ref="E1138:F1138"/>
    <mergeCell ref="B1139:G1139"/>
    <mergeCell ref="A1140:G1140"/>
    <mergeCell ref="A1141:B1141"/>
    <mergeCell ref="A1142:B1142"/>
    <mergeCell ref="A1143:B1143"/>
    <mergeCell ref="A1144:F1144"/>
    <mergeCell ref="A1145:G1145"/>
    <mergeCell ref="E1146:F1146"/>
    <mergeCell ref="B1146:D1146"/>
    <mergeCell ref="B1147:G1147"/>
    <mergeCell ref="A1148:G1148"/>
    <mergeCell ref="A1149:B1149"/>
    <mergeCell ref="A1150:B1150"/>
    <mergeCell ref="A1151:B1151"/>
    <mergeCell ref="A1152:F1152"/>
    <mergeCell ref="A1153:G1153"/>
    <mergeCell ref="B1154:D1154"/>
    <mergeCell ref="E1154:F1154"/>
    <mergeCell ref="B1155:G1155"/>
    <mergeCell ref="A1156:G1156"/>
    <mergeCell ref="A1157:B1157"/>
    <mergeCell ref="A1158:B1158"/>
    <mergeCell ref="A1159:B1159"/>
    <mergeCell ref="A1160:F1160"/>
    <mergeCell ref="A1161:G1161"/>
    <mergeCell ref="B1162:D1162"/>
    <mergeCell ref="E1162:F1162"/>
    <mergeCell ref="B1163:G1163"/>
    <mergeCell ref="A1164:G1164"/>
    <mergeCell ref="B1210:D1210"/>
    <mergeCell ref="E1210:F1210"/>
    <mergeCell ref="B1211:G1211"/>
    <mergeCell ref="A1212:G1212"/>
    <mergeCell ref="A1213:B1213"/>
    <mergeCell ref="A1214:B1214"/>
    <mergeCell ref="A1165:B1165"/>
    <mergeCell ref="A1166:B1166"/>
    <mergeCell ref="A1167:B1167"/>
    <mergeCell ref="A1168:F1168"/>
    <mergeCell ref="A1169:G1169"/>
    <mergeCell ref="B1170:D1170"/>
    <mergeCell ref="E1170:F1170"/>
    <mergeCell ref="B1171:G1171"/>
    <mergeCell ref="A1172:G1172"/>
    <mergeCell ref="A1173:B1173"/>
    <mergeCell ref="A1174:B1174"/>
    <mergeCell ref="A1175:B1175"/>
    <mergeCell ref="A1176:F1176"/>
    <mergeCell ref="A1177:G1177"/>
    <mergeCell ref="B1178:D1178"/>
    <mergeCell ref="E1178:F1178"/>
    <mergeCell ref="B1179:G1179"/>
    <mergeCell ref="A1180:G1180"/>
    <mergeCell ref="A1196:G1196"/>
    <mergeCell ref="A1197:B1197"/>
    <mergeCell ref="A1198:B1198"/>
    <mergeCell ref="A1199:B1199"/>
    <mergeCell ref="A1200:F1200"/>
    <mergeCell ref="A1201:G1201"/>
    <mergeCell ref="E1202:F1202"/>
    <mergeCell ref="A1215:B1215"/>
    <mergeCell ref="A1216:F1216"/>
    <mergeCell ref="A1217:G1217"/>
    <mergeCell ref="B1218:D1218"/>
    <mergeCell ref="E1218:F1218"/>
    <mergeCell ref="B1219:G1219"/>
    <mergeCell ref="A1220:G1220"/>
    <mergeCell ref="A1181:B1181"/>
    <mergeCell ref="A1182:B1182"/>
    <mergeCell ref="A1183:B1183"/>
    <mergeCell ref="A1184:F1184"/>
    <mergeCell ref="A1185:G1185"/>
    <mergeCell ref="B1186:D1186"/>
    <mergeCell ref="E1186:F1186"/>
    <mergeCell ref="B1187:G1187"/>
    <mergeCell ref="A1188:G1188"/>
    <mergeCell ref="A1189:B1189"/>
    <mergeCell ref="A1190:B1190"/>
    <mergeCell ref="A1191:B1191"/>
    <mergeCell ref="A1192:F1192"/>
    <mergeCell ref="A1193:G1193"/>
    <mergeCell ref="B1194:D1194"/>
    <mergeCell ref="E1194:F1194"/>
    <mergeCell ref="B1195:G1195"/>
    <mergeCell ref="B1202:D1202"/>
    <mergeCell ref="B1203:G1203"/>
    <mergeCell ref="A1204:G1204"/>
    <mergeCell ref="A1205:B1205"/>
    <mergeCell ref="A1206:B1206"/>
    <mergeCell ref="A1207:B1207"/>
    <mergeCell ref="A1208:F1208"/>
    <mergeCell ref="A1209:G1209"/>
  </mergeCells>
  <pageMargins left="0.70866141732283472" right="0.70866141732283472" top="0.74803149606299213" bottom="0.74803149606299213" header="0" footer="0"/>
  <pageSetup orientation="portrait"/>
  <colBreaks count="1" manualBreakCount="1">
    <brk id="7" man="1"/>
  </colBreaks>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191"/>
  <sheetViews>
    <sheetView workbookViewId="0"/>
  </sheetViews>
  <sheetFormatPr baseColWidth="10" defaultColWidth="14.44140625" defaultRowHeight="15" customHeight="1"/>
  <cols>
    <col min="1" max="1" width="4.6640625" customWidth="1"/>
    <col min="2" max="2" width="39.6640625" customWidth="1"/>
    <col min="3" max="3" width="7.6640625" customWidth="1"/>
    <col min="4" max="4" width="9.6640625" customWidth="1"/>
    <col min="5" max="5" width="13.44140625" customWidth="1"/>
    <col min="6" max="6" width="15.44140625" customWidth="1"/>
    <col min="7" max="7" width="14.33203125" customWidth="1"/>
    <col min="8" max="8" width="14.6640625" customWidth="1"/>
    <col min="9" max="9" width="15.5546875" customWidth="1"/>
    <col min="10" max="10" width="14.44140625" customWidth="1"/>
    <col min="11" max="11" width="15.44140625" customWidth="1"/>
    <col min="12" max="12" width="11.44140625" customWidth="1"/>
    <col min="13" max="13" width="14.6640625" customWidth="1"/>
    <col min="14" max="26" width="11.44140625" customWidth="1"/>
  </cols>
  <sheetData>
    <row r="1" spans="1:9" ht="12.75" customHeight="1">
      <c r="A1" s="1821" t="s">
        <v>372</v>
      </c>
      <c r="B1" s="1605"/>
      <c r="C1" s="1605"/>
      <c r="D1" s="1605"/>
      <c r="E1" s="1605"/>
      <c r="F1" s="1605"/>
      <c r="G1" s="123"/>
      <c r="H1" s="124"/>
      <c r="I1" s="125"/>
    </row>
    <row r="2" spans="1:9" ht="14.25" customHeight="1">
      <c r="A2" s="1822" t="s">
        <v>373</v>
      </c>
      <c r="B2" s="1605"/>
      <c r="C2" s="1605"/>
      <c r="D2" s="1605"/>
      <c r="E2" s="1605"/>
      <c r="F2" s="1605"/>
      <c r="G2" s="123"/>
      <c r="H2" s="124"/>
      <c r="I2" s="125"/>
    </row>
    <row r="3" spans="1:9" ht="6.75" customHeight="1">
      <c r="A3" s="1822"/>
      <c r="B3" s="1605"/>
      <c r="C3" s="1605"/>
      <c r="D3" s="1605"/>
      <c r="E3" s="1605"/>
      <c r="F3" s="1605"/>
      <c r="G3" s="123"/>
      <c r="H3" s="124"/>
      <c r="I3" s="125"/>
    </row>
    <row r="4" spans="1:9" ht="12.75" customHeight="1">
      <c r="A4" s="1823" t="e">
        <f>+#REF!</f>
        <v>#REF!</v>
      </c>
      <c r="B4" s="1824"/>
      <c r="C4" s="1824"/>
      <c r="D4" s="1824"/>
      <c r="E4" s="1824"/>
      <c r="F4" s="1825"/>
      <c r="G4" s="123"/>
      <c r="H4" s="124"/>
      <c r="I4" s="125"/>
    </row>
    <row r="5" spans="1:9" ht="12.75" customHeight="1">
      <c r="A5" s="1826" t="s">
        <v>976</v>
      </c>
      <c r="B5" s="1605"/>
      <c r="C5" s="1605"/>
      <c r="D5" s="1605"/>
      <c r="E5" s="1605"/>
      <c r="F5" s="1605"/>
      <c r="G5" s="123"/>
      <c r="H5" s="124"/>
      <c r="I5" s="125"/>
    </row>
    <row r="6" spans="1:9" ht="9" customHeight="1">
      <c r="A6" s="1816"/>
      <c r="B6" s="1817"/>
      <c r="C6" s="1817"/>
      <c r="D6" s="1817"/>
      <c r="E6" s="1817"/>
      <c r="F6" s="1817"/>
      <c r="G6" s="123"/>
      <c r="H6" s="124"/>
      <c r="I6" s="125"/>
    </row>
    <row r="7" spans="1:9" ht="12.75" customHeight="1">
      <c r="A7" s="126" t="s">
        <v>375</v>
      </c>
      <c r="B7" s="127" t="s">
        <v>376</v>
      </c>
      <c r="C7" s="127" t="s">
        <v>127</v>
      </c>
      <c r="D7" s="128" t="s">
        <v>7</v>
      </c>
      <c r="E7" s="127" t="s">
        <v>377</v>
      </c>
      <c r="F7" s="127" t="s">
        <v>378</v>
      </c>
      <c r="G7" s="123"/>
      <c r="H7" s="124"/>
      <c r="I7" s="125"/>
    </row>
    <row r="8" spans="1:9" ht="12.75" hidden="1" customHeight="1">
      <c r="A8" s="1818"/>
      <c r="B8" s="1807"/>
      <c r="C8" s="1807"/>
      <c r="D8" s="1807"/>
      <c r="E8" s="1807"/>
      <c r="F8" s="1819"/>
      <c r="G8" s="123"/>
      <c r="H8" s="124"/>
      <c r="I8" s="125"/>
    </row>
    <row r="9" spans="1:9" ht="12.75" customHeight="1">
      <c r="A9" s="129">
        <v>1</v>
      </c>
      <c r="B9" s="130" t="s">
        <v>379</v>
      </c>
      <c r="C9" s="131"/>
      <c r="D9" s="132"/>
      <c r="E9" s="133"/>
      <c r="F9" s="133"/>
      <c r="G9" s="123"/>
      <c r="H9" s="124"/>
      <c r="I9" s="125"/>
    </row>
    <row r="10" spans="1:9" ht="12.75" hidden="1" customHeight="1">
      <c r="A10" s="134" t="s">
        <v>11</v>
      </c>
      <c r="B10" s="135" t="e">
        <f>+#REF!</f>
        <v>#REF!</v>
      </c>
      <c r="C10" s="136" t="s">
        <v>228</v>
      </c>
      <c r="D10" s="137"/>
      <c r="E10" s="138" t="e">
        <f>+#REF!</f>
        <v>#REF!</v>
      </c>
      <c r="F10" s="138" t="e">
        <f t="shared" ref="F10:F18" si="0">+E10*D10</f>
        <v>#REF!</v>
      </c>
      <c r="G10" s="123"/>
      <c r="H10" s="124">
        <v>1486.0619431041453</v>
      </c>
      <c r="I10" s="125"/>
    </row>
    <row r="11" spans="1:9" ht="39" hidden="1" customHeight="1">
      <c r="A11" s="134" t="s">
        <v>14</v>
      </c>
      <c r="B11" s="135" t="e">
        <f ca="1">+_xlfn.SINGLE(#REF!)</f>
        <v>#NAME?</v>
      </c>
      <c r="C11" s="136" t="e">
        <f>+#REF!</f>
        <v>#REF!</v>
      </c>
      <c r="D11" s="137"/>
      <c r="E11" s="138">
        <f>+'2 - DEMOLICIONES'!G197</f>
        <v>117023</v>
      </c>
      <c r="F11" s="138">
        <f t="shared" si="0"/>
        <v>0</v>
      </c>
      <c r="G11" s="123"/>
      <c r="H11" s="124">
        <v>303.82537499999995</v>
      </c>
      <c r="I11" s="125"/>
    </row>
    <row r="12" spans="1:9" ht="12.75" hidden="1" customHeight="1">
      <c r="A12" s="134" t="s">
        <v>380</v>
      </c>
      <c r="B12" s="135" t="e">
        <f>+#REF!</f>
        <v>#REF!</v>
      </c>
      <c r="C12" s="136" t="e">
        <f>+#REF!</f>
        <v>#REF!</v>
      </c>
      <c r="D12" s="137"/>
      <c r="E12" s="138">
        <f>+'2 - DEMOLICIONES'!G518</f>
        <v>24806</v>
      </c>
      <c r="F12" s="138">
        <f t="shared" si="0"/>
        <v>0</v>
      </c>
      <c r="G12" s="123"/>
      <c r="H12" s="124">
        <v>328.07100000000003</v>
      </c>
      <c r="I12" s="125"/>
    </row>
    <row r="13" spans="1:9" ht="12.75" hidden="1" customHeight="1">
      <c r="A13" s="134" t="s">
        <v>381</v>
      </c>
      <c r="B13" s="135" t="e">
        <f>+#REF!</f>
        <v>#REF!</v>
      </c>
      <c r="C13" s="136" t="e">
        <f>+#REF!</f>
        <v>#REF!</v>
      </c>
      <c r="D13" s="137"/>
      <c r="E13" s="138">
        <f>+'2 - DEMOLICIONES'!G164</f>
        <v>28443</v>
      </c>
      <c r="F13" s="138">
        <f t="shared" si="0"/>
        <v>0</v>
      </c>
      <c r="G13" s="123"/>
      <c r="H13" s="124" t="e">
        <v>#REF!</v>
      </c>
      <c r="I13" s="125"/>
    </row>
    <row r="14" spans="1:9" ht="27.75" hidden="1" customHeight="1">
      <c r="A14" s="134" t="s">
        <v>382</v>
      </c>
      <c r="B14" s="135" t="e">
        <f>+#REF!</f>
        <v>#REF!</v>
      </c>
      <c r="C14" s="136" t="e">
        <f>+#REF!</f>
        <v>#REF!</v>
      </c>
      <c r="D14" s="137"/>
      <c r="E14" s="138">
        <f>+'2 - DEMOLICIONES'!G325</f>
        <v>14119</v>
      </c>
      <c r="F14" s="138">
        <f t="shared" si="0"/>
        <v>0</v>
      </c>
      <c r="G14" s="123"/>
      <c r="H14" s="124" t="e">
        <v>#REF!</v>
      </c>
      <c r="I14" s="125"/>
    </row>
    <row r="15" spans="1:9" ht="12.75" hidden="1" customHeight="1">
      <c r="A15" s="134" t="s">
        <v>383</v>
      </c>
      <c r="B15" s="135" t="e">
        <f ca="1">+_xlfn.SINGLE(#REF!)</f>
        <v>#NAME?</v>
      </c>
      <c r="C15" s="136" t="e">
        <f>+#REF!</f>
        <v>#REF!</v>
      </c>
      <c r="D15" s="137"/>
      <c r="E15" s="138">
        <f>+'2 - DEMOLICIONES'!G389</f>
        <v>323683</v>
      </c>
      <c r="F15" s="138">
        <f t="shared" si="0"/>
        <v>0</v>
      </c>
      <c r="G15" s="123"/>
      <c r="H15" s="124">
        <v>328.07100000000003</v>
      </c>
      <c r="I15" s="125"/>
    </row>
    <row r="16" spans="1:9" ht="12.75" hidden="1" customHeight="1">
      <c r="A16" s="134" t="s">
        <v>384</v>
      </c>
      <c r="B16" s="135" t="e">
        <f>+#REF!</f>
        <v>#REF!</v>
      </c>
      <c r="C16" s="136" t="e">
        <f>+#REF!</f>
        <v>#REF!</v>
      </c>
      <c r="D16" s="137"/>
      <c r="E16" s="138">
        <f>+'2 - DEMOLICIONES'!G357</f>
        <v>41801</v>
      </c>
      <c r="F16" s="138">
        <f t="shared" si="0"/>
        <v>0</v>
      </c>
      <c r="G16" s="123"/>
      <c r="H16" s="124" t="e">
        <v>#REF!</v>
      </c>
      <c r="I16" s="125"/>
    </row>
    <row r="17" spans="1:9" ht="12.75" customHeight="1">
      <c r="A17" s="134" t="s">
        <v>385</v>
      </c>
      <c r="B17" s="135" t="e">
        <f>+#REF!</f>
        <v>#REF!</v>
      </c>
      <c r="C17" s="136" t="e">
        <f>+#REF!</f>
        <v>#REF!</v>
      </c>
      <c r="D17" s="137">
        <f>+'MEMORIA DE CANTIDADES BLOQUE 3'!G124</f>
        <v>436.46</v>
      </c>
      <c r="E17" s="138" t="e">
        <f>+#REF!</f>
        <v>#REF!</v>
      </c>
      <c r="F17" s="138" t="e">
        <f t="shared" si="0"/>
        <v>#REF!</v>
      </c>
      <c r="G17" s="123"/>
      <c r="H17" s="124">
        <v>328.07100000000003</v>
      </c>
      <c r="I17" s="125"/>
    </row>
    <row r="18" spans="1:9" ht="28.5" hidden="1" customHeight="1">
      <c r="A18" s="134" t="s">
        <v>386</v>
      </c>
      <c r="B18" s="135" t="e">
        <f>+#REF!</f>
        <v>#REF!</v>
      </c>
      <c r="C18" s="136" t="e">
        <f>+#REF!</f>
        <v>#REF!</v>
      </c>
      <c r="D18" s="137"/>
      <c r="E18" s="138" t="e">
        <f>+#REF!</f>
        <v>#REF!</v>
      </c>
      <c r="F18" s="138" t="e">
        <f t="shared" si="0"/>
        <v>#REF!</v>
      </c>
      <c r="G18" s="123"/>
      <c r="H18" s="124" t="e">
        <v>#REF!</v>
      </c>
      <c r="I18" s="125"/>
    </row>
    <row r="19" spans="1:9" ht="12.75" customHeight="1">
      <c r="A19" s="1820" t="s">
        <v>387</v>
      </c>
      <c r="B19" s="1610"/>
      <c r="C19" s="1610"/>
      <c r="D19" s="1610"/>
      <c r="E19" s="1611"/>
      <c r="F19" s="139" t="e">
        <f>SUM(F10:F18)</f>
        <v>#REF!</v>
      </c>
      <c r="G19" s="123"/>
      <c r="H19" s="124" t="e">
        <f>+F19*1.25</f>
        <v>#REF!</v>
      </c>
      <c r="I19" s="125">
        <v>761767185</v>
      </c>
    </row>
    <row r="20" spans="1:9" ht="12.75" customHeight="1">
      <c r="A20" s="129">
        <v>2</v>
      </c>
      <c r="B20" s="130" t="s">
        <v>35</v>
      </c>
      <c r="C20" s="131"/>
      <c r="D20" s="132"/>
      <c r="E20" s="133"/>
      <c r="F20" s="133"/>
      <c r="G20" s="123"/>
      <c r="H20" s="124"/>
      <c r="I20" s="125"/>
    </row>
    <row r="21" spans="1:9" ht="12.75" customHeight="1">
      <c r="A21" s="140" t="s">
        <v>18</v>
      </c>
      <c r="B21" s="135" t="s">
        <v>388</v>
      </c>
      <c r="C21" s="134" t="s">
        <v>228</v>
      </c>
      <c r="D21" s="137">
        <f>+'MEMORIA DE CANTIDADES BLOQUE 1'!G153</f>
        <v>125.12</v>
      </c>
      <c r="E21" s="138" t="e">
        <f>+'4 - CIMENTACIÓN - CONCRETOS'!G71</f>
        <v>#REF!</v>
      </c>
      <c r="F21" s="138" t="e">
        <f t="shared" ref="F21:F24" si="1">+D21*E21</f>
        <v>#REF!</v>
      </c>
      <c r="G21" s="123"/>
      <c r="H21" s="124">
        <v>62.825500000000005</v>
      </c>
      <c r="I21" s="125"/>
    </row>
    <row r="22" spans="1:9" ht="12.75" hidden="1" customHeight="1">
      <c r="A22" s="140" t="s">
        <v>21</v>
      </c>
      <c r="B22" s="135" t="s">
        <v>389</v>
      </c>
      <c r="C22" s="134" t="s">
        <v>116</v>
      </c>
      <c r="D22" s="137"/>
      <c r="E22" s="138">
        <f>+'4 - CIMENTACIÓN - CONCRETOS'!G109</f>
        <v>732924</v>
      </c>
      <c r="F22" s="138">
        <f t="shared" si="1"/>
        <v>0</v>
      </c>
      <c r="G22" s="123"/>
      <c r="H22" s="124">
        <v>11.908199999999999</v>
      </c>
      <c r="I22" s="125"/>
    </row>
    <row r="23" spans="1:9" ht="12.75" customHeight="1">
      <c r="A23" s="140" t="s">
        <v>23</v>
      </c>
      <c r="B23" s="135" t="e">
        <f ca="1">+_xlfn.SINGLE(#REF!)</f>
        <v>#NAME?</v>
      </c>
      <c r="C23" s="134" t="s">
        <v>116</v>
      </c>
      <c r="D23" s="137">
        <f>+'MEMORIA DE CANTIDADES BLOQUE 3'!G186</f>
        <v>87.29</v>
      </c>
      <c r="E23" s="138">
        <f>+'4 - CIMENTACIÓN - CONCRETOS'!G301</f>
        <v>1229432</v>
      </c>
      <c r="F23" s="138">
        <f t="shared" si="1"/>
        <v>107317119.28</v>
      </c>
      <c r="G23" s="123"/>
      <c r="H23" s="124">
        <v>22.298275000000004</v>
      </c>
      <c r="I23" s="125"/>
    </row>
    <row r="24" spans="1:9" ht="12.75" customHeight="1">
      <c r="A24" s="140" t="s">
        <v>25</v>
      </c>
      <c r="B24" s="135" t="e">
        <f ca="1">+_xlfn.SINGLE(#REF!)</f>
        <v>#NAME?</v>
      </c>
      <c r="C24" s="134" t="s">
        <v>116</v>
      </c>
      <c r="D24" s="137">
        <f>+'MEMORIA DE CANTIDADES BLOQUE 3'!G196</f>
        <v>85.25</v>
      </c>
      <c r="E24" s="138">
        <f>+'4 - CIMENTACIÓN - CONCRETOS'!G334</f>
        <v>1137721</v>
      </c>
      <c r="F24" s="138">
        <f t="shared" si="1"/>
        <v>96990715.25</v>
      </c>
      <c r="G24" s="123"/>
      <c r="H24" s="124">
        <v>21.821112499999998</v>
      </c>
      <c r="I24" s="125"/>
    </row>
    <row r="25" spans="1:9" ht="12.75" customHeight="1">
      <c r="A25" s="140" t="s">
        <v>27</v>
      </c>
      <c r="B25" s="135" t="e">
        <f ca="1">+_xlfn.SINGLE(#REF!)</f>
        <v>#NAME?</v>
      </c>
      <c r="C25" s="134" t="s">
        <v>116</v>
      </c>
      <c r="D25" s="137">
        <f>+'MEMORIA DE CANTIDADES BLOQUE 3'!G207</f>
        <v>0</v>
      </c>
      <c r="E25" s="138" t="e">
        <f>+#REF!</f>
        <v>#REF!</v>
      </c>
      <c r="F25" s="138" t="e">
        <f>+E25*D25</f>
        <v>#REF!</v>
      </c>
      <c r="G25" s="123"/>
      <c r="H25" s="124">
        <v>24.009999999999998</v>
      </c>
      <c r="I25" s="125"/>
    </row>
    <row r="26" spans="1:9" ht="12.75" customHeight="1">
      <c r="A26" s="140" t="s">
        <v>29</v>
      </c>
      <c r="B26" s="135" t="e">
        <f ca="1">+_xlfn.SINGLE(#REF!)</f>
        <v>#NAME?</v>
      </c>
      <c r="C26" s="134" t="s">
        <v>116</v>
      </c>
      <c r="D26" s="137">
        <f>+'MEMORIA DE CANTIDADES BLOQUE 3'!G221</f>
        <v>47.18</v>
      </c>
      <c r="E26" s="138" t="e">
        <f>+#REF!</f>
        <v>#REF!</v>
      </c>
      <c r="F26" s="138" t="e">
        <f>+D26*E26</f>
        <v>#REF!</v>
      </c>
      <c r="G26" s="123"/>
      <c r="H26" s="124">
        <v>10.382240000000001</v>
      </c>
      <c r="I26" s="125"/>
    </row>
    <row r="27" spans="1:9" ht="12.75" hidden="1" customHeight="1">
      <c r="A27" s="140" t="s">
        <v>31</v>
      </c>
      <c r="B27" s="135" t="e">
        <f>+#REF!</f>
        <v>#REF!</v>
      </c>
      <c r="C27" s="134" t="s">
        <v>116</v>
      </c>
      <c r="D27" s="137" t="e">
        <f>+#REF!</f>
        <v>#REF!</v>
      </c>
      <c r="E27" s="138" t="e">
        <f>+#REF!</f>
        <v>#REF!</v>
      </c>
      <c r="F27" s="138" t="e">
        <f t="shared" ref="F27:F31" si="2">+E27*D27</f>
        <v>#REF!</v>
      </c>
      <c r="G27" s="123"/>
      <c r="H27" s="124">
        <v>11.268152499999999</v>
      </c>
      <c r="I27" s="125"/>
    </row>
    <row r="28" spans="1:9" ht="12.75" hidden="1" customHeight="1">
      <c r="A28" s="140" t="s">
        <v>31</v>
      </c>
      <c r="B28" s="135" t="e">
        <f>+#REF!</f>
        <v>#REF!</v>
      </c>
      <c r="C28" s="134" t="s">
        <v>116</v>
      </c>
      <c r="D28" s="137">
        <f>+'MEMORIA DE CANTIDADES BLOQUE 1'!G238</f>
        <v>0</v>
      </c>
      <c r="E28" s="138" t="e">
        <f>+#REF!</f>
        <v>#REF!</v>
      </c>
      <c r="F28" s="138" t="e">
        <f t="shared" si="2"/>
        <v>#REF!</v>
      </c>
      <c r="G28" s="123"/>
      <c r="H28" s="124">
        <v>2.0020000000000007</v>
      </c>
      <c r="I28" s="125"/>
    </row>
    <row r="29" spans="1:9" ht="12.75" customHeight="1">
      <c r="A29" s="140" t="s">
        <v>33</v>
      </c>
      <c r="B29" s="135" t="e">
        <f>+#REF!</f>
        <v>#REF!</v>
      </c>
      <c r="C29" s="134" t="s">
        <v>228</v>
      </c>
      <c r="D29" s="137">
        <f>+'MEMORIA DE CANTIDADES BLOQUE 3'!G261</f>
        <v>3473.3199999999997</v>
      </c>
      <c r="E29" s="138" t="e">
        <f>+#REF!</f>
        <v>#REF!</v>
      </c>
      <c r="F29" s="138" t="e">
        <f t="shared" si="2"/>
        <v>#REF!</v>
      </c>
      <c r="G29" s="123"/>
      <c r="H29" s="124">
        <v>51.15</v>
      </c>
      <c r="I29" s="125"/>
    </row>
    <row r="30" spans="1:9" ht="12.75" hidden="1" customHeight="1">
      <c r="A30" s="140" t="s">
        <v>390</v>
      </c>
      <c r="B30" s="135" t="e">
        <f>+#REF!</f>
        <v>#REF!</v>
      </c>
      <c r="C30" s="134" t="s">
        <v>116</v>
      </c>
      <c r="D30" s="137" t="e">
        <f>+#REF!</f>
        <v>#REF!</v>
      </c>
      <c r="E30" s="138" t="e">
        <f>+#REF!</f>
        <v>#REF!</v>
      </c>
      <c r="F30" s="138" t="e">
        <f t="shared" si="2"/>
        <v>#REF!</v>
      </c>
      <c r="G30" s="123"/>
      <c r="H30" s="124">
        <v>77.600000000000009</v>
      </c>
      <c r="I30" s="125"/>
    </row>
    <row r="31" spans="1:9" ht="29.25" hidden="1" customHeight="1">
      <c r="A31" s="140" t="s">
        <v>391</v>
      </c>
      <c r="B31" s="135" t="e">
        <f>+#REF!</f>
        <v>#REF!</v>
      </c>
      <c r="C31" s="134" t="s">
        <v>228</v>
      </c>
      <c r="D31" s="137" t="e">
        <f>+#REF!</f>
        <v>#REF!</v>
      </c>
      <c r="E31" s="138" t="e">
        <f>+#REF!</f>
        <v>#REF!</v>
      </c>
      <c r="F31" s="138" t="e">
        <f t="shared" si="2"/>
        <v>#REF!</v>
      </c>
      <c r="G31" s="123"/>
      <c r="H31" s="124">
        <v>2.6892</v>
      </c>
      <c r="I31" s="125"/>
    </row>
    <row r="33" spans="1:9" ht="12.75" customHeight="1">
      <c r="A33" s="1820" t="s">
        <v>387</v>
      </c>
      <c r="B33" s="1610"/>
      <c r="C33" s="1610"/>
      <c r="D33" s="1610"/>
      <c r="E33" s="1611"/>
      <c r="F33" s="139" t="e">
        <f>SUM(F21:F32)</f>
        <v>#REF!</v>
      </c>
      <c r="G33" s="123"/>
      <c r="H33" s="124" t="e">
        <f>+F33*1.25</f>
        <v>#REF!</v>
      </c>
      <c r="I33" s="125">
        <v>1735716245</v>
      </c>
    </row>
    <row r="34" spans="1:9" ht="12.75" customHeight="1">
      <c r="A34" s="129">
        <v>3</v>
      </c>
      <c r="B34" s="130" t="s">
        <v>392</v>
      </c>
      <c r="C34" s="131"/>
      <c r="D34" s="132"/>
      <c r="E34" s="133"/>
      <c r="F34" s="133"/>
      <c r="G34" s="123"/>
      <c r="H34" s="124"/>
      <c r="I34" s="125"/>
    </row>
    <row r="35" spans="1:9" ht="12.75" customHeight="1">
      <c r="A35" s="140" t="s">
        <v>36</v>
      </c>
      <c r="B35" s="135" t="e">
        <f>+#REF!</f>
        <v>#REF!</v>
      </c>
      <c r="C35" s="134" t="e">
        <f>+#REF!</f>
        <v>#REF!</v>
      </c>
      <c r="D35" s="137" t="e">
        <f>+'MEMORIA DE CANTIDADES BLOQUE 3'!G294</f>
        <v>#REF!</v>
      </c>
      <c r="E35" s="138">
        <v>14025</v>
      </c>
      <c r="F35" s="138" t="e">
        <f t="shared" ref="F35:F45" si="3">+D35*E35</f>
        <v>#REF!</v>
      </c>
      <c r="G35" s="123"/>
      <c r="H35" s="124">
        <v>11994.447499999998</v>
      </c>
      <c r="I35" s="125"/>
    </row>
    <row r="36" spans="1:9" ht="12.75" customHeight="1">
      <c r="A36" s="140" t="s">
        <v>38</v>
      </c>
      <c r="B36" s="135" t="e">
        <f>+#REF!</f>
        <v>#REF!</v>
      </c>
      <c r="C36" s="134" t="e">
        <f>+#REF!</f>
        <v>#REF!</v>
      </c>
      <c r="D36" s="137" t="e">
        <f>+'MEMORIA DE CANTIDADES BLOQUE 3'!G305</f>
        <v>#REF!</v>
      </c>
      <c r="E36" s="138">
        <v>13725</v>
      </c>
      <c r="F36" s="138" t="e">
        <f t="shared" si="3"/>
        <v>#REF!</v>
      </c>
      <c r="G36" s="123"/>
      <c r="H36" s="124">
        <v>51.15</v>
      </c>
      <c r="I36" s="125"/>
    </row>
    <row r="37" spans="1:9" ht="12.75" customHeight="1">
      <c r="A37" s="140" t="s">
        <v>40</v>
      </c>
      <c r="B37" s="135" t="e">
        <f>+#REF!</f>
        <v>#REF!</v>
      </c>
      <c r="C37" s="134" t="e">
        <f>+#REF!</f>
        <v>#REF!</v>
      </c>
      <c r="D37" s="137" t="e">
        <f>+'MEMORIA DE CANTIDADES BLOQUE 3'!G316</f>
        <v>#REF!</v>
      </c>
      <c r="E37" s="138">
        <v>9745</v>
      </c>
      <c r="F37" s="138" t="e">
        <f t="shared" si="3"/>
        <v>#REF!</v>
      </c>
      <c r="G37" s="123"/>
      <c r="H37" s="124">
        <v>23134.035858076797</v>
      </c>
      <c r="I37" s="125"/>
    </row>
    <row r="38" spans="1:9" ht="12.75" customHeight="1">
      <c r="A38" s="140" t="s">
        <v>42</v>
      </c>
      <c r="B38" s="135" t="e">
        <f>+#REF!</f>
        <v>#REF!</v>
      </c>
      <c r="C38" s="134" t="e">
        <f>+#REF!</f>
        <v>#REF!</v>
      </c>
      <c r="D38" s="137" t="e">
        <f>+'MEMORIA DE CANTIDADES BLOQUE 3'!G327</f>
        <v>#REF!</v>
      </c>
      <c r="E38" s="138">
        <v>8644</v>
      </c>
      <c r="F38" s="138" t="e">
        <f t="shared" si="3"/>
        <v>#REF!</v>
      </c>
      <c r="G38" s="123"/>
      <c r="H38" s="124" t="e">
        <v>#REF!</v>
      </c>
      <c r="I38" s="125"/>
    </row>
    <row r="39" spans="1:9" ht="12.75" customHeight="1">
      <c r="A39" s="140" t="s">
        <v>45</v>
      </c>
      <c r="B39" s="135" t="e">
        <f ca="1">+_xlfn.SINGLE(#REF!)</f>
        <v>#NAME?</v>
      </c>
      <c r="C39" s="134" t="e">
        <f>+#REF!</f>
        <v>#REF!</v>
      </c>
      <c r="D39" s="137">
        <f>+'MEMORIA DE CANTIDADES BLOQUE 3'!G338</f>
        <v>29288.86</v>
      </c>
      <c r="E39" s="138" t="e">
        <f>+#REF!</f>
        <v>#REF!</v>
      </c>
      <c r="F39" s="138" t="e">
        <f t="shared" si="3"/>
        <v>#REF!</v>
      </c>
      <c r="G39" s="123"/>
      <c r="H39" s="124" t="e">
        <v>#REF!</v>
      </c>
      <c r="I39" s="125"/>
    </row>
    <row r="40" spans="1:9" ht="12.75" customHeight="1">
      <c r="A40" s="140" t="s">
        <v>155</v>
      </c>
      <c r="B40" s="135" t="e">
        <f ca="1">+_xlfn.SINGLE(#REF!)</f>
        <v>#NAME?</v>
      </c>
      <c r="C40" s="134" t="e">
        <f>+#REF!</f>
        <v>#REF!</v>
      </c>
      <c r="D40" s="137" t="e">
        <f>+'MEMORIA DE CANTIDADES BLOQUE 3'!G348</f>
        <v>#REF!</v>
      </c>
      <c r="E40" s="138">
        <v>62475</v>
      </c>
      <c r="F40" s="138" t="e">
        <f t="shared" si="3"/>
        <v>#REF!</v>
      </c>
      <c r="G40" s="123"/>
      <c r="H40" s="124" t="e">
        <v>#REF!</v>
      </c>
      <c r="I40" s="125"/>
    </row>
    <row r="41" spans="1:9" ht="12.75" customHeight="1">
      <c r="A41" s="140" t="s">
        <v>393</v>
      </c>
      <c r="B41" s="135" t="e">
        <f ca="1">+_xlfn.SINGLE(#REF!)</f>
        <v>#NAME?</v>
      </c>
      <c r="C41" s="134" t="e">
        <f>+#REF!</f>
        <v>#REF!</v>
      </c>
      <c r="D41" s="137" t="e">
        <f>+'MEMORIA DE CANTIDADES BLOQUE 3'!G358</f>
        <v>#REF!</v>
      </c>
      <c r="E41" s="138">
        <v>51450</v>
      </c>
      <c r="F41" s="138" t="e">
        <f t="shared" si="3"/>
        <v>#REF!</v>
      </c>
      <c r="G41" s="123"/>
      <c r="H41" s="124">
        <v>172.8</v>
      </c>
      <c r="I41" s="125"/>
    </row>
    <row r="42" spans="1:9" ht="12.75" customHeight="1">
      <c r="A42" s="140" t="s">
        <v>394</v>
      </c>
      <c r="B42" s="135" t="e">
        <f>+#REF!</f>
        <v>#REF!</v>
      </c>
      <c r="C42" s="134" t="s">
        <v>228</v>
      </c>
      <c r="D42" s="137" t="e">
        <f>+'MEMORIA DE CANTIDADES BLOQUE 3'!G405</f>
        <v>#REF!</v>
      </c>
      <c r="E42" s="138">
        <f>+'7 - ESTRUCTURA CUBIERTA'!G232</f>
        <v>229000</v>
      </c>
      <c r="F42" s="138" t="e">
        <f t="shared" si="3"/>
        <v>#REF!</v>
      </c>
      <c r="G42" s="123"/>
      <c r="H42" s="124">
        <v>172.8</v>
      </c>
      <c r="I42" s="125"/>
    </row>
    <row r="43" spans="1:9" ht="12.75" hidden="1" customHeight="1">
      <c r="A43" s="140" t="s">
        <v>395</v>
      </c>
      <c r="B43" s="135" t="e">
        <f>+#REF!</f>
        <v>#REF!</v>
      </c>
      <c r="C43" s="134" t="s">
        <v>228</v>
      </c>
      <c r="D43" s="137"/>
      <c r="E43" s="138">
        <f>+'7 - ESTRUCTURA CUBIERTA'!G271</f>
        <v>230364</v>
      </c>
      <c r="F43" s="138">
        <f t="shared" si="3"/>
        <v>0</v>
      </c>
      <c r="G43" s="123"/>
      <c r="H43" s="124">
        <v>28.1</v>
      </c>
      <c r="I43" s="125"/>
    </row>
    <row r="44" spans="1:9" ht="12.75" hidden="1" customHeight="1">
      <c r="A44" s="140" t="s">
        <v>396</v>
      </c>
      <c r="B44" s="135" t="e">
        <f>+#REF!</f>
        <v>#REF!</v>
      </c>
      <c r="C44" s="134" t="e">
        <f>+#REF!</f>
        <v>#REF!</v>
      </c>
      <c r="D44" s="137"/>
      <c r="E44" s="138">
        <v>175425</v>
      </c>
      <c r="F44" s="138">
        <f t="shared" si="3"/>
        <v>0</v>
      </c>
      <c r="G44" s="123"/>
      <c r="H44" s="124">
        <v>24.6</v>
      </c>
      <c r="I44" s="125"/>
    </row>
    <row r="45" spans="1:9" ht="12.75" hidden="1" customHeight="1">
      <c r="A45" s="140" t="s">
        <v>397</v>
      </c>
      <c r="B45" s="135" t="s">
        <v>398</v>
      </c>
      <c r="C45" s="134" t="s">
        <v>120</v>
      </c>
      <c r="D45" s="137"/>
      <c r="E45" s="138">
        <v>123769</v>
      </c>
      <c r="F45" s="138">
        <f t="shared" si="3"/>
        <v>0</v>
      </c>
      <c r="G45" s="123"/>
      <c r="H45" s="124">
        <v>24.6</v>
      </c>
      <c r="I45" s="125"/>
    </row>
    <row r="46" spans="1:9" ht="12.75" hidden="1" customHeight="1">
      <c r="A46" s="140" t="s">
        <v>393</v>
      </c>
      <c r="B46" s="135" t="s">
        <v>399</v>
      </c>
      <c r="C46" s="134" t="s">
        <v>228</v>
      </c>
      <c r="D46" s="137"/>
      <c r="E46" s="138">
        <v>48207</v>
      </c>
      <c r="F46" s="138">
        <f t="shared" ref="F46:F49" si="4">+E46*D46</f>
        <v>0</v>
      </c>
      <c r="G46" s="123"/>
      <c r="H46" s="124">
        <v>1428.864</v>
      </c>
      <c r="I46" s="125"/>
    </row>
    <row r="47" spans="1:9" ht="12.75" hidden="1" customHeight="1">
      <c r="A47" s="140" t="s">
        <v>394</v>
      </c>
      <c r="B47" s="135" t="s">
        <v>400</v>
      </c>
      <c r="C47" s="134" t="s">
        <v>120</v>
      </c>
      <c r="D47" s="137"/>
      <c r="E47" s="138">
        <v>70099</v>
      </c>
      <c r="F47" s="138">
        <f t="shared" si="4"/>
        <v>0</v>
      </c>
      <c r="G47" s="123"/>
      <c r="H47" s="124">
        <v>36.6</v>
      </c>
      <c r="I47" s="125"/>
    </row>
    <row r="48" spans="1:9" ht="12.75" customHeight="1">
      <c r="A48" s="140" t="s">
        <v>401</v>
      </c>
      <c r="B48" s="135" t="s">
        <v>402</v>
      </c>
      <c r="C48" s="134" t="s">
        <v>120</v>
      </c>
      <c r="D48" s="141">
        <f>+'MEMORIA DE CANTIDADES BLOQUE 3'!G501</f>
        <v>163.15</v>
      </c>
      <c r="E48" s="138">
        <v>75354</v>
      </c>
      <c r="F48" s="138">
        <f t="shared" si="4"/>
        <v>12294005.1</v>
      </c>
      <c r="G48" s="123"/>
      <c r="H48" s="124">
        <v>73.2</v>
      </c>
      <c r="I48" s="125"/>
    </row>
    <row r="49" spans="1:9" ht="12.75" customHeight="1">
      <c r="A49" s="140" t="s">
        <v>403</v>
      </c>
      <c r="B49" s="135" t="s">
        <v>404</v>
      </c>
      <c r="C49" s="134" t="s">
        <v>120</v>
      </c>
      <c r="D49" s="142">
        <f>+'MEMORIA DE CANTIDADES BLOQUE 3'!G515</f>
        <v>284.64999999999998</v>
      </c>
      <c r="E49" s="138">
        <v>27286</v>
      </c>
      <c r="F49" s="138">
        <f t="shared" si="4"/>
        <v>7766959.8999999994</v>
      </c>
      <c r="G49" s="123"/>
      <c r="H49" s="124">
        <v>68</v>
      </c>
      <c r="I49" s="125"/>
    </row>
    <row r="50" spans="1:9" ht="12.75" customHeight="1">
      <c r="A50" s="1809" t="s">
        <v>387</v>
      </c>
      <c r="B50" s="1601"/>
      <c r="C50" s="1601"/>
      <c r="D50" s="1601"/>
      <c r="E50" s="1801"/>
      <c r="F50" s="143" t="e">
        <f>SUM(F35:F49)</f>
        <v>#REF!</v>
      </c>
      <c r="G50" s="123"/>
      <c r="H50" s="124" t="e">
        <f>+F50*1.25</f>
        <v>#REF!</v>
      </c>
      <c r="I50" s="125"/>
    </row>
    <row r="51" spans="1:9" ht="12.75" customHeight="1">
      <c r="A51" s="129">
        <v>4</v>
      </c>
      <c r="B51" s="144" t="s">
        <v>405</v>
      </c>
      <c r="C51" s="145"/>
      <c r="D51" s="146"/>
      <c r="E51" s="133"/>
      <c r="F51" s="133"/>
      <c r="G51" s="123"/>
      <c r="H51" s="124"/>
      <c r="I51" s="125"/>
    </row>
    <row r="52" spans="1:9" ht="12.75" customHeight="1">
      <c r="A52" s="134" t="s">
        <v>48</v>
      </c>
      <c r="B52" s="135" t="e">
        <f ca="1">+_xlfn.SINGLE(#REF!)</f>
        <v>#NAME?</v>
      </c>
      <c r="C52" s="134" t="s">
        <v>228</v>
      </c>
      <c r="D52" s="137">
        <f>+'MEMORIA DE CANTIDADES BLOQUE 3'!G554</f>
        <v>4833.51</v>
      </c>
      <c r="E52" s="138">
        <f>+'8 - PISOS - CONCRETO-ENCHAPES'!G1971</f>
        <v>110066</v>
      </c>
      <c r="F52" s="138">
        <f>+E52*D52</f>
        <v>532005111.66000003</v>
      </c>
      <c r="G52" s="123"/>
      <c r="H52" s="124">
        <v>131.23000000000002</v>
      </c>
      <c r="I52" s="125"/>
    </row>
    <row r="53" spans="1:9" ht="12.75" customHeight="1">
      <c r="A53" s="134" t="s">
        <v>51</v>
      </c>
      <c r="B53" s="135" t="e">
        <f>+#REF!</f>
        <v>#REF!</v>
      </c>
      <c r="C53" s="134" t="s">
        <v>228</v>
      </c>
      <c r="D53" s="137">
        <f>+'MEMORIA DE CANTIDADES BLOQUE 3'!G572</f>
        <v>50.75</v>
      </c>
      <c r="E53" s="138">
        <f>+'8 - PISOS - CONCRETO-ENCHAPES'!G1775</f>
        <v>71206</v>
      </c>
      <c r="F53" s="138">
        <f t="shared" ref="F53:F66" si="5">+D53*E53</f>
        <v>3613704.5</v>
      </c>
      <c r="G53" s="123"/>
      <c r="H53" s="124">
        <v>196.643</v>
      </c>
      <c r="I53" s="125"/>
    </row>
    <row r="54" spans="1:9" ht="12.75" customHeight="1">
      <c r="A54" s="134" t="s">
        <v>156</v>
      </c>
      <c r="B54" s="135" t="s">
        <v>943</v>
      </c>
      <c r="C54" s="134" t="str">
        <f t="shared" ref="C54:C58" si="6">+C53</f>
        <v>M2</v>
      </c>
      <c r="D54" s="137">
        <v>3288.42</v>
      </c>
      <c r="E54" s="138">
        <v>167450</v>
      </c>
      <c r="F54" s="138">
        <f t="shared" si="5"/>
        <v>550645929</v>
      </c>
      <c r="G54" s="123"/>
      <c r="H54" s="124">
        <v>39.269999999999996</v>
      </c>
      <c r="I54" s="125"/>
    </row>
    <row r="55" spans="1:9" ht="12.75" customHeight="1">
      <c r="A55" s="134" t="s">
        <v>156</v>
      </c>
      <c r="B55" s="135" t="s">
        <v>407</v>
      </c>
      <c r="C55" s="134" t="str">
        <f t="shared" si="6"/>
        <v>M2</v>
      </c>
      <c r="D55" s="137"/>
      <c r="E55" s="138">
        <v>61350</v>
      </c>
      <c r="F55" s="138">
        <f t="shared" si="5"/>
        <v>0</v>
      </c>
      <c r="G55" s="123"/>
      <c r="H55" s="124" t="e">
        <v>#REF!</v>
      </c>
      <c r="I55" s="125"/>
    </row>
    <row r="56" spans="1:9" ht="12.75" customHeight="1">
      <c r="A56" s="134" t="s">
        <v>159</v>
      </c>
      <c r="B56" s="135" t="s">
        <v>408</v>
      </c>
      <c r="C56" s="134" t="str">
        <f t="shared" si="6"/>
        <v>M2</v>
      </c>
      <c r="D56" s="137">
        <v>739.88</v>
      </c>
      <c r="E56" s="138">
        <v>59475</v>
      </c>
      <c r="F56" s="138">
        <f t="shared" si="5"/>
        <v>44004363</v>
      </c>
      <c r="G56" s="123"/>
      <c r="H56" s="124" t="e">
        <v>#REF!</v>
      </c>
      <c r="I56" s="125"/>
    </row>
    <row r="57" spans="1:9" ht="12.75" customHeight="1">
      <c r="A57" s="134" t="s">
        <v>160</v>
      </c>
      <c r="B57" s="135" t="s">
        <v>409</v>
      </c>
      <c r="C57" s="134" t="str">
        <f t="shared" si="6"/>
        <v>M2</v>
      </c>
      <c r="D57" s="137"/>
      <c r="E57" s="138">
        <v>72450</v>
      </c>
      <c r="F57" s="138">
        <f t="shared" si="5"/>
        <v>0</v>
      </c>
      <c r="G57" s="123"/>
      <c r="H57" s="124">
        <v>39.269999999999996</v>
      </c>
      <c r="I57" s="125"/>
    </row>
    <row r="58" spans="1:9" ht="12.75" customHeight="1">
      <c r="A58" s="134" t="s">
        <v>161</v>
      </c>
      <c r="B58" s="135" t="s">
        <v>410</v>
      </c>
      <c r="C58" s="134" t="str">
        <f t="shared" si="6"/>
        <v>M2</v>
      </c>
      <c r="D58" s="137"/>
      <c r="E58" s="138">
        <v>142540</v>
      </c>
      <c r="F58" s="138">
        <f t="shared" si="5"/>
        <v>0</v>
      </c>
      <c r="G58" s="123"/>
      <c r="H58" s="124" t="e">
        <v>#REF!</v>
      </c>
      <c r="I58" s="125"/>
    </row>
    <row r="59" spans="1:9" ht="11.25" customHeight="1">
      <c r="A59" s="134" t="s">
        <v>157</v>
      </c>
      <c r="B59" s="135" t="s">
        <v>411</v>
      </c>
      <c r="C59" s="134" t="str">
        <f>+C54</f>
        <v>M2</v>
      </c>
      <c r="D59" s="137">
        <v>59.72</v>
      </c>
      <c r="E59" s="138">
        <v>58450</v>
      </c>
      <c r="F59" s="138">
        <f t="shared" si="5"/>
        <v>3490634</v>
      </c>
      <c r="G59" s="123"/>
      <c r="H59" s="124">
        <v>532</v>
      </c>
      <c r="I59" s="125"/>
    </row>
    <row r="60" spans="1:9" ht="12.75" customHeight="1">
      <c r="A60" s="134" t="s">
        <v>158</v>
      </c>
      <c r="B60" s="135" t="s">
        <v>412</v>
      </c>
      <c r="C60" s="134" t="str">
        <f t="shared" ref="C60:C64" si="7">+C59</f>
        <v>M2</v>
      </c>
      <c r="D60" s="137"/>
      <c r="E60" s="138">
        <f>+'8 - PISOS - CONCRETO-ENCHAPES'!G1125</f>
        <v>61572</v>
      </c>
      <c r="F60" s="138">
        <f t="shared" si="5"/>
        <v>0</v>
      </c>
      <c r="G60" s="123"/>
      <c r="H60" s="124">
        <v>433.3</v>
      </c>
      <c r="I60" s="125"/>
    </row>
    <row r="61" spans="1:9" ht="12.75" customHeight="1">
      <c r="A61" s="134" t="s">
        <v>159</v>
      </c>
      <c r="B61" s="135" t="s">
        <v>413</v>
      </c>
      <c r="C61" s="134" t="str">
        <f t="shared" si="7"/>
        <v>M2</v>
      </c>
      <c r="D61" s="137">
        <v>414.68</v>
      </c>
      <c r="E61" s="138">
        <v>62450</v>
      </c>
      <c r="F61" s="138">
        <f t="shared" si="5"/>
        <v>25896766</v>
      </c>
      <c r="G61" s="123"/>
      <c r="H61" s="124">
        <v>114.66</v>
      </c>
      <c r="I61" s="125"/>
    </row>
    <row r="62" spans="1:9" ht="12.75" customHeight="1">
      <c r="A62" s="134" t="s">
        <v>160</v>
      </c>
      <c r="B62" s="135" t="s">
        <v>977</v>
      </c>
      <c r="C62" s="134" t="str">
        <f t="shared" si="7"/>
        <v>M2</v>
      </c>
      <c r="D62" s="137">
        <v>330.81</v>
      </c>
      <c r="E62" s="138">
        <v>102425</v>
      </c>
      <c r="F62" s="138">
        <f t="shared" si="5"/>
        <v>33883214.25</v>
      </c>
      <c r="G62" s="123"/>
      <c r="H62" s="124">
        <v>62.190000000000005</v>
      </c>
      <c r="I62" s="125"/>
    </row>
    <row r="63" spans="1:9" ht="12.75" customHeight="1">
      <c r="A63" s="134" t="s">
        <v>159</v>
      </c>
      <c r="B63" s="135" t="s">
        <v>415</v>
      </c>
      <c r="C63" s="134" t="str">
        <f t="shared" si="7"/>
        <v>M2</v>
      </c>
      <c r="D63" s="137"/>
      <c r="E63" s="138">
        <v>94450</v>
      </c>
      <c r="F63" s="138">
        <f t="shared" si="5"/>
        <v>0</v>
      </c>
      <c r="G63" s="123"/>
      <c r="H63" s="124">
        <v>81.983000000000004</v>
      </c>
      <c r="I63" s="125"/>
    </row>
    <row r="64" spans="1:9" ht="12.75" customHeight="1">
      <c r="A64" s="134" t="s">
        <v>160</v>
      </c>
      <c r="B64" s="135" t="s">
        <v>416</v>
      </c>
      <c r="C64" s="134" t="str">
        <f t="shared" si="7"/>
        <v>M2</v>
      </c>
      <c r="D64" s="137"/>
      <c r="E64" s="138">
        <v>136780</v>
      </c>
      <c r="F64" s="138">
        <f t="shared" si="5"/>
        <v>0</v>
      </c>
      <c r="G64" s="123"/>
      <c r="H64" s="124">
        <v>117.8104</v>
      </c>
      <c r="I64" s="125"/>
    </row>
    <row r="65" spans="1:9" ht="12.75" customHeight="1">
      <c r="A65" s="134" t="s">
        <v>161</v>
      </c>
      <c r="B65" s="135" t="s">
        <v>417</v>
      </c>
      <c r="C65" s="134" t="str">
        <f>+C62</f>
        <v>M2</v>
      </c>
      <c r="D65" s="137">
        <v>1442.04</v>
      </c>
      <c r="E65" s="138">
        <v>14750</v>
      </c>
      <c r="F65" s="138">
        <f t="shared" si="5"/>
        <v>21270090</v>
      </c>
      <c r="G65" s="123"/>
      <c r="H65" s="124">
        <v>81.983000000000004</v>
      </c>
      <c r="I65" s="125"/>
    </row>
    <row r="66" spans="1:9" ht="12.75" customHeight="1">
      <c r="A66" s="134" t="s">
        <v>162</v>
      </c>
      <c r="B66" s="135" t="s">
        <v>418</v>
      </c>
      <c r="C66" s="134" t="str">
        <f>+C65</f>
        <v>M2</v>
      </c>
      <c r="D66" s="147">
        <v>770.34</v>
      </c>
      <c r="E66" s="148">
        <v>52480</v>
      </c>
      <c r="F66" s="148">
        <f t="shared" si="5"/>
        <v>40427443.200000003</v>
      </c>
      <c r="G66" s="123"/>
      <c r="H66" s="124">
        <v>117.8104</v>
      </c>
      <c r="I66" s="125"/>
    </row>
    <row r="67" spans="1:9" ht="12.75" customHeight="1">
      <c r="A67" s="1809" t="s">
        <v>387</v>
      </c>
      <c r="B67" s="1601"/>
      <c r="C67" s="1601"/>
      <c r="D67" s="1601"/>
      <c r="E67" s="1801"/>
      <c r="F67" s="143">
        <f>SUM(F52:F66)</f>
        <v>1255237255.6100001</v>
      </c>
      <c r="G67" s="123"/>
      <c r="H67" s="124">
        <f>+F67*1.25</f>
        <v>1569046569.5125003</v>
      </c>
      <c r="I67" s="125">
        <v>521796964</v>
      </c>
    </row>
    <row r="68" spans="1:9" ht="12.75" customHeight="1">
      <c r="A68" s="129">
        <v>5</v>
      </c>
      <c r="B68" s="144" t="s">
        <v>419</v>
      </c>
      <c r="C68" s="145"/>
      <c r="D68" s="146"/>
      <c r="E68" s="133"/>
      <c r="F68" s="133"/>
      <c r="G68" s="123"/>
      <c r="H68" s="124"/>
      <c r="I68" s="125"/>
    </row>
    <row r="69" spans="1:9" ht="12.75" customHeight="1">
      <c r="A69" s="134" t="s">
        <v>54</v>
      </c>
      <c r="B69" s="135" t="e">
        <f>+#REF!</f>
        <v>#REF!</v>
      </c>
      <c r="C69" s="134" t="s">
        <v>228</v>
      </c>
      <c r="D69" s="137">
        <v>2470.5</v>
      </c>
      <c r="E69" s="138">
        <f>+'6 - MAMPOSTERIA - ESTRUCT. ESP.'!G68</f>
        <v>54799</v>
      </c>
      <c r="F69" s="138">
        <f t="shared" ref="F69:F71" si="8">+E69*D69</f>
        <v>135380929.5</v>
      </c>
      <c r="G69" s="123"/>
      <c r="H69" s="124">
        <v>279.84800000000001</v>
      </c>
      <c r="I69" s="125"/>
    </row>
    <row r="70" spans="1:9" ht="12.75" customHeight="1">
      <c r="A70" s="134" t="s">
        <v>294</v>
      </c>
      <c r="B70" s="135" t="s">
        <v>420</v>
      </c>
      <c r="C70" s="134" t="s">
        <v>228</v>
      </c>
      <c r="D70" s="137">
        <v>702</v>
      </c>
      <c r="E70" s="138">
        <f>+'6 - MAMPOSTERIA - ESTRUCT. ESP.'!G228</f>
        <v>102430</v>
      </c>
      <c r="F70" s="138">
        <f t="shared" si="8"/>
        <v>71905860</v>
      </c>
      <c r="G70" s="123"/>
      <c r="H70" s="124">
        <v>138</v>
      </c>
      <c r="I70" s="125">
        <v>94450</v>
      </c>
    </row>
    <row r="71" spans="1:9" ht="12.75" customHeight="1">
      <c r="A71" s="134" t="s">
        <v>421</v>
      </c>
      <c r="B71" s="135" t="s">
        <v>422</v>
      </c>
      <c r="C71" s="134" t="s">
        <v>228</v>
      </c>
      <c r="D71" s="137">
        <v>4941</v>
      </c>
      <c r="E71" s="138">
        <f>+'9 - PAÑETES - PINTURA'!G37</f>
        <v>36485</v>
      </c>
      <c r="F71" s="138">
        <f t="shared" si="8"/>
        <v>180272385</v>
      </c>
      <c r="G71" s="123"/>
      <c r="H71" s="124">
        <v>491.49600000000004</v>
      </c>
      <c r="I71" s="125"/>
    </row>
    <row r="72" spans="1:9" ht="12.75" customHeight="1">
      <c r="A72" s="1809" t="s">
        <v>387</v>
      </c>
      <c r="B72" s="1601"/>
      <c r="C72" s="1601"/>
      <c r="D72" s="1601"/>
      <c r="E72" s="1801"/>
      <c r="F72" s="143">
        <f>SUM(F69:F71)</f>
        <v>387559174.5</v>
      </c>
      <c r="G72" s="123"/>
      <c r="H72" s="124">
        <f>+F72*1.25</f>
        <v>484448968.125</v>
      </c>
      <c r="I72" s="125"/>
    </row>
    <row r="73" spans="1:9" ht="12.75" customHeight="1">
      <c r="A73" s="129">
        <v>6</v>
      </c>
      <c r="B73" s="144" t="s">
        <v>423</v>
      </c>
      <c r="C73" s="145"/>
      <c r="D73" s="146"/>
      <c r="E73" s="133"/>
      <c r="F73" s="133"/>
      <c r="G73" s="123"/>
      <c r="H73" s="124"/>
      <c r="I73" s="125"/>
    </row>
    <row r="74" spans="1:9" ht="12.75" customHeight="1">
      <c r="A74" s="134" t="s">
        <v>58</v>
      </c>
      <c r="B74" s="135" t="s">
        <v>424</v>
      </c>
      <c r="C74" s="134" t="s">
        <v>228</v>
      </c>
      <c r="D74" s="137">
        <f>4940.96*0.85</f>
        <v>4199.8159999999998</v>
      </c>
      <c r="E74" s="138">
        <f>+'9 - PAÑETES - PINTURA'!$G$305</f>
        <v>17361</v>
      </c>
      <c r="F74" s="138">
        <f>+E74*D74</f>
        <v>72913005.57599999</v>
      </c>
      <c r="G74" s="123"/>
      <c r="H74" s="124"/>
      <c r="I74" s="125"/>
    </row>
    <row r="75" spans="1:9" ht="12.75" customHeight="1">
      <c r="A75" s="134" t="s">
        <v>60</v>
      </c>
      <c r="B75" s="135" t="s">
        <v>425</v>
      </c>
      <c r="C75" s="134" t="s">
        <v>228</v>
      </c>
      <c r="D75" s="137">
        <f>4940.96*0.15</f>
        <v>741.14400000000001</v>
      </c>
      <c r="E75" s="138">
        <f>+'9 - PAÑETES - PINTURA'!$G$433</f>
        <v>38300</v>
      </c>
      <c r="F75" s="138">
        <f t="shared" ref="F75:F87" si="9">+D75*E75</f>
        <v>28385815.199999999</v>
      </c>
      <c r="G75" s="123"/>
      <c r="H75" s="124"/>
      <c r="I75" s="125"/>
    </row>
    <row r="76" spans="1:9" ht="12.75" customHeight="1">
      <c r="A76" s="134" t="s">
        <v>62</v>
      </c>
      <c r="B76" s="135" t="s">
        <v>426</v>
      </c>
      <c r="C76" s="134" t="s">
        <v>228</v>
      </c>
      <c r="D76" s="137">
        <v>3280.95</v>
      </c>
      <c r="E76" s="138">
        <v>37121</v>
      </c>
      <c r="F76" s="138">
        <f t="shared" si="9"/>
        <v>121792144.94999999</v>
      </c>
      <c r="G76" s="123"/>
      <c r="H76" s="124"/>
      <c r="I76" s="125"/>
    </row>
    <row r="77" spans="1:9" ht="12.75" customHeight="1">
      <c r="A77" s="134" t="s">
        <v>64</v>
      </c>
      <c r="B77" s="135" t="s">
        <v>427</v>
      </c>
      <c r="C77" s="134" t="s">
        <v>228</v>
      </c>
      <c r="D77" s="137">
        <v>80</v>
      </c>
      <c r="E77" s="138">
        <v>345450</v>
      </c>
      <c r="F77" s="138">
        <f t="shared" si="9"/>
        <v>27636000</v>
      </c>
      <c r="G77" s="123"/>
      <c r="H77" s="124"/>
      <c r="I77" s="125"/>
    </row>
    <row r="78" spans="1:9" ht="12.75" customHeight="1">
      <c r="A78" s="134" t="s">
        <v>300</v>
      </c>
      <c r="B78" s="135" t="s">
        <v>428</v>
      </c>
      <c r="C78" s="134" t="str">
        <f t="shared" ref="C78:C79" si="10">+C77</f>
        <v>M2</v>
      </c>
      <c r="D78" s="137">
        <v>85</v>
      </c>
      <c r="E78" s="138">
        <v>264575</v>
      </c>
      <c r="F78" s="138">
        <f t="shared" si="9"/>
        <v>22488875</v>
      </c>
      <c r="G78" s="123"/>
      <c r="H78" s="124"/>
      <c r="I78" s="125"/>
    </row>
    <row r="79" spans="1:9" ht="12.75" customHeight="1">
      <c r="A79" s="134" t="s">
        <v>66</v>
      </c>
      <c r="B79" s="135" t="s">
        <v>429</v>
      </c>
      <c r="C79" s="134" t="str">
        <f t="shared" si="10"/>
        <v>M2</v>
      </c>
      <c r="D79" s="137">
        <v>4.8</v>
      </c>
      <c r="E79" s="138">
        <v>425850</v>
      </c>
      <c r="F79" s="138">
        <f t="shared" si="9"/>
        <v>2044080</v>
      </c>
      <c r="G79" s="123"/>
      <c r="H79" s="124"/>
      <c r="I79" s="125"/>
    </row>
    <row r="80" spans="1:9" ht="12.75" customHeight="1">
      <c r="A80" s="134" t="s">
        <v>303</v>
      </c>
      <c r="B80" s="135" t="s">
        <v>430</v>
      </c>
      <c r="C80" s="134" t="s">
        <v>228</v>
      </c>
      <c r="D80" s="137">
        <v>5.9219996861650213</v>
      </c>
      <c r="E80" s="138">
        <v>675450</v>
      </c>
      <c r="F80" s="138">
        <f t="shared" si="9"/>
        <v>4000014.6880201637</v>
      </c>
      <c r="G80" s="123"/>
      <c r="H80" s="124"/>
      <c r="I80" s="125"/>
    </row>
    <row r="81" spans="1:9" ht="12.75" customHeight="1">
      <c r="A81" s="134" t="s">
        <v>305</v>
      </c>
      <c r="B81" s="135" t="s">
        <v>432</v>
      </c>
      <c r="C81" s="134" t="s">
        <v>228</v>
      </c>
      <c r="D81" s="137">
        <v>104.34</v>
      </c>
      <c r="E81" s="138">
        <v>298088</v>
      </c>
      <c r="F81" s="138">
        <f t="shared" si="9"/>
        <v>31102501.920000002</v>
      </c>
      <c r="G81" s="123"/>
      <c r="H81" s="124"/>
      <c r="I81" s="125"/>
    </row>
    <row r="82" spans="1:9" ht="12.75" customHeight="1">
      <c r="A82" s="134" t="s">
        <v>307</v>
      </c>
      <c r="B82" s="135" t="s">
        <v>433</v>
      </c>
      <c r="C82" s="134" t="s">
        <v>228</v>
      </c>
      <c r="D82" s="137">
        <v>0</v>
      </c>
      <c r="E82" s="138">
        <v>645450</v>
      </c>
      <c r="F82" s="138">
        <f t="shared" si="9"/>
        <v>0</v>
      </c>
      <c r="G82" s="123"/>
      <c r="H82" s="124"/>
      <c r="I82" s="125"/>
    </row>
    <row r="83" spans="1:9" ht="12.75" customHeight="1">
      <c r="A83" s="134" t="s">
        <v>309</v>
      </c>
      <c r="B83" s="135" t="s">
        <v>434</v>
      </c>
      <c r="C83" s="134" t="s">
        <v>127</v>
      </c>
      <c r="D83" s="137">
        <v>0</v>
      </c>
      <c r="E83" s="138">
        <v>347540</v>
      </c>
      <c r="F83" s="138">
        <f t="shared" si="9"/>
        <v>0</v>
      </c>
      <c r="G83" s="123"/>
      <c r="H83" s="124"/>
      <c r="I83" s="125"/>
    </row>
    <row r="84" spans="1:9" ht="12.75" customHeight="1">
      <c r="A84" s="134" t="s">
        <v>311</v>
      </c>
      <c r="B84" s="135" t="s">
        <v>435</v>
      </c>
      <c r="C84" s="134" t="s">
        <v>127</v>
      </c>
      <c r="D84" s="137">
        <v>0</v>
      </c>
      <c r="E84" s="138">
        <v>947850</v>
      </c>
      <c r="F84" s="138">
        <f t="shared" si="9"/>
        <v>0</v>
      </c>
      <c r="G84" s="123"/>
      <c r="H84" s="124"/>
      <c r="I84" s="125"/>
    </row>
    <row r="85" spans="1:9" ht="12.75" customHeight="1">
      <c r="A85" s="134" t="s">
        <v>313</v>
      </c>
      <c r="B85" s="135" t="s">
        <v>436</v>
      </c>
      <c r="C85" s="134" t="s">
        <v>127</v>
      </c>
      <c r="D85" s="137">
        <v>26</v>
      </c>
      <c r="E85" s="138">
        <v>274550</v>
      </c>
      <c r="F85" s="138">
        <f t="shared" si="9"/>
        <v>7138300</v>
      </c>
      <c r="G85" s="123"/>
      <c r="H85" s="124"/>
      <c r="I85" s="125"/>
    </row>
    <row r="86" spans="1:9" ht="12.75" customHeight="1">
      <c r="A86" s="134" t="s">
        <v>315</v>
      </c>
      <c r="B86" s="135" t="s">
        <v>439</v>
      </c>
      <c r="C86" s="134" t="s">
        <v>127</v>
      </c>
      <c r="D86" s="137">
        <v>1</v>
      </c>
      <c r="E86" s="138">
        <v>3475450</v>
      </c>
      <c r="F86" s="138">
        <f t="shared" si="9"/>
        <v>3475450</v>
      </c>
      <c r="G86" s="123"/>
      <c r="H86" s="124"/>
      <c r="I86" s="125"/>
    </row>
    <row r="87" spans="1:9" ht="12.75" customHeight="1">
      <c r="A87" s="134" t="s">
        <v>317</v>
      </c>
      <c r="B87" s="135" t="s">
        <v>441</v>
      </c>
      <c r="C87" s="134" t="s">
        <v>127</v>
      </c>
      <c r="D87" s="137">
        <v>7</v>
      </c>
      <c r="E87" s="138">
        <v>475450</v>
      </c>
      <c r="F87" s="138">
        <f t="shared" si="9"/>
        <v>3328150</v>
      </c>
      <c r="G87" s="123"/>
      <c r="H87" s="124"/>
      <c r="I87" s="125"/>
    </row>
    <row r="88" spans="1:9" ht="12.75" customHeight="1">
      <c r="A88" s="1809" t="s">
        <v>387</v>
      </c>
      <c r="B88" s="1601"/>
      <c r="C88" s="1601"/>
      <c r="D88" s="1601"/>
      <c r="E88" s="1801"/>
      <c r="F88" s="143">
        <f>SUM(F74:F87)</f>
        <v>324304337.33402014</v>
      </c>
      <c r="G88" s="123"/>
      <c r="H88" s="124">
        <f>+F88*1.25</f>
        <v>405380421.66752517</v>
      </c>
      <c r="I88" s="125">
        <v>214111011</v>
      </c>
    </row>
    <row r="89" spans="1:9" ht="12.75" hidden="1" customHeight="1">
      <c r="A89" s="129">
        <v>7</v>
      </c>
      <c r="B89" s="144" t="s">
        <v>133</v>
      </c>
      <c r="C89" s="145"/>
      <c r="D89" s="146"/>
      <c r="E89" s="133"/>
      <c r="F89" s="133"/>
      <c r="G89" s="123"/>
      <c r="H89" s="124"/>
      <c r="I89" s="125"/>
    </row>
    <row r="90" spans="1:9" ht="12.75" hidden="1" customHeight="1">
      <c r="A90" s="134"/>
      <c r="B90" s="149" t="s">
        <v>443</v>
      </c>
      <c r="C90" s="134"/>
      <c r="D90" s="137"/>
      <c r="E90" s="138"/>
      <c r="F90" s="138"/>
      <c r="G90" s="123"/>
      <c r="H90" s="124"/>
      <c r="I90" s="125"/>
    </row>
    <row r="91" spans="1:9" ht="12.75" hidden="1" customHeight="1">
      <c r="A91" s="134" t="s">
        <v>80</v>
      </c>
      <c r="B91" s="135" t="s">
        <v>444</v>
      </c>
      <c r="C91" s="134" t="s">
        <v>120</v>
      </c>
      <c r="D91" s="137"/>
      <c r="E91" s="138">
        <v>36363</v>
      </c>
      <c r="F91" s="138">
        <f t="shared" ref="F91:F99" si="11">+D91*E91</f>
        <v>0</v>
      </c>
      <c r="G91" s="123"/>
      <c r="H91" s="124"/>
      <c r="I91" s="125"/>
    </row>
    <row r="92" spans="1:9" ht="12.75" hidden="1" customHeight="1">
      <c r="A92" s="134" t="s">
        <v>82</v>
      </c>
      <c r="B92" s="135" t="s">
        <v>445</v>
      </c>
      <c r="C92" s="134" t="s">
        <v>120</v>
      </c>
      <c r="D92" s="137"/>
      <c r="E92" s="138">
        <v>26898</v>
      </c>
      <c r="F92" s="138">
        <f t="shared" si="11"/>
        <v>0</v>
      </c>
      <c r="G92" s="123"/>
      <c r="H92" s="124"/>
      <c r="I92" s="125"/>
    </row>
    <row r="93" spans="1:9" ht="12.75" hidden="1" customHeight="1">
      <c r="A93" s="134" t="s">
        <v>84</v>
      </c>
      <c r="B93" s="135" t="s">
        <v>446</v>
      </c>
      <c r="C93" s="134" t="s">
        <v>120</v>
      </c>
      <c r="D93" s="137"/>
      <c r="E93" s="138">
        <v>13928</v>
      </c>
      <c r="F93" s="138">
        <f t="shared" si="11"/>
        <v>0</v>
      </c>
      <c r="G93" s="123"/>
      <c r="H93" s="124"/>
      <c r="I93" s="125"/>
    </row>
    <row r="94" spans="1:9" ht="12.75" hidden="1" customHeight="1">
      <c r="A94" s="134" t="s">
        <v>86</v>
      </c>
      <c r="B94" s="135" t="s">
        <v>447</v>
      </c>
      <c r="C94" s="134" t="s">
        <v>120</v>
      </c>
      <c r="D94" s="137"/>
      <c r="E94" s="138">
        <v>15897</v>
      </c>
      <c r="F94" s="138">
        <f t="shared" si="11"/>
        <v>0</v>
      </c>
      <c r="G94" s="123"/>
      <c r="H94" s="124"/>
      <c r="I94" s="125"/>
    </row>
    <row r="95" spans="1:9" ht="12.75" hidden="1" customHeight="1">
      <c r="A95" s="134" t="s">
        <v>89</v>
      </c>
      <c r="B95" s="135" t="s">
        <v>448</v>
      </c>
      <c r="C95" s="134" t="s">
        <v>127</v>
      </c>
      <c r="D95" s="137"/>
      <c r="E95" s="138">
        <v>103919</v>
      </c>
      <c r="F95" s="138">
        <f t="shared" si="11"/>
        <v>0</v>
      </c>
      <c r="G95" s="123"/>
      <c r="H95" s="124"/>
      <c r="I95" s="125"/>
    </row>
    <row r="96" spans="1:9" ht="12.75" hidden="1" customHeight="1">
      <c r="A96" s="134" t="s">
        <v>91</v>
      </c>
      <c r="B96" s="135" t="s">
        <v>449</v>
      </c>
      <c r="C96" s="134" t="s">
        <v>127</v>
      </c>
      <c r="D96" s="137"/>
      <c r="E96" s="138">
        <v>164153</v>
      </c>
      <c r="F96" s="138">
        <f t="shared" si="11"/>
        <v>0</v>
      </c>
      <c r="G96" s="123"/>
      <c r="H96" s="124"/>
      <c r="I96" s="125"/>
    </row>
    <row r="97" spans="1:6" ht="12.75" hidden="1" customHeight="1">
      <c r="A97" s="134" t="s">
        <v>93</v>
      </c>
      <c r="B97" s="135" t="s">
        <v>450</v>
      </c>
      <c r="C97" s="134" t="s">
        <v>127</v>
      </c>
      <c r="D97" s="137"/>
      <c r="E97" s="138">
        <v>42030</v>
      </c>
      <c r="F97" s="138">
        <f t="shared" si="11"/>
        <v>0</v>
      </c>
    </row>
    <row r="98" spans="1:6" ht="12.75" hidden="1" customHeight="1">
      <c r="A98" s="134" t="s">
        <v>96</v>
      </c>
      <c r="B98" s="135" t="s">
        <v>451</v>
      </c>
      <c r="C98" s="134" t="s">
        <v>127</v>
      </c>
      <c r="D98" s="137"/>
      <c r="E98" s="138">
        <v>96810</v>
      </c>
      <c r="F98" s="138">
        <f t="shared" si="11"/>
        <v>0</v>
      </c>
    </row>
    <row r="99" spans="1:6" ht="12.75" hidden="1" customHeight="1">
      <c r="A99" s="134" t="s">
        <v>98</v>
      </c>
      <c r="B99" s="135" t="s">
        <v>452</v>
      </c>
      <c r="C99" s="134" t="s">
        <v>127</v>
      </c>
      <c r="D99" s="137"/>
      <c r="E99" s="138">
        <v>283340</v>
      </c>
      <c r="F99" s="138">
        <f t="shared" si="11"/>
        <v>0</v>
      </c>
    </row>
    <row r="100" spans="1:6" ht="12.75" hidden="1" customHeight="1">
      <c r="A100" s="134"/>
      <c r="B100" s="149" t="s">
        <v>453</v>
      </c>
      <c r="C100" s="134"/>
      <c r="D100" s="137"/>
      <c r="E100" s="138"/>
      <c r="F100" s="138"/>
    </row>
    <row r="101" spans="1:6" ht="12.75" hidden="1" customHeight="1">
      <c r="A101" s="134" t="s">
        <v>101</v>
      </c>
      <c r="B101" s="135" t="s">
        <v>454</v>
      </c>
      <c r="C101" s="134" t="s">
        <v>127</v>
      </c>
      <c r="D101" s="137"/>
      <c r="E101" s="138">
        <v>94589</v>
      </c>
      <c r="F101" s="138">
        <f t="shared" ref="F101:F112" si="12">+D101*E101</f>
        <v>0</v>
      </c>
    </row>
    <row r="102" spans="1:6" ht="12.75" hidden="1" customHeight="1">
      <c r="A102" s="134" t="s">
        <v>104</v>
      </c>
      <c r="B102" s="135" t="s">
        <v>455</v>
      </c>
      <c r="C102" s="134" t="s">
        <v>127</v>
      </c>
      <c r="D102" s="137"/>
      <c r="E102" s="138">
        <v>110028</v>
      </c>
      <c r="F102" s="138">
        <f t="shared" si="12"/>
        <v>0</v>
      </c>
    </row>
    <row r="103" spans="1:6" ht="12.75" hidden="1" customHeight="1">
      <c r="A103" s="134" t="s">
        <v>106</v>
      </c>
      <c r="B103" s="135" t="s">
        <v>456</v>
      </c>
      <c r="C103" s="134" t="s">
        <v>127</v>
      </c>
      <c r="D103" s="137"/>
      <c r="E103" s="138">
        <v>143548</v>
      </c>
      <c r="F103" s="138">
        <f t="shared" si="12"/>
        <v>0</v>
      </c>
    </row>
    <row r="104" spans="1:6" ht="12.75" hidden="1" customHeight="1">
      <c r="A104" s="134" t="s">
        <v>108</v>
      </c>
      <c r="B104" s="135" t="s">
        <v>457</v>
      </c>
      <c r="C104" s="134" t="s">
        <v>120</v>
      </c>
      <c r="D104" s="137"/>
      <c r="E104" s="138">
        <v>51876</v>
      </c>
      <c r="F104" s="138">
        <f t="shared" si="12"/>
        <v>0</v>
      </c>
    </row>
    <row r="105" spans="1:6" ht="12.75" hidden="1" customHeight="1">
      <c r="A105" s="134" t="s">
        <v>110</v>
      </c>
      <c r="B105" s="135" t="s">
        <v>458</v>
      </c>
      <c r="C105" s="134" t="s">
        <v>120</v>
      </c>
      <c r="D105" s="137"/>
      <c r="E105" s="138">
        <v>37695</v>
      </c>
      <c r="F105" s="138">
        <f t="shared" si="12"/>
        <v>0</v>
      </c>
    </row>
    <row r="106" spans="1:6" ht="12.75" hidden="1" customHeight="1">
      <c r="A106" s="134" t="s">
        <v>112</v>
      </c>
      <c r="B106" s="135" t="s">
        <v>459</v>
      </c>
      <c r="C106" s="134" t="s">
        <v>120</v>
      </c>
      <c r="D106" s="137"/>
      <c r="E106" s="138">
        <v>24017</v>
      </c>
      <c r="F106" s="138">
        <f t="shared" si="12"/>
        <v>0</v>
      </c>
    </row>
    <row r="107" spans="1:6" ht="12.75" hidden="1" customHeight="1">
      <c r="A107" s="134" t="s">
        <v>114</v>
      </c>
      <c r="B107" s="135" t="s">
        <v>460</v>
      </c>
      <c r="C107" s="134" t="s">
        <v>120</v>
      </c>
      <c r="D107" s="137"/>
      <c r="E107" s="138">
        <v>115017</v>
      </c>
      <c r="F107" s="138">
        <f t="shared" si="12"/>
        <v>0</v>
      </c>
    </row>
    <row r="108" spans="1:6" ht="12.75" hidden="1" customHeight="1">
      <c r="A108" s="134" t="s">
        <v>118</v>
      </c>
      <c r="B108" s="135" t="s">
        <v>461</v>
      </c>
      <c r="C108" s="134" t="s">
        <v>120</v>
      </c>
      <c r="D108" s="137"/>
      <c r="E108" s="138">
        <v>236358</v>
      </c>
      <c r="F108" s="138">
        <f t="shared" si="12"/>
        <v>0</v>
      </c>
    </row>
    <row r="109" spans="1:6" ht="12.75" hidden="1" customHeight="1">
      <c r="A109" s="150" t="s">
        <v>121</v>
      </c>
      <c r="B109" s="135" t="s">
        <v>462</v>
      </c>
      <c r="C109" s="134" t="s">
        <v>120</v>
      </c>
      <c r="D109" s="137"/>
      <c r="E109" s="138">
        <v>44087</v>
      </c>
      <c r="F109" s="138">
        <f t="shared" si="12"/>
        <v>0</v>
      </c>
    </row>
    <row r="110" spans="1:6" ht="12.75" hidden="1" customHeight="1">
      <c r="A110" s="150" t="s">
        <v>123</v>
      </c>
      <c r="B110" s="135" t="s">
        <v>463</v>
      </c>
      <c r="C110" s="134" t="s">
        <v>127</v>
      </c>
      <c r="D110" s="137"/>
      <c r="E110" s="138">
        <v>30255</v>
      </c>
      <c r="F110" s="138">
        <f t="shared" si="12"/>
        <v>0</v>
      </c>
    </row>
    <row r="111" spans="1:6" ht="12.75" hidden="1" customHeight="1">
      <c r="A111" s="150" t="s">
        <v>125</v>
      </c>
      <c r="B111" s="135" t="s">
        <v>464</v>
      </c>
      <c r="C111" s="134" t="s">
        <v>127</v>
      </c>
      <c r="D111" s="137"/>
      <c r="E111" s="138">
        <v>16200</v>
      </c>
      <c r="F111" s="138">
        <f t="shared" si="12"/>
        <v>0</v>
      </c>
    </row>
    <row r="112" spans="1:6" ht="12.75" hidden="1" customHeight="1">
      <c r="A112" s="150" t="s">
        <v>128</v>
      </c>
      <c r="B112" s="135" t="s">
        <v>465</v>
      </c>
      <c r="C112" s="134" t="s">
        <v>127</v>
      </c>
      <c r="D112" s="137"/>
      <c r="E112" s="138">
        <v>22300</v>
      </c>
      <c r="F112" s="138">
        <f t="shared" si="12"/>
        <v>0</v>
      </c>
    </row>
    <row r="113" spans="1:6" ht="12.75" hidden="1" customHeight="1">
      <c r="A113" s="134"/>
      <c r="B113" s="149" t="s">
        <v>466</v>
      </c>
      <c r="C113" s="134"/>
      <c r="D113" s="137"/>
      <c r="E113" s="138"/>
      <c r="F113" s="138"/>
    </row>
    <row r="114" spans="1:6" ht="12.75" hidden="1" customHeight="1">
      <c r="A114" s="150" t="s">
        <v>467</v>
      </c>
      <c r="B114" s="135" t="s">
        <v>468</v>
      </c>
      <c r="C114" s="134" t="s">
        <v>116</v>
      </c>
      <c r="D114" s="137"/>
      <c r="E114" s="138">
        <v>38750</v>
      </c>
      <c r="F114" s="138">
        <f t="shared" ref="F114:F120" si="13">+D114*E114</f>
        <v>0</v>
      </c>
    </row>
    <row r="115" spans="1:6" ht="12.75" hidden="1" customHeight="1">
      <c r="A115" s="150" t="s">
        <v>469</v>
      </c>
      <c r="B115" s="135" t="s">
        <v>470</v>
      </c>
      <c r="C115" s="134" t="s">
        <v>116</v>
      </c>
      <c r="D115" s="137"/>
      <c r="E115" s="138">
        <v>43800</v>
      </c>
      <c r="F115" s="138">
        <f t="shared" si="13"/>
        <v>0</v>
      </c>
    </row>
    <row r="116" spans="1:6" ht="12.75" hidden="1" customHeight="1">
      <c r="A116" s="150" t="s">
        <v>471</v>
      </c>
      <c r="B116" s="135" t="s">
        <v>472</v>
      </c>
      <c r="C116" s="134" t="s">
        <v>127</v>
      </c>
      <c r="D116" s="137"/>
      <c r="E116" s="138">
        <v>156500</v>
      </c>
      <c r="F116" s="138">
        <f t="shared" si="13"/>
        <v>0</v>
      </c>
    </row>
    <row r="117" spans="1:6" ht="12.75" hidden="1" customHeight="1">
      <c r="A117" s="150" t="s">
        <v>473</v>
      </c>
      <c r="B117" s="135" t="s">
        <v>474</v>
      </c>
      <c r="C117" s="134" t="s">
        <v>127</v>
      </c>
      <c r="D117" s="137"/>
      <c r="E117" s="138">
        <v>206500</v>
      </c>
      <c r="F117" s="138">
        <f t="shared" si="13"/>
        <v>0</v>
      </c>
    </row>
    <row r="118" spans="1:6" ht="12.75" hidden="1" customHeight="1">
      <c r="A118" s="150" t="s">
        <v>475</v>
      </c>
      <c r="B118" s="135" t="s">
        <v>476</v>
      </c>
      <c r="C118" s="134" t="s">
        <v>127</v>
      </c>
      <c r="D118" s="137"/>
      <c r="E118" s="138">
        <v>263875</v>
      </c>
      <c r="F118" s="138">
        <f t="shared" si="13"/>
        <v>0</v>
      </c>
    </row>
    <row r="119" spans="1:6" ht="12.75" hidden="1" customHeight="1">
      <c r="A119" s="150" t="s">
        <v>477</v>
      </c>
      <c r="B119" s="135" t="s">
        <v>478</v>
      </c>
      <c r="C119" s="134" t="s">
        <v>127</v>
      </c>
      <c r="D119" s="137"/>
      <c r="E119" s="138">
        <v>317050</v>
      </c>
      <c r="F119" s="138">
        <f t="shared" si="13"/>
        <v>0</v>
      </c>
    </row>
    <row r="120" spans="1:6" ht="12.75" hidden="1" customHeight="1">
      <c r="A120" s="150" t="s">
        <v>479</v>
      </c>
      <c r="B120" s="135" t="s">
        <v>480</v>
      </c>
      <c r="C120" s="134" t="s">
        <v>127</v>
      </c>
      <c r="D120" s="137"/>
      <c r="E120" s="138">
        <v>830787</v>
      </c>
      <c r="F120" s="138">
        <f t="shared" si="13"/>
        <v>0</v>
      </c>
    </row>
    <row r="121" spans="1:6" ht="12.75" hidden="1" customHeight="1">
      <c r="A121" s="134"/>
      <c r="B121" s="149" t="s">
        <v>481</v>
      </c>
      <c r="C121" s="134"/>
      <c r="D121" s="137"/>
      <c r="E121" s="138"/>
      <c r="F121" s="138"/>
    </row>
    <row r="122" spans="1:6" ht="12.75" hidden="1" customHeight="1">
      <c r="A122" s="150" t="s">
        <v>482</v>
      </c>
      <c r="B122" s="135" t="s">
        <v>483</v>
      </c>
      <c r="C122" s="134" t="s">
        <v>116</v>
      </c>
      <c r="D122" s="137"/>
      <c r="E122" s="138">
        <v>700300</v>
      </c>
      <c r="F122" s="138">
        <f t="shared" ref="F122:F125" si="14">+D122*E122</f>
        <v>0</v>
      </c>
    </row>
    <row r="123" spans="1:6" ht="12.75" hidden="1" customHeight="1">
      <c r="A123" s="150" t="s">
        <v>484</v>
      </c>
      <c r="B123" s="135" t="s">
        <v>485</v>
      </c>
      <c r="C123" s="134" t="s">
        <v>171</v>
      </c>
      <c r="D123" s="137"/>
      <c r="E123" s="138" t="e">
        <f>+E39</f>
        <v>#REF!</v>
      </c>
      <c r="F123" s="138" t="e">
        <f t="shared" si="14"/>
        <v>#REF!</v>
      </c>
    </row>
    <row r="124" spans="1:6" ht="12.75" hidden="1" customHeight="1">
      <c r="A124" s="150" t="s">
        <v>486</v>
      </c>
      <c r="B124" s="135" t="s">
        <v>487</v>
      </c>
      <c r="C124" s="134" t="s">
        <v>127</v>
      </c>
      <c r="D124" s="137"/>
      <c r="E124" s="138">
        <v>103069</v>
      </c>
      <c r="F124" s="138">
        <f t="shared" si="14"/>
        <v>0</v>
      </c>
    </row>
    <row r="125" spans="1:6" ht="12.75" hidden="1" customHeight="1">
      <c r="A125" s="150" t="s">
        <v>488</v>
      </c>
      <c r="B125" s="135" t="s">
        <v>489</v>
      </c>
      <c r="C125" s="134" t="s">
        <v>127</v>
      </c>
      <c r="D125" s="137"/>
      <c r="E125" s="138">
        <v>450000</v>
      </c>
      <c r="F125" s="138">
        <f t="shared" si="14"/>
        <v>0</v>
      </c>
    </row>
    <row r="126" spans="1:6" ht="12.75" hidden="1" customHeight="1">
      <c r="A126" s="134"/>
      <c r="B126" s="149" t="s">
        <v>490</v>
      </c>
      <c r="C126" s="134"/>
      <c r="D126" s="137"/>
      <c r="E126" s="138"/>
      <c r="F126" s="138"/>
    </row>
    <row r="127" spans="1:6" ht="12.75" hidden="1" customHeight="1">
      <c r="A127" s="150" t="s">
        <v>491</v>
      </c>
      <c r="B127" s="135" t="s">
        <v>492</v>
      </c>
      <c r="C127" s="134" t="s">
        <v>228</v>
      </c>
      <c r="D127" s="137"/>
      <c r="E127" s="138">
        <v>27990</v>
      </c>
      <c r="F127" s="138">
        <f t="shared" ref="F127:F128" si="15">+D127*E127</f>
        <v>0</v>
      </c>
    </row>
    <row r="128" spans="1:6" ht="12.75" hidden="1" customHeight="1">
      <c r="A128" s="150" t="s">
        <v>493</v>
      </c>
      <c r="B128" s="135" t="s">
        <v>494</v>
      </c>
      <c r="C128" s="134" t="s">
        <v>228</v>
      </c>
      <c r="D128" s="137"/>
      <c r="E128" s="138">
        <v>24561</v>
      </c>
      <c r="F128" s="138">
        <f t="shared" si="15"/>
        <v>0</v>
      </c>
    </row>
    <row r="129" spans="1:9" ht="12.75" hidden="1" customHeight="1">
      <c r="A129" s="134"/>
      <c r="B129" s="149" t="s">
        <v>495</v>
      </c>
      <c r="C129" s="134"/>
      <c r="D129" s="137"/>
      <c r="E129" s="138"/>
      <c r="F129" s="138"/>
      <c r="G129" s="123"/>
      <c r="H129" s="124"/>
      <c r="I129" s="125"/>
    </row>
    <row r="130" spans="1:9" ht="12.75" hidden="1" customHeight="1">
      <c r="A130" s="150" t="s">
        <v>496</v>
      </c>
      <c r="B130" s="135" t="s">
        <v>497</v>
      </c>
      <c r="C130" s="134" t="s">
        <v>127</v>
      </c>
      <c r="D130" s="137"/>
      <c r="E130" s="138">
        <v>23300000</v>
      </c>
      <c r="F130" s="138">
        <f>+D130*E130</f>
        <v>0</v>
      </c>
      <c r="G130" s="123"/>
      <c r="H130" s="124"/>
      <c r="I130" s="125"/>
    </row>
    <row r="131" spans="1:9" ht="12.75" hidden="1" customHeight="1">
      <c r="A131" s="150"/>
      <c r="B131" s="135"/>
      <c r="C131" s="134"/>
      <c r="D131" s="137"/>
      <c r="E131" s="138"/>
      <c r="F131" s="138"/>
      <c r="G131" s="123"/>
      <c r="H131" s="124"/>
      <c r="I131" s="125"/>
    </row>
    <row r="132" spans="1:9" ht="12.75" hidden="1" customHeight="1">
      <c r="A132" s="1809" t="s">
        <v>387</v>
      </c>
      <c r="B132" s="1601"/>
      <c r="C132" s="1601"/>
      <c r="D132" s="1601"/>
      <c r="E132" s="1801"/>
      <c r="F132" s="143" t="e">
        <f>SUM(F90:F131)</f>
        <v>#REF!</v>
      </c>
      <c r="G132" s="123"/>
      <c r="H132" s="124" t="e">
        <f>+F132*1.25</f>
        <v>#REF!</v>
      </c>
      <c r="I132" s="125"/>
    </row>
    <row r="133" spans="1:9" ht="12.75" customHeight="1">
      <c r="A133" s="129">
        <v>8</v>
      </c>
      <c r="B133" s="144" t="s">
        <v>498</v>
      </c>
      <c r="C133" s="145"/>
      <c r="D133" s="146"/>
      <c r="E133" s="133"/>
      <c r="F133" s="133"/>
      <c r="G133" s="123"/>
      <c r="H133" s="124"/>
      <c r="I133" s="125"/>
    </row>
    <row r="134" spans="1:9" ht="12.75" customHeight="1">
      <c r="A134" s="150" t="s">
        <v>499</v>
      </c>
      <c r="B134" s="135" t="s">
        <v>500</v>
      </c>
      <c r="C134" s="134" t="s">
        <v>501</v>
      </c>
      <c r="D134" s="137">
        <v>1</v>
      </c>
      <c r="E134" s="138">
        <v>231025672</v>
      </c>
      <c r="F134" s="138">
        <f>+E134*D134</f>
        <v>231025672</v>
      </c>
      <c r="G134" s="123"/>
      <c r="H134" s="124">
        <v>84</v>
      </c>
      <c r="I134" s="125"/>
    </row>
    <row r="135" spans="1:9" ht="12.75" hidden="1" customHeight="1">
      <c r="A135" s="151"/>
      <c r="B135" s="152"/>
      <c r="C135" s="153"/>
      <c r="D135" s="154"/>
      <c r="E135" s="155"/>
      <c r="F135" s="155"/>
      <c r="G135" s="123"/>
      <c r="H135" s="124"/>
      <c r="I135" s="125"/>
    </row>
    <row r="136" spans="1:9" ht="12.75" customHeight="1">
      <c r="A136" s="150"/>
      <c r="B136" s="135"/>
      <c r="C136" s="134"/>
      <c r="D136" s="137"/>
      <c r="E136" s="138"/>
      <c r="F136" s="138"/>
      <c r="G136" s="123"/>
      <c r="H136" s="124"/>
      <c r="I136" s="125"/>
    </row>
    <row r="137" spans="1:9" ht="12.75" customHeight="1">
      <c r="A137" s="1809" t="s">
        <v>387</v>
      </c>
      <c r="B137" s="1601"/>
      <c r="C137" s="1601"/>
      <c r="D137" s="1601"/>
      <c r="E137" s="1801"/>
      <c r="F137" s="143">
        <f>SUM(F134:F136)</f>
        <v>231025672</v>
      </c>
      <c r="G137" s="123"/>
      <c r="H137" s="124">
        <f>+F137*1.25</f>
        <v>288782090</v>
      </c>
      <c r="I137" s="125">
        <v>1215032249</v>
      </c>
    </row>
    <row r="138" spans="1:9" ht="12.75" hidden="1" customHeight="1">
      <c r="A138" s="129">
        <v>9</v>
      </c>
      <c r="B138" s="144" t="s">
        <v>502</v>
      </c>
      <c r="C138" s="145"/>
      <c r="D138" s="146"/>
      <c r="E138" s="133"/>
      <c r="F138" s="133"/>
      <c r="G138" s="123"/>
      <c r="H138" s="124"/>
      <c r="I138" s="125"/>
    </row>
    <row r="139" spans="1:9" ht="12.75" hidden="1" customHeight="1">
      <c r="A139" s="134" t="s">
        <v>134</v>
      </c>
      <c r="B139" s="135" t="s">
        <v>503</v>
      </c>
      <c r="C139" s="134" t="s">
        <v>228</v>
      </c>
      <c r="D139" s="137"/>
      <c r="E139" s="138">
        <v>49185</v>
      </c>
      <c r="F139" s="138">
        <f>+E139*D139</f>
        <v>0</v>
      </c>
      <c r="G139" s="123"/>
      <c r="H139" s="124"/>
      <c r="I139" s="125"/>
    </row>
    <row r="140" spans="1:9" ht="12.75" hidden="1" customHeight="1">
      <c r="A140" s="134" t="s">
        <v>136</v>
      </c>
      <c r="B140" s="135" t="s">
        <v>504</v>
      </c>
      <c r="C140" s="134" t="s">
        <v>228</v>
      </c>
      <c r="D140" s="137"/>
      <c r="E140" s="138">
        <v>54093</v>
      </c>
      <c r="F140" s="138">
        <f t="shared" ref="F140:F146" si="16">+D140*E140</f>
        <v>0</v>
      </c>
      <c r="G140" s="123"/>
      <c r="H140" s="124"/>
      <c r="I140" s="125"/>
    </row>
    <row r="141" spans="1:9" ht="12.75" hidden="1" customHeight="1">
      <c r="A141" s="134" t="s">
        <v>505</v>
      </c>
      <c r="B141" s="135" t="s">
        <v>506</v>
      </c>
      <c r="C141" s="134" t="s">
        <v>228</v>
      </c>
      <c r="D141" s="137"/>
      <c r="E141" s="138">
        <v>64628</v>
      </c>
      <c r="F141" s="138">
        <f t="shared" si="16"/>
        <v>0</v>
      </c>
      <c r="G141" s="123"/>
      <c r="H141" s="124"/>
      <c r="I141" s="125"/>
    </row>
    <row r="142" spans="1:9" ht="12.75" hidden="1" customHeight="1">
      <c r="A142" s="134" t="s">
        <v>507</v>
      </c>
      <c r="B142" s="135" t="s">
        <v>508</v>
      </c>
      <c r="C142" s="134" t="s">
        <v>120</v>
      </c>
      <c r="D142" s="137"/>
      <c r="E142" s="138">
        <v>20782</v>
      </c>
      <c r="F142" s="138">
        <f t="shared" si="16"/>
        <v>0</v>
      </c>
      <c r="G142" s="123"/>
      <c r="H142" s="124"/>
      <c r="I142" s="125"/>
    </row>
    <row r="143" spans="1:9" ht="12.75" hidden="1" customHeight="1">
      <c r="A143" s="134" t="s">
        <v>509</v>
      </c>
      <c r="B143" s="135" t="s">
        <v>510</v>
      </c>
      <c r="C143" s="134" t="s">
        <v>120</v>
      </c>
      <c r="D143" s="137"/>
      <c r="E143" s="138">
        <v>34003</v>
      </c>
      <c r="F143" s="138">
        <f t="shared" si="16"/>
        <v>0</v>
      </c>
      <c r="G143" s="123"/>
      <c r="H143" s="124"/>
      <c r="I143" s="125"/>
    </row>
    <row r="144" spans="1:9" ht="12.75" hidden="1" customHeight="1">
      <c r="A144" s="134" t="s">
        <v>511</v>
      </c>
      <c r="B144" s="135" t="s">
        <v>512</v>
      </c>
      <c r="C144" s="134" t="s">
        <v>228</v>
      </c>
      <c r="D144" s="137"/>
      <c r="E144" s="138">
        <v>4174</v>
      </c>
      <c r="F144" s="138">
        <f t="shared" si="16"/>
        <v>0</v>
      </c>
      <c r="G144" s="123"/>
      <c r="H144" s="124"/>
      <c r="I144" s="125"/>
    </row>
    <row r="145" spans="1:9" ht="12.75" hidden="1" customHeight="1">
      <c r="A145" s="134" t="s">
        <v>513</v>
      </c>
      <c r="B145" s="135" t="s">
        <v>514</v>
      </c>
      <c r="C145" s="134" t="s">
        <v>116</v>
      </c>
      <c r="D145" s="137"/>
      <c r="E145" s="138">
        <v>428133</v>
      </c>
      <c r="F145" s="138">
        <f t="shared" si="16"/>
        <v>0</v>
      </c>
      <c r="G145" s="123"/>
      <c r="H145" s="124"/>
      <c r="I145" s="125"/>
    </row>
    <row r="146" spans="1:9" ht="12.75" hidden="1" customHeight="1">
      <c r="A146" s="134" t="s">
        <v>515</v>
      </c>
      <c r="B146" s="135" t="s">
        <v>516</v>
      </c>
      <c r="C146" s="134" t="s">
        <v>228</v>
      </c>
      <c r="D146" s="137"/>
      <c r="E146" s="148">
        <v>11600</v>
      </c>
      <c r="F146" s="148">
        <f t="shared" si="16"/>
        <v>0</v>
      </c>
      <c r="G146" s="123"/>
      <c r="H146" s="124"/>
      <c r="I146" s="125"/>
    </row>
    <row r="147" spans="1:9" ht="12.75" hidden="1" customHeight="1">
      <c r="A147" s="1809" t="s">
        <v>387</v>
      </c>
      <c r="B147" s="1601"/>
      <c r="C147" s="1601"/>
      <c r="D147" s="1601"/>
      <c r="E147" s="1801"/>
      <c r="F147" s="143">
        <f>SUM(F139:F146)</f>
        <v>0</v>
      </c>
      <c r="G147" s="123"/>
      <c r="H147" s="125">
        <f>+F147*1.25</f>
        <v>0</v>
      </c>
      <c r="I147" s="156">
        <v>318113143</v>
      </c>
    </row>
    <row r="148" spans="1:9" ht="12.75" hidden="1" customHeight="1">
      <c r="A148" s="129">
        <v>10</v>
      </c>
      <c r="B148" s="144" t="s">
        <v>517</v>
      </c>
      <c r="C148" s="145"/>
      <c r="D148" s="146"/>
      <c r="E148" s="133"/>
      <c r="F148" s="133"/>
      <c r="G148" s="123"/>
      <c r="H148" s="124"/>
      <c r="I148" s="125"/>
    </row>
    <row r="149" spans="1:9" ht="12.75" hidden="1" customHeight="1">
      <c r="A149" s="134" t="s">
        <v>359</v>
      </c>
      <c r="B149" s="135" t="s">
        <v>518</v>
      </c>
      <c r="C149" s="134" t="s">
        <v>127</v>
      </c>
      <c r="D149" s="137"/>
      <c r="E149" s="138">
        <v>315425420</v>
      </c>
      <c r="F149" s="138">
        <f t="shared" ref="F149:F150" si="17">+D149*E149</f>
        <v>0</v>
      </c>
      <c r="G149" s="123"/>
      <c r="H149" s="124">
        <f>+F175*1.25</f>
        <v>0</v>
      </c>
      <c r="I149" s="125">
        <v>1211531105</v>
      </c>
    </row>
    <row r="150" spans="1:9" ht="12.75" hidden="1" customHeight="1">
      <c r="A150" s="134" t="s">
        <v>361</v>
      </c>
      <c r="B150" s="135" t="s">
        <v>519</v>
      </c>
      <c r="C150" s="134" t="s">
        <v>127</v>
      </c>
      <c r="D150" s="137"/>
      <c r="E150" s="138">
        <v>653799464</v>
      </c>
      <c r="F150" s="138">
        <f t="shared" si="17"/>
        <v>0</v>
      </c>
      <c r="G150" s="123"/>
      <c r="H150" s="124"/>
      <c r="I150" s="125"/>
    </row>
    <row r="151" spans="1:9" ht="12.75" hidden="1" customHeight="1">
      <c r="A151" s="134" t="s">
        <v>505</v>
      </c>
      <c r="B151" s="135" t="s">
        <v>85</v>
      </c>
      <c r="C151" s="134" t="s">
        <v>228</v>
      </c>
      <c r="D151" s="137"/>
      <c r="E151" s="138"/>
      <c r="F151" s="138"/>
      <c r="G151" s="123"/>
      <c r="H151" s="124"/>
      <c r="I151" s="125"/>
    </row>
    <row r="152" spans="1:9" ht="12.75" hidden="1" customHeight="1">
      <c r="A152" s="134" t="s">
        <v>507</v>
      </c>
      <c r="B152" s="135" t="s">
        <v>520</v>
      </c>
      <c r="C152" s="134" t="s">
        <v>127</v>
      </c>
      <c r="D152" s="137"/>
      <c r="E152" s="138"/>
      <c r="F152" s="138"/>
      <c r="G152" s="123"/>
      <c r="H152" s="124"/>
      <c r="I152" s="125"/>
    </row>
    <row r="153" spans="1:9" ht="12.75" hidden="1" customHeight="1">
      <c r="A153" s="134" t="s">
        <v>509</v>
      </c>
      <c r="B153" s="135" t="s">
        <v>521</v>
      </c>
      <c r="C153" s="134" t="s">
        <v>116</v>
      </c>
      <c r="D153" s="137"/>
      <c r="E153" s="138"/>
      <c r="F153" s="138"/>
      <c r="G153" s="123"/>
      <c r="H153" s="124"/>
      <c r="I153" s="125"/>
    </row>
    <row r="154" spans="1:9" ht="12.75" hidden="1" customHeight="1">
      <c r="A154" s="134" t="s">
        <v>511</v>
      </c>
      <c r="B154" s="135" t="s">
        <v>522</v>
      </c>
      <c r="C154" s="134" t="s">
        <v>228</v>
      </c>
      <c r="D154" s="137"/>
      <c r="E154" s="138"/>
      <c r="F154" s="138"/>
      <c r="G154" s="123"/>
      <c r="H154" s="124"/>
      <c r="I154" s="125"/>
    </row>
    <row r="155" spans="1:9" ht="12.75" hidden="1" customHeight="1">
      <c r="A155" s="134" t="s">
        <v>513</v>
      </c>
      <c r="B155" s="135" t="s">
        <v>94</v>
      </c>
      <c r="C155" s="134" t="s">
        <v>228</v>
      </c>
      <c r="D155" s="137"/>
      <c r="E155" s="138"/>
      <c r="F155" s="138"/>
      <c r="G155" s="123"/>
      <c r="H155" s="124"/>
      <c r="I155" s="125"/>
    </row>
    <row r="156" spans="1:9" ht="12.75" hidden="1" customHeight="1">
      <c r="A156" s="134"/>
      <c r="B156" s="149" t="s">
        <v>95</v>
      </c>
      <c r="C156" s="134"/>
      <c r="D156" s="137"/>
      <c r="E156" s="138"/>
      <c r="F156" s="138"/>
      <c r="G156" s="123"/>
      <c r="H156" s="124"/>
      <c r="I156" s="125"/>
    </row>
    <row r="157" spans="1:9" ht="12.75" hidden="1" customHeight="1">
      <c r="A157" s="134" t="s">
        <v>515</v>
      </c>
      <c r="B157" s="135" t="s">
        <v>97</v>
      </c>
      <c r="C157" s="134" t="s">
        <v>127</v>
      </c>
      <c r="D157" s="137"/>
      <c r="E157" s="138"/>
      <c r="F157" s="138"/>
      <c r="G157" s="123"/>
      <c r="H157" s="124"/>
      <c r="I157" s="125"/>
    </row>
    <row r="158" spans="1:9" ht="27" hidden="1" customHeight="1">
      <c r="A158" s="134" t="s">
        <v>523</v>
      </c>
      <c r="B158" s="135" t="s">
        <v>524</v>
      </c>
      <c r="C158" s="134" t="s">
        <v>127</v>
      </c>
      <c r="D158" s="137"/>
      <c r="E158" s="138"/>
      <c r="F158" s="138"/>
      <c r="G158" s="123"/>
      <c r="H158" s="124"/>
      <c r="I158" s="125"/>
    </row>
    <row r="159" spans="1:9" ht="12.75" hidden="1" customHeight="1">
      <c r="A159" s="134"/>
      <c r="B159" s="149" t="s">
        <v>100</v>
      </c>
      <c r="C159" s="134"/>
      <c r="D159" s="137"/>
      <c r="E159" s="138"/>
      <c r="F159" s="138"/>
      <c r="G159" s="123"/>
      <c r="H159" s="124"/>
      <c r="I159" s="125"/>
    </row>
    <row r="160" spans="1:9" ht="12.75" hidden="1" customHeight="1">
      <c r="A160" s="134" t="s">
        <v>525</v>
      </c>
      <c r="B160" s="135" t="s">
        <v>526</v>
      </c>
      <c r="C160" s="134" t="s">
        <v>120</v>
      </c>
      <c r="D160" s="137"/>
      <c r="E160" s="138"/>
      <c r="F160" s="138"/>
      <c r="G160" s="123"/>
      <c r="H160" s="124"/>
      <c r="I160" s="125"/>
    </row>
    <row r="161" spans="1:9" ht="12.75" hidden="1" customHeight="1">
      <c r="A161" s="134" t="s">
        <v>527</v>
      </c>
      <c r="B161" s="135" t="s">
        <v>528</v>
      </c>
      <c r="C161" s="134" t="s">
        <v>120</v>
      </c>
      <c r="D161" s="137"/>
      <c r="E161" s="138"/>
      <c r="F161" s="138"/>
      <c r="G161" s="123"/>
      <c r="H161" s="124"/>
      <c r="I161" s="125"/>
    </row>
    <row r="162" spans="1:9" ht="12.75" hidden="1" customHeight="1">
      <c r="A162" s="134" t="s">
        <v>529</v>
      </c>
      <c r="B162" s="135" t="s">
        <v>111</v>
      </c>
      <c r="C162" s="134" t="s">
        <v>127</v>
      </c>
      <c r="D162" s="137"/>
      <c r="E162" s="138"/>
      <c r="F162" s="138"/>
      <c r="G162" s="123"/>
      <c r="H162" s="124"/>
      <c r="I162" s="125"/>
    </row>
    <row r="163" spans="1:9" ht="12.75" hidden="1" customHeight="1">
      <c r="A163" s="134" t="s">
        <v>530</v>
      </c>
      <c r="B163" s="135" t="s">
        <v>531</v>
      </c>
      <c r="C163" s="134" t="s">
        <v>127</v>
      </c>
      <c r="D163" s="137"/>
      <c r="E163" s="138"/>
      <c r="F163" s="138"/>
      <c r="G163" s="123"/>
      <c r="H163" s="124"/>
      <c r="I163" s="125"/>
    </row>
    <row r="164" spans="1:9" ht="12.75" hidden="1" customHeight="1">
      <c r="A164" s="150"/>
      <c r="B164" s="149" t="s">
        <v>532</v>
      </c>
      <c r="C164" s="134"/>
      <c r="D164" s="137"/>
      <c r="E164" s="138"/>
      <c r="F164" s="138"/>
      <c r="G164" s="123"/>
      <c r="H164" s="124"/>
      <c r="I164" s="125"/>
    </row>
    <row r="165" spans="1:9" ht="12.75" hidden="1" customHeight="1">
      <c r="A165" s="134" t="s">
        <v>533</v>
      </c>
      <c r="B165" s="135" t="s">
        <v>534</v>
      </c>
      <c r="C165" s="134" t="s">
        <v>120</v>
      </c>
      <c r="D165" s="137"/>
      <c r="E165" s="138"/>
      <c r="F165" s="138"/>
      <c r="G165" s="123"/>
      <c r="H165" s="124"/>
      <c r="I165" s="125"/>
    </row>
    <row r="166" spans="1:9" ht="12.75" hidden="1" customHeight="1">
      <c r="A166" s="150" t="s">
        <v>535</v>
      </c>
      <c r="B166" s="135" t="s">
        <v>536</v>
      </c>
      <c r="C166" s="134" t="s">
        <v>120</v>
      </c>
      <c r="D166" s="137"/>
      <c r="E166" s="138"/>
      <c r="F166" s="138"/>
      <c r="G166" s="123"/>
      <c r="H166" s="124"/>
      <c r="I166" s="125"/>
    </row>
    <row r="167" spans="1:9" ht="12.75" hidden="1" customHeight="1">
      <c r="A167" s="134" t="s">
        <v>537</v>
      </c>
      <c r="B167" s="135" t="s">
        <v>538</v>
      </c>
      <c r="C167" s="134" t="s">
        <v>120</v>
      </c>
      <c r="D167" s="137"/>
      <c r="E167" s="138"/>
      <c r="F167" s="138"/>
      <c r="G167" s="123"/>
      <c r="H167" s="124"/>
      <c r="I167" s="125"/>
    </row>
    <row r="168" spans="1:9" ht="12.75" hidden="1" customHeight="1">
      <c r="A168" s="150" t="s">
        <v>539</v>
      </c>
      <c r="B168" s="135" t="s">
        <v>124</v>
      </c>
      <c r="C168" s="134" t="s">
        <v>120</v>
      </c>
      <c r="D168" s="137"/>
      <c r="E168" s="138"/>
      <c r="F168" s="138"/>
      <c r="G168" s="123"/>
      <c r="H168" s="124"/>
      <c r="I168" s="125"/>
    </row>
    <row r="169" spans="1:9" ht="12.75" hidden="1" customHeight="1">
      <c r="A169" s="134" t="s">
        <v>540</v>
      </c>
      <c r="B169" s="135" t="s">
        <v>541</v>
      </c>
      <c r="C169" s="134" t="s">
        <v>127</v>
      </c>
      <c r="D169" s="137"/>
      <c r="E169" s="138"/>
      <c r="F169" s="138"/>
      <c r="G169" s="123"/>
      <c r="H169" s="124"/>
      <c r="I169" s="125"/>
    </row>
    <row r="170" spans="1:9" ht="12.75" hidden="1" customHeight="1">
      <c r="A170" s="150" t="s">
        <v>542</v>
      </c>
      <c r="B170" s="135" t="s">
        <v>543</v>
      </c>
      <c r="C170" s="134" t="s">
        <v>228</v>
      </c>
      <c r="D170" s="137"/>
      <c r="E170" s="138"/>
      <c r="F170" s="138"/>
      <c r="G170" s="123"/>
      <c r="H170" s="124" t="e">
        <v>#REF!</v>
      </c>
      <c r="I170" s="125"/>
    </row>
    <row r="171" spans="1:9" ht="12.75" hidden="1" customHeight="1">
      <c r="A171" s="134" t="s">
        <v>544</v>
      </c>
      <c r="B171" s="135" t="s">
        <v>545</v>
      </c>
      <c r="C171" s="134" t="s">
        <v>228</v>
      </c>
      <c r="D171" s="137"/>
      <c r="E171" s="138"/>
      <c r="F171" s="138"/>
      <c r="G171" s="123"/>
      <c r="H171" s="124"/>
      <c r="I171" s="125"/>
    </row>
    <row r="172" spans="1:9" ht="12.75" hidden="1" customHeight="1">
      <c r="A172" s="150" t="s">
        <v>546</v>
      </c>
      <c r="B172" s="135" t="s">
        <v>547</v>
      </c>
      <c r="C172" s="134" t="s">
        <v>127</v>
      </c>
      <c r="D172" s="137"/>
      <c r="E172" s="138"/>
      <c r="F172" s="138"/>
      <c r="G172" s="123"/>
      <c r="H172" s="124">
        <f>112.6+112.6+(32.6*6)</f>
        <v>420.8</v>
      </c>
      <c r="I172" s="125">
        <f>+H172*198520</f>
        <v>83537216</v>
      </c>
    </row>
    <row r="173" spans="1:9" ht="12.75" hidden="1" customHeight="1">
      <c r="A173" s="134" t="s">
        <v>548</v>
      </c>
      <c r="B173" s="135" t="s">
        <v>549</v>
      </c>
      <c r="C173" s="134" t="s">
        <v>127</v>
      </c>
      <c r="D173" s="137"/>
      <c r="E173" s="138"/>
      <c r="F173" s="138"/>
      <c r="G173" s="123"/>
      <c r="H173" s="124">
        <f>112.6*15</f>
        <v>1689</v>
      </c>
      <c r="I173" s="125">
        <f>+H173*62550</f>
        <v>105646950</v>
      </c>
    </row>
    <row r="174" spans="1:9" ht="12.75" hidden="1" customHeight="1">
      <c r="A174" s="150"/>
      <c r="B174" s="135"/>
      <c r="C174" s="134"/>
      <c r="D174" s="137"/>
      <c r="E174" s="138"/>
      <c r="F174" s="138"/>
      <c r="G174" s="123"/>
      <c r="H174" s="124"/>
      <c r="I174" s="125"/>
    </row>
    <row r="175" spans="1:9" ht="12.75" hidden="1" customHeight="1">
      <c r="A175" s="1809" t="s">
        <v>387</v>
      </c>
      <c r="B175" s="1601"/>
      <c r="C175" s="1601"/>
      <c r="D175" s="1601"/>
      <c r="E175" s="1801"/>
      <c r="F175" s="143">
        <f>SUM(F149:F174)</f>
        <v>0</v>
      </c>
      <c r="G175" s="123"/>
      <c r="H175" s="124"/>
      <c r="I175" s="125"/>
    </row>
    <row r="176" spans="1:9" ht="12.75" hidden="1" customHeight="1">
      <c r="A176" s="129">
        <v>11</v>
      </c>
      <c r="B176" s="144" t="s">
        <v>550</v>
      </c>
      <c r="C176" s="145"/>
      <c r="D176" s="146"/>
      <c r="E176" s="133"/>
      <c r="F176" s="133"/>
      <c r="G176" s="123"/>
      <c r="H176" s="124"/>
      <c r="I176" s="125"/>
    </row>
    <row r="177" spans="1:9" ht="12.75" hidden="1" customHeight="1">
      <c r="A177" s="134" t="s">
        <v>363</v>
      </c>
      <c r="B177" s="135" t="s">
        <v>551</v>
      </c>
      <c r="C177" s="134" t="s">
        <v>127</v>
      </c>
      <c r="D177" s="137">
        <v>1</v>
      </c>
      <c r="E177" s="138"/>
      <c r="F177" s="138">
        <f>+D177*E177</f>
        <v>0</v>
      </c>
      <c r="G177" s="123"/>
      <c r="H177" s="124">
        <f>+F179*1.25</f>
        <v>0</v>
      </c>
      <c r="I177" s="125">
        <v>113270454</v>
      </c>
    </row>
    <row r="178" spans="1:9" ht="12.75" hidden="1" customHeight="1">
      <c r="A178" s="150"/>
      <c r="B178" s="135"/>
      <c r="C178" s="134"/>
      <c r="D178" s="137"/>
      <c r="E178" s="138"/>
      <c r="F178" s="138"/>
      <c r="G178" s="123"/>
      <c r="H178" s="124"/>
      <c r="I178" s="125"/>
    </row>
    <row r="179" spans="1:9" ht="12.75" hidden="1" customHeight="1">
      <c r="A179" s="1809" t="s">
        <v>387</v>
      </c>
      <c r="B179" s="1601"/>
      <c r="C179" s="1601"/>
      <c r="D179" s="1601"/>
      <c r="E179" s="1801"/>
      <c r="F179" s="143">
        <f>SUM(F177:F178)</f>
        <v>0</v>
      </c>
      <c r="G179" s="123"/>
      <c r="H179" s="124"/>
      <c r="I179" s="125"/>
    </row>
    <row r="180" spans="1:9" ht="9.75" customHeight="1">
      <c r="A180" s="157"/>
      <c r="B180" s="158"/>
      <c r="C180" s="159"/>
      <c r="D180" s="160"/>
      <c r="E180" s="159"/>
      <c r="F180" s="161"/>
      <c r="G180" s="123"/>
      <c r="H180" s="124"/>
      <c r="I180" s="125"/>
    </row>
    <row r="181" spans="1:9" ht="12.75" customHeight="1">
      <c r="A181" s="162"/>
      <c r="B181" s="163"/>
      <c r="C181" s="1810" t="s">
        <v>552</v>
      </c>
      <c r="D181" s="1811"/>
      <c r="E181" s="1812"/>
      <c r="F181" s="164" t="e">
        <f>+F19+F33+F50+F67+F72+F88+F132+F137+F147+F175+F179</f>
        <v>#REF!</v>
      </c>
      <c r="G181" s="123"/>
      <c r="H181" s="124"/>
      <c r="I181" s="125"/>
    </row>
    <row r="182" spans="1:9" ht="12.75" customHeight="1">
      <c r="A182" s="162"/>
      <c r="B182" s="163"/>
      <c r="C182" s="1813" t="s">
        <v>553</v>
      </c>
      <c r="D182" s="1814"/>
      <c r="E182" s="165">
        <v>0.25</v>
      </c>
      <c r="F182" s="166" t="e">
        <f>+F181*25%</f>
        <v>#REF!</v>
      </c>
      <c r="G182" s="123"/>
      <c r="H182" s="124"/>
      <c r="I182" s="125"/>
    </row>
    <row r="183" spans="1:9" ht="12.75" customHeight="1">
      <c r="A183" s="162"/>
      <c r="B183" s="163"/>
      <c r="C183" s="1806" t="s">
        <v>554</v>
      </c>
      <c r="D183" s="1807"/>
      <c r="E183" s="1808"/>
      <c r="F183" s="167" t="e">
        <f>+F182+F181</f>
        <v>#REF!</v>
      </c>
      <c r="G183" s="123"/>
      <c r="H183" s="124"/>
      <c r="I183" s="125"/>
    </row>
    <row r="184" spans="1:9" ht="7.5" customHeight="1">
      <c r="A184" s="162"/>
      <c r="B184" s="168"/>
      <c r="C184" s="169"/>
      <c r="D184" s="170"/>
      <c r="E184" s="171"/>
      <c r="F184" s="171"/>
      <c r="G184" s="123"/>
      <c r="H184" s="124"/>
      <c r="I184" s="172"/>
    </row>
    <row r="185" spans="1:9" ht="12.75" customHeight="1">
      <c r="A185" s="162"/>
      <c r="B185" s="162"/>
      <c r="C185" s="1815" t="s">
        <v>555</v>
      </c>
      <c r="D185" s="1601"/>
      <c r="E185" s="1602"/>
      <c r="F185" s="166" t="e">
        <f>+F183*7%</f>
        <v>#REF!</v>
      </c>
      <c r="G185" s="123"/>
      <c r="H185" s="124"/>
      <c r="I185" s="125"/>
    </row>
    <row r="186" spans="1:9" ht="32.25" customHeight="1">
      <c r="A186" s="162"/>
      <c r="B186" s="162"/>
      <c r="C186" s="1805" t="s">
        <v>556</v>
      </c>
      <c r="D186" s="1601"/>
      <c r="E186" s="1602"/>
      <c r="F186" s="166">
        <v>184440960</v>
      </c>
      <c r="G186" s="123"/>
      <c r="H186" s="124"/>
      <c r="I186" s="125"/>
    </row>
    <row r="187" spans="1:9" ht="12.75" customHeight="1">
      <c r="A187" s="169"/>
      <c r="B187" s="169"/>
      <c r="C187" s="1806" t="s">
        <v>557</v>
      </c>
      <c r="D187" s="1807"/>
      <c r="E187" s="1808"/>
      <c r="F187" s="167" t="e">
        <f>+F185+F183+F186</f>
        <v>#REF!</v>
      </c>
      <c r="G187" s="123"/>
      <c r="H187" s="124"/>
      <c r="I187" s="174"/>
    </row>
    <row r="188" spans="1:9" ht="12.75" customHeight="1">
      <c r="A188" s="123"/>
      <c r="B188" s="123"/>
      <c r="C188" s="123"/>
      <c r="D188" s="175"/>
      <c r="E188" s="123"/>
      <c r="F188" s="123"/>
      <c r="G188" s="123"/>
      <c r="H188" s="124"/>
      <c r="I188" s="125"/>
    </row>
    <row r="189" spans="1:9" ht="12.75" customHeight="1">
      <c r="A189" s="168" t="s">
        <v>558</v>
      </c>
      <c r="B189" s="169"/>
      <c r="C189" s="176"/>
      <c r="D189" s="175"/>
      <c r="E189" s="123"/>
      <c r="F189" s="123"/>
      <c r="G189" s="123"/>
      <c r="H189" s="124"/>
      <c r="I189" s="125"/>
    </row>
    <row r="190" spans="1:9" ht="12.75" customHeight="1">
      <c r="A190" s="76" t="s">
        <v>559</v>
      </c>
      <c r="B190" s="169"/>
      <c r="C190" s="177"/>
      <c r="D190" s="175"/>
      <c r="E190" s="123"/>
      <c r="F190" s="123"/>
      <c r="G190" s="123"/>
      <c r="H190" s="124"/>
      <c r="I190" s="125"/>
    </row>
    <row r="191" spans="1:9" ht="12.75" customHeight="1">
      <c r="A191" s="76" t="s">
        <v>560</v>
      </c>
      <c r="B191" s="169"/>
      <c r="C191" s="178"/>
      <c r="D191" s="175"/>
      <c r="E191" s="123"/>
      <c r="F191" s="123"/>
      <c r="G191" s="123"/>
      <c r="H191" s="124"/>
      <c r="I191" s="125"/>
    </row>
  </sheetData>
  <mergeCells count="24">
    <mergeCell ref="A1:F1"/>
    <mergeCell ref="A2:F2"/>
    <mergeCell ref="A3:F3"/>
    <mergeCell ref="A4:F4"/>
    <mergeCell ref="A5:F5"/>
    <mergeCell ref="A6:F6"/>
    <mergeCell ref="A8:F8"/>
    <mergeCell ref="A19:E19"/>
    <mergeCell ref="A33:E33"/>
    <mergeCell ref="A50:E50"/>
    <mergeCell ref="A67:E67"/>
    <mergeCell ref="A72:E72"/>
    <mergeCell ref="A88:E88"/>
    <mergeCell ref="A132:E132"/>
    <mergeCell ref="C185:E185"/>
    <mergeCell ref="C186:E186"/>
    <mergeCell ref="C187:E187"/>
    <mergeCell ref="A137:E137"/>
    <mergeCell ref="A147:E147"/>
    <mergeCell ref="A175:E175"/>
    <mergeCell ref="A179:E179"/>
    <mergeCell ref="C181:E181"/>
    <mergeCell ref="C182:D182"/>
    <mergeCell ref="C183:E183"/>
  </mergeCells>
  <printOptions horizontalCentered="1"/>
  <pageMargins left="0.70866141732283472" right="0.59055118110236227" top="0.82677165354330717" bottom="0.70866141732283472" header="0" footer="0"/>
  <pageSetup orientation="portrait"/>
  <rowBreaks count="1" manualBreakCount="1">
    <brk id="50"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2:IV1450"/>
  <sheetViews>
    <sheetView workbookViewId="0"/>
  </sheetViews>
  <sheetFormatPr baseColWidth="10" defaultColWidth="14.44140625" defaultRowHeight="15" customHeight="1"/>
  <cols>
    <col min="1" max="1" width="19.88671875" customWidth="1"/>
    <col min="2" max="4" width="15.33203125" customWidth="1"/>
    <col min="5" max="6" width="11.44140625" customWidth="1"/>
    <col min="7" max="7" width="14.109375" customWidth="1"/>
    <col min="8" max="8" width="11.44140625" customWidth="1"/>
    <col min="9" max="9" width="11.88671875" hidden="1" customWidth="1"/>
    <col min="10" max="10" width="14.5546875" hidden="1" customWidth="1"/>
    <col min="11" max="11" width="16.33203125" hidden="1" customWidth="1"/>
    <col min="12" max="256" width="11.44140625" customWidth="1"/>
  </cols>
  <sheetData>
    <row r="2" spans="1:11" ht="14.25" customHeight="1">
      <c r="A2" s="1854"/>
      <c r="B2" s="1857" t="s">
        <v>373</v>
      </c>
      <c r="C2" s="1830"/>
      <c r="D2" s="1828"/>
      <c r="E2" s="1858" t="s">
        <v>561</v>
      </c>
      <c r="F2" s="1859"/>
      <c r="G2" s="1843"/>
      <c r="H2" s="59"/>
      <c r="I2" s="60"/>
      <c r="J2" s="60"/>
      <c r="K2" s="61"/>
    </row>
    <row r="3" spans="1:11" ht="14.25" customHeight="1">
      <c r="A3" s="1855"/>
      <c r="B3" s="1848" t="s">
        <v>562</v>
      </c>
      <c r="C3" s="1859"/>
      <c r="D3" s="1843"/>
      <c r="E3" s="1620"/>
      <c r="F3" s="1621"/>
      <c r="G3" s="1622"/>
      <c r="H3" s="59"/>
      <c r="I3" s="60"/>
      <c r="J3" s="60"/>
      <c r="K3" s="61"/>
    </row>
    <row r="4" spans="1:11" ht="14.25" customHeight="1">
      <c r="A4" s="1855"/>
      <c r="B4" s="1620"/>
      <c r="C4" s="1621"/>
      <c r="D4" s="1622"/>
      <c r="E4" s="1829"/>
      <c r="F4" s="1830"/>
      <c r="G4" s="1828"/>
      <c r="H4" s="59"/>
      <c r="I4" s="60"/>
      <c r="J4" s="60"/>
      <c r="K4" s="61"/>
    </row>
    <row r="5" spans="1:11" ht="30.75" customHeight="1">
      <c r="A5" s="1856"/>
      <c r="B5" s="1860" t="s">
        <v>563</v>
      </c>
      <c r="C5" s="1830"/>
      <c r="D5" s="1828"/>
      <c r="E5" s="1829" t="s">
        <v>564</v>
      </c>
      <c r="F5" s="1830"/>
      <c r="G5" s="1828"/>
      <c r="H5" s="59"/>
      <c r="I5" s="60"/>
      <c r="J5" s="60"/>
      <c r="K5" s="61"/>
    </row>
    <row r="6" spans="1:11" ht="40.5" customHeight="1">
      <c r="A6" s="1860" t="s">
        <v>978</v>
      </c>
      <c r="B6" s="1830"/>
      <c r="C6" s="1830"/>
      <c r="D6" s="1830"/>
      <c r="E6" s="1830"/>
      <c r="F6" s="1830"/>
      <c r="G6" s="1828"/>
      <c r="H6" s="59"/>
      <c r="I6" s="60"/>
      <c r="J6" s="60"/>
      <c r="K6" s="61"/>
    </row>
    <row r="7" spans="1:11" ht="14.25" customHeight="1">
      <c r="A7" s="66" t="s">
        <v>217</v>
      </c>
      <c r="B7" s="1832" t="s">
        <v>379</v>
      </c>
      <c r="C7" s="1830"/>
      <c r="D7" s="1828"/>
      <c r="E7" s="1833" t="s">
        <v>218</v>
      </c>
      <c r="F7" s="1828"/>
      <c r="G7" s="62" t="s">
        <v>228</v>
      </c>
      <c r="H7" s="59"/>
      <c r="I7" s="60"/>
      <c r="J7" s="60"/>
      <c r="K7" s="61"/>
    </row>
    <row r="8" spans="1:11" ht="14.25" customHeight="1">
      <c r="A8" s="66" t="s">
        <v>219</v>
      </c>
      <c r="B8" s="1840" t="s">
        <v>566</v>
      </c>
      <c r="C8" s="1830"/>
      <c r="D8" s="1830"/>
      <c r="E8" s="1830"/>
      <c r="F8" s="1830"/>
      <c r="G8" s="1828"/>
      <c r="H8" s="59"/>
      <c r="I8" s="60"/>
      <c r="J8" s="60"/>
      <c r="K8" s="61"/>
    </row>
    <row r="9" spans="1:11" ht="14.25" customHeight="1">
      <c r="A9" s="1836" t="s">
        <v>220</v>
      </c>
      <c r="B9" s="1830"/>
      <c r="C9" s="1830"/>
      <c r="D9" s="1830"/>
      <c r="E9" s="1830"/>
      <c r="F9" s="1830"/>
      <c r="G9" s="1828"/>
      <c r="H9" s="59"/>
      <c r="I9" s="60"/>
      <c r="J9" s="60"/>
      <c r="K9" s="61"/>
    </row>
    <row r="10" spans="1:11" ht="14.25" customHeight="1">
      <c r="A10" s="1829" t="s">
        <v>221</v>
      </c>
      <c r="B10" s="1828"/>
      <c r="C10" s="63" t="s">
        <v>222</v>
      </c>
      <c r="D10" s="63" t="s">
        <v>223</v>
      </c>
      <c r="E10" s="63" t="s">
        <v>224</v>
      </c>
      <c r="F10" s="63" t="s">
        <v>225</v>
      </c>
      <c r="G10" s="63" t="s">
        <v>226</v>
      </c>
      <c r="H10" s="59"/>
      <c r="I10" s="60"/>
      <c r="J10" s="60"/>
      <c r="K10" s="61"/>
    </row>
    <row r="11" spans="1:11" ht="14.25" customHeight="1">
      <c r="A11" s="1844" t="s">
        <v>567</v>
      </c>
      <c r="B11" s="1828"/>
      <c r="C11" s="64">
        <v>90.578838537454615</v>
      </c>
      <c r="D11" s="64">
        <v>76.22</v>
      </c>
      <c r="E11" s="64"/>
      <c r="F11" s="64">
        <v>1</v>
      </c>
      <c r="G11" s="64">
        <f>+ROUND(C11*D11,2)</f>
        <v>6903.92</v>
      </c>
      <c r="H11" s="59"/>
      <c r="I11" s="60">
        <f>+PPTOETAPAS!F7</f>
        <v>40261694</v>
      </c>
      <c r="J11" s="60"/>
      <c r="K11" s="61">
        <f>10812.64+3314.27</f>
        <v>14126.91</v>
      </c>
    </row>
    <row r="12" spans="1:11" ht="14.25" customHeight="1">
      <c r="A12" s="1845"/>
      <c r="B12" s="1828"/>
      <c r="C12" s="64"/>
      <c r="D12" s="64"/>
      <c r="E12" s="64"/>
      <c r="F12" s="64"/>
      <c r="G12" s="64"/>
      <c r="H12" s="59"/>
      <c r="I12" s="60">
        <f>+G35*24550</f>
        <v>5385533.5</v>
      </c>
      <c r="J12" s="60"/>
      <c r="K12" s="61"/>
    </row>
    <row r="13" spans="1:11" ht="14.25" customHeight="1">
      <c r="A13" s="1829" t="s">
        <v>227</v>
      </c>
      <c r="B13" s="1830"/>
      <c r="C13" s="1830"/>
      <c r="D13" s="1830"/>
      <c r="E13" s="1830"/>
      <c r="F13" s="1828"/>
      <c r="G13" s="65">
        <f>ROUND(SUM(G11:G12),2)</f>
        <v>6903.92</v>
      </c>
      <c r="H13" s="59"/>
      <c r="I13" s="60">
        <f>+G49*14750</f>
        <v>34093002.5</v>
      </c>
      <c r="J13" s="60"/>
      <c r="K13" s="61"/>
    </row>
    <row r="14" spans="1:11" ht="14.25" customHeight="1">
      <c r="A14" s="1861"/>
      <c r="B14" s="1830"/>
      <c r="C14" s="1830"/>
      <c r="D14" s="1830"/>
      <c r="E14" s="1830"/>
      <c r="F14" s="1830"/>
      <c r="G14" s="1828"/>
      <c r="H14" s="59"/>
      <c r="I14" s="60">
        <f>+G63*17550</f>
        <v>43469419.5</v>
      </c>
      <c r="J14" s="60"/>
      <c r="K14" s="61"/>
    </row>
    <row r="15" spans="1:11" ht="14.25" customHeight="1">
      <c r="A15" s="1837"/>
      <c r="B15" s="1838"/>
      <c r="C15" s="1838"/>
      <c r="D15" s="1838"/>
      <c r="E15" s="1838"/>
      <c r="F15" s="1838"/>
      <c r="G15" s="1839"/>
      <c r="H15" s="59"/>
      <c r="I15" s="60">
        <f>+G89*25000</f>
        <v>1700000</v>
      </c>
      <c r="J15" s="60"/>
      <c r="K15" s="61"/>
    </row>
    <row r="16" spans="1:11" ht="14.25" customHeight="1">
      <c r="A16" s="66" t="str">
        <f>+$A$7</f>
        <v>CAPITULO 1:</v>
      </c>
      <c r="B16" s="1832" t="str">
        <f>+$B$7</f>
        <v>ACTIVIDADES PRELIMINARES</v>
      </c>
      <c r="C16" s="1830"/>
      <c r="D16" s="1828"/>
      <c r="E16" s="1833" t="s">
        <v>218</v>
      </c>
      <c r="F16" s="1828"/>
      <c r="G16" s="62" t="s">
        <v>116</v>
      </c>
      <c r="H16" s="59"/>
      <c r="I16" s="60">
        <f>+G98*27550</f>
        <v>1212200</v>
      </c>
      <c r="J16" s="60"/>
      <c r="K16" s="61"/>
    </row>
    <row r="17" spans="1:11" ht="30.75" customHeight="1">
      <c r="A17" s="66" t="s">
        <v>229</v>
      </c>
      <c r="B17" s="1840" t="s">
        <v>568</v>
      </c>
      <c r="C17" s="1830"/>
      <c r="D17" s="1830"/>
      <c r="E17" s="1830"/>
      <c r="F17" s="1830"/>
      <c r="G17" s="1828"/>
      <c r="H17" s="59"/>
      <c r="I17" s="60">
        <f>+G119*30550</f>
        <v>40293617</v>
      </c>
      <c r="J17" s="60"/>
      <c r="K17" s="61"/>
    </row>
    <row r="18" spans="1:11" ht="14.25" customHeight="1">
      <c r="A18" s="1836" t="s">
        <v>220</v>
      </c>
      <c r="B18" s="1830"/>
      <c r="C18" s="1830"/>
      <c r="D18" s="1830"/>
      <c r="E18" s="1830"/>
      <c r="F18" s="1830"/>
      <c r="G18" s="1828"/>
      <c r="H18" s="59"/>
      <c r="I18" s="60">
        <f>+G130*56500</f>
        <v>247812704.14000005</v>
      </c>
      <c r="J18" s="60"/>
      <c r="K18" s="61"/>
    </row>
    <row r="19" spans="1:11" ht="14.25" customHeight="1">
      <c r="A19" s="1829" t="s">
        <v>221</v>
      </c>
      <c r="B19" s="1828"/>
      <c r="C19" s="63" t="s">
        <v>222</v>
      </c>
      <c r="D19" s="63" t="s">
        <v>223</v>
      </c>
      <c r="E19" s="63" t="s">
        <v>224</v>
      </c>
      <c r="F19" s="63" t="s">
        <v>225</v>
      </c>
      <c r="G19" s="63" t="s">
        <v>226</v>
      </c>
      <c r="H19" s="59"/>
      <c r="I19" s="60">
        <f>ROUND(SUM(I11:I18),0)</f>
        <v>414228171</v>
      </c>
      <c r="J19" s="60" t="s">
        <v>230</v>
      </c>
      <c r="K19" s="61"/>
    </row>
    <row r="20" spans="1:11" ht="14.25" customHeight="1">
      <c r="A20" s="1847" t="s">
        <v>569</v>
      </c>
      <c r="B20" s="1828"/>
      <c r="C20" s="64"/>
      <c r="D20" s="64"/>
      <c r="E20" s="64"/>
      <c r="F20" s="64"/>
      <c r="G20" s="64"/>
      <c r="H20" s="59"/>
      <c r="I20" s="60"/>
      <c r="J20" s="60"/>
      <c r="K20" s="61"/>
    </row>
    <row r="21" spans="1:11" ht="14.25" customHeight="1">
      <c r="A21" s="1845" t="s">
        <v>570</v>
      </c>
      <c r="B21" s="1828"/>
      <c r="C21" s="64">
        <f>120.53+71.17+36.41+9.12+26.18</f>
        <v>263.40999999999997</v>
      </c>
      <c r="D21" s="64">
        <v>0.1</v>
      </c>
      <c r="E21" s="64">
        <v>0.1</v>
      </c>
      <c r="F21" s="64">
        <v>1</v>
      </c>
      <c r="G21" s="64">
        <f t="shared" ref="G21:G23" si="0">+C21*D21*E21*F21</f>
        <v>2.6341000000000001</v>
      </c>
      <c r="H21" s="59"/>
      <c r="I21" s="60"/>
      <c r="J21" s="60"/>
      <c r="K21" s="61"/>
    </row>
    <row r="22" spans="1:11" ht="14.25" customHeight="1">
      <c r="A22" s="1845" t="s">
        <v>571</v>
      </c>
      <c r="B22" s="1828"/>
      <c r="C22" s="64">
        <f>+C21</f>
        <v>263.40999999999997</v>
      </c>
      <c r="D22" s="64">
        <v>0.25</v>
      </c>
      <c r="E22" s="64">
        <v>0.25</v>
      </c>
      <c r="F22" s="64">
        <v>1</v>
      </c>
      <c r="G22" s="64">
        <f t="shared" si="0"/>
        <v>16.463124999999998</v>
      </c>
      <c r="H22" s="59"/>
      <c r="I22" s="60"/>
      <c r="J22" s="60"/>
      <c r="K22" s="61"/>
    </row>
    <row r="23" spans="1:11" ht="14.25" customHeight="1">
      <c r="A23" s="1845" t="s">
        <v>572</v>
      </c>
      <c r="B23" s="1828"/>
      <c r="C23" s="64">
        <v>0.8</v>
      </c>
      <c r="D23" s="64">
        <v>0.25</v>
      </c>
      <c r="E23" s="64">
        <v>0.25</v>
      </c>
      <c r="F23" s="64">
        <f>+ROUND(C22/3,0)</f>
        <v>88</v>
      </c>
      <c r="G23" s="64">
        <f t="shared" si="0"/>
        <v>4.4000000000000004</v>
      </c>
      <c r="H23" s="59"/>
      <c r="I23" s="60"/>
      <c r="J23" s="60"/>
      <c r="K23" s="61"/>
    </row>
    <row r="24" spans="1:11" ht="14.25" customHeight="1">
      <c r="A24" s="1847" t="s">
        <v>573</v>
      </c>
      <c r="B24" s="1828"/>
      <c r="C24" s="64"/>
      <c r="D24" s="64"/>
      <c r="E24" s="64"/>
      <c r="F24" s="64"/>
      <c r="G24" s="64"/>
      <c r="H24" s="59"/>
      <c r="I24" s="60"/>
      <c r="J24" s="60"/>
      <c r="K24" s="61"/>
    </row>
    <row r="25" spans="1:11" ht="14.25" customHeight="1">
      <c r="A25" s="1845" t="s">
        <v>574</v>
      </c>
      <c r="B25" s="1828"/>
      <c r="C25" s="64">
        <f>20+9.72+12.2+40.6+20+10.6+20+12.2+9.8+14.43+7.8+12.4+5.1+9.6+3.3+3.3+3.1+2+17.9+(1.25*7)+0.9+8.05+5.45+1.1+3.3+20+6.15+(6.75*3)+7.45+2.65+2.65+5+1.55</f>
        <v>327.3</v>
      </c>
      <c r="D25" s="64">
        <v>0.3</v>
      </c>
      <c r="E25" s="64">
        <v>0.3</v>
      </c>
      <c r="F25" s="64">
        <v>2</v>
      </c>
      <c r="G25" s="64">
        <f t="shared" ref="G25:G27" si="1">+C25*D25*E25*F25</f>
        <v>58.913999999999994</v>
      </c>
      <c r="H25" s="59"/>
      <c r="I25" s="60"/>
      <c r="J25" s="60"/>
      <c r="K25" s="61"/>
    </row>
    <row r="26" spans="1:11" ht="14.25" customHeight="1">
      <c r="A26" s="1845" t="s">
        <v>575</v>
      </c>
      <c r="B26" s="1828"/>
      <c r="C26" s="64">
        <v>7.35</v>
      </c>
      <c r="D26" s="64">
        <v>0.3</v>
      </c>
      <c r="E26" s="64">
        <v>0.3</v>
      </c>
      <c r="F26" s="64">
        <v>40</v>
      </c>
      <c r="G26" s="64">
        <f t="shared" si="1"/>
        <v>26.459999999999994</v>
      </c>
      <c r="H26" s="59"/>
      <c r="I26" s="60"/>
      <c r="J26" s="60"/>
      <c r="K26" s="61"/>
    </row>
    <row r="27" spans="1:11" ht="15" customHeight="1">
      <c r="A27" s="1845" t="s">
        <v>576</v>
      </c>
      <c r="B27" s="1828"/>
      <c r="C27" s="64">
        <v>1.2</v>
      </c>
      <c r="D27" s="64">
        <v>1.2</v>
      </c>
      <c r="E27" s="64">
        <v>0.3</v>
      </c>
      <c r="F27" s="64">
        <v>40</v>
      </c>
      <c r="G27" s="64">
        <f t="shared" si="1"/>
        <v>17.28</v>
      </c>
      <c r="H27" s="59"/>
      <c r="I27" s="60"/>
      <c r="J27" s="60"/>
      <c r="K27" s="61"/>
    </row>
    <row r="28" spans="1:11" ht="14.25" customHeight="1">
      <c r="A28" s="1847" t="s">
        <v>577</v>
      </c>
      <c r="B28" s="1828"/>
      <c r="C28" s="64"/>
      <c r="D28" s="64"/>
      <c r="E28" s="64"/>
      <c r="F28" s="64"/>
      <c r="G28" s="64"/>
      <c r="H28" s="59"/>
      <c r="I28" s="60"/>
      <c r="J28" s="60"/>
      <c r="K28" s="61"/>
    </row>
    <row r="29" spans="1:11" ht="14.25" customHeight="1">
      <c r="A29" s="1845" t="s">
        <v>574</v>
      </c>
      <c r="B29" s="1828"/>
      <c r="C29" s="64">
        <f>16.15+16.15+5.37+5.37+5.37+4.6+(4.9*5)+4.6+(4.9*8)+(7.85*4)+3.33+(5.2*4)+21+(4.85*2)+5+(1.95*3*0.2)+(2.2*6)+(10.45*2)+(6.45*3)+(4.6*2)+(1.4*20)+(1.65*10)</f>
        <v>320.85999999999996</v>
      </c>
      <c r="D29" s="64">
        <v>0.3</v>
      </c>
      <c r="E29" s="64">
        <v>0.3</v>
      </c>
      <c r="F29" s="64">
        <v>2</v>
      </c>
      <c r="G29" s="64">
        <f t="shared" ref="G29:G33" si="2">+C29*D29*E29*F29</f>
        <v>57.754799999999989</v>
      </c>
      <c r="H29" s="59"/>
      <c r="I29" s="60"/>
      <c r="J29" s="60"/>
      <c r="K29" s="61"/>
    </row>
    <row r="30" spans="1:11" ht="14.25" customHeight="1">
      <c r="A30" s="1845" t="s">
        <v>575</v>
      </c>
      <c r="B30" s="1828"/>
      <c r="C30" s="64">
        <v>6.09</v>
      </c>
      <c r="D30" s="64">
        <v>0.3</v>
      </c>
      <c r="E30" s="64">
        <v>0.3</v>
      </c>
      <c r="F30" s="64">
        <v>32</v>
      </c>
      <c r="G30" s="64">
        <f t="shared" si="2"/>
        <v>17.539199999999997</v>
      </c>
      <c r="H30" s="59"/>
      <c r="I30" s="60"/>
      <c r="J30" s="60"/>
      <c r="K30" s="61"/>
    </row>
    <row r="31" spans="1:11" ht="14.25" customHeight="1">
      <c r="A31" s="1845" t="s">
        <v>576</v>
      </c>
      <c r="B31" s="1828"/>
      <c r="C31" s="64">
        <v>1.2</v>
      </c>
      <c r="D31" s="64">
        <v>1.2</v>
      </c>
      <c r="E31" s="64">
        <v>0.3</v>
      </c>
      <c r="F31" s="64">
        <v>32</v>
      </c>
      <c r="G31" s="64">
        <f t="shared" si="2"/>
        <v>13.824</v>
      </c>
      <c r="H31" s="59"/>
      <c r="I31" s="60"/>
      <c r="J31" s="60"/>
      <c r="K31" s="61"/>
    </row>
    <row r="32" spans="1:11" ht="14.25" customHeight="1">
      <c r="A32" s="1845" t="s">
        <v>578</v>
      </c>
      <c r="B32" s="1828"/>
      <c r="C32" s="64">
        <f>8.44/3</f>
        <v>2.813333333333333</v>
      </c>
      <c r="D32" s="64">
        <v>3</v>
      </c>
      <c r="E32" s="64">
        <v>0.2</v>
      </c>
      <c r="F32" s="64">
        <v>2</v>
      </c>
      <c r="G32" s="64">
        <f t="shared" si="2"/>
        <v>3.3759999999999999</v>
      </c>
      <c r="H32" s="59"/>
      <c r="I32" s="60"/>
      <c r="J32" s="60"/>
      <c r="K32" s="61"/>
    </row>
    <row r="33" spans="1:7" ht="14.25" customHeight="1">
      <c r="A33" s="1845" t="s">
        <v>579</v>
      </c>
      <c r="B33" s="1828"/>
      <c r="C33" s="64">
        <v>3</v>
      </c>
      <c r="D33" s="64">
        <v>0.6</v>
      </c>
      <c r="E33" s="64">
        <v>0.2</v>
      </c>
      <c r="F33" s="64">
        <v>2</v>
      </c>
      <c r="G33" s="64">
        <f t="shared" si="2"/>
        <v>0.72</v>
      </c>
    </row>
    <row r="34" spans="1:7" ht="14.25" customHeight="1">
      <c r="A34" s="1845"/>
      <c r="B34" s="1828"/>
      <c r="C34" s="64"/>
      <c r="D34" s="64"/>
      <c r="E34" s="64"/>
      <c r="F34" s="64"/>
      <c r="G34" s="64"/>
    </row>
    <row r="35" spans="1:7" ht="14.25" customHeight="1">
      <c r="A35" s="1829" t="s">
        <v>227</v>
      </c>
      <c r="B35" s="1830"/>
      <c r="C35" s="1830"/>
      <c r="D35" s="1830"/>
      <c r="E35" s="1830"/>
      <c r="F35" s="1828"/>
      <c r="G35" s="65">
        <f>ROUND(SUM(G20:G34),2)</f>
        <v>219.37</v>
      </c>
    </row>
    <row r="36" spans="1:7" ht="14.25" customHeight="1">
      <c r="A36" s="1837"/>
      <c r="B36" s="1838"/>
      <c r="C36" s="1838"/>
      <c r="D36" s="1838"/>
      <c r="E36" s="1838"/>
      <c r="F36" s="1838"/>
      <c r="G36" s="1839"/>
    </row>
    <row r="37" spans="1:7" ht="14.25" customHeight="1">
      <c r="A37" s="66" t="str">
        <f>+$A$7</f>
        <v>CAPITULO 1:</v>
      </c>
      <c r="B37" s="1832" t="str">
        <f>+$B$7</f>
        <v>ACTIVIDADES PRELIMINARES</v>
      </c>
      <c r="C37" s="1830"/>
      <c r="D37" s="1828"/>
      <c r="E37" s="1833" t="s">
        <v>218</v>
      </c>
      <c r="F37" s="1828"/>
      <c r="G37" s="62" t="s">
        <v>228</v>
      </c>
    </row>
    <row r="38" spans="1:7" ht="23.25" customHeight="1">
      <c r="A38" s="66" t="s">
        <v>231</v>
      </c>
      <c r="B38" s="1840" t="s">
        <v>580</v>
      </c>
      <c r="C38" s="1830"/>
      <c r="D38" s="1830"/>
      <c r="E38" s="1830"/>
      <c r="F38" s="1830"/>
      <c r="G38" s="1828"/>
    </row>
    <row r="39" spans="1:7" ht="14.25" customHeight="1">
      <c r="A39" s="1836" t="s">
        <v>220</v>
      </c>
      <c r="B39" s="1830"/>
      <c r="C39" s="1830"/>
      <c r="D39" s="1830"/>
      <c r="E39" s="1830"/>
      <c r="F39" s="1830"/>
      <c r="G39" s="1828"/>
    </row>
    <row r="40" spans="1:7" ht="14.25" customHeight="1">
      <c r="A40" s="1829" t="s">
        <v>221</v>
      </c>
      <c r="B40" s="1828"/>
      <c r="C40" s="63" t="s">
        <v>222</v>
      </c>
      <c r="D40" s="63" t="s">
        <v>223</v>
      </c>
      <c r="E40" s="63" t="s">
        <v>224</v>
      </c>
      <c r="F40" s="63" t="s">
        <v>225</v>
      </c>
      <c r="G40" s="63" t="s">
        <v>226</v>
      </c>
    </row>
    <row r="41" spans="1:7" ht="14.25" customHeight="1">
      <c r="A41" s="1847" t="s">
        <v>569</v>
      </c>
      <c r="B41" s="1828"/>
      <c r="C41" s="64"/>
      <c r="D41" s="64"/>
      <c r="E41" s="64"/>
      <c r="F41" s="64"/>
      <c r="G41" s="64"/>
    </row>
    <row r="42" spans="1:7" ht="14.25" customHeight="1">
      <c r="A42" s="1845" t="s">
        <v>581</v>
      </c>
      <c r="B42" s="1828"/>
      <c r="C42" s="64">
        <f>+C22</f>
        <v>263.40999999999997</v>
      </c>
      <c r="D42" s="64">
        <v>0.4</v>
      </c>
      <c r="E42" s="64"/>
      <c r="F42" s="64"/>
      <c r="G42" s="64">
        <f>+C42*D42</f>
        <v>105.36399999999999</v>
      </c>
    </row>
    <row r="43" spans="1:7" ht="14.25" customHeight="1">
      <c r="A43" s="1847" t="s">
        <v>573</v>
      </c>
      <c r="B43" s="1828"/>
      <c r="C43" s="64"/>
      <c r="D43" s="64"/>
      <c r="E43" s="64"/>
      <c r="F43" s="64"/>
      <c r="G43" s="64"/>
    </row>
    <row r="44" spans="1:7" ht="14.25" customHeight="1">
      <c r="A44" s="1845" t="s">
        <v>582</v>
      </c>
      <c r="B44" s="1828"/>
      <c r="C44" s="64">
        <f>20+9.72+12.2+40.6+20+10.6+20+12.2+9.8</f>
        <v>155.12</v>
      </c>
      <c r="D44" s="64">
        <f>+(3.9+4.65+2.95)/3</f>
        <v>3.8333333333333335</v>
      </c>
      <c r="E44" s="64"/>
      <c r="F44" s="64"/>
      <c r="G44" s="64">
        <f>+D44*C44</f>
        <v>594.62666666666667</v>
      </c>
    </row>
    <row r="45" spans="1:7" ht="14.25" customHeight="1">
      <c r="A45" s="1845" t="s">
        <v>583</v>
      </c>
      <c r="B45" s="1828"/>
      <c r="C45" s="64">
        <f>14.43+7.8+12.4+5.1+9.6+3.3+3.3+3.1+2+17.9+(1.25*7)+0.9+8.05+5.45+1.1+3.3+20+6.15+(6.75*3)+7.45+2.65+2.65+5+1.55</f>
        <v>172.18</v>
      </c>
      <c r="D45" s="64">
        <v>4.7</v>
      </c>
      <c r="E45" s="64"/>
      <c r="F45" s="64"/>
      <c r="G45" s="64">
        <f>+C45*D45</f>
        <v>809.24600000000009</v>
      </c>
    </row>
    <row r="46" spans="1:7" ht="14.25" customHeight="1">
      <c r="A46" s="1847" t="s">
        <v>577</v>
      </c>
      <c r="B46" s="1828"/>
      <c r="C46" s="64"/>
      <c r="D46" s="64"/>
      <c r="E46" s="64"/>
      <c r="F46" s="64"/>
      <c r="G46" s="64"/>
    </row>
    <row r="47" spans="1:7" ht="14.25" customHeight="1">
      <c r="A47" s="1845" t="s">
        <v>584</v>
      </c>
      <c r="B47" s="1828"/>
      <c r="C47" s="64">
        <f>+C29</f>
        <v>320.85999999999996</v>
      </c>
      <c r="D47" s="64">
        <v>2.5</v>
      </c>
      <c r="E47" s="64"/>
      <c r="F47" s="64"/>
      <c r="G47" s="64">
        <f>+D47*C47</f>
        <v>802.14999999999986</v>
      </c>
    </row>
    <row r="48" spans="1:7" ht="14.25" customHeight="1">
      <c r="A48" s="1845"/>
      <c r="B48" s="1828"/>
      <c r="C48" s="64"/>
      <c r="D48" s="64"/>
      <c r="E48" s="64"/>
      <c r="F48" s="64"/>
      <c r="G48" s="64"/>
    </row>
    <row r="49" spans="1:7" ht="14.25" customHeight="1">
      <c r="A49" s="1829" t="s">
        <v>227</v>
      </c>
      <c r="B49" s="1830"/>
      <c r="C49" s="1830"/>
      <c r="D49" s="1830"/>
      <c r="E49" s="1830"/>
      <c r="F49" s="1828"/>
      <c r="G49" s="65">
        <f>ROUND(SUM(G41:G48),2)</f>
        <v>2311.39</v>
      </c>
    </row>
    <row r="50" spans="1:7" ht="14.25" customHeight="1">
      <c r="A50" s="1837"/>
      <c r="B50" s="1838"/>
      <c r="C50" s="1838"/>
      <c r="D50" s="1838"/>
      <c r="E50" s="1838"/>
      <c r="F50" s="1838"/>
      <c r="G50" s="1839"/>
    </row>
    <row r="51" spans="1:7" ht="14.25" customHeight="1">
      <c r="A51" s="66" t="str">
        <f>+$A$7</f>
        <v>CAPITULO 1:</v>
      </c>
      <c r="B51" s="1832" t="str">
        <f>+$B$7</f>
        <v>ACTIVIDADES PRELIMINARES</v>
      </c>
      <c r="C51" s="1830"/>
      <c r="D51" s="1828"/>
      <c r="E51" s="1833" t="s">
        <v>218</v>
      </c>
      <c r="F51" s="1828"/>
      <c r="G51" s="62" t="s">
        <v>228</v>
      </c>
    </row>
    <row r="52" spans="1:7" ht="23.25" customHeight="1">
      <c r="A52" s="66" t="s">
        <v>585</v>
      </c>
      <c r="B52" s="1840" t="s">
        <v>586</v>
      </c>
      <c r="C52" s="1830"/>
      <c r="D52" s="1830"/>
      <c r="E52" s="1830"/>
      <c r="F52" s="1830"/>
      <c r="G52" s="1828"/>
    </row>
    <row r="53" spans="1:7" ht="14.25" customHeight="1">
      <c r="A53" s="1836" t="s">
        <v>220</v>
      </c>
      <c r="B53" s="1830"/>
      <c r="C53" s="1830"/>
      <c r="D53" s="1830"/>
      <c r="E53" s="1830"/>
      <c r="F53" s="1830"/>
      <c r="G53" s="1828"/>
    </row>
    <row r="54" spans="1:7" ht="14.25" customHeight="1">
      <c r="A54" s="1829" t="s">
        <v>221</v>
      </c>
      <c r="B54" s="1828"/>
      <c r="C54" s="63" t="s">
        <v>222</v>
      </c>
      <c r="D54" s="63" t="s">
        <v>223</v>
      </c>
      <c r="E54" s="63" t="s">
        <v>224</v>
      </c>
      <c r="F54" s="63" t="s">
        <v>225</v>
      </c>
      <c r="G54" s="63" t="s">
        <v>226</v>
      </c>
    </row>
    <row r="55" spans="1:7" ht="14.25" customHeight="1">
      <c r="A55" s="1847" t="s">
        <v>573</v>
      </c>
      <c r="B55" s="1828"/>
      <c r="C55" s="64"/>
      <c r="D55" s="64"/>
      <c r="E55" s="64"/>
      <c r="F55" s="64"/>
      <c r="G55" s="64"/>
    </row>
    <row r="56" spans="1:7" ht="14.25" customHeight="1">
      <c r="A56" s="1845" t="s">
        <v>587</v>
      </c>
      <c r="B56" s="1828"/>
      <c r="C56" s="64">
        <v>41.34</v>
      </c>
      <c r="D56" s="64">
        <v>39.979999999999997</v>
      </c>
      <c r="E56" s="64"/>
      <c r="F56" s="64"/>
      <c r="G56" s="64">
        <f>+D56*C56</f>
        <v>1652.7732000000001</v>
      </c>
    </row>
    <row r="57" spans="1:7" ht="5.25" customHeight="1">
      <c r="A57" s="1845"/>
      <c r="B57" s="1828"/>
      <c r="C57" s="64"/>
      <c r="D57" s="64"/>
      <c r="E57" s="64"/>
      <c r="F57" s="64"/>
      <c r="G57" s="64"/>
    </row>
    <row r="58" spans="1:7" ht="14.25" customHeight="1">
      <c r="A58" s="1847" t="s">
        <v>577</v>
      </c>
      <c r="B58" s="1828"/>
      <c r="C58" s="64"/>
      <c r="D58" s="64"/>
      <c r="E58" s="64"/>
      <c r="F58" s="64"/>
      <c r="G58" s="64"/>
    </row>
    <row r="59" spans="1:7" ht="14.25" customHeight="1">
      <c r="A59" s="1845" t="s">
        <v>588</v>
      </c>
      <c r="B59" s="1828"/>
      <c r="C59" s="64">
        <v>16.149999999999999</v>
      </c>
      <c r="D59" s="64">
        <v>5.4</v>
      </c>
      <c r="E59" s="64"/>
      <c r="F59" s="64"/>
      <c r="G59" s="64">
        <f t="shared" ref="G59:G62" si="3">+D59*C59</f>
        <v>87.21</v>
      </c>
    </row>
    <row r="60" spans="1:7" ht="14.25" customHeight="1">
      <c r="A60" s="1845" t="s">
        <v>589</v>
      </c>
      <c r="B60" s="1828"/>
      <c r="C60" s="64">
        <f>20.21+25.25</f>
        <v>45.46</v>
      </c>
      <c r="D60" s="64">
        <v>8</v>
      </c>
      <c r="E60" s="64"/>
      <c r="F60" s="64"/>
      <c r="G60" s="64">
        <f t="shared" si="3"/>
        <v>363.68</v>
      </c>
    </row>
    <row r="61" spans="1:7" ht="14.25" customHeight="1">
      <c r="A61" s="1845" t="s">
        <v>590</v>
      </c>
      <c r="B61" s="1828"/>
      <c r="C61" s="64">
        <v>11.7</v>
      </c>
      <c r="D61" s="64">
        <v>13.8</v>
      </c>
      <c r="E61" s="64"/>
      <c r="F61" s="64"/>
      <c r="G61" s="64">
        <f t="shared" si="3"/>
        <v>161.46</v>
      </c>
    </row>
    <row r="62" spans="1:7" ht="14.25" customHeight="1">
      <c r="A62" s="1845" t="s">
        <v>591</v>
      </c>
      <c r="B62" s="1828"/>
      <c r="C62" s="64">
        <v>23.4</v>
      </c>
      <c r="D62" s="64">
        <v>9.0500000000000007</v>
      </c>
      <c r="E62" s="64"/>
      <c r="F62" s="64"/>
      <c r="G62" s="64">
        <f t="shared" si="3"/>
        <v>211.77</v>
      </c>
    </row>
    <row r="63" spans="1:7" ht="14.25" customHeight="1">
      <c r="A63" s="1829" t="s">
        <v>227</v>
      </c>
      <c r="B63" s="1830"/>
      <c r="C63" s="1830"/>
      <c r="D63" s="1830"/>
      <c r="E63" s="1830"/>
      <c r="F63" s="1828"/>
      <c r="G63" s="65">
        <f>ROUND(SUM(G56:G62),2)</f>
        <v>2476.89</v>
      </c>
    </row>
    <row r="64" spans="1:7" ht="14.25" customHeight="1">
      <c r="A64" s="1837"/>
      <c r="B64" s="1838"/>
      <c r="C64" s="1838"/>
      <c r="D64" s="1838"/>
      <c r="E64" s="1838"/>
      <c r="F64" s="1838"/>
      <c r="G64" s="1839"/>
    </row>
    <row r="65" spans="1:7" ht="14.25" customHeight="1">
      <c r="A65" s="66" t="str">
        <f>+$A$7</f>
        <v>CAPITULO 1:</v>
      </c>
      <c r="B65" s="1832" t="str">
        <f>+$B$7</f>
        <v>ACTIVIDADES PRELIMINARES</v>
      </c>
      <c r="C65" s="1830"/>
      <c r="D65" s="1828"/>
      <c r="E65" s="1833" t="s">
        <v>218</v>
      </c>
      <c r="F65" s="1828"/>
      <c r="G65" s="62" t="s">
        <v>228</v>
      </c>
    </row>
    <row r="66" spans="1:7" ht="23.25" customHeight="1">
      <c r="A66" s="66" t="s">
        <v>592</v>
      </c>
      <c r="B66" s="1840" t="s">
        <v>593</v>
      </c>
      <c r="C66" s="1830"/>
      <c r="D66" s="1830"/>
      <c r="E66" s="1830"/>
      <c r="F66" s="1830"/>
      <c r="G66" s="1828"/>
    </row>
    <row r="67" spans="1:7" ht="14.25" customHeight="1">
      <c r="A67" s="1836" t="s">
        <v>220</v>
      </c>
      <c r="B67" s="1830"/>
      <c r="C67" s="1830"/>
      <c r="D67" s="1830"/>
      <c r="E67" s="1830"/>
      <c r="F67" s="1830"/>
      <c r="G67" s="1828"/>
    </row>
    <row r="68" spans="1:7" ht="14.25" customHeight="1">
      <c r="A68" s="1829" t="s">
        <v>221</v>
      </c>
      <c r="B68" s="1828"/>
      <c r="C68" s="63" t="s">
        <v>222</v>
      </c>
      <c r="D68" s="63" t="s">
        <v>223</v>
      </c>
      <c r="E68" s="63" t="s">
        <v>224</v>
      </c>
      <c r="F68" s="63" t="s">
        <v>225</v>
      </c>
      <c r="G68" s="63" t="s">
        <v>226</v>
      </c>
    </row>
    <row r="69" spans="1:7" ht="14.25" customHeight="1">
      <c r="A69" s="1847" t="s">
        <v>573</v>
      </c>
      <c r="B69" s="1828"/>
      <c r="C69" s="64"/>
      <c r="D69" s="64"/>
      <c r="E69" s="64"/>
      <c r="F69" s="64"/>
      <c r="G69" s="64"/>
    </row>
    <row r="70" spans="1:7" ht="14.25" customHeight="1">
      <c r="A70" s="1845" t="s">
        <v>587</v>
      </c>
      <c r="B70" s="1828"/>
      <c r="C70" s="64">
        <v>41.34</v>
      </c>
      <c r="D70" s="64">
        <v>39.979999999999997</v>
      </c>
      <c r="E70" s="64"/>
      <c r="F70" s="64"/>
      <c r="G70" s="64">
        <f>+D70*C70</f>
        <v>1652.7732000000001</v>
      </c>
    </row>
    <row r="71" spans="1:7" ht="5.25" customHeight="1">
      <c r="A71" s="1845"/>
      <c r="B71" s="1828"/>
      <c r="C71" s="64"/>
      <c r="D71" s="64"/>
      <c r="E71" s="64"/>
      <c r="F71" s="64"/>
      <c r="G71" s="64"/>
    </row>
    <row r="72" spans="1:7" ht="14.25" customHeight="1">
      <c r="A72" s="1847" t="s">
        <v>577</v>
      </c>
      <c r="B72" s="1828"/>
      <c r="C72" s="64"/>
      <c r="D72" s="64"/>
      <c r="E72" s="64"/>
      <c r="F72" s="64"/>
      <c r="G72" s="64"/>
    </row>
    <row r="73" spans="1:7" ht="14.25" customHeight="1">
      <c r="A73" s="1845" t="s">
        <v>588</v>
      </c>
      <c r="B73" s="1828"/>
      <c r="C73" s="64">
        <v>16.149999999999999</v>
      </c>
      <c r="D73" s="64">
        <v>5.4</v>
      </c>
      <c r="E73" s="64"/>
      <c r="F73" s="64"/>
      <c r="G73" s="64">
        <f t="shared" ref="G73:G75" si="4">+D73*C73</f>
        <v>87.21</v>
      </c>
    </row>
    <row r="74" spans="1:7" ht="14.25" customHeight="1">
      <c r="A74" s="1845" t="s">
        <v>589</v>
      </c>
      <c r="B74" s="1828"/>
      <c r="C74" s="64">
        <f>20.21+25.25</f>
        <v>45.46</v>
      </c>
      <c r="D74" s="64">
        <v>8</v>
      </c>
      <c r="E74" s="64"/>
      <c r="F74" s="64"/>
      <c r="G74" s="64">
        <f t="shared" si="4"/>
        <v>363.68</v>
      </c>
    </row>
    <row r="75" spans="1:7" ht="14.25" customHeight="1">
      <c r="A75" s="1845" t="s">
        <v>590</v>
      </c>
      <c r="B75" s="1828"/>
      <c r="C75" s="64">
        <v>11.7</v>
      </c>
      <c r="D75" s="64">
        <v>13.8</v>
      </c>
      <c r="E75" s="64"/>
      <c r="F75" s="64"/>
      <c r="G75" s="64">
        <f t="shared" si="4"/>
        <v>161.46</v>
      </c>
    </row>
    <row r="76" spans="1:7" ht="14.25" customHeight="1">
      <c r="A76" s="1845" t="s">
        <v>591</v>
      </c>
      <c r="B76" s="1828"/>
      <c r="C76" s="64">
        <v>23.4</v>
      </c>
      <c r="D76" s="64">
        <v>9.0500000000000007</v>
      </c>
      <c r="E76" s="64">
        <f>-8.95*6.4</f>
        <v>-57.28</v>
      </c>
      <c r="F76" s="64"/>
      <c r="G76" s="64">
        <f>+D76*C76+E76</f>
        <v>154.49</v>
      </c>
    </row>
    <row r="77" spans="1:7" ht="14.25" customHeight="1">
      <c r="A77" s="1829" t="s">
        <v>227</v>
      </c>
      <c r="B77" s="1830"/>
      <c r="C77" s="1830"/>
      <c r="D77" s="1830"/>
      <c r="E77" s="1830"/>
      <c r="F77" s="1828"/>
      <c r="G77" s="65">
        <f>ROUND(SUM(G70:G76),2)</f>
        <v>2419.61</v>
      </c>
    </row>
    <row r="78" spans="1:7" ht="14.25" customHeight="1">
      <c r="A78" s="1837"/>
      <c r="B78" s="1838"/>
      <c r="C78" s="1838"/>
      <c r="D78" s="1838"/>
      <c r="E78" s="1838"/>
      <c r="F78" s="1838"/>
      <c r="G78" s="1839"/>
    </row>
    <row r="79" spans="1:7" ht="14.25" customHeight="1">
      <c r="A79" s="66" t="str">
        <f>+$A$7</f>
        <v>CAPITULO 1:</v>
      </c>
      <c r="B79" s="1832" t="str">
        <f>+$B$7</f>
        <v>ACTIVIDADES PRELIMINARES</v>
      </c>
      <c r="C79" s="1830"/>
      <c r="D79" s="1828"/>
      <c r="E79" s="1833" t="s">
        <v>218</v>
      </c>
      <c r="F79" s="1828"/>
      <c r="G79" s="62" t="s">
        <v>127</v>
      </c>
    </row>
    <row r="80" spans="1:7" ht="23.25" customHeight="1">
      <c r="A80" s="66" t="s">
        <v>594</v>
      </c>
      <c r="B80" s="1840" t="s">
        <v>595</v>
      </c>
      <c r="C80" s="1830"/>
      <c r="D80" s="1830"/>
      <c r="E80" s="1830"/>
      <c r="F80" s="1830"/>
      <c r="G80" s="1828"/>
    </row>
    <row r="81" spans="1:10" ht="14.25" customHeight="1">
      <c r="A81" s="1836" t="s">
        <v>220</v>
      </c>
      <c r="B81" s="1830"/>
      <c r="C81" s="1830"/>
      <c r="D81" s="1830"/>
      <c r="E81" s="1830"/>
      <c r="F81" s="1830"/>
      <c r="G81" s="1828"/>
      <c r="H81" s="59"/>
      <c r="I81" s="60"/>
      <c r="J81" s="60"/>
    </row>
    <row r="82" spans="1:10" ht="14.25" customHeight="1">
      <c r="A82" s="1829" t="s">
        <v>221</v>
      </c>
      <c r="B82" s="1828"/>
      <c r="C82" s="63" t="s">
        <v>222</v>
      </c>
      <c r="D82" s="63" t="s">
        <v>223</v>
      </c>
      <c r="E82" s="63" t="s">
        <v>224</v>
      </c>
      <c r="F82" s="63" t="s">
        <v>225</v>
      </c>
      <c r="G82" s="63" t="s">
        <v>226</v>
      </c>
      <c r="H82" s="59"/>
      <c r="I82" s="60"/>
      <c r="J82" s="60">
        <f>4.83+4.01</f>
        <v>8.84</v>
      </c>
    </row>
    <row r="83" spans="1:10" ht="14.25" customHeight="1">
      <c r="A83" s="1847" t="s">
        <v>573</v>
      </c>
      <c r="B83" s="1828"/>
      <c r="C83" s="64"/>
      <c r="D83" s="64"/>
      <c r="E83" s="64"/>
      <c r="F83" s="64"/>
      <c r="G83" s="64"/>
      <c r="H83" s="59"/>
      <c r="I83" s="60"/>
      <c r="J83" s="60"/>
    </row>
    <row r="84" spans="1:10" ht="14.25" customHeight="1">
      <c r="A84" s="1845" t="s">
        <v>587</v>
      </c>
      <c r="B84" s="1828"/>
      <c r="C84" s="64"/>
      <c r="D84" s="64"/>
      <c r="E84" s="64"/>
      <c r="F84" s="64">
        <v>14</v>
      </c>
      <c r="G84" s="64">
        <f>+F84</f>
        <v>14</v>
      </c>
      <c r="H84" s="59"/>
      <c r="I84" s="60"/>
      <c r="J84" s="60"/>
    </row>
    <row r="85" spans="1:10" ht="5.25" customHeight="1">
      <c r="A85" s="1845"/>
      <c r="B85" s="1828"/>
      <c r="C85" s="64"/>
      <c r="D85" s="64"/>
      <c r="E85" s="64"/>
      <c r="F85" s="64"/>
      <c r="G85" s="64"/>
      <c r="H85" s="59"/>
      <c r="I85" s="60"/>
      <c r="J85" s="60"/>
    </row>
    <row r="86" spans="1:10" ht="14.25" customHeight="1">
      <c r="A86" s="1847" t="s">
        <v>577</v>
      </c>
      <c r="B86" s="1828"/>
      <c r="C86" s="64"/>
      <c r="D86" s="64"/>
      <c r="E86" s="64"/>
      <c r="F86" s="64"/>
      <c r="G86" s="64"/>
      <c r="H86" s="59"/>
      <c r="I86" s="60"/>
      <c r="J86" s="60"/>
    </row>
    <row r="87" spans="1:10" ht="14.25" customHeight="1">
      <c r="A87" s="1845" t="s">
        <v>587</v>
      </c>
      <c r="B87" s="1828"/>
      <c r="C87" s="64"/>
      <c r="D87" s="64"/>
      <c r="E87" s="64"/>
      <c r="F87" s="64">
        <v>54</v>
      </c>
      <c r="G87" s="64">
        <f>+F87</f>
        <v>54</v>
      </c>
      <c r="H87" s="59"/>
      <c r="I87" s="60"/>
      <c r="J87" s="60"/>
    </row>
    <row r="88" spans="1:10" ht="14.25" customHeight="1">
      <c r="A88" s="1845"/>
      <c r="B88" s="1828"/>
      <c r="C88" s="64"/>
      <c r="D88" s="64"/>
      <c r="E88" s="64"/>
      <c r="F88" s="64"/>
      <c r="G88" s="64"/>
      <c r="H88" s="59"/>
      <c r="I88" s="60"/>
      <c r="J88" s="60"/>
    </row>
    <row r="89" spans="1:10" ht="14.25" customHeight="1">
      <c r="A89" s="1829" t="s">
        <v>227</v>
      </c>
      <c r="B89" s="1830"/>
      <c r="C89" s="1830"/>
      <c r="D89" s="1830"/>
      <c r="E89" s="1830"/>
      <c r="F89" s="1828"/>
      <c r="G89" s="65">
        <f>ROUND(SUM(G83:G88),2)</f>
        <v>68</v>
      </c>
      <c r="H89" s="59"/>
      <c r="I89" s="60"/>
      <c r="J89" s="60"/>
    </row>
    <row r="90" spans="1:10" ht="14.25" customHeight="1">
      <c r="A90" s="1837"/>
      <c r="B90" s="1838"/>
      <c r="C90" s="1838"/>
      <c r="D90" s="1838"/>
      <c r="E90" s="1838"/>
      <c r="F90" s="1838"/>
      <c r="G90" s="1839"/>
      <c r="H90" s="59"/>
      <c r="I90" s="60"/>
      <c r="J90" s="60"/>
    </row>
    <row r="91" spans="1:10" ht="14.25" customHeight="1">
      <c r="A91" s="66" t="str">
        <f>+$A$7</f>
        <v>CAPITULO 1:</v>
      </c>
      <c r="B91" s="1832" t="str">
        <f>+$B$7</f>
        <v>ACTIVIDADES PRELIMINARES</v>
      </c>
      <c r="C91" s="1830"/>
      <c r="D91" s="1828"/>
      <c r="E91" s="1833" t="s">
        <v>218</v>
      </c>
      <c r="F91" s="1828"/>
      <c r="G91" s="62" t="s">
        <v>127</v>
      </c>
      <c r="H91" s="59"/>
      <c r="I91" s="60"/>
      <c r="J91" s="60"/>
    </row>
    <row r="92" spans="1:10" ht="23.25" customHeight="1">
      <c r="A92" s="66" t="s">
        <v>596</v>
      </c>
      <c r="B92" s="1840" t="s">
        <v>597</v>
      </c>
      <c r="C92" s="1830"/>
      <c r="D92" s="1830"/>
      <c r="E92" s="1830"/>
      <c r="F92" s="1830"/>
      <c r="G92" s="1828"/>
      <c r="H92" s="59"/>
      <c r="I92" s="60"/>
      <c r="J92" s="60"/>
    </row>
    <row r="93" spans="1:10" ht="14.25" customHeight="1">
      <c r="A93" s="1836" t="s">
        <v>220</v>
      </c>
      <c r="B93" s="1830"/>
      <c r="C93" s="1830"/>
      <c r="D93" s="1830"/>
      <c r="E93" s="1830"/>
      <c r="F93" s="1830"/>
      <c r="G93" s="1828"/>
      <c r="H93" s="59"/>
      <c r="I93" s="60"/>
      <c r="J93" s="60"/>
    </row>
    <row r="94" spans="1:10" ht="14.25" customHeight="1">
      <c r="A94" s="1829" t="s">
        <v>221</v>
      </c>
      <c r="B94" s="1828"/>
      <c r="C94" s="63" t="s">
        <v>222</v>
      </c>
      <c r="D94" s="63" t="s">
        <v>223</v>
      </c>
      <c r="E94" s="63" t="s">
        <v>224</v>
      </c>
      <c r="F94" s="63" t="s">
        <v>225</v>
      </c>
      <c r="G94" s="63" t="s">
        <v>226</v>
      </c>
      <c r="H94" s="59"/>
      <c r="I94" s="60"/>
      <c r="J94" s="60"/>
    </row>
    <row r="95" spans="1:10" ht="14.25" customHeight="1">
      <c r="A95" s="1845" t="s">
        <v>598</v>
      </c>
      <c r="B95" s="1828"/>
      <c r="C95" s="64"/>
      <c r="D95" s="64"/>
      <c r="E95" s="64"/>
      <c r="F95" s="64">
        <v>7</v>
      </c>
      <c r="G95" s="64">
        <f t="shared" ref="G95:G97" si="5">+F95</f>
        <v>7</v>
      </c>
      <c r="H95" s="59"/>
      <c r="I95" s="60"/>
      <c r="J95" s="60"/>
    </row>
    <row r="96" spans="1:10" ht="14.25" customHeight="1">
      <c r="A96" s="1845" t="s">
        <v>599</v>
      </c>
      <c r="B96" s="1828"/>
      <c r="C96" s="64"/>
      <c r="D96" s="64"/>
      <c r="E96" s="64"/>
      <c r="F96" s="64">
        <f>7+10</f>
        <v>17</v>
      </c>
      <c r="G96" s="64">
        <f t="shared" si="5"/>
        <v>17</v>
      </c>
      <c r="H96" s="59"/>
      <c r="I96" s="60"/>
      <c r="J96" s="60"/>
    </row>
    <row r="97" spans="1:10" ht="14.25" customHeight="1">
      <c r="A97" s="1845" t="s">
        <v>600</v>
      </c>
      <c r="B97" s="1828"/>
      <c r="C97" s="64"/>
      <c r="D97" s="64"/>
      <c r="E97" s="64"/>
      <c r="F97" s="64">
        <v>20</v>
      </c>
      <c r="G97" s="64">
        <f t="shared" si="5"/>
        <v>20</v>
      </c>
      <c r="H97" s="59"/>
      <c r="I97" s="60"/>
      <c r="J97" s="60"/>
    </row>
    <row r="98" spans="1:10" ht="14.25" customHeight="1">
      <c r="A98" s="1829" t="s">
        <v>227</v>
      </c>
      <c r="B98" s="1830"/>
      <c r="C98" s="1830"/>
      <c r="D98" s="1830"/>
      <c r="E98" s="1830"/>
      <c r="F98" s="1828"/>
      <c r="G98" s="65">
        <f>ROUND(SUM(G95:G97),2)</f>
        <v>44</v>
      </c>
      <c r="H98" s="59"/>
      <c r="I98" s="60"/>
      <c r="J98" s="60"/>
    </row>
    <row r="99" spans="1:10" ht="14.25" customHeight="1">
      <c r="A99" s="1837"/>
      <c r="B99" s="1838"/>
      <c r="C99" s="1838"/>
      <c r="D99" s="1838"/>
      <c r="E99" s="1838"/>
      <c r="F99" s="1838"/>
      <c r="G99" s="1839"/>
      <c r="H99" s="59"/>
      <c r="I99" s="60"/>
      <c r="J99" s="60"/>
    </row>
    <row r="100" spans="1:10" ht="19.5" customHeight="1">
      <c r="A100" s="66" t="str">
        <f t="shared" ref="A100:B100" si="6">+A7</f>
        <v>CAPITULO 1:</v>
      </c>
      <c r="B100" s="1832" t="str">
        <f t="shared" si="6"/>
        <v>ACTIVIDADES PRELIMINARES</v>
      </c>
      <c r="C100" s="1830"/>
      <c r="D100" s="1828"/>
      <c r="E100" s="1833" t="s">
        <v>218</v>
      </c>
      <c r="F100" s="1828"/>
      <c r="G100" s="62" t="s">
        <v>116</v>
      </c>
      <c r="H100" s="59"/>
      <c r="I100" s="60"/>
      <c r="J100" s="60"/>
    </row>
    <row r="101" spans="1:10" ht="32.25" customHeight="1">
      <c r="A101" s="66" t="s">
        <v>601</v>
      </c>
      <c r="B101" s="1832" t="s">
        <v>602</v>
      </c>
      <c r="C101" s="1830"/>
      <c r="D101" s="1830"/>
      <c r="E101" s="1830"/>
      <c r="F101" s="1830"/>
      <c r="G101" s="1828"/>
      <c r="H101" s="59"/>
      <c r="I101" s="60"/>
      <c r="J101" s="60"/>
    </row>
    <row r="102" spans="1:10" ht="14.25" customHeight="1">
      <c r="A102" s="1836" t="s">
        <v>220</v>
      </c>
      <c r="B102" s="1830"/>
      <c r="C102" s="1830"/>
      <c r="D102" s="1830"/>
      <c r="E102" s="1830"/>
      <c r="F102" s="1830"/>
      <c r="G102" s="1828"/>
      <c r="H102" s="59"/>
      <c r="I102" s="60"/>
      <c r="J102" s="60"/>
    </row>
    <row r="103" spans="1:10" ht="14.25" customHeight="1">
      <c r="A103" s="1829" t="s">
        <v>221</v>
      </c>
      <c r="B103" s="1828"/>
      <c r="C103" s="63" t="s">
        <v>222</v>
      </c>
      <c r="D103" s="63" t="s">
        <v>223</v>
      </c>
      <c r="E103" s="63" t="s">
        <v>224</v>
      </c>
      <c r="F103" s="63" t="s">
        <v>225</v>
      </c>
      <c r="G103" s="63" t="s">
        <v>226</v>
      </c>
      <c r="H103" s="59"/>
      <c r="I103" s="60"/>
      <c r="J103" s="60"/>
    </row>
    <row r="104" spans="1:10" ht="14.25" customHeight="1">
      <c r="A104" s="1845" t="s">
        <v>979</v>
      </c>
      <c r="B104" s="1828"/>
      <c r="C104" s="64">
        <v>454.77</v>
      </c>
      <c r="D104" s="64">
        <v>0.4</v>
      </c>
      <c r="E104" s="64">
        <v>0.7</v>
      </c>
      <c r="F104" s="64">
        <v>1</v>
      </c>
      <c r="G104" s="64">
        <f>+C104*D104*E104*F104</f>
        <v>127.3356</v>
      </c>
      <c r="H104" s="59"/>
      <c r="I104" s="60"/>
      <c r="J104" s="60"/>
    </row>
    <row r="105" spans="1:10" ht="14.25" customHeight="1">
      <c r="A105" s="1845" t="s">
        <v>980</v>
      </c>
      <c r="B105" s="1828"/>
      <c r="C105" s="64">
        <f>+G13</f>
        <v>6903.92</v>
      </c>
      <c r="D105" s="64"/>
      <c r="E105" s="64"/>
      <c r="F105" s="64">
        <v>0.1</v>
      </c>
      <c r="G105" s="64">
        <f>+F105*C105</f>
        <v>690.39200000000005</v>
      </c>
      <c r="H105" s="59"/>
      <c r="I105" s="60"/>
      <c r="J105" s="60"/>
    </row>
    <row r="106" spans="1:10" ht="14.25" customHeight="1">
      <c r="A106" s="1845" t="s">
        <v>981</v>
      </c>
      <c r="B106" s="1828"/>
      <c r="C106" s="64">
        <v>269.79000000000002</v>
      </c>
      <c r="D106" s="64">
        <v>0.6</v>
      </c>
      <c r="E106" s="64">
        <v>0.4</v>
      </c>
      <c r="F106" s="64">
        <v>1</v>
      </c>
      <c r="G106" s="64">
        <f>+F106*E106*D106*C106</f>
        <v>64.749600000000001</v>
      </c>
      <c r="H106" s="59"/>
      <c r="I106" s="60"/>
      <c r="J106" s="60">
        <v>64.75</v>
      </c>
    </row>
    <row r="107" spans="1:10" ht="14.25" customHeight="1">
      <c r="A107" s="1847" t="s">
        <v>982</v>
      </c>
      <c r="B107" s="1828"/>
      <c r="C107" s="64"/>
      <c r="D107" s="64"/>
      <c r="E107" s="64"/>
      <c r="F107" s="64"/>
      <c r="G107" s="64"/>
      <c r="H107" s="59"/>
      <c r="I107" s="60"/>
      <c r="J107" s="60"/>
    </row>
    <row r="108" spans="1:10" ht="14.25" customHeight="1">
      <c r="A108" s="1845" t="s">
        <v>951</v>
      </c>
      <c r="B108" s="1828"/>
      <c r="C108" s="64">
        <v>2</v>
      </c>
      <c r="D108" s="64">
        <v>2</v>
      </c>
      <c r="E108" s="64">
        <v>2</v>
      </c>
      <c r="F108" s="64">
        <v>4</v>
      </c>
      <c r="G108" s="64">
        <f t="shared" ref="G108:G117" si="7">+C108*D108*F108*E108</f>
        <v>32</v>
      </c>
      <c r="H108" s="59"/>
      <c r="I108" s="60"/>
      <c r="J108" s="60"/>
    </row>
    <row r="109" spans="1:10" ht="14.25" customHeight="1">
      <c r="A109" s="1845" t="s">
        <v>952</v>
      </c>
      <c r="B109" s="1828"/>
      <c r="C109" s="64">
        <v>2.1</v>
      </c>
      <c r="D109" s="64">
        <v>2.1</v>
      </c>
      <c r="E109" s="64">
        <v>2</v>
      </c>
      <c r="F109" s="64">
        <v>10</v>
      </c>
      <c r="G109" s="64">
        <f t="shared" si="7"/>
        <v>88.2</v>
      </c>
      <c r="H109" s="59"/>
      <c r="I109" s="60"/>
      <c r="J109" s="60"/>
    </row>
    <row r="110" spans="1:10" ht="14.25" customHeight="1">
      <c r="A110" s="1845" t="s">
        <v>953</v>
      </c>
      <c r="B110" s="1828"/>
      <c r="C110" s="64">
        <v>2.2000000000000002</v>
      </c>
      <c r="D110" s="64">
        <v>2.2000000000000002</v>
      </c>
      <c r="E110" s="64">
        <v>2</v>
      </c>
      <c r="F110" s="64">
        <v>2</v>
      </c>
      <c r="G110" s="64">
        <f t="shared" si="7"/>
        <v>19.360000000000003</v>
      </c>
      <c r="H110" s="59"/>
      <c r="I110" s="60"/>
      <c r="J110" s="60"/>
    </row>
    <row r="111" spans="1:10" ht="14.25" customHeight="1">
      <c r="A111" s="1845" t="s">
        <v>954</v>
      </c>
      <c r="B111" s="1828"/>
      <c r="C111" s="64">
        <v>2.2999999999999998</v>
      </c>
      <c r="D111" s="64">
        <v>2.2999999999999998</v>
      </c>
      <c r="E111" s="64">
        <v>2</v>
      </c>
      <c r="F111" s="64">
        <v>3</v>
      </c>
      <c r="G111" s="64">
        <f t="shared" si="7"/>
        <v>31.739999999999995</v>
      </c>
      <c r="H111" s="59"/>
      <c r="I111" s="60"/>
      <c r="J111" s="60"/>
    </row>
    <row r="112" spans="1:10" ht="14.25" customHeight="1">
      <c r="A112" s="1845" t="s">
        <v>969</v>
      </c>
      <c r="B112" s="1828"/>
      <c r="C112" s="64">
        <v>2.4</v>
      </c>
      <c r="D112" s="64">
        <v>2.4</v>
      </c>
      <c r="E112" s="64">
        <v>2</v>
      </c>
      <c r="F112" s="64">
        <v>2</v>
      </c>
      <c r="G112" s="64">
        <f t="shared" si="7"/>
        <v>23.04</v>
      </c>
      <c r="H112" s="59"/>
      <c r="I112" s="60"/>
      <c r="J112" s="60"/>
    </row>
    <row r="113" spans="1:7" ht="14.25" customHeight="1">
      <c r="A113" s="1845" t="s">
        <v>970</v>
      </c>
      <c r="B113" s="1828"/>
      <c r="C113" s="64">
        <v>2.5</v>
      </c>
      <c r="D113" s="64">
        <v>2.5</v>
      </c>
      <c r="E113" s="64">
        <v>2</v>
      </c>
      <c r="F113" s="64">
        <v>4</v>
      </c>
      <c r="G113" s="64">
        <f t="shared" si="7"/>
        <v>50</v>
      </c>
    </row>
    <row r="114" spans="1:7" ht="14.25" customHeight="1">
      <c r="A114" s="1845" t="s">
        <v>971</v>
      </c>
      <c r="B114" s="1828"/>
      <c r="C114" s="64">
        <v>2.6</v>
      </c>
      <c r="D114" s="64">
        <v>2.6</v>
      </c>
      <c r="E114" s="64">
        <v>2</v>
      </c>
      <c r="F114" s="64">
        <v>2</v>
      </c>
      <c r="G114" s="64">
        <f t="shared" si="7"/>
        <v>27.040000000000003</v>
      </c>
    </row>
    <row r="115" spans="1:7" ht="14.25" customHeight="1">
      <c r="A115" s="1845" t="s">
        <v>972</v>
      </c>
      <c r="B115" s="1828"/>
      <c r="C115" s="64">
        <v>2.7</v>
      </c>
      <c r="D115" s="64">
        <v>2.7</v>
      </c>
      <c r="E115" s="64">
        <v>2</v>
      </c>
      <c r="F115" s="64">
        <v>6</v>
      </c>
      <c r="G115" s="64">
        <f t="shared" si="7"/>
        <v>87.480000000000018</v>
      </c>
    </row>
    <row r="116" spans="1:7" ht="14.25" customHeight="1">
      <c r="A116" s="1845" t="s">
        <v>973</v>
      </c>
      <c r="B116" s="1828"/>
      <c r="C116" s="64">
        <v>2.8</v>
      </c>
      <c r="D116" s="64">
        <v>2.8</v>
      </c>
      <c r="E116" s="64">
        <v>2</v>
      </c>
      <c r="F116" s="64">
        <v>2</v>
      </c>
      <c r="G116" s="64">
        <f t="shared" si="7"/>
        <v>31.359999999999996</v>
      </c>
    </row>
    <row r="117" spans="1:7" ht="14.25" customHeight="1">
      <c r="A117" s="1845" t="s">
        <v>974</v>
      </c>
      <c r="B117" s="1828"/>
      <c r="C117" s="64">
        <v>1.7</v>
      </c>
      <c r="D117" s="64">
        <v>1.7</v>
      </c>
      <c r="E117" s="64">
        <v>2</v>
      </c>
      <c r="F117" s="64">
        <v>8</v>
      </c>
      <c r="G117" s="64">
        <f t="shared" si="7"/>
        <v>46.239999999999995</v>
      </c>
    </row>
    <row r="118" spans="1:7" ht="14.25" customHeight="1">
      <c r="A118" s="1845"/>
      <c r="B118" s="1828"/>
      <c r="C118" s="64"/>
      <c r="D118" s="64"/>
      <c r="E118" s="64"/>
      <c r="F118" s="64"/>
      <c r="G118" s="64"/>
    </row>
    <row r="119" spans="1:7" ht="14.25" customHeight="1">
      <c r="A119" s="1829" t="s">
        <v>227</v>
      </c>
      <c r="B119" s="1830"/>
      <c r="C119" s="1830"/>
      <c r="D119" s="1830"/>
      <c r="E119" s="1830"/>
      <c r="F119" s="1828"/>
      <c r="G119" s="65">
        <f>ROUND(SUM(G104:G118),2)</f>
        <v>1318.94</v>
      </c>
    </row>
    <row r="120" spans="1:7" ht="14.25" customHeight="1">
      <c r="A120" s="1837"/>
      <c r="B120" s="1838"/>
      <c r="C120" s="1838"/>
      <c r="D120" s="1838"/>
      <c r="E120" s="1838"/>
      <c r="F120" s="1838"/>
      <c r="G120" s="1839"/>
    </row>
    <row r="121" spans="1:7" ht="14.25" customHeight="1">
      <c r="A121" s="66" t="str">
        <f t="shared" ref="A121:B121" si="8">+A100</f>
        <v>CAPITULO 1:</v>
      </c>
      <c r="B121" s="1832" t="str">
        <f t="shared" si="8"/>
        <v>ACTIVIDADES PRELIMINARES</v>
      </c>
      <c r="C121" s="1830"/>
      <c r="D121" s="1828"/>
      <c r="E121" s="1833" t="s">
        <v>218</v>
      </c>
      <c r="F121" s="1828"/>
      <c r="G121" s="62" t="s">
        <v>116</v>
      </c>
    </row>
    <row r="122" spans="1:7" ht="14.25" customHeight="1">
      <c r="A122" s="66" t="s">
        <v>612</v>
      </c>
      <c r="B122" s="1840" t="s">
        <v>613</v>
      </c>
      <c r="C122" s="1830"/>
      <c r="D122" s="1830"/>
      <c r="E122" s="1830"/>
      <c r="F122" s="1830"/>
      <c r="G122" s="1828"/>
    </row>
    <row r="123" spans="1:7" ht="14.25" customHeight="1">
      <c r="A123" s="1836" t="s">
        <v>220</v>
      </c>
      <c r="B123" s="1830"/>
      <c r="C123" s="1830"/>
      <c r="D123" s="1830"/>
      <c r="E123" s="1830"/>
      <c r="F123" s="1830"/>
      <c r="G123" s="1828"/>
    </row>
    <row r="124" spans="1:7" ht="14.25" customHeight="1">
      <c r="A124" s="1829" t="s">
        <v>221</v>
      </c>
      <c r="B124" s="1828"/>
      <c r="C124" s="63" t="s">
        <v>222</v>
      </c>
      <c r="D124" s="63" t="s">
        <v>223</v>
      </c>
      <c r="E124" s="63" t="s">
        <v>224</v>
      </c>
      <c r="F124" s="63" t="s">
        <v>225</v>
      </c>
      <c r="G124" s="63" t="s">
        <v>235</v>
      </c>
    </row>
    <row r="125" spans="1:7" ht="14.25" customHeight="1">
      <c r="A125" s="1845" t="s">
        <v>614</v>
      </c>
      <c r="B125" s="1828"/>
      <c r="C125" s="64">
        <v>6108.38</v>
      </c>
      <c r="D125" s="64"/>
      <c r="E125" s="64">
        <v>0.65</v>
      </c>
      <c r="F125" s="64">
        <v>1</v>
      </c>
      <c r="G125" s="64">
        <f t="shared" ref="G125:G127" si="9">+F125*E125*C125</f>
        <v>3970.4470000000001</v>
      </c>
    </row>
    <row r="126" spans="1:7" ht="14.25" customHeight="1">
      <c r="A126" s="1845" t="s">
        <v>615</v>
      </c>
      <c r="B126" s="1828"/>
      <c r="C126" s="64">
        <v>795.54</v>
      </c>
      <c r="D126" s="64"/>
      <c r="E126" s="64">
        <v>0.45</v>
      </c>
      <c r="F126" s="64">
        <v>1</v>
      </c>
      <c r="G126" s="64">
        <f t="shared" si="9"/>
        <v>357.99299999999999</v>
      </c>
    </row>
    <row r="127" spans="1:7" ht="14.25" customHeight="1">
      <c r="A127" s="1845" t="s">
        <v>616</v>
      </c>
      <c r="B127" s="1828"/>
      <c r="C127" s="64">
        <f>+SUM(G104)+G106</f>
        <v>192.08519999999999</v>
      </c>
      <c r="D127" s="64"/>
      <c r="E127" s="64">
        <v>0.3</v>
      </c>
      <c r="F127" s="64">
        <v>1</v>
      </c>
      <c r="G127" s="64">
        <f t="shared" si="9"/>
        <v>57.625559999999993</v>
      </c>
    </row>
    <row r="128" spans="1:7" ht="14.25" customHeight="1">
      <c r="A128" s="1845"/>
      <c r="B128" s="1828"/>
      <c r="C128" s="64"/>
      <c r="D128" s="64"/>
      <c r="E128" s="64"/>
      <c r="F128" s="64"/>
      <c r="G128" s="64"/>
    </row>
    <row r="129" spans="1:7" ht="14.25" customHeight="1">
      <c r="A129" s="1845"/>
      <c r="B129" s="1828"/>
      <c r="C129" s="64"/>
      <c r="D129" s="64"/>
      <c r="E129" s="64"/>
      <c r="F129" s="64"/>
      <c r="G129" s="64"/>
    </row>
    <row r="130" spans="1:7" ht="14.25" customHeight="1">
      <c r="A130" s="1829" t="s">
        <v>227</v>
      </c>
      <c r="B130" s="1830"/>
      <c r="C130" s="1830"/>
      <c r="D130" s="1830"/>
      <c r="E130" s="1830"/>
      <c r="F130" s="1828"/>
      <c r="G130" s="65">
        <f>SUM(G125:G129)</f>
        <v>4386.0655600000009</v>
      </c>
    </row>
    <row r="131" spans="1:7" ht="14.25" customHeight="1">
      <c r="A131" s="1837"/>
      <c r="B131" s="1838"/>
      <c r="C131" s="1838"/>
      <c r="D131" s="1838"/>
      <c r="E131" s="1838"/>
      <c r="F131" s="1838"/>
      <c r="G131" s="1839"/>
    </row>
    <row r="132" spans="1:7" ht="14.25" customHeight="1">
      <c r="A132" s="66" t="s">
        <v>232</v>
      </c>
      <c r="B132" s="1832" t="s">
        <v>35</v>
      </c>
      <c r="C132" s="1830"/>
      <c r="D132" s="1828"/>
      <c r="E132" s="1833" t="s">
        <v>218</v>
      </c>
      <c r="F132" s="1828"/>
      <c r="G132" s="62" t="s">
        <v>228</v>
      </c>
    </row>
    <row r="133" spans="1:7" ht="14.25" customHeight="1">
      <c r="A133" s="66" t="s">
        <v>233</v>
      </c>
      <c r="B133" s="1840" t="s">
        <v>983</v>
      </c>
      <c r="C133" s="1830"/>
      <c r="D133" s="1830"/>
      <c r="E133" s="1830"/>
      <c r="F133" s="1830"/>
      <c r="G133" s="1828"/>
    </row>
    <row r="134" spans="1:7" ht="14.25" customHeight="1">
      <c r="A134" s="1836" t="s">
        <v>220</v>
      </c>
      <c r="B134" s="1830"/>
      <c r="C134" s="1830"/>
      <c r="D134" s="1830"/>
      <c r="E134" s="1830"/>
      <c r="F134" s="1830"/>
      <c r="G134" s="1828"/>
    </row>
    <row r="135" spans="1:7" ht="14.25" customHeight="1">
      <c r="A135" s="1829" t="s">
        <v>221</v>
      </c>
      <c r="B135" s="1828"/>
      <c r="C135" s="63" t="s">
        <v>222</v>
      </c>
      <c r="D135" s="63" t="s">
        <v>223</v>
      </c>
      <c r="E135" s="63" t="s">
        <v>224</v>
      </c>
      <c r="F135" s="63" t="s">
        <v>225</v>
      </c>
      <c r="G135" s="63" t="s">
        <v>226</v>
      </c>
    </row>
    <row r="136" spans="1:7" ht="14.25" customHeight="1">
      <c r="A136" s="1847" t="s">
        <v>982</v>
      </c>
      <c r="B136" s="1828"/>
      <c r="C136" s="64"/>
      <c r="D136" s="64"/>
      <c r="E136" s="64"/>
      <c r="F136" s="64"/>
      <c r="G136" s="64"/>
    </row>
    <row r="137" spans="1:7" ht="14.25" customHeight="1">
      <c r="A137" s="1845" t="s">
        <v>951</v>
      </c>
      <c r="B137" s="1828"/>
      <c r="C137" s="64">
        <v>1.9</v>
      </c>
      <c r="D137" s="64">
        <v>1.9</v>
      </c>
      <c r="E137" s="64"/>
      <c r="F137" s="64">
        <v>4</v>
      </c>
      <c r="G137" s="64">
        <f t="shared" ref="G137:G146" si="10">+C137*D137*F137</f>
        <v>14.44</v>
      </c>
    </row>
    <row r="138" spans="1:7" ht="14.25" customHeight="1">
      <c r="A138" s="1845" t="s">
        <v>952</v>
      </c>
      <c r="B138" s="1828"/>
      <c r="C138" s="64">
        <v>2.1</v>
      </c>
      <c r="D138" s="64">
        <v>2.1</v>
      </c>
      <c r="E138" s="64"/>
      <c r="F138" s="64">
        <v>4</v>
      </c>
      <c r="G138" s="64">
        <f t="shared" si="10"/>
        <v>17.64</v>
      </c>
    </row>
    <row r="139" spans="1:7" ht="14.25" customHeight="1">
      <c r="A139" s="1845" t="s">
        <v>953</v>
      </c>
      <c r="B139" s="1828"/>
      <c r="C139" s="64">
        <v>2.6</v>
      </c>
      <c r="D139" s="64">
        <v>2.6</v>
      </c>
      <c r="E139" s="64"/>
      <c r="F139" s="64">
        <v>7</v>
      </c>
      <c r="G139" s="64">
        <f t="shared" si="10"/>
        <v>47.320000000000007</v>
      </c>
    </row>
    <row r="140" spans="1:7" ht="14.25" customHeight="1">
      <c r="A140" s="1845" t="s">
        <v>954</v>
      </c>
      <c r="B140" s="1828"/>
      <c r="C140" s="64">
        <v>2.7</v>
      </c>
      <c r="D140" s="64">
        <v>2.7</v>
      </c>
      <c r="E140" s="64"/>
      <c r="F140" s="64">
        <v>8</v>
      </c>
      <c r="G140" s="64">
        <f t="shared" si="10"/>
        <v>58.320000000000007</v>
      </c>
    </row>
    <row r="141" spans="1:7" ht="14.25" customHeight="1">
      <c r="A141" s="1845" t="s">
        <v>969</v>
      </c>
      <c r="B141" s="1828"/>
      <c r="C141" s="64">
        <v>2.8</v>
      </c>
      <c r="D141" s="64">
        <v>2.8</v>
      </c>
      <c r="E141" s="64"/>
      <c r="F141" s="64">
        <v>7</v>
      </c>
      <c r="G141" s="64">
        <f t="shared" si="10"/>
        <v>54.879999999999995</v>
      </c>
    </row>
    <row r="142" spans="1:7" ht="14.25" customHeight="1">
      <c r="A142" s="1845" t="s">
        <v>970</v>
      </c>
      <c r="B142" s="1828"/>
      <c r="C142" s="64">
        <v>2.9</v>
      </c>
      <c r="D142" s="64">
        <v>2.9</v>
      </c>
      <c r="E142" s="64"/>
      <c r="F142" s="64">
        <v>4</v>
      </c>
      <c r="G142" s="64">
        <f t="shared" si="10"/>
        <v>33.64</v>
      </c>
    </row>
    <row r="143" spans="1:7" ht="14.25" customHeight="1">
      <c r="A143" s="1845" t="s">
        <v>971</v>
      </c>
      <c r="B143" s="1828"/>
      <c r="C143" s="64">
        <v>3</v>
      </c>
      <c r="D143" s="64">
        <v>3</v>
      </c>
      <c r="E143" s="64"/>
      <c r="F143" s="64">
        <v>6</v>
      </c>
      <c r="G143" s="64">
        <f t="shared" si="10"/>
        <v>54</v>
      </c>
    </row>
    <row r="144" spans="1:7" ht="14.25" customHeight="1">
      <c r="A144" s="1845" t="s">
        <v>972</v>
      </c>
      <c r="B144" s="1828"/>
      <c r="C144" s="64">
        <v>3.1</v>
      </c>
      <c r="D144" s="64">
        <v>3.1</v>
      </c>
      <c r="E144" s="64"/>
      <c r="F144" s="64">
        <v>2</v>
      </c>
      <c r="G144" s="64">
        <f t="shared" si="10"/>
        <v>19.220000000000002</v>
      </c>
    </row>
    <row r="145" spans="1:7" ht="14.25" customHeight="1">
      <c r="A145" s="1845" t="s">
        <v>973</v>
      </c>
      <c r="B145" s="1828"/>
      <c r="C145" s="64">
        <v>3</v>
      </c>
      <c r="D145" s="64">
        <v>1.9</v>
      </c>
      <c r="E145" s="64"/>
      <c r="F145" s="64">
        <v>1</v>
      </c>
      <c r="G145" s="64">
        <f t="shared" si="10"/>
        <v>5.6999999999999993</v>
      </c>
    </row>
    <row r="146" spans="1:7" ht="14.25" customHeight="1">
      <c r="A146" s="1845" t="s">
        <v>974</v>
      </c>
      <c r="B146" s="1828"/>
      <c r="C146" s="64">
        <v>1.7</v>
      </c>
      <c r="D146" s="64">
        <v>1.7</v>
      </c>
      <c r="E146" s="64"/>
      <c r="F146" s="64">
        <v>1</v>
      </c>
      <c r="G146" s="64">
        <f t="shared" si="10"/>
        <v>2.8899999999999997</v>
      </c>
    </row>
    <row r="147" spans="1:7" ht="15" customHeight="1">
      <c r="A147" s="1845"/>
      <c r="B147" s="1828"/>
      <c r="C147" s="64"/>
      <c r="D147" s="64"/>
      <c r="E147" s="64"/>
      <c r="F147" s="64"/>
      <c r="G147" s="64"/>
    </row>
    <row r="148" spans="1:7" ht="14.25" customHeight="1">
      <c r="A148" s="1829" t="s">
        <v>227</v>
      </c>
      <c r="B148" s="1830"/>
      <c r="C148" s="1830"/>
      <c r="D148" s="1830"/>
      <c r="E148" s="1830"/>
      <c r="F148" s="1828"/>
      <c r="G148" s="65">
        <f>ROUND(SUM(G136:G147),2)</f>
        <v>308.05</v>
      </c>
    </row>
    <row r="149" spans="1:7" ht="14.25" customHeight="1">
      <c r="A149" s="1837"/>
      <c r="B149" s="1838"/>
      <c r="C149" s="1838"/>
      <c r="D149" s="1838"/>
      <c r="E149" s="1838"/>
      <c r="F149" s="1838"/>
      <c r="G149" s="1839"/>
    </row>
    <row r="150" spans="1:7" ht="14.25" customHeight="1">
      <c r="A150" s="66" t="str">
        <f t="shared" ref="A150:B150" si="11">+A132</f>
        <v>CAPITULO 2:</v>
      </c>
      <c r="B150" s="1832" t="str">
        <f t="shared" si="11"/>
        <v>CONCRETOS</v>
      </c>
      <c r="C150" s="1830"/>
      <c r="D150" s="1828"/>
      <c r="E150" s="1833" t="s">
        <v>218</v>
      </c>
      <c r="F150" s="1828"/>
      <c r="G150" s="62" t="s">
        <v>116</v>
      </c>
    </row>
    <row r="151" spans="1:7" ht="34.5" customHeight="1">
      <c r="A151" s="66" t="s">
        <v>234</v>
      </c>
      <c r="B151" s="1840" t="s">
        <v>389</v>
      </c>
      <c r="C151" s="1830"/>
      <c r="D151" s="1830"/>
      <c r="E151" s="1830"/>
      <c r="F151" s="1830"/>
      <c r="G151" s="1828"/>
    </row>
    <row r="152" spans="1:7" ht="14.25" customHeight="1">
      <c r="A152" s="1836" t="s">
        <v>220</v>
      </c>
      <c r="B152" s="1830"/>
      <c r="C152" s="1830"/>
      <c r="D152" s="1830"/>
      <c r="E152" s="1830"/>
      <c r="F152" s="1830"/>
      <c r="G152" s="1828"/>
    </row>
    <row r="153" spans="1:7" ht="14.25" customHeight="1">
      <c r="A153" s="1829" t="s">
        <v>221</v>
      </c>
      <c r="B153" s="1828"/>
      <c r="C153" s="63" t="s">
        <v>222</v>
      </c>
      <c r="D153" s="63" t="s">
        <v>223</v>
      </c>
      <c r="E153" s="63" t="s">
        <v>224</v>
      </c>
      <c r="F153" s="63" t="s">
        <v>225</v>
      </c>
      <c r="G153" s="63" t="s">
        <v>226</v>
      </c>
    </row>
    <row r="154" spans="1:7" ht="14.25" customHeight="1">
      <c r="A154" s="1845" t="s">
        <v>618</v>
      </c>
      <c r="B154" s="1828"/>
      <c r="C154" s="64">
        <f>+C104</f>
        <v>454.77</v>
      </c>
      <c r="D154" s="64">
        <v>0.3</v>
      </c>
      <c r="E154" s="64">
        <v>0.2</v>
      </c>
      <c r="F154" s="64">
        <v>1</v>
      </c>
      <c r="G154" s="64">
        <f>+C154*D154*E154*F154</f>
        <v>27.286199999999997</v>
      </c>
    </row>
    <row r="155" spans="1:7" ht="14.25" customHeight="1">
      <c r="A155" s="1845"/>
      <c r="B155" s="1828"/>
      <c r="C155" s="64"/>
      <c r="D155" s="64"/>
      <c r="E155" s="64"/>
      <c r="F155" s="64"/>
      <c r="G155" s="64"/>
    </row>
    <row r="156" spans="1:7" ht="14.25" customHeight="1">
      <c r="A156" s="68"/>
      <c r="B156" s="180"/>
      <c r="C156" s="64"/>
      <c r="D156" s="64"/>
      <c r="E156" s="64"/>
      <c r="F156" s="64"/>
      <c r="G156" s="64"/>
    </row>
    <row r="157" spans="1:7" ht="14.25" customHeight="1">
      <c r="A157" s="1829" t="s">
        <v>227</v>
      </c>
      <c r="B157" s="1830"/>
      <c r="C157" s="1830"/>
      <c r="D157" s="1830"/>
      <c r="E157" s="1830"/>
      <c r="F157" s="1828"/>
      <c r="G157" s="65">
        <f>ROUND(SUM(G154:G156),2)</f>
        <v>27.29</v>
      </c>
    </row>
    <row r="158" spans="1:7" ht="14.25" customHeight="1">
      <c r="A158" s="1837"/>
      <c r="B158" s="1838"/>
      <c r="C158" s="1838"/>
      <c r="D158" s="1838"/>
      <c r="E158" s="1838"/>
      <c r="F158" s="1838"/>
      <c r="G158" s="1839"/>
    </row>
    <row r="159" spans="1:7" ht="14.25" customHeight="1">
      <c r="A159" s="66" t="str">
        <f t="shared" ref="A159:B159" si="12">+A150</f>
        <v>CAPITULO 2:</v>
      </c>
      <c r="B159" s="1832" t="str">
        <f t="shared" si="12"/>
        <v>CONCRETOS</v>
      </c>
      <c r="C159" s="1830"/>
      <c r="D159" s="1828"/>
      <c r="E159" s="1833" t="s">
        <v>218</v>
      </c>
      <c r="F159" s="1828"/>
      <c r="G159" s="62" t="s">
        <v>116</v>
      </c>
    </row>
    <row r="160" spans="1:7" ht="14.25" customHeight="1">
      <c r="A160" s="66" t="s">
        <v>236</v>
      </c>
      <c r="B160" s="1840" t="s">
        <v>619</v>
      </c>
      <c r="C160" s="1830"/>
      <c r="D160" s="1830"/>
      <c r="E160" s="1830"/>
      <c r="F160" s="1830"/>
      <c r="G160" s="1828"/>
    </row>
    <row r="161" spans="1:7" ht="14.25" customHeight="1">
      <c r="A161" s="1836" t="s">
        <v>220</v>
      </c>
      <c r="B161" s="1830"/>
      <c r="C161" s="1830"/>
      <c r="D161" s="1830"/>
      <c r="E161" s="1830"/>
      <c r="F161" s="1830"/>
      <c r="G161" s="1828"/>
    </row>
    <row r="162" spans="1:7" ht="14.25" customHeight="1">
      <c r="A162" s="1829" t="s">
        <v>221</v>
      </c>
      <c r="B162" s="1828"/>
      <c r="C162" s="63" t="s">
        <v>222</v>
      </c>
      <c r="D162" s="63" t="s">
        <v>223</v>
      </c>
      <c r="E162" s="63" t="s">
        <v>224</v>
      </c>
      <c r="F162" s="63" t="s">
        <v>225</v>
      </c>
      <c r="G162" s="63" t="s">
        <v>226</v>
      </c>
    </row>
    <row r="163" spans="1:7" ht="15" customHeight="1">
      <c r="A163" s="1847" t="s">
        <v>569</v>
      </c>
      <c r="B163" s="1828"/>
      <c r="C163" s="64"/>
      <c r="D163" s="64"/>
      <c r="E163" s="64"/>
      <c r="F163" s="64"/>
      <c r="G163" s="64"/>
    </row>
    <row r="164" spans="1:7" ht="15.75" customHeight="1">
      <c r="A164" s="1845" t="s">
        <v>955</v>
      </c>
      <c r="B164" s="1828"/>
      <c r="C164" s="64">
        <v>0.6</v>
      </c>
      <c r="D164" s="64">
        <v>0.6</v>
      </c>
      <c r="E164" s="64">
        <v>0.6</v>
      </c>
      <c r="F164" s="64">
        <f>+ROUND(C154/3,0)</f>
        <v>152</v>
      </c>
      <c r="G164" s="64">
        <f>+C164*D164*F164*E164</f>
        <v>32.832000000000001</v>
      </c>
    </row>
    <row r="165" spans="1:7" ht="14.25" customHeight="1">
      <c r="A165" s="1847" t="s">
        <v>950</v>
      </c>
      <c r="B165" s="1828"/>
      <c r="C165" s="64"/>
      <c r="D165" s="64"/>
      <c r="E165" s="64"/>
      <c r="F165" s="64"/>
      <c r="G165" s="64"/>
    </row>
    <row r="166" spans="1:7" ht="14.25" customHeight="1">
      <c r="A166" s="1845" t="s">
        <v>951</v>
      </c>
      <c r="B166" s="1828"/>
      <c r="C166" s="64">
        <v>1.9</v>
      </c>
      <c r="D166" s="64">
        <v>1.9</v>
      </c>
      <c r="E166" s="64">
        <v>0.4</v>
      </c>
      <c r="F166" s="64">
        <v>4</v>
      </c>
      <c r="G166" s="64">
        <f t="shared" ref="G166:G175" si="13">+C166*D166*F166*E166</f>
        <v>5.7759999999999998</v>
      </c>
    </row>
    <row r="167" spans="1:7" ht="14.25" customHeight="1">
      <c r="A167" s="1845" t="s">
        <v>952</v>
      </c>
      <c r="B167" s="1828"/>
      <c r="C167" s="64">
        <v>2.1</v>
      </c>
      <c r="D167" s="64">
        <v>2.1</v>
      </c>
      <c r="E167" s="64">
        <v>0.4</v>
      </c>
      <c r="F167" s="64">
        <v>4</v>
      </c>
      <c r="G167" s="64">
        <f t="shared" si="13"/>
        <v>7.0560000000000009</v>
      </c>
    </row>
    <row r="168" spans="1:7" ht="14.25" customHeight="1">
      <c r="A168" s="1845" t="s">
        <v>953</v>
      </c>
      <c r="B168" s="1828"/>
      <c r="C168" s="64">
        <v>2.6</v>
      </c>
      <c r="D168" s="64">
        <v>2.6</v>
      </c>
      <c r="E168" s="64">
        <v>0.4</v>
      </c>
      <c r="F168" s="64">
        <v>7</v>
      </c>
      <c r="G168" s="64">
        <f t="shared" si="13"/>
        <v>18.928000000000004</v>
      </c>
    </row>
    <row r="169" spans="1:7" ht="14.25" customHeight="1">
      <c r="A169" s="1845" t="s">
        <v>954</v>
      </c>
      <c r="B169" s="1828"/>
      <c r="C169" s="64">
        <v>2.7</v>
      </c>
      <c r="D169" s="64">
        <v>2.7</v>
      </c>
      <c r="E169" s="64">
        <v>0.4</v>
      </c>
      <c r="F169" s="64">
        <v>8</v>
      </c>
      <c r="G169" s="64">
        <f t="shared" si="13"/>
        <v>23.328000000000003</v>
      </c>
    </row>
    <row r="170" spans="1:7" ht="14.25" customHeight="1">
      <c r="A170" s="1845" t="s">
        <v>969</v>
      </c>
      <c r="B170" s="1828"/>
      <c r="C170" s="64">
        <v>2.8</v>
      </c>
      <c r="D170" s="64">
        <v>2.8</v>
      </c>
      <c r="E170" s="64">
        <v>0.45</v>
      </c>
      <c r="F170" s="64">
        <v>7</v>
      </c>
      <c r="G170" s="64">
        <f t="shared" si="13"/>
        <v>24.695999999999998</v>
      </c>
    </row>
    <row r="171" spans="1:7" ht="14.25" customHeight="1">
      <c r="A171" s="1845" t="s">
        <v>970</v>
      </c>
      <c r="B171" s="1828"/>
      <c r="C171" s="64">
        <v>2.9</v>
      </c>
      <c r="D171" s="64">
        <v>2.9</v>
      </c>
      <c r="E171" s="64">
        <v>0.45</v>
      </c>
      <c r="F171" s="64">
        <v>4</v>
      </c>
      <c r="G171" s="64">
        <f t="shared" si="13"/>
        <v>15.138</v>
      </c>
    </row>
    <row r="172" spans="1:7" ht="14.25" customHeight="1">
      <c r="A172" s="1845" t="s">
        <v>971</v>
      </c>
      <c r="B172" s="1828"/>
      <c r="C172" s="64">
        <v>3</v>
      </c>
      <c r="D172" s="64">
        <v>3</v>
      </c>
      <c r="E172" s="64">
        <v>0.45</v>
      </c>
      <c r="F172" s="64">
        <v>6</v>
      </c>
      <c r="G172" s="64">
        <f t="shared" si="13"/>
        <v>24.3</v>
      </c>
    </row>
    <row r="173" spans="1:7" ht="14.25" customHeight="1">
      <c r="A173" s="1845" t="s">
        <v>972</v>
      </c>
      <c r="B173" s="1828"/>
      <c r="C173" s="64">
        <v>3.1</v>
      </c>
      <c r="D173" s="64">
        <v>3.1</v>
      </c>
      <c r="E173" s="64">
        <v>0.45</v>
      </c>
      <c r="F173" s="64">
        <v>2</v>
      </c>
      <c r="G173" s="64">
        <f t="shared" si="13"/>
        <v>8.6490000000000009</v>
      </c>
    </row>
    <row r="174" spans="1:7" ht="14.25" customHeight="1">
      <c r="A174" s="1845" t="s">
        <v>973</v>
      </c>
      <c r="B174" s="1828"/>
      <c r="C174" s="64">
        <v>3</v>
      </c>
      <c r="D174" s="64">
        <v>1.9</v>
      </c>
      <c r="E174" s="64">
        <v>0.45</v>
      </c>
      <c r="F174" s="64">
        <v>1</v>
      </c>
      <c r="G174" s="64">
        <f t="shared" si="13"/>
        <v>2.5649999999999999</v>
      </c>
    </row>
    <row r="175" spans="1:7" ht="14.25" customHeight="1">
      <c r="A175" s="1845" t="s">
        <v>974</v>
      </c>
      <c r="B175" s="1828"/>
      <c r="C175" s="64">
        <v>1.7</v>
      </c>
      <c r="D175" s="64">
        <v>1.7</v>
      </c>
      <c r="E175" s="64">
        <v>0.5</v>
      </c>
      <c r="F175" s="64">
        <v>1</v>
      </c>
      <c r="G175" s="64">
        <f t="shared" si="13"/>
        <v>1.4449999999999998</v>
      </c>
    </row>
    <row r="176" spans="1:7" ht="15" customHeight="1">
      <c r="A176" s="1845"/>
      <c r="B176" s="1828"/>
      <c r="C176" s="64"/>
      <c r="D176" s="64"/>
      <c r="E176" s="64"/>
      <c r="F176" s="64"/>
      <c r="G176" s="64"/>
    </row>
    <row r="177" spans="1:7" ht="15" customHeight="1">
      <c r="A177" s="1845"/>
      <c r="B177" s="1828"/>
      <c r="C177" s="64"/>
      <c r="D177" s="64"/>
      <c r="E177" s="64"/>
      <c r="F177" s="64"/>
      <c r="G177" s="64"/>
    </row>
    <row r="178" spans="1:7" ht="14.25" customHeight="1">
      <c r="A178" s="1829" t="s">
        <v>227</v>
      </c>
      <c r="B178" s="1830"/>
      <c r="C178" s="1830"/>
      <c r="D178" s="1830"/>
      <c r="E178" s="1830"/>
      <c r="F178" s="1828"/>
      <c r="G178" s="65">
        <f>ROUND((SUM(G163:G177)),2)</f>
        <v>164.71</v>
      </c>
    </row>
    <row r="179" spans="1:7" ht="14.25" customHeight="1">
      <c r="A179" s="1837"/>
      <c r="B179" s="1838"/>
      <c r="C179" s="1838"/>
      <c r="D179" s="1838"/>
      <c r="E179" s="1838"/>
      <c r="F179" s="1838"/>
      <c r="G179" s="1839"/>
    </row>
    <row r="180" spans="1:7" ht="14.25" customHeight="1">
      <c r="A180" s="66" t="s">
        <v>232</v>
      </c>
      <c r="B180" s="1832" t="str">
        <f>+B159</f>
        <v>CONCRETOS</v>
      </c>
      <c r="C180" s="1830"/>
      <c r="D180" s="1828"/>
      <c r="E180" s="1833" t="s">
        <v>218</v>
      </c>
      <c r="F180" s="1828"/>
      <c r="G180" s="62" t="s">
        <v>116</v>
      </c>
    </row>
    <row r="181" spans="1:7" ht="14.25" customHeight="1">
      <c r="A181" s="66" t="s">
        <v>237</v>
      </c>
      <c r="B181" s="1840" t="s">
        <v>621</v>
      </c>
      <c r="C181" s="1830"/>
      <c r="D181" s="1830"/>
      <c r="E181" s="1830"/>
      <c r="F181" s="1830"/>
      <c r="G181" s="1828"/>
    </row>
    <row r="182" spans="1:7" ht="14.25" customHeight="1">
      <c r="A182" s="1836" t="s">
        <v>220</v>
      </c>
      <c r="B182" s="1830"/>
      <c r="C182" s="1830"/>
      <c r="D182" s="1830"/>
      <c r="E182" s="1830"/>
      <c r="F182" s="1830"/>
      <c r="G182" s="1828"/>
    </row>
    <row r="183" spans="1:7" ht="14.25" customHeight="1">
      <c r="A183" s="1829" t="s">
        <v>221</v>
      </c>
      <c r="B183" s="1828"/>
      <c r="C183" s="63" t="s">
        <v>222</v>
      </c>
      <c r="D183" s="63" t="s">
        <v>223</v>
      </c>
      <c r="E183" s="63" t="s">
        <v>224</v>
      </c>
      <c r="F183" s="63" t="s">
        <v>225</v>
      </c>
      <c r="G183" s="63" t="s">
        <v>226</v>
      </c>
    </row>
    <row r="184" spans="1:7" ht="15" customHeight="1">
      <c r="A184" s="1847" t="s">
        <v>569</v>
      </c>
      <c r="B184" s="1828"/>
      <c r="C184" s="64"/>
      <c r="D184" s="64"/>
      <c r="E184" s="64"/>
      <c r="F184" s="64"/>
      <c r="G184" s="64"/>
    </row>
    <row r="185" spans="1:7" ht="15" customHeight="1">
      <c r="A185" s="1845" t="s">
        <v>955</v>
      </c>
      <c r="B185" s="1828"/>
      <c r="C185" s="64">
        <f>+C154</f>
        <v>454.77</v>
      </c>
      <c r="D185" s="64">
        <v>0.3</v>
      </c>
      <c r="E185" s="64">
        <v>0.3</v>
      </c>
      <c r="F185" s="64">
        <v>1</v>
      </c>
      <c r="G185" s="64">
        <f>+C185*D185*F185*E185</f>
        <v>40.929299999999991</v>
      </c>
    </row>
    <row r="186" spans="1:7" ht="14.25" customHeight="1">
      <c r="A186" s="1847" t="s">
        <v>950</v>
      </c>
      <c r="B186" s="1828"/>
      <c r="C186" s="64"/>
      <c r="D186" s="64"/>
      <c r="E186" s="64"/>
      <c r="F186" s="64"/>
      <c r="G186" s="64"/>
    </row>
    <row r="187" spans="1:7" ht="14.25" customHeight="1">
      <c r="A187" s="1845" t="s">
        <v>984</v>
      </c>
      <c r="B187" s="1828"/>
      <c r="C187" s="64">
        <v>23.25</v>
      </c>
      <c r="D187" s="64">
        <v>0.4</v>
      </c>
      <c r="E187" s="64">
        <v>0.6</v>
      </c>
      <c r="F187" s="64">
        <v>1</v>
      </c>
      <c r="G187" s="64">
        <f t="shared" ref="G187:G203" si="14">+C187*D187*E187*F187</f>
        <v>5.58</v>
      </c>
    </row>
    <row r="188" spans="1:7" ht="15" customHeight="1">
      <c r="A188" s="1845" t="s">
        <v>985</v>
      </c>
      <c r="B188" s="1828"/>
      <c r="C188" s="64">
        <f>52.9+1</f>
        <v>53.9</v>
      </c>
      <c r="D188" s="64">
        <v>0.4</v>
      </c>
      <c r="E188" s="64">
        <v>0.6</v>
      </c>
      <c r="F188" s="64">
        <v>1</v>
      </c>
      <c r="G188" s="64">
        <f t="shared" si="14"/>
        <v>12.936000000000002</v>
      </c>
    </row>
    <row r="189" spans="1:7" ht="15" customHeight="1">
      <c r="A189" s="1845" t="s">
        <v>986</v>
      </c>
      <c r="B189" s="1828"/>
      <c r="C189" s="64">
        <v>12.51</v>
      </c>
      <c r="D189" s="64">
        <v>0.4</v>
      </c>
      <c r="E189" s="64">
        <v>0.6</v>
      </c>
      <c r="F189" s="64">
        <v>1</v>
      </c>
      <c r="G189" s="64">
        <f t="shared" si="14"/>
        <v>3.0024000000000002</v>
      </c>
    </row>
    <row r="190" spans="1:7" ht="15" customHeight="1">
      <c r="A190" s="1845" t="s">
        <v>987</v>
      </c>
      <c r="B190" s="1828"/>
      <c r="C190" s="64">
        <v>54</v>
      </c>
      <c r="D190" s="64">
        <v>0.4</v>
      </c>
      <c r="E190" s="64">
        <v>0.6</v>
      </c>
      <c r="F190" s="64">
        <v>1</v>
      </c>
      <c r="G190" s="64">
        <f t="shared" si="14"/>
        <v>12.96</v>
      </c>
    </row>
    <row r="191" spans="1:7" ht="15" customHeight="1">
      <c r="A191" s="1845" t="s">
        <v>988</v>
      </c>
      <c r="B191" s="1828"/>
      <c r="C191" s="64">
        <v>53.9</v>
      </c>
      <c r="D191" s="64">
        <v>0.4</v>
      </c>
      <c r="E191" s="64">
        <v>0.6</v>
      </c>
      <c r="F191" s="64">
        <v>1</v>
      </c>
      <c r="G191" s="64">
        <f t="shared" si="14"/>
        <v>12.936000000000002</v>
      </c>
    </row>
    <row r="192" spans="1:7" ht="15" customHeight="1">
      <c r="A192" s="1845" t="s">
        <v>989</v>
      </c>
      <c r="B192" s="1828"/>
      <c r="C192" s="64">
        <v>19.25</v>
      </c>
      <c r="D192" s="64">
        <v>0.4</v>
      </c>
      <c r="E192" s="64">
        <v>0.6</v>
      </c>
      <c r="F192" s="64">
        <v>1</v>
      </c>
      <c r="G192" s="64">
        <f t="shared" si="14"/>
        <v>4.62</v>
      </c>
    </row>
    <row r="193" spans="1:7" ht="15" customHeight="1">
      <c r="A193" s="1845" t="s">
        <v>990</v>
      </c>
      <c r="B193" s="1828"/>
      <c r="C193" s="64">
        <v>22.53</v>
      </c>
      <c r="D193" s="64">
        <v>0.4</v>
      </c>
      <c r="E193" s="64">
        <v>0.6</v>
      </c>
      <c r="F193" s="64">
        <v>1</v>
      </c>
      <c r="G193" s="64">
        <f t="shared" si="14"/>
        <v>5.4072000000000005</v>
      </c>
    </row>
    <row r="194" spans="1:7" ht="15" customHeight="1">
      <c r="A194" s="1845" t="s">
        <v>991</v>
      </c>
      <c r="B194" s="1828"/>
      <c r="C194" s="64">
        <v>34.299999999999997</v>
      </c>
      <c r="D194" s="64">
        <v>0.4</v>
      </c>
      <c r="E194" s="64">
        <v>0.6</v>
      </c>
      <c r="F194" s="64">
        <v>1</v>
      </c>
      <c r="G194" s="64">
        <f t="shared" si="14"/>
        <v>8.2319999999999993</v>
      </c>
    </row>
    <row r="195" spans="1:7" ht="15" customHeight="1">
      <c r="A195" s="1845" t="s">
        <v>992</v>
      </c>
      <c r="B195" s="1828"/>
      <c r="C195" s="64">
        <v>6.35</v>
      </c>
      <c r="D195" s="64">
        <v>0.4</v>
      </c>
      <c r="E195" s="64">
        <v>0.6</v>
      </c>
      <c r="F195" s="64">
        <v>1</v>
      </c>
      <c r="G195" s="64">
        <f t="shared" si="14"/>
        <v>1.524</v>
      </c>
    </row>
    <row r="196" spans="1:7" ht="15" customHeight="1">
      <c r="A196" s="1845" t="s">
        <v>993</v>
      </c>
      <c r="B196" s="1828"/>
      <c r="C196" s="64">
        <v>5.03</v>
      </c>
      <c r="D196" s="64">
        <v>0.4</v>
      </c>
      <c r="E196" s="64">
        <v>0.6</v>
      </c>
      <c r="F196" s="64">
        <v>1</v>
      </c>
      <c r="G196" s="64">
        <f t="shared" si="14"/>
        <v>1.2072000000000001</v>
      </c>
    </row>
    <row r="197" spans="1:7" ht="15" customHeight="1">
      <c r="A197" s="1845" t="s">
        <v>994</v>
      </c>
      <c r="B197" s="1828"/>
      <c r="C197" s="64">
        <v>38.299999999999997</v>
      </c>
      <c r="D197" s="64">
        <v>0.4</v>
      </c>
      <c r="E197" s="64">
        <v>0.6</v>
      </c>
      <c r="F197" s="64">
        <v>1</v>
      </c>
      <c r="G197" s="64">
        <f t="shared" si="14"/>
        <v>9.1920000000000002</v>
      </c>
    </row>
    <row r="198" spans="1:7" ht="15" customHeight="1">
      <c r="A198" s="1845" t="s">
        <v>995</v>
      </c>
      <c r="B198" s="1828"/>
      <c r="C198" s="64">
        <v>35.85</v>
      </c>
      <c r="D198" s="64">
        <v>0.4</v>
      </c>
      <c r="E198" s="64">
        <v>0.6</v>
      </c>
      <c r="F198" s="64">
        <v>1</v>
      </c>
      <c r="G198" s="64">
        <f t="shared" si="14"/>
        <v>8.604000000000001</v>
      </c>
    </row>
    <row r="199" spans="1:7" ht="15" customHeight="1">
      <c r="A199" s="1845" t="s">
        <v>996</v>
      </c>
      <c r="B199" s="1828"/>
      <c r="C199" s="64">
        <v>7.9</v>
      </c>
      <c r="D199" s="64">
        <v>0.4</v>
      </c>
      <c r="E199" s="64">
        <v>0.6</v>
      </c>
      <c r="F199" s="64">
        <v>1</v>
      </c>
      <c r="G199" s="64">
        <f t="shared" si="14"/>
        <v>1.8959999999999999</v>
      </c>
    </row>
    <row r="200" spans="1:7" ht="15" customHeight="1">
      <c r="A200" s="1845" t="s">
        <v>997</v>
      </c>
      <c r="B200" s="1828"/>
      <c r="C200" s="64">
        <v>35.85</v>
      </c>
      <c r="D200" s="64">
        <v>0.4</v>
      </c>
      <c r="E200" s="64">
        <v>0.6</v>
      </c>
      <c r="F200" s="64">
        <v>1</v>
      </c>
      <c r="G200" s="64">
        <f t="shared" si="14"/>
        <v>8.604000000000001</v>
      </c>
    </row>
    <row r="201" spans="1:7" ht="15" customHeight="1">
      <c r="A201" s="1845" t="s">
        <v>998</v>
      </c>
      <c r="B201" s="1828"/>
      <c r="C201" s="64">
        <v>18.5</v>
      </c>
      <c r="D201" s="64">
        <v>0.3</v>
      </c>
      <c r="E201" s="64">
        <v>0.5</v>
      </c>
      <c r="F201" s="64">
        <v>1</v>
      </c>
      <c r="G201" s="64">
        <f t="shared" si="14"/>
        <v>2.7749999999999999</v>
      </c>
    </row>
    <row r="202" spans="1:7" ht="15" customHeight="1">
      <c r="A202" s="1845" t="s">
        <v>999</v>
      </c>
      <c r="B202" s="1828"/>
      <c r="C202" s="64">
        <v>5.5</v>
      </c>
      <c r="D202" s="64">
        <v>0.3</v>
      </c>
      <c r="E202" s="64">
        <v>0.5</v>
      </c>
      <c r="F202" s="64">
        <v>1</v>
      </c>
      <c r="G202" s="64">
        <f t="shared" si="14"/>
        <v>0.82499999999999996</v>
      </c>
    </row>
    <row r="203" spans="1:7" ht="15" customHeight="1">
      <c r="A203" s="1845" t="s">
        <v>1000</v>
      </c>
      <c r="B203" s="1828"/>
      <c r="C203" s="64">
        <v>5.5</v>
      </c>
      <c r="D203" s="64">
        <v>0.4</v>
      </c>
      <c r="E203" s="64">
        <v>0.5</v>
      </c>
      <c r="F203" s="64">
        <v>1</v>
      </c>
      <c r="G203" s="64">
        <f t="shared" si="14"/>
        <v>1.1000000000000001</v>
      </c>
    </row>
    <row r="204" spans="1:7" ht="15" customHeight="1">
      <c r="A204" s="1845"/>
      <c r="B204" s="1828"/>
      <c r="C204" s="64"/>
      <c r="D204" s="64"/>
      <c r="E204" s="64"/>
      <c r="F204" s="64"/>
      <c r="G204" s="64"/>
    </row>
    <row r="205" spans="1:7" ht="14.25" customHeight="1">
      <c r="A205" s="1829" t="s">
        <v>227</v>
      </c>
      <c r="B205" s="1830"/>
      <c r="C205" s="1830"/>
      <c r="D205" s="1830"/>
      <c r="E205" s="1830"/>
      <c r="F205" s="1828"/>
      <c r="G205" s="65">
        <f>ROUND((SUM(G184:G204)),2)</f>
        <v>142.33000000000001</v>
      </c>
    </row>
    <row r="206" spans="1:7" ht="14.25" customHeight="1">
      <c r="A206" s="1837"/>
      <c r="B206" s="1838"/>
      <c r="C206" s="1838"/>
      <c r="D206" s="1838"/>
      <c r="E206" s="1838"/>
      <c r="F206" s="1838"/>
      <c r="G206" s="1839"/>
    </row>
    <row r="207" spans="1:7" ht="14.25" customHeight="1">
      <c r="A207" s="66" t="s">
        <v>232</v>
      </c>
      <c r="B207" s="1832" t="s">
        <v>35</v>
      </c>
      <c r="C207" s="1830"/>
      <c r="D207" s="1828"/>
      <c r="E207" s="1833" t="s">
        <v>218</v>
      </c>
      <c r="F207" s="1828"/>
      <c r="G207" s="62" t="s">
        <v>116</v>
      </c>
    </row>
    <row r="208" spans="1:7" ht="14.25" customHeight="1">
      <c r="A208" s="66" t="s">
        <v>238</v>
      </c>
      <c r="B208" s="1840" t="s">
        <v>623</v>
      </c>
      <c r="C208" s="1830"/>
      <c r="D208" s="1830"/>
      <c r="E208" s="1830"/>
      <c r="F208" s="1830"/>
      <c r="G208" s="1828"/>
    </row>
    <row r="209" spans="1:7" ht="14.25" customHeight="1">
      <c r="A209" s="1836" t="s">
        <v>220</v>
      </c>
      <c r="B209" s="1830"/>
      <c r="C209" s="1830"/>
      <c r="D209" s="1830"/>
      <c r="E209" s="1830"/>
      <c r="F209" s="1830"/>
      <c r="G209" s="1828"/>
    </row>
    <row r="210" spans="1:7" ht="14.25" customHeight="1">
      <c r="A210" s="1829" t="s">
        <v>221</v>
      </c>
      <c r="B210" s="1828"/>
      <c r="C210" s="63" t="s">
        <v>222</v>
      </c>
      <c r="D210" s="63" t="s">
        <v>223</v>
      </c>
      <c r="E210" s="63" t="s">
        <v>224</v>
      </c>
      <c r="F210" s="63" t="s">
        <v>225</v>
      </c>
      <c r="G210" s="63" t="s">
        <v>226</v>
      </c>
    </row>
    <row r="211" spans="1:7" ht="14.25" customHeight="1">
      <c r="A211" s="1847" t="s">
        <v>1001</v>
      </c>
      <c r="B211" s="1828"/>
      <c r="C211" s="64"/>
      <c r="D211" s="64"/>
      <c r="E211" s="64"/>
      <c r="F211" s="64"/>
      <c r="G211" s="64"/>
    </row>
    <row r="212" spans="1:7" ht="15" customHeight="1">
      <c r="A212" s="1845" t="s">
        <v>1002</v>
      </c>
      <c r="B212" s="1828"/>
      <c r="C212" s="184">
        <v>0.56799999999999995</v>
      </c>
      <c r="D212" s="184">
        <v>0.56799999999999995</v>
      </c>
      <c r="E212" s="64"/>
      <c r="F212" s="64">
        <v>409.7</v>
      </c>
      <c r="G212" s="64">
        <f t="shared" ref="G212:G214" si="15">+F212*D212*C212</f>
        <v>132.17905279999997</v>
      </c>
    </row>
    <row r="213" spans="1:7" ht="15" customHeight="1">
      <c r="A213" s="1845" t="s">
        <v>1003</v>
      </c>
      <c r="B213" s="1828"/>
      <c r="C213" s="184">
        <v>0.61199999999999999</v>
      </c>
      <c r="D213" s="184">
        <v>0.61199999999999999</v>
      </c>
      <c r="E213" s="64"/>
      <c r="F213" s="64">
        <v>60.4</v>
      </c>
      <c r="G213" s="64">
        <f t="shared" si="15"/>
        <v>22.622457599999997</v>
      </c>
    </row>
    <row r="214" spans="1:7" ht="14.25" customHeight="1">
      <c r="A214" s="1845" t="s">
        <v>1004</v>
      </c>
      <c r="B214" s="1828"/>
      <c r="C214" s="184">
        <v>0.36199999999999999</v>
      </c>
      <c r="D214" s="184">
        <v>0.36199999999999999</v>
      </c>
      <c r="E214" s="64"/>
      <c r="F214" s="64">
        <v>106.4</v>
      </c>
      <c r="G214" s="64">
        <f t="shared" si="15"/>
        <v>13.943081600000001</v>
      </c>
    </row>
    <row r="215" spans="1:7" ht="14.25" customHeight="1">
      <c r="A215" s="1829" t="s">
        <v>227</v>
      </c>
      <c r="B215" s="1830"/>
      <c r="C215" s="1830"/>
      <c r="D215" s="1830"/>
      <c r="E215" s="1830"/>
      <c r="F215" s="1828"/>
      <c r="G215" s="65">
        <f>ROUND((SUM(G211:G214)),2)</f>
        <v>168.74</v>
      </c>
    </row>
    <row r="216" spans="1:7" ht="14.25" customHeight="1">
      <c r="A216" s="1837"/>
      <c r="B216" s="1838"/>
      <c r="C216" s="1838"/>
      <c r="D216" s="1838"/>
      <c r="E216" s="1838"/>
      <c r="F216" s="1838"/>
      <c r="G216" s="1839"/>
    </row>
    <row r="217" spans="1:7" ht="14.25" customHeight="1">
      <c r="A217" s="66" t="s">
        <v>232</v>
      </c>
      <c r="B217" s="1832" t="str">
        <f>+B207</f>
        <v>CONCRETOS</v>
      </c>
      <c r="C217" s="1830"/>
      <c r="D217" s="1828"/>
      <c r="E217" s="1833" t="s">
        <v>218</v>
      </c>
      <c r="F217" s="1828"/>
      <c r="G217" s="62" t="s">
        <v>116</v>
      </c>
    </row>
    <row r="218" spans="1:7" ht="14.25" customHeight="1">
      <c r="A218" s="66" t="s">
        <v>239</v>
      </c>
      <c r="B218" s="1840" t="s">
        <v>625</v>
      </c>
      <c r="C218" s="1830"/>
      <c r="D218" s="1830"/>
      <c r="E218" s="1830"/>
      <c r="F218" s="1830"/>
      <c r="G218" s="1828"/>
    </row>
    <row r="219" spans="1:7" ht="14.25" customHeight="1">
      <c r="A219" s="1836" t="s">
        <v>220</v>
      </c>
      <c r="B219" s="1830"/>
      <c r="C219" s="1830"/>
      <c r="D219" s="1830"/>
      <c r="E219" s="1830"/>
      <c r="F219" s="1830"/>
      <c r="G219" s="1828"/>
    </row>
    <row r="220" spans="1:7" ht="14.25" customHeight="1">
      <c r="A220" s="1829" t="s">
        <v>221</v>
      </c>
      <c r="B220" s="1828"/>
      <c r="C220" s="63" t="s">
        <v>222</v>
      </c>
      <c r="D220" s="63" t="s">
        <v>223</v>
      </c>
      <c r="E220" s="63" t="s">
        <v>224</v>
      </c>
      <c r="F220" s="63" t="s">
        <v>225</v>
      </c>
      <c r="G220" s="63" t="s">
        <v>226</v>
      </c>
    </row>
    <row r="221" spans="1:7" ht="14.25" customHeight="1">
      <c r="A221" s="1847" t="s">
        <v>699</v>
      </c>
      <c r="B221" s="1828"/>
      <c r="C221" s="64"/>
      <c r="D221" s="64"/>
      <c r="E221" s="64"/>
      <c r="F221" s="64"/>
      <c r="G221" s="64"/>
    </row>
    <row r="222" spans="1:7" ht="14.25" customHeight="1">
      <c r="A222" s="1845" t="s">
        <v>626</v>
      </c>
      <c r="B222" s="1828"/>
      <c r="C222" s="64">
        <v>1.1000000000000001</v>
      </c>
      <c r="D222" s="64">
        <v>1.1000000000000001</v>
      </c>
      <c r="E222" s="64">
        <v>1.2</v>
      </c>
      <c r="F222" s="64">
        <v>43</v>
      </c>
      <c r="G222" s="64">
        <f t="shared" ref="G222:G223" si="16">+F222*E222*D222*C222</f>
        <v>62.436000000000014</v>
      </c>
    </row>
    <row r="223" spans="1:7" ht="14.25" customHeight="1">
      <c r="A223" s="1845" t="s">
        <v>958</v>
      </c>
      <c r="B223" s="1828"/>
      <c r="C223" s="64">
        <v>0.8</v>
      </c>
      <c r="D223" s="64">
        <v>0.8</v>
      </c>
      <c r="E223" s="64">
        <v>1.2</v>
      </c>
      <c r="F223" s="64">
        <v>1</v>
      </c>
      <c r="G223" s="64">
        <f t="shared" si="16"/>
        <v>0.76800000000000002</v>
      </c>
    </row>
    <row r="224" spans="1:7" ht="14.25" customHeight="1">
      <c r="A224" s="1845"/>
      <c r="B224" s="1828"/>
      <c r="C224" s="64"/>
      <c r="D224" s="64"/>
      <c r="E224" s="64"/>
      <c r="F224" s="64"/>
      <c r="G224" s="64"/>
    </row>
    <row r="225" spans="1:12" ht="14.25" customHeight="1">
      <c r="A225" s="1829" t="s">
        <v>227</v>
      </c>
      <c r="B225" s="1830"/>
      <c r="C225" s="1830"/>
      <c r="D225" s="1830"/>
      <c r="E225" s="1830"/>
      <c r="F225" s="1828"/>
      <c r="G225" s="65">
        <f>ROUND((SUM(G221:G224)),2)</f>
        <v>63.2</v>
      </c>
      <c r="H225" s="59"/>
      <c r="I225" s="60"/>
      <c r="J225" s="60"/>
      <c r="K225" s="61"/>
      <c r="L225" s="59"/>
    </row>
    <row r="226" spans="1:12" ht="14.25" customHeight="1">
      <c r="A226" s="1837"/>
      <c r="B226" s="1838"/>
      <c r="C226" s="1838"/>
      <c r="D226" s="1838"/>
      <c r="E226" s="1838"/>
      <c r="F226" s="1838"/>
      <c r="G226" s="1839"/>
      <c r="H226" s="59"/>
      <c r="I226" s="60"/>
      <c r="J226" s="60"/>
      <c r="K226" s="61"/>
      <c r="L226" s="59"/>
    </row>
    <row r="227" spans="1:12" ht="14.25" hidden="1" customHeight="1">
      <c r="A227" s="66" t="s">
        <v>232</v>
      </c>
      <c r="B227" s="1832" t="str">
        <f>+B207</f>
        <v>CONCRETOS</v>
      </c>
      <c r="C227" s="1830"/>
      <c r="D227" s="1828"/>
      <c r="E227" s="1833" t="s">
        <v>218</v>
      </c>
      <c r="F227" s="1828"/>
      <c r="G227" s="62" t="s">
        <v>116</v>
      </c>
      <c r="H227" s="59"/>
      <c r="I227" s="60"/>
      <c r="J227" s="60"/>
      <c r="K227" s="61"/>
      <c r="L227" s="59"/>
    </row>
    <row r="228" spans="1:12" ht="14.25" hidden="1" customHeight="1">
      <c r="A228" s="66" t="s">
        <v>627</v>
      </c>
      <c r="B228" s="1840" t="s">
        <v>628</v>
      </c>
      <c r="C228" s="1830"/>
      <c r="D228" s="1830"/>
      <c r="E228" s="1830"/>
      <c r="F228" s="1830"/>
      <c r="G228" s="1828"/>
      <c r="H228" s="59"/>
      <c r="I228" s="60"/>
      <c r="J228" s="60"/>
      <c r="K228" s="61"/>
      <c r="L228" s="59"/>
    </row>
    <row r="229" spans="1:12" ht="14.25" hidden="1" customHeight="1">
      <c r="A229" s="1836" t="s">
        <v>220</v>
      </c>
      <c r="B229" s="1830"/>
      <c r="C229" s="1830"/>
      <c r="D229" s="1830"/>
      <c r="E229" s="1830"/>
      <c r="F229" s="1830"/>
      <c r="G229" s="1828"/>
      <c r="H229" s="59"/>
      <c r="I229" s="60"/>
      <c r="J229" s="60"/>
      <c r="K229" s="61"/>
      <c r="L229" s="59"/>
    </row>
    <row r="230" spans="1:12" ht="14.25" hidden="1" customHeight="1">
      <c r="A230" s="1829" t="s">
        <v>221</v>
      </c>
      <c r="B230" s="1828"/>
      <c r="C230" s="63" t="s">
        <v>222</v>
      </c>
      <c r="D230" s="63" t="s">
        <v>223</v>
      </c>
      <c r="E230" s="63" t="s">
        <v>224</v>
      </c>
      <c r="F230" s="63" t="s">
        <v>225</v>
      </c>
      <c r="G230" s="63" t="s">
        <v>226</v>
      </c>
      <c r="H230" s="59"/>
      <c r="I230" s="60"/>
      <c r="J230" s="60"/>
      <c r="K230" s="61"/>
      <c r="L230" s="59"/>
    </row>
    <row r="231" spans="1:12" ht="14.25" hidden="1" customHeight="1">
      <c r="A231" s="1845" t="s">
        <v>631</v>
      </c>
      <c r="B231" s="1828"/>
      <c r="C231" s="64">
        <f>+(12.48+72.46)/0.4</f>
        <v>212.35</v>
      </c>
      <c r="D231" s="64">
        <v>0.4</v>
      </c>
      <c r="E231" s="64">
        <v>0.6</v>
      </c>
      <c r="F231" s="64">
        <v>1</v>
      </c>
      <c r="G231" s="64">
        <f>+C231*D231*E231*F231</f>
        <v>50.963999999999999</v>
      </c>
      <c r="H231" s="59"/>
      <c r="I231" s="60"/>
      <c r="J231" s="60"/>
      <c r="K231" s="61"/>
      <c r="L231" s="59"/>
    </row>
    <row r="232" spans="1:12" ht="14.25" hidden="1" customHeight="1">
      <c r="A232" s="1845"/>
      <c r="B232" s="1828"/>
      <c r="C232" s="64"/>
      <c r="D232" s="64"/>
      <c r="E232" s="64"/>
      <c r="F232" s="64"/>
      <c r="G232" s="64"/>
      <c r="H232" s="59"/>
      <c r="I232" s="61"/>
      <c r="J232" s="60"/>
      <c r="K232" s="61"/>
      <c r="L232" s="59"/>
    </row>
    <row r="233" spans="1:12" ht="14.25" hidden="1" customHeight="1">
      <c r="A233" s="1845"/>
      <c r="B233" s="1828"/>
      <c r="C233" s="64"/>
      <c r="D233" s="64"/>
      <c r="E233" s="64"/>
      <c r="F233" s="64"/>
      <c r="G233" s="64"/>
      <c r="H233" s="59"/>
      <c r="I233" s="59"/>
      <c r="J233" s="60"/>
      <c r="K233" s="61"/>
      <c r="L233" s="59"/>
    </row>
    <row r="234" spans="1:12" ht="14.25" hidden="1" customHeight="1">
      <c r="A234" s="1845"/>
      <c r="B234" s="1828"/>
      <c r="C234" s="64"/>
      <c r="D234" s="64"/>
      <c r="E234" s="64"/>
      <c r="F234" s="64"/>
      <c r="G234" s="64"/>
      <c r="H234" s="59"/>
      <c r="I234" s="60"/>
      <c r="J234" s="60"/>
      <c r="K234" s="61"/>
      <c r="L234" s="59"/>
    </row>
    <row r="235" spans="1:12" ht="14.25" hidden="1" customHeight="1">
      <c r="A235" s="1829" t="s">
        <v>227</v>
      </c>
      <c r="B235" s="1830"/>
      <c r="C235" s="1830"/>
      <c r="D235" s="1830"/>
      <c r="E235" s="1830"/>
      <c r="F235" s="1828"/>
      <c r="G235" s="65"/>
      <c r="H235" s="59"/>
      <c r="I235" s="60"/>
      <c r="J235" s="60"/>
      <c r="K235" s="61"/>
      <c r="L235" s="59"/>
    </row>
    <row r="236" spans="1:12" ht="14.25" hidden="1" customHeight="1">
      <c r="A236" s="1837"/>
      <c r="B236" s="1838"/>
      <c r="C236" s="1838"/>
      <c r="D236" s="1838"/>
      <c r="E236" s="1838"/>
      <c r="F236" s="1838"/>
      <c r="G236" s="1839"/>
      <c r="H236" s="59"/>
      <c r="I236" s="60"/>
      <c r="J236" s="60"/>
      <c r="K236" s="61"/>
      <c r="L236" s="59"/>
    </row>
    <row r="237" spans="1:12" ht="14.25" hidden="1" customHeight="1">
      <c r="A237" s="66" t="s">
        <v>232</v>
      </c>
      <c r="B237" s="1832" t="str">
        <f>+B227</f>
        <v>CONCRETOS</v>
      </c>
      <c r="C237" s="1830"/>
      <c r="D237" s="1828"/>
      <c r="E237" s="1833" t="s">
        <v>218</v>
      </c>
      <c r="F237" s="1828"/>
      <c r="G237" s="62" t="s">
        <v>116</v>
      </c>
      <c r="H237" s="59"/>
      <c r="I237" s="60"/>
      <c r="J237" s="60"/>
      <c r="K237" s="61"/>
      <c r="L237" s="59"/>
    </row>
    <row r="238" spans="1:12" ht="33.75" hidden="1" customHeight="1">
      <c r="A238" s="66" t="s">
        <v>627</v>
      </c>
      <c r="B238" s="1840" t="s">
        <v>635</v>
      </c>
      <c r="C238" s="1830"/>
      <c r="D238" s="1830"/>
      <c r="E238" s="1830"/>
      <c r="F238" s="1830"/>
      <c r="G238" s="1828"/>
      <c r="H238" s="59"/>
      <c r="I238" s="60"/>
      <c r="J238" s="60"/>
      <c r="K238" s="61"/>
      <c r="L238" s="59"/>
    </row>
    <row r="239" spans="1:12" ht="14.25" hidden="1" customHeight="1">
      <c r="A239" s="1836" t="s">
        <v>220</v>
      </c>
      <c r="B239" s="1830"/>
      <c r="C239" s="1830"/>
      <c r="D239" s="1830"/>
      <c r="E239" s="1830"/>
      <c r="F239" s="1830"/>
      <c r="G239" s="1828"/>
      <c r="H239" s="59"/>
      <c r="I239" s="60"/>
      <c r="J239" s="60"/>
      <c r="K239" s="61">
        <f>62+31.66</f>
        <v>93.66</v>
      </c>
      <c r="L239" s="59">
        <f>+K239*0.4*0.6</f>
        <v>22.478399999999997</v>
      </c>
    </row>
    <row r="240" spans="1:12" ht="14.25" hidden="1" customHeight="1">
      <c r="A240" s="1829" t="s">
        <v>221</v>
      </c>
      <c r="B240" s="1828"/>
      <c r="C240" s="63" t="s">
        <v>222</v>
      </c>
      <c r="D240" s="63" t="s">
        <v>223</v>
      </c>
      <c r="E240" s="63" t="s">
        <v>224</v>
      </c>
      <c r="F240" s="63" t="s">
        <v>225</v>
      </c>
      <c r="G240" s="63" t="s">
        <v>226</v>
      </c>
      <c r="H240" s="59"/>
      <c r="I240" s="60"/>
      <c r="J240" s="60"/>
      <c r="K240" s="61"/>
      <c r="L240" s="181" t="e">
        <f>+#REF!+L239</f>
        <v>#REF!</v>
      </c>
    </row>
    <row r="241" spans="1:9" ht="14.25" hidden="1" customHeight="1">
      <c r="A241" s="1845"/>
      <c r="B241" s="1828"/>
      <c r="C241" s="64"/>
      <c r="D241" s="64"/>
      <c r="E241" s="64"/>
      <c r="F241" s="64"/>
      <c r="G241" s="64"/>
      <c r="H241" s="59"/>
      <c r="I241" s="60"/>
    </row>
    <row r="242" spans="1:9" ht="14.25" hidden="1" customHeight="1">
      <c r="A242" s="1845"/>
      <c r="B242" s="1828"/>
      <c r="C242" s="64"/>
      <c r="D242" s="64"/>
      <c r="E242" s="64"/>
      <c r="F242" s="64"/>
      <c r="G242" s="64"/>
      <c r="H242" s="59"/>
      <c r="I242" s="60"/>
    </row>
    <row r="243" spans="1:9" ht="14.25" hidden="1" customHeight="1">
      <c r="A243" s="1845"/>
      <c r="B243" s="1828"/>
      <c r="C243" s="64"/>
      <c r="D243" s="64"/>
      <c r="E243" s="64"/>
      <c r="F243" s="64"/>
      <c r="G243" s="64"/>
      <c r="H243" s="59"/>
      <c r="I243" s="60"/>
    </row>
    <row r="244" spans="1:9" ht="14.25" hidden="1" customHeight="1">
      <c r="A244" s="1829" t="s">
        <v>227</v>
      </c>
      <c r="B244" s="1830"/>
      <c r="C244" s="1830"/>
      <c r="D244" s="1830"/>
      <c r="E244" s="1830"/>
      <c r="F244" s="1828"/>
      <c r="G244" s="65">
        <f>SUM(G241:G243)</f>
        <v>0</v>
      </c>
      <c r="H244" s="59"/>
      <c r="I244" s="60"/>
    </row>
    <row r="245" spans="1:9" ht="14.25" hidden="1" customHeight="1">
      <c r="A245" s="1837"/>
      <c r="B245" s="1838"/>
      <c r="C245" s="1838"/>
      <c r="D245" s="1838"/>
      <c r="E245" s="1838"/>
      <c r="F245" s="1838"/>
      <c r="G245" s="1839"/>
      <c r="H245" s="59"/>
      <c r="I245" s="60"/>
    </row>
    <row r="246" spans="1:9" ht="14.25" customHeight="1">
      <c r="A246" s="66" t="s">
        <v>232</v>
      </c>
      <c r="B246" s="1832" t="str">
        <f>+B237</f>
        <v>CONCRETOS</v>
      </c>
      <c r="C246" s="1830"/>
      <c r="D246" s="1828"/>
      <c r="E246" s="1833" t="s">
        <v>218</v>
      </c>
      <c r="F246" s="1828"/>
      <c r="G246" s="62" t="s">
        <v>228</v>
      </c>
      <c r="H246" s="59"/>
      <c r="I246" s="60"/>
    </row>
    <row r="247" spans="1:9" ht="14.25" customHeight="1">
      <c r="A247" s="66" t="s">
        <v>627</v>
      </c>
      <c r="B247" s="1840" t="s">
        <v>638</v>
      </c>
      <c r="C247" s="1830"/>
      <c r="D247" s="1830"/>
      <c r="E247" s="1830"/>
      <c r="F247" s="1830"/>
      <c r="G247" s="1828"/>
      <c r="H247" s="59"/>
      <c r="I247" s="60">
        <v>19.09</v>
      </c>
    </row>
    <row r="248" spans="1:9" ht="14.25" customHeight="1">
      <c r="A248" s="1836" t="s">
        <v>220</v>
      </c>
      <c r="B248" s="1830"/>
      <c r="C248" s="1830"/>
      <c r="D248" s="1830"/>
      <c r="E248" s="1830"/>
      <c r="F248" s="1830"/>
      <c r="G248" s="1828"/>
      <c r="H248" s="59"/>
      <c r="I248" s="60">
        <v>9.0500000000000007</v>
      </c>
    </row>
    <row r="249" spans="1:9" ht="14.25" customHeight="1">
      <c r="A249" s="1829" t="s">
        <v>221</v>
      </c>
      <c r="B249" s="1828"/>
      <c r="C249" s="63" t="s">
        <v>222</v>
      </c>
      <c r="D249" s="63" t="s">
        <v>223</v>
      </c>
      <c r="E249" s="63" t="s">
        <v>224</v>
      </c>
      <c r="F249" s="63" t="s">
        <v>225</v>
      </c>
      <c r="G249" s="63" t="s">
        <v>226</v>
      </c>
      <c r="H249" s="59"/>
      <c r="I249" s="183">
        <f>SUM(I247:I248)</f>
        <v>28.14</v>
      </c>
    </row>
    <row r="250" spans="1:9" ht="14.25" customHeight="1">
      <c r="A250" s="1847" t="s">
        <v>699</v>
      </c>
      <c r="B250" s="1828"/>
      <c r="C250" s="64"/>
      <c r="D250" s="64"/>
      <c r="E250" s="64"/>
      <c r="F250" s="64"/>
      <c r="G250" s="64"/>
      <c r="H250" s="59"/>
      <c r="I250" s="60"/>
    </row>
    <row r="251" spans="1:9" ht="14.25" customHeight="1">
      <c r="A251" s="1845" t="s">
        <v>960</v>
      </c>
      <c r="B251" s="1828"/>
      <c r="C251" s="64"/>
      <c r="D251" s="64"/>
      <c r="E251" s="64"/>
      <c r="F251" s="64">
        <f>1047.47+97.93</f>
        <v>1145.4000000000001</v>
      </c>
      <c r="G251" s="64">
        <f t="shared" ref="G251:G253" si="17">+F251</f>
        <v>1145.4000000000001</v>
      </c>
      <c r="H251" s="59"/>
      <c r="I251" s="60"/>
    </row>
    <row r="252" spans="1:9" ht="14.25" customHeight="1">
      <c r="A252" s="1845" t="s">
        <v>961</v>
      </c>
      <c r="B252" s="1828"/>
      <c r="C252" s="64"/>
      <c r="D252" s="64"/>
      <c r="E252" s="64"/>
      <c r="F252" s="64">
        <f>109.04+1781.76</f>
        <v>1890.8</v>
      </c>
      <c r="G252" s="64">
        <f t="shared" si="17"/>
        <v>1890.8</v>
      </c>
      <c r="H252" s="59"/>
      <c r="I252" s="60"/>
    </row>
    <row r="253" spans="1:9" ht="15" customHeight="1">
      <c r="A253" s="1845" t="s">
        <v>962</v>
      </c>
      <c r="B253" s="1828"/>
      <c r="C253" s="64"/>
      <c r="D253" s="64"/>
      <c r="E253" s="64"/>
      <c r="F253" s="64">
        <f>328.08+109.04</f>
        <v>437.12</v>
      </c>
      <c r="G253" s="64">
        <f t="shared" si="17"/>
        <v>437.12</v>
      </c>
      <c r="H253" s="59"/>
      <c r="I253" s="60"/>
    </row>
    <row r="254" spans="1:9" ht="14.25" customHeight="1">
      <c r="A254" s="1845"/>
      <c r="B254" s="1828"/>
      <c r="C254" s="184"/>
      <c r="D254" s="64"/>
      <c r="E254" s="64"/>
      <c r="F254" s="64"/>
      <c r="G254" s="64"/>
      <c r="H254" s="59"/>
      <c r="I254" s="60"/>
    </row>
    <row r="255" spans="1:9" ht="14.25" customHeight="1">
      <c r="A255" s="1845"/>
      <c r="B255" s="1828"/>
      <c r="C255" s="64"/>
      <c r="D255" s="64"/>
      <c r="E255" s="64"/>
      <c r="F255" s="64"/>
      <c r="G255" s="64"/>
      <c r="H255" s="59"/>
      <c r="I255" s="60"/>
    </row>
    <row r="256" spans="1:9" ht="14.25" customHeight="1">
      <c r="A256" s="1829" t="s">
        <v>227</v>
      </c>
      <c r="B256" s="1830"/>
      <c r="C256" s="1830"/>
      <c r="D256" s="1830"/>
      <c r="E256" s="1830"/>
      <c r="F256" s="1828"/>
      <c r="G256" s="65">
        <f>ROUND((SUM(G251:G255)),2)</f>
        <v>3473.32</v>
      </c>
      <c r="H256" s="59"/>
      <c r="I256" s="60"/>
    </row>
    <row r="257" spans="1:12" ht="14.25" hidden="1" customHeight="1">
      <c r="A257" s="1837"/>
      <c r="B257" s="1838"/>
      <c r="C257" s="1838"/>
      <c r="D257" s="1838"/>
      <c r="E257" s="1838"/>
      <c r="F257" s="1838"/>
      <c r="G257" s="1839"/>
      <c r="H257" s="59"/>
      <c r="I257" s="60"/>
      <c r="J257" s="60"/>
      <c r="K257" s="61"/>
      <c r="L257" s="59"/>
    </row>
    <row r="258" spans="1:12" ht="14.25" hidden="1" customHeight="1">
      <c r="A258" s="66" t="s">
        <v>232</v>
      </c>
      <c r="B258" s="1832" t="str">
        <f>+B246</f>
        <v>CONCRETOS</v>
      </c>
      <c r="C258" s="1830"/>
      <c r="D258" s="1828"/>
      <c r="E258" s="1833" t="s">
        <v>218</v>
      </c>
      <c r="F258" s="1828"/>
      <c r="G258" s="62" t="s">
        <v>116</v>
      </c>
      <c r="H258" s="59"/>
      <c r="I258" s="60"/>
      <c r="J258" s="60"/>
      <c r="K258" s="61"/>
      <c r="L258" s="59"/>
    </row>
    <row r="259" spans="1:12" ht="14.25" hidden="1" customHeight="1">
      <c r="A259" s="66" t="s">
        <v>642</v>
      </c>
      <c r="B259" s="1840" t="s">
        <v>643</v>
      </c>
      <c r="C259" s="1830"/>
      <c r="D259" s="1830"/>
      <c r="E259" s="1830"/>
      <c r="F259" s="1830"/>
      <c r="G259" s="1828"/>
      <c r="H259" s="59"/>
      <c r="I259" s="60"/>
      <c r="J259" s="60"/>
      <c r="K259" s="61"/>
      <c r="L259" s="59"/>
    </row>
    <row r="260" spans="1:12" ht="14.25" hidden="1" customHeight="1">
      <c r="A260" s="1836" t="s">
        <v>220</v>
      </c>
      <c r="B260" s="1830"/>
      <c r="C260" s="1830"/>
      <c r="D260" s="1830"/>
      <c r="E260" s="1830"/>
      <c r="F260" s="1830"/>
      <c r="G260" s="1828"/>
      <c r="H260" s="59"/>
      <c r="I260" s="60">
        <v>11.43</v>
      </c>
      <c r="J260" s="60"/>
      <c r="K260" s="61"/>
      <c r="L260" s="59"/>
    </row>
    <row r="261" spans="1:12" ht="14.25" hidden="1" customHeight="1">
      <c r="A261" s="1829" t="s">
        <v>221</v>
      </c>
      <c r="B261" s="1828"/>
      <c r="C261" s="63" t="s">
        <v>644</v>
      </c>
      <c r="D261" s="63" t="s">
        <v>223</v>
      </c>
      <c r="E261" s="63" t="s">
        <v>224</v>
      </c>
      <c r="F261" s="63" t="s">
        <v>225</v>
      </c>
      <c r="G261" s="63" t="s">
        <v>226</v>
      </c>
      <c r="H261" s="59"/>
      <c r="I261" s="60">
        <v>12.13</v>
      </c>
      <c r="J261" s="60"/>
      <c r="K261" s="61"/>
      <c r="L261" s="59"/>
    </row>
    <row r="262" spans="1:12" ht="14.25" hidden="1" customHeight="1">
      <c r="A262" s="1845" t="s">
        <v>645</v>
      </c>
      <c r="B262" s="1828"/>
      <c r="C262" s="184">
        <v>2.823</v>
      </c>
      <c r="D262" s="64">
        <v>1.35</v>
      </c>
      <c r="E262" s="64"/>
      <c r="F262" s="64">
        <v>6</v>
      </c>
      <c r="G262" s="64">
        <f t="shared" ref="G262:G264" si="18">+F262*C262*D262</f>
        <v>22.866299999999999</v>
      </c>
      <c r="H262" s="59"/>
      <c r="I262" s="183">
        <f>SUM(I260:I261)</f>
        <v>23.560000000000002</v>
      </c>
      <c r="J262" s="60"/>
      <c r="K262" s="61" t="e">
        <f>+I262+I249+#REF!+G235+G225+G215+G205+G178+G157</f>
        <v>#REF!</v>
      </c>
      <c r="L262" s="59"/>
    </row>
    <row r="263" spans="1:12" ht="14.25" hidden="1" customHeight="1">
      <c r="A263" s="1845" t="s">
        <v>646</v>
      </c>
      <c r="B263" s="1828"/>
      <c r="C263" s="64">
        <f>5.3+1.4</f>
        <v>6.6999999999999993</v>
      </c>
      <c r="D263" s="64">
        <v>1.81</v>
      </c>
      <c r="E263" s="64"/>
      <c r="F263" s="64">
        <v>1</v>
      </c>
      <c r="G263" s="64">
        <f t="shared" si="18"/>
        <v>12.126999999999999</v>
      </c>
      <c r="H263" s="59"/>
      <c r="I263" s="60"/>
      <c r="J263" s="60"/>
      <c r="K263" s="61" t="e">
        <f>+K262*655000</f>
        <v>#REF!</v>
      </c>
      <c r="L263" s="59"/>
    </row>
    <row r="264" spans="1:12" ht="14.25" hidden="1" customHeight="1">
      <c r="A264" s="1845" t="s">
        <v>647</v>
      </c>
      <c r="B264" s="1828"/>
      <c r="C264" s="64">
        <f>1.28+1.25</f>
        <v>2.5300000000000002</v>
      </c>
      <c r="D264" s="64">
        <v>1.25</v>
      </c>
      <c r="E264" s="64"/>
      <c r="F264" s="64">
        <v>1</v>
      </c>
      <c r="G264" s="64">
        <f t="shared" si="18"/>
        <v>3.1625000000000005</v>
      </c>
      <c r="H264" s="59"/>
      <c r="I264" s="60"/>
      <c r="J264" s="60"/>
      <c r="K264" s="61">
        <f>+G148*35000</f>
        <v>10781750</v>
      </c>
      <c r="L264" s="59"/>
    </row>
    <row r="265" spans="1:12" ht="15" hidden="1" customHeight="1">
      <c r="A265" s="1845"/>
      <c r="B265" s="1828"/>
      <c r="C265" s="64"/>
      <c r="D265" s="64"/>
      <c r="E265" s="64"/>
      <c r="F265" s="64"/>
      <c r="G265" s="64"/>
      <c r="H265" s="59"/>
      <c r="I265" s="60"/>
      <c r="J265" s="60"/>
      <c r="K265" s="61" t="e">
        <f>+ROUND(K264+K263,0)</f>
        <v>#REF!</v>
      </c>
      <c r="L265" s="59" t="s">
        <v>648</v>
      </c>
    </row>
    <row r="266" spans="1:12" ht="14.25" hidden="1" customHeight="1">
      <c r="A266" s="1845"/>
      <c r="B266" s="1828"/>
      <c r="C266" s="64"/>
      <c r="D266" s="64"/>
      <c r="E266" s="64"/>
      <c r="F266" s="64"/>
      <c r="G266" s="64"/>
      <c r="H266" s="59"/>
      <c r="I266" s="60"/>
      <c r="J266" s="60"/>
      <c r="K266" s="61"/>
      <c r="L266" s="59"/>
    </row>
    <row r="267" spans="1:12" ht="14.25" hidden="1" customHeight="1">
      <c r="A267" s="1829" t="s">
        <v>227</v>
      </c>
      <c r="B267" s="1830"/>
      <c r="C267" s="1830"/>
      <c r="D267" s="1830"/>
      <c r="E267" s="1830"/>
      <c r="F267" s="1828"/>
      <c r="G267" s="65"/>
      <c r="H267" s="59"/>
      <c r="I267" s="60"/>
      <c r="J267" s="60"/>
      <c r="K267" s="61">
        <v>204977.23950000003</v>
      </c>
      <c r="L267" s="59"/>
    </row>
    <row r="268" spans="1:12" ht="14.25" hidden="1" customHeight="1">
      <c r="A268" s="1837"/>
      <c r="B268" s="1838"/>
      <c r="C268" s="1838"/>
      <c r="D268" s="1838"/>
      <c r="E268" s="1838"/>
      <c r="F268" s="1838"/>
      <c r="G268" s="1839"/>
      <c r="H268" s="59"/>
      <c r="I268" s="60"/>
      <c r="J268" s="60"/>
      <c r="K268" s="61">
        <f>+ROUND(K267*4050,0)</f>
        <v>830157820</v>
      </c>
      <c r="L268" s="59" t="s">
        <v>649</v>
      </c>
    </row>
    <row r="269" spans="1:12" ht="14.25" hidden="1" customHeight="1">
      <c r="A269" s="1837"/>
      <c r="B269" s="1838"/>
      <c r="C269" s="1838"/>
      <c r="D269" s="1838"/>
      <c r="E269" s="1838"/>
      <c r="F269" s="1838"/>
      <c r="G269" s="1839"/>
      <c r="H269" s="59"/>
      <c r="I269" s="60"/>
      <c r="J269" s="60"/>
      <c r="K269" s="61"/>
      <c r="L269" s="59"/>
    </row>
    <row r="270" spans="1:12" ht="14.25" hidden="1" customHeight="1">
      <c r="A270" s="66" t="s">
        <v>232</v>
      </c>
      <c r="B270" s="1832" t="str">
        <f>+B258</f>
        <v>CONCRETOS</v>
      </c>
      <c r="C270" s="1830"/>
      <c r="D270" s="1828"/>
      <c r="E270" s="1833" t="s">
        <v>218</v>
      </c>
      <c r="F270" s="1828"/>
      <c r="G270" s="62" t="s">
        <v>228</v>
      </c>
      <c r="H270" s="59"/>
      <c r="I270" s="60"/>
      <c r="J270" s="60"/>
      <c r="K270" s="61"/>
      <c r="L270" s="59"/>
    </row>
    <row r="271" spans="1:12" ht="33.75" hidden="1" customHeight="1">
      <c r="A271" s="66" t="s">
        <v>650</v>
      </c>
      <c r="B271" s="1840" t="s">
        <v>651</v>
      </c>
      <c r="C271" s="1830"/>
      <c r="D271" s="1830"/>
      <c r="E271" s="1830"/>
      <c r="F271" s="1830"/>
      <c r="G271" s="1828"/>
      <c r="H271" s="59"/>
      <c r="I271" s="60"/>
      <c r="J271" s="60"/>
      <c r="K271" s="61"/>
      <c r="L271" s="59"/>
    </row>
    <row r="272" spans="1:12" ht="14.25" hidden="1" customHeight="1">
      <c r="A272" s="1836" t="s">
        <v>220</v>
      </c>
      <c r="B272" s="1830"/>
      <c r="C272" s="1830"/>
      <c r="D272" s="1830"/>
      <c r="E272" s="1830"/>
      <c r="F272" s="1830"/>
      <c r="G272" s="1828"/>
      <c r="H272" s="59"/>
      <c r="I272" s="60"/>
      <c r="J272" s="60"/>
      <c r="K272" s="61">
        <f>62+31.66</f>
        <v>93.66</v>
      </c>
      <c r="L272" s="59">
        <f>+K272*0.4*0.6</f>
        <v>22.478399999999997</v>
      </c>
    </row>
    <row r="273" spans="1:12" ht="14.25" hidden="1" customHeight="1">
      <c r="A273" s="1829" t="s">
        <v>221</v>
      </c>
      <c r="B273" s="1828"/>
      <c r="C273" s="63" t="s">
        <v>222</v>
      </c>
      <c r="D273" s="63" t="s">
        <v>223</v>
      </c>
      <c r="E273" s="63" t="s">
        <v>224</v>
      </c>
      <c r="F273" s="63" t="s">
        <v>225</v>
      </c>
      <c r="G273" s="63" t="s">
        <v>226</v>
      </c>
      <c r="H273" s="59"/>
      <c r="I273" s="60"/>
      <c r="J273" s="60"/>
      <c r="K273" s="61"/>
      <c r="L273" s="181">
        <f>+K274+L272</f>
        <v>61.178399999999996</v>
      </c>
    </row>
    <row r="274" spans="1:12" ht="14.25" hidden="1" customHeight="1">
      <c r="A274" s="1845" t="s">
        <v>652</v>
      </c>
      <c r="B274" s="1828"/>
      <c r="C274" s="64">
        <v>209.4</v>
      </c>
      <c r="D274" s="64"/>
      <c r="E274" s="64"/>
      <c r="F274" s="64"/>
      <c r="G274" s="64">
        <f>+C274-F274</f>
        <v>209.4</v>
      </c>
      <c r="H274" s="59"/>
      <c r="I274" s="60">
        <f>+(41.86+35.74+8.19+54.21+55.19)*2</f>
        <v>390.38</v>
      </c>
      <c r="J274" s="60"/>
      <c r="K274" s="61">
        <f>31+7.7</f>
        <v>38.700000000000003</v>
      </c>
      <c r="L274" s="59">
        <f>41.86-L272</f>
        <v>19.381600000000002</v>
      </c>
    </row>
    <row r="275" spans="1:12" ht="14.25" hidden="1" customHeight="1">
      <c r="A275" s="1845"/>
      <c r="B275" s="1828"/>
      <c r="C275" s="64"/>
      <c r="D275" s="64"/>
      <c r="E275" s="64"/>
      <c r="F275" s="64"/>
      <c r="G275" s="64"/>
      <c r="H275" s="59"/>
      <c r="I275" s="60"/>
      <c r="J275" s="60"/>
      <c r="K275" s="61"/>
      <c r="L275" s="182"/>
    </row>
    <row r="276" spans="1:12" ht="14.25" hidden="1" customHeight="1">
      <c r="A276" s="1845"/>
      <c r="B276" s="1828"/>
      <c r="C276" s="64"/>
      <c r="D276" s="64"/>
      <c r="E276" s="64"/>
      <c r="F276" s="64"/>
      <c r="G276" s="64"/>
      <c r="H276" s="59"/>
      <c r="I276" s="183"/>
      <c r="J276" s="60"/>
      <c r="K276" s="61"/>
      <c r="L276" s="59"/>
    </row>
    <row r="277" spans="1:12" ht="14.25" hidden="1" customHeight="1">
      <c r="A277" s="1845"/>
      <c r="B277" s="1828"/>
      <c r="C277" s="64"/>
      <c r="D277" s="64"/>
      <c r="E277" s="64"/>
      <c r="F277" s="64"/>
      <c r="G277" s="64"/>
      <c r="H277" s="59"/>
      <c r="I277" s="60"/>
      <c r="J277" s="60"/>
      <c r="K277" s="61"/>
      <c r="L277" s="59"/>
    </row>
    <row r="278" spans="1:12" ht="14.25" hidden="1" customHeight="1">
      <c r="A278" s="1845"/>
      <c r="B278" s="1828"/>
      <c r="C278" s="64"/>
      <c r="D278" s="64"/>
      <c r="E278" s="64"/>
      <c r="F278" s="64"/>
      <c r="G278" s="64"/>
      <c r="H278" s="59"/>
      <c r="I278" s="60"/>
      <c r="J278" s="60"/>
      <c r="K278" s="61"/>
      <c r="L278" s="59"/>
    </row>
    <row r="279" spans="1:12" ht="14.25" hidden="1" customHeight="1">
      <c r="A279" s="1829" t="s">
        <v>227</v>
      </c>
      <c r="B279" s="1830"/>
      <c r="C279" s="1830"/>
      <c r="D279" s="1830"/>
      <c r="E279" s="1830"/>
      <c r="F279" s="1828"/>
      <c r="G279" s="65"/>
      <c r="H279" s="59"/>
      <c r="I279" s="60"/>
      <c r="J279" s="60"/>
      <c r="K279" s="61"/>
      <c r="L279" s="59"/>
    </row>
    <row r="280" spans="1:12" ht="14.25" customHeight="1">
      <c r="A280" s="1831"/>
      <c r="B280" s="1830"/>
      <c r="C280" s="1830"/>
      <c r="D280" s="1830"/>
      <c r="E280" s="1830"/>
      <c r="F280" s="1830"/>
      <c r="G280" s="1828"/>
      <c r="H280" s="59"/>
      <c r="I280" s="60"/>
      <c r="J280" s="60"/>
      <c r="K280" s="61"/>
      <c r="L280" s="59"/>
    </row>
    <row r="281" spans="1:12" ht="14.25" customHeight="1">
      <c r="A281" s="66" t="s">
        <v>240</v>
      </c>
      <c r="B281" s="1832" t="s">
        <v>392</v>
      </c>
      <c r="C281" s="1830"/>
      <c r="D281" s="1828"/>
      <c r="E281" s="1833" t="s">
        <v>218</v>
      </c>
      <c r="F281" s="1828"/>
      <c r="G281" s="62" t="s">
        <v>171</v>
      </c>
      <c r="H281" s="59"/>
      <c r="I281" s="60"/>
      <c r="J281" s="60"/>
      <c r="K281" s="61" t="e">
        <f>+#REF!*0.07</f>
        <v>#REF!</v>
      </c>
      <c r="L281" s="59"/>
    </row>
    <row r="282" spans="1:12" ht="39" customHeight="1">
      <c r="A282" s="66" t="s">
        <v>241</v>
      </c>
      <c r="B282" s="1832" t="s">
        <v>653</v>
      </c>
      <c r="C282" s="1830"/>
      <c r="D282" s="1830"/>
      <c r="E282" s="1830"/>
      <c r="F282" s="1830"/>
      <c r="G282" s="1828"/>
      <c r="H282" s="59"/>
      <c r="I282" s="60"/>
      <c r="J282" s="60"/>
      <c r="K282" s="61"/>
      <c r="L282" s="59"/>
    </row>
    <row r="283" spans="1:12" ht="14.25" customHeight="1">
      <c r="A283" s="1836" t="s">
        <v>220</v>
      </c>
      <c r="B283" s="1830"/>
      <c r="C283" s="1830"/>
      <c r="D283" s="1830"/>
      <c r="E283" s="1830"/>
      <c r="F283" s="1830"/>
      <c r="G283" s="1828"/>
      <c r="H283" s="59"/>
      <c r="I283" s="60"/>
      <c r="J283" s="60"/>
      <c r="K283" s="61"/>
      <c r="L283" s="59"/>
    </row>
    <row r="284" spans="1:12" ht="14.25" customHeight="1">
      <c r="A284" s="185" t="s">
        <v>376</v>
      </c>
      <c r="B284" s="1853" t="s">
        <v>654</v>
      </c>
      <c r="C284" s="1830"/>
      <c r="D284" s="1828"/>
      <c r="E284" s="186"/>
      <c r="F284" s="186"/>
      <c r="G284" s="186"/>
      <c r="H284" s="59"/>
      <c r="I284" s="60"/>
      <c r="J284" s="60"/>
      <c r="K284" s="61"/>
      <c r="L284" s="59"/>
    </row>
    <row r="285" spans="1:12" ht="14.25" customHeight="1">
      <c r="A285" s="187" t="s">
        <v>655</v>
      </c>
      <c r="B285" s="63" t="s">
        <v>656</v>
      </c>
      <c r="C285" s="63" t="s">
        <v>657</v>
      </c>
      <c r="D285" s="63" t="s">
        <v>658</v>
      </c>
      <c r="E285" s="63" t="s">
        <v>659</v>
      </c>
      <c r="F285" s="63" t="s">
        <v>660</v>
      </c>
      <c r="G285" s="63" t="s">
        <v>661</v>
      </c>
      <c r="H285" s="59"/>
      <c r="I285" s="60"/>
      <c r="J285" s="60"/>
      <c r="K285" s="61"/>
      <c r="L285" s="59"/>
    </row>
    <row r="286" spans="1:12" ht="14.25" customHeight="1">
      <c r="A286" s="68" t="s">
        <v>699</v>
      </c>
      <c r="B286" s="68"/>
      <c r="C286" s="64"/>
      <c r="D286" s="64"/>
      <c r="E286" s="189"/>
      <c r="F286" s="64"/>
      <c r="G286" s="64">
        <v>233170.66</v>
      </c>
      <c r="H286" s="59"/>
      <c r="I286" s="60"/>
      <c r="J286" s="60"/>
      <c r="K286" s="61"/>
      <c r="L286" s="59"/>
    </row>
    <row r="287" spans="1:12" ht="14.25" customHeight="1">
      <c r="A287" s="1829" t="s">
        <v>227</v>
      </c>
      <c r="B287" s="1830"/>
      <c r="C287" s="1830"/>
      <c r="D287" s="1830"/>
      <c r="E287" s="1830"/>
      <c r="F287" s="1828"/>
      <c r="G287" s="65">
        <f>ROUND(SUM(G286),2)</f>
        <v>233170.66</v>
      </c>
      <c r="H287" s="59"/>
      <c r="I287" s="60"/>
      <c r="J287" s="60"/>
      <c r="K287" s="61"/>
      <c r="L287" s="59"/>
    </row>
    <row r="288" spans="1:12" ht="14.25" customHeight="1">
      <c r="A288" s="1831"/>
      <c r="B288" s="1830"/>
      <c r="C288" s="1830"/>
      <c r="D288" s="1830"/>
      <c r="E288" s="1830"/>
      <c r="F288" s="1830"/>
      <c r="G288" s="1828"/>
      <c r="H288" s="59"/>
      <c r="I288" s="60"/>
      <c r="J288" s="60"/>
      <c r="K288" s="61"/>
      <c r="L288" s="59"/>
    </row>
    <row r="289" spans="1:11" ht="14.25" customHeight="1">
      <c r="A289" s="66" t="s">
        <v>240</v>
      </c>
      <c r="B289" s="1832" t="s">
        <v>392</v>
      </c>
      <c r="C289" s="1830"/>
      <c r="D289" s="1828"/>
      <c r="E289" s="1833" t="s">
        <v>218</v>
      </c>
      <c r="F289" s="1828"/>
      <c r="G289" s="62" t="s">
        <v>171</v>
      </c>
      <c r="H289" s="59"/>
      <c r="I289" s="60"/>
      <c r="J289" s="60"/>
      <c r="K289" s="61" t="e">
        <f>+#REF!*0.07</f>
        <v>#REF!</v>
      </c>
    </row>
    <row r="290" spans="1:11" ht="39" customHeight="1">
      <c r="A290" s="66" t="s">
        <v>243</v>
      </c>
      <c r="B290" s="1832" t="s">
        <v>662</v>
      </c>
      <c r="C290" s="1830"/>
      <c r="D290" s="1830"/>
      <c r="E290" s="1830"/>
      <c r="F290" s="1830"/>
      <c r="G290" s="1828"/>
      <c r="H290" s="59"/>
      <c r="I290" s="60"/>
      <c r="J290" s="60"/>
      <c r="K290" s="61"/>
    </row>
    <row r="291" spans="1:11" ht="14.25" customHeight="1">
      <c r="A291" s="1836" t="s">
        <v>220</v>
      </c>
      <c r="B291" s="1830"/>
      <c r="C291" s="1830"/>
      <c r="D291" s="1830"/>
      <c r="E291" s="1830"/>
      <c r="F291" s="1830"/>
      <c r="G291" s="1828"/>
      <c r="H291" s="59"/>
      <c r="I291" s="60"/>
      <c r="J291" s="60"/>
      <c r="K291" s="61"/>
    </row>
    <row r="292" spans="1:11" ht="14.25" customHeight="1">
      <c r="A292" s="185" t="s">
        <v>376</v>
      </c>
      <c r="B292" s="1853" t="s">
        <v>654</v>
      </c>
      <c r="C292" s="1830"/>
      <c r="D292" s="1828"/>
      <c r="E292" s="186"/>
      <c r="F292" s="186"/>
      <c r="G292" s="186"/>
      <c r="H292" s="59"/>
      <c r="I292" s="60"/>
      <c r="J292" s="60"/>
      <c r="K292" s="61"/>
    </row>
    <row r="293" spans="1:11" ht="14.25" customHeight="1">
      <c r="A293" s="187" t="s">
        <v>655</v>
      </c>
      <c r="B293" s="63" t="s">
        <v>656</v>
      </c>
      <c r="C293" s="63" t="s">
        <v>657</v>
      </c>
      <c r="D293" s="63" t="s">
        <v>658</v>
      </c>
      <c r="E293" s="63" t="s">
        <v>659</v>
      </c>
      <c r="F293" s="63" t="s">
        <v>660</v>
      </c>
      <c r="G293" s="63" t="s">
        <v>661</v>
      </c>
      <c r="H293" s="59"/>
      <c r="I293" s="60"/>
      <c r="J293" s="60"/>
      <c r="K293" s="61"/>
    </row>
    <row r="294" spans="1:11" ht="14.25" customHeight="1">
      <c r="A294" s="68" t="s">
        <v>699</v>
      </c>
      <c r="B294" s="68"/>
      <c r="C294" s="64"/>
      <c r="D294" s="64"/>
      <c r="E294" s="189"/>
      <c r="F294" s="64"/>
      <c r="G294" s="64">
        <v>191525.47</v>
      </c>
      <c r="H294" s="59"/>
      <c r="I294" s="60"/>
      <c r="J294" s="60"/>
      <c r="K294" s="61"/>
    </row>
    <row r="295" spans="1:11" ht="14.25" customHeight="1">
      <c r="A295" s="1829" t="s">
        <v>227</v>
      </c>
      <c r="B295" s="1830"/>
      <c r="C295" s="1830"/>
      <c r="D295" s="1830"/>
      <c r="E295" s="1830"/>
      <c r="F295" s="1828"/>
      <c r="G295" s="65">
        <f>ROUND(SUM(G294),2)</f>
        <v>191525.47</v>
      </c>
      <c r="H295" s="59"/>
      <c r="I295" s="60"/>
      <c r="J295" s="60"/>
      <c r="K295" s="61"/>
    </row>
    <row r="296" spans="1:11" ht="14.25" customHeight="1">
      <c r="A296" s="1831"/>
      <c r="B296" s="1830"/>
      <c r="C296" s="1830"/>
      <c r="D296" s="1830"/>
      <c r="E296" s="1830"/>
      <c r="F296" s="1830"/>
      <c r="G296" s="1828"/>
      <c r="H296" s="59"/>
      <c r="I296" s="60"/>
      <c r="J296" s="60"/>
      <c r="K296" s="61"/>
    </row>
    <row r="297" spans="1:11" ht="14.25" customHeight="1">
      <c r="A297" s="66" t="s">
        <v>240</v>
      </c>
      <c r="B297" s="1832" t="s">
        <v>392</v>
      </c>
      <c r="C297" s="1830"/>
      <c r="D297" s="1828"/>
      <c r="E297" s="1833" t="s">
        <v>218</v>
      </c>
      <c r="F297" s="1828"/>
      <c r="G297" s="62" t="s">
        <v>171</v>
      </c>
      <c r="H297" s="59"/>
      <c r="I297" s="60"/>
      <c r="J297" s="60"/>
      <c r="K297" s="61" t="e">
        <f>+#REF!*0.07</f>
        <v>#REF!</v>
      </c>
    </row>
    <row r="298" spans="1:11" ht="42" customHeight="1">
      <c r="A298" s="66" t="s">
        <v>244</v>
      </c>
      <c r="B298" s="1832" t="s">
        <v>663</v>
      </c>
      <c r="C298" s="1830"/>
      <c r="D298" s="1830"/>
      <c r="E298" s="1830"/>
      <c r="F298" s="1830"/>
      <c r="G298" s="1828"/>
      <c r="H298" s="59"/>
      <c r="I298" s="60"/>
      <c r="J298" s="60"/>
      <c r="K298" s="61"/>
    </row>
    <row r="299" spans="1:11" ht="14.25" customHeight="1">
      <c r="A299" s="1836" t="s">
        <v>220</v>
      </c>
      <c r="B299" s="1830"/>
      <c r="C299" s="1830"/>
      <c r="D299" s="1830"/>
      <c r="E299" s="1830"/>
      <c r="F299" s="1830"/>
      <c r="G299" s="1828"/>
      <c r="H299" s="59"/>
      <c r="I299" s="60"/>
      <c r="J299" s="60"/>
      <c r="K299" s="61"/>
    </row>
    <row r="300" spans="1:11" ht="14.25" customHeight="1">
      <c r="A300" s="185" t="s">
        <v>376</v>
      </c>
      <c r="B300" s="1853" t="s">
        <v>654</v>
      </c>
      <c r="C300" s="1830"/>
      <c r="D300" s="1828"/>
      <c r="E300" s="186"/>
      <c r="F300" s="186"/>
      <c r="G300" s="186"/>
      <c r="H300" s="59"/>
      <c r="I300" s="60"/>
      <c r="J300" s="60"/>
      <c r="K300" s="61"/>
    </row>
    <row r="301" spans="1:11" ht="14.25" customHeight="1">
      <c r="A301" s="187" t="s">
        <v>655</v>
      </c>
      <c r="B301" s="63" t="s">
        <v>656</v>
      </c>
      <c r="C301" s="63" t="s">
        <v>657</v>
      </c>
      <c r="D301" s="63" t="s">
        <v>658</v>
      </c>
      <c r="E301" s="63" t="s">
        <v>659</v>
      </c>
      <c r="F301" s="63" t="s">
        <v>660</v>
      </c>
      <c r="G301" s="63" t="s">
        <v>661</v>
      </c>
      <c r="H301" s="59"/>
      <c r="I301" s="60"/>
      <c r="J301" s="60"/>
      <c r="K301" s="61"/>
    </row>
    <row r="302" spans="1:11" ht="14.25" customHeight="1">
      <c r="A302" s="68" t="s">
        <v>699</v>
      </c>
      <c r="B302" s="68"/>
      <c r="C302" s="64"/>
      <c r="D302" s="64"/>
      <c r="E302" s="189"/>
      <c r="F302" s="64"/>
      <c r="G302" s="64">
        <v>27138.36</v>
      </c>
      <c r="H302" s="59"/>
      <c r="I302" s="60"/>
      <c r="J302" s="60"/>
      <c r="K302" s="61"/>
    </row>
    <row r="303" spans="1:11" ht="14.25" customHeight="1">
      <c r="A303" s="1829" t="s">
        <v>227</v>
      </c>
      <c r="B303" s="1830"/>
      <c r="C303" s="1830"/>
      <c r="D303" s="1830"/>
      <c r="E303" s="1830"/>
      <c r="F303" s="1828"/>
      <c r="G303" s="65">
        <f>ROUND(SUM(G302),2)</f>
        <v>27138.36</v>
      </c>
      <c r="H303" s="59"/>
      <c r="I303" s="61">
        <f>+G303+G295+G287</f>
        <v>451834.49</v>
      </c>
      <c r="J303" s="60">
        <f>+I303*13500</f>
        <v>6099765615</v>
      </c>
      <c r="K303" s="61"/>
    </row>
    <row r="304" spans="1:11" ht="14.25" customHeight="1">
      <c r="A304" s="1831"/>
      <c r="B304" s="1830"/>
      <c r="C304" s="1830"/>
      <c r="D304" s="1830"/>
      <c r="E304" s="1830"/>
      <c r="F304" s="1830"/>
      <c r="G304" s="1828"/>
      <c r="H304" s="59"/>
      <c r="I304" s="60"/>
      <c r="J304" s="60"/>
      <c r="K304" s="61"/>
    </row>
    <row r="305" spans="1:11" ht="14.25" customHeight="1">
      <c r="A305" s="66" t="s">
        <v>240</v>
      </c>
      <c r="B305" s="1832" t="s">
        <v>392</v>
      </c>
      <c r="C305" s="1830"/>
      <c r="D305" s="1828"/>
      <c r="E305" s="1833" t="s">
        <v>218</v>
      </c>
      <c r="F305" s="1828"/>
      <c r="G305" s="62" t="s">
        <v>127</v>
      </c>
      <c r="H305" s="59"/>
      <c r="I305" s="60"/>
      <c r="J305" s="60"/>
      <c r="K305" s="61" t="e">
        <f>+#REF!*0.07</f>
        <v>#REF!</v>
      </c>
    </row>
    <row r="306" spans="1:11" ht="42" customHeight="1">
      <c r="A306" s="66" t="s">
        <v>245</v>
      </c>
      <c r="B306" s="1832" t="s">
        <v>664</v>
      </c>
      <c r="C306" s="1830"/>
      <c r="D306" s="1830"/>
      <c r="E306" s="1830"/>
      <c r="F306" s="1830"/>
      <c r="G306" s="1828"/>
      <c r="H306" s="59"/>
      <c r="I306" s="60"/>
      <c r="J306" s="60"/>
      <c r="K306" s="61"/>
    </row>
    <row r="307" spans="1:11" ht="14.25" customHeight="1">
      <c r="A307" s="1836" t="s">
        <v>220</v>
      </c>
      <c r="B307" s="1830"/>
      <c r="C307" s="1830"/>
      <c r="D307" s="1830"/>
      <c r="E307" s="1830"/>
      <c r="F307" s="1830"/>
      <c r="G307" s="1828"/>
      <c r="H307" s="59"/>
      <c r="I307" s="60"/>
      <c r="J307" s="60"/>
      <c r="K307" s="61"/>
    </row>
    <row r="308" spans="1:11" ht="14.25" customHeight="1">
      <c r="A308" s="185" t="s">
        <v>376</v>
      </c>
      <c r="B308" s="1853" t="s">
        <v>654</v>
      </c>
      <c r="C308" s="1830"/>
      <c r="D308" s="1828"/>
      <c r="E308" s="186"/>
      <c r="F308" s="186"/>
      <c r="G308" s="186"/>
      <c r="H308" s="59"/>
      <c r="I308" s="60"/>
      <c r="J308" s="60"/>
      <c r="K308" s="61"/>
    </row>
    <row r="309" spans="1:11" ht="14.25" customHeight="1">
      <c r="A309" s="187" t="s">
        <v>655</v>
      </c>
      <c r="B309" s="63" t="s">
        <v>656</v>
      </c>
      <c r="C309" s="63" t="s">
        <v>657</v>
      </c>
      <c r="D309" s="63" t="s">
        <v>658</v>
      </c>
      <c r="E309" s="63" t="s">
        <v>659</v>
      </c>
      <c r="F309" s="63" t="s">
        <v>660</v>
      </c>
      <c r="G309" s="63" t="s">
        <v>226</v>
      </c>
      <c r="H309" s="59"/>
      <c r="I309" s="60"/>
      <c r="J309" s="60"/>
      <c r="K309" s="61"/>
    </row>
    <row r="310" spans="1:11" ht="14.25" customHeight="1">
      <c r="A310" s="68" t="s">
        <v>699</v>
      </c>
      <c r="B310" s="68"/>
      <c r="C310" s="64"/>
      <c r="D310" s="64"/>
      <c r="E310" s="189"/>
      <c r="F310" s="64"/>
      <c r="G310" s="64">
        <v>15872</v>
      </c>
      <c r="H310" s="59"/>
      <c r="I310" s="60"/>
      <c r="J310" s="60"/>
      <c r="K310" s="61"/>
    </row>
    <row r="311" spans="1:11" ht="14.25" customHeight="1">
      <c r="A311" s="68"/>
      <c r="B311" s="68"/>
      <c r="C311" s="64"/>
      <c r="D311" s="64"/>
      <c r="E311" s="189"/>
      <c r="F311" s="64"/>
      <c r="G311" s="64"/>
      <c r="H311" s="59"/>
      <c r="I311" s="60"/>
      <c r="J311" s="60"/>
      <c r="K311" s="61"/>
    </row>
    <row r="312" spans="1:11" ht="14.25" customHeight="1">
      <c r="A312" s="1829" t="s">
        <v>227</v>
      </c>
      <c r="B312" s="1830"/>
      <c r="C312" s="1830"/>
      <c r="D312" s="1830"/>
      <c r="E312" s="1830"/>
      <c r="F312" s="1828"/>
      <c r="G312" s="65">
        <f>ROUND(SUM(G310:G311),2)</f>
        <v>15872</v>
      </c>
      <c r="H312" s="59"/>
      <c r="I312" s="61">
        <f>+G312+G303+G295</f>
        <v>234535.83000000002</v>
      </c>
      <c r="J312" s="60">
        <f>+I312*13500</f>
        <v>3166233705</v>
      </c>
      <c r="K312" s="61"/>
    </row>
    <row r="313" spans="1:11" ht="14.25" customHeight="1">
      <c r="A313" s="1831"/>
      <c r="B313" s="1830"/>
      <c r="C313" s="1830"/>
      <c r="D313" s="1830"/>
      <c r="E313" s="1830"/>
      <c r="F313" s="1830"/>
      <c r="G313" s="1828"/>
      <c r="H313" s="59"/>
      <c r="I313" s="60"/>
      <c r="J313" s="60"/>
      <c r="K313" s="61"/>
    </row>
    <row r="314" spans="1:11" ht="14.25" customHeight="1">
      <c r="A314" s="66" t="s">
        <v>240</v>
      </c>
      <c r="B314" s="1832" t="s">
        <v>392</v>
      </c>
      <c r="C314" s="1830"/>
      <c r="D314" s="1828"/>
      <c r="E314" s="1833" t="s">
        <v>218</v>
      </c>
      <c r="F314" s="1828"/>
      <c r="G314" s="62" t="s">
        <v>171</v>
      </c>
      <c r="H314" s="59"/>
      <c r="I314" s="60"/>
      <c r="J314" s="60"/>
      <c r="K314" s="61" t="e">
        <f>+#REF!*0.07</f>
        <v>#REF!</v>
      </c>
    </row>
    <row r="315" spans="1:11" ht="27.75" customHeight="1">
      <c r="A315" s="66" t="s">
        <v>246</v>
      </c>
      <c r="B315" s="1832" t="s">
        <v>665</v>
      </c>
      <c r="C315" s="1830"/>
      <c r="D315" s="1830"/>
      <c r="E315" s="1830"/>
      <c r="F315" s="1830"/>
      <c r="G315" s="1828"/>
      <c r="H315" s="59"/>
      <c r="I315" s="60"/>
      <c r="J315" s="60"/>
      <c r="K315" s="61"/>
    </row>
    <row r="316" spans="1:11" ht="14.25" customHeight="1">
      <c r="A316" s="1836" t="s">
        <v>220</v>
      </c>
      <c r="B316" s="1830"/>
      <c r="C316" s="1830"/>
      <c r="D316" s="1830"/>
      <c r="E316" s="1830"/>
      <c r="F316" s="1830"/>
      <c r="G316" s="1828"/>
      <c r="H316" s="59"/>
      <c r="I316" s="60"/>
      <c r="J316" s="60"/>
      <c r="K316" s="61"/>
    </row>
    <row r="317" spans="1:11" ht="14.25" customHeight="1">
      <c r="A317" s="185" t="s">
        <v>376</v>
      </c>
      <c r="B317" s="1853" t="s">
        <v>654</v>
      </c>
      <c r="C317" s="1830"/>
      <c r="D317" s="1828"/>
      <c r="E317" s="186"/>
      <c r="F317" s="186"/>
      <c r="G317" s="186"/>
      <c r="H317" s="59"/>
      <c r="I317" s="60"/>
      <c r="J317" s="60"/>
      <c r="K317" s="61"/>
    </row>
    <row r="318" spans="1:11" ht="14.25" customHeight="1">
      <c r="A318" s="187" t="s">
        <v>655</v>
      </c>
      <c r="B318" s="63" t="s">
        <v>656</v>
      </c>
      <c r="C318" s="63" t="s">
        <v>657</v>
      </c>
      <c r="D318" s="63" t="s">
        <v>658</v>
      </c>
      <c r="E318" s="63" t="s">
        <v>659</v>
      </c>
      <c r="F318" s="63" t="s">
        <v>660</v>
      </c>
      <c r="G318" s="63" t="s">
        <v>661</v>
      </c>
      <c r="H318" s="59"/>
      <c r="I318" s="60"/>
      <c r="J318" s="60"/>
      <c r="K318" s="61"/>
    </row>
    <row r="319" spans="1:11" ht="14.25" customHeight="1">
      <c r="A319" s="68" t="s">
        <v>699</v>
      </c>
      <c r="B319" s="68"/>
      <c r="C319" s="64"/>
      <c r="D319" s="64"/>
      <c r="E319" s="189"/>
      <c r="F319" s="64"/>
      <c r="G319" s="64">
        <v>29288.862499999996</v>
      </c>
      <c r="H319" s="59"/>
      <c r="I319" s="60"/>
      <c r="J319" s="60"/>
      <c r="K319" s="61"/>
    </row>
    <row r="320" spans="1:11" ht="14.25" customHeight="1">
      <c r="A320" s="1829" t="s">
        <v>227</v>
      </c>
      <c r="B320" s="1830"/>
      <c r="C320" s="1830"/>
      <c r="D320" s="1830"/>
      <c r="E320" s="1830"/>
      <c r="F320" s="1828"/>
      <c r="G320" s="65">
        <f>ROUND(SUM(G319),2)</f>
        <v>29288.86</v>
      </c>
      <c r="H320" s="59"/>
      <c r="I320" s="60"/>
      <c r="J320" s="60"/>
      <c r="K320" s="61"/>
    </row>
    <row r="321" spans="1:7" ht="14.25" customHeight="1">
      <c r="A321" s="1831"/>
      <c r="B321" s="1830"/>
      <c r="C321" s="1830"/>
      <c r="D321" s="1830"/>
      <c r="E321" s="1830"/>
      <c r="F321" s="1830"/>
      <c r="G321" s="1828"/>
    </row>
    <row r="322" spans="1:7" ht="14.25" customHeight="1">
      <c r="A322" s="66" t="s">
        <v>240</v>
      </c>
      <c r="B322" s="1832" t="str">
        <f>+B314</f>
        <v>ESTRUCTURA METÁLICA</v>
      </c>
      <c r="C322" s="1830"/>
      <c r="D322" s="1828"/>
      <c r="E322" s="1833" t="s">
        <v>218</v>
      </c>
      <c r="F322" s="1828"/>
      <c r="G322" s="62" t="s">
        <v>228</v>
      </c>
    </row>
    <row r="323" spans="1:7" ht="27" customHeight="1">
      <c r="A323" s="66" t="s">
        <v>247</v>
      </c>
      <c r="B323" s="1840" t="s">
        <v>666</v>
      </c>
      <c r="C323" s="1830"/>
      <c r="D323" s="1830"/>
      <c r="E323" s="1830"/>
      <c r="F323" s="1830"/>
      <c r="G323" s="1828"/>
    </row>
    <row r="324" spans="1:7" ht="14.25" customHeight="1">
      <c r="A324" s="1836" t="s">
        <v>220</v>
      </c>
      <c r="B324" s="1830"/>
      <c r="C324" s="1830"/>
      <c r="D324" s="1830"/>
      <c r="E324" s="1830"/>
      <c r="F324" s="1830"/>
      <c r="G324" s="1828"/>
    </row>
    <row r="325" spans="1:7" ht="14.25" customHeight="1">
      <c r="A325" s="1829" t="s">
        <v>221</v>
      </c>
      <c r="B325" s="1828"/>
      <c r="C325" s="63" t="s">
        <v>222</v>
      </c>
      <c r="D325" s="63" t="s">
        <v>223</v>
      </c>
      <c r="E325" s="63" t="s">
        <v>224</v>
      </c>
      <c r="F325" s="63" t="s">
        <v>225</v>
      </c>
      <c r="G325" s="63" t="s">
        <v>226</v>
      </c>
    </row>
    <row r="326" spans="1:7" ht="14.25" customHeight="1">
      <c r="A326" s="1845" t="s">
        <v>699</v>
      </c>
      <c r="B326" s="1828"/>
      <c r="C326" s="64"/>
      <c r="D326" s="64"/>
      <c r="E326" s="64"/>
      <c r="F326" s="64"/>
      <c r="G326" s="64">
        <v>3473.32</v>
      </c>
    </row>
    <row r="327" spans="1:7" ht="14.25" customHeight="1">
      <c r="A327" s="1845"/>
      <c r="B327" s="1828"/>
      <c r="C327" s="64"/>
      <c r="D327" s="64"/>
      <c r="E327" s="64"/>
      <c r="F327" s="64"/>
      <c r="G327" s="64"/>
    </row>
    <row r="328" spans="1:7" ht="14.25" customHeight="1">
      <c r="A328" s="1829" t="s">
        <v>227</v>
      </c>
      <c r="B328" s="1830"/>
      <c r="C328" s="1830"/>
      <c r="D328" s="1830"/>
      <c r="E328" s="1830"/>
      <c r="F328" s="1828"/>
      <c r="G328" s="65">
        <f>SUM(G326:G327)</f>
        <v>3473.32</v>
      </c>
    </row>
    <row r="329" spans="1:7" ht="14.25" customHeight="1">
      <c r="A329" s="1831"/>
      <c r="B329" s="1830"/>
      <c r="C329" s="1830"/>
      <c r="D329" s="1830"/>
      <c r="E329" s="1830"/>
      <c r="F329" s="1830"/>
      <c r="G329" s="1828"/>
    </row>
    <row r="330" spans="1:7" ht="14.25" customHeight="1">
      <c r="A330" s="66" t="s">
        <v>240</v>
      </c>
      <c r="B330" s="1832" t="str">
        <f>+B281</f>
        <v>ESTRUCTURA METÁLICA</v>
      </c>
      <c r="C330" s="1830"/>
      <c r="D330" s="1828"/>
      <c r="E330" s="1833" t="s">
        <v>218</v>
      </c>
      <c r="F330" s="1828"/>
      <c r="G330" s="62" t="s">
        <v>228</v>
      </c>
    </row>
    <row r="331" spans="1:7" ht="26.25" customHeight="1">
      <c r="A331" s="66" t="s">
        <v>667</v>
      </c>
      <c r="B331" s="1840" t="s">
        <v>668</v>
      </c>
      <c r="C331" s="1830"/>
      <c r="D331" s="1830"/>
      <c r="E331" s="1830"/>
      <c r="F331" s="1830"/>
      <c r="G331" s="1828"/>
    </row>
    <row r="332" spans="1:7" ht="14.25" customHeight="1">
      <c r="A332" s="1836" t="s">
        <v>220</v>
      </c>
      <c r="B332" s="1830"/>
      <c r="C332" s="1830"/>
      <c r="D332" s="1830"/>
      <c r="E332" s="1830"/>
      <c r="F332" s="1830"/>
      <c r="G332" s="1828"/>
    </row>
    <row r="333" spans="1:7" ht="14.25" customHeight="1">
      <c r="A333" s="1829" t="s">
        <v>221</v>
      </c>
      <c r="B333" s="1828"/>
      <c r="C333" s="63" t="s">
        <v>222</v>
      </c>
      <c r="D333" s="63" t="s">
        <v>223</v>
      </c>
      <c r="E333" s="63" t="s">
        <v>224</v>
      </c>
      <c r="F333" s="63" t="s">
        <v>225</v>
      </c>
      <c r="G333" s="63" t="s">
        <v>226</v>
      </c>
    </row>
    <row r="334" spans="1:7" ht="14.25" customHeight="1">
      <c r="A334" s="1845" t="s">
        <v>699</v>
      </c>
      <c r="B334" s="1828"/>
      <c r="C334" s="64"/>
      <c r="D334" s="64"/>
      <c r="E334" s="64"/>
      <c r="F334" s="64"/>
      <c r="G334" s="64">
        <v>3473.32</v>
      </c>
    </row>
    <row r="335" spans="1:7" ht="14.25" customHeight="1">
      <c r="A335" s="1845"/>
      <c r="B335" s="1828"/>
      <c r="C335" s="64"/>
      <c r="D335" s="64"/>
      <c r="E335" s="64"/>
      <c r="F335" s="64"/>
      <c r="G335" s="64"/>
    </row>
    <row r="336" spans="1:7" ht="14.25" customHeight="1">
      <c r="A336" s="1829" t="s">
        <v>227</v>
      </c>
      <c r="B336" s="1830"/>
      <c r="C336" s="1830"/>
      <c r="D336" s="1830"/>
      <c r="E336" s="1830"/>
      <c r="F336" s="1828"/>
      <c r="G336" s="65">
        <f>SUM(G334:G335)</f>
        <v>3473.32</v>
      </c>
    </row>
    <row r="337" spans="1:7" ht="14.25" hidden="1" customHeight="1">
      <c r="A337" s="1831"/>
      <c r="B337" s="1830"/>
      <c r="C337" s="1830"/>
      <c r="D337" s="1830"/>
      <c r="E337" s="1830"/>
      <c r="F337" s="1830"/>
      <c r="G337" s="1828"/>
    </row>
    <row r="338" spans="1:7" ht="14.25" hidden="1" customHeight="1">
      <c r="A338" s="66" t="s">
        <v>240</v>
      </c>
      <c r="B338" s="1832" t="str">
        <f>+B330</f>
        <v>ESTRUCTURA METÁLICA</v>
      </c>
      <c r="C338" s="1830"/>
      <c r="D338" s="1828"/>
      <c r="E338" s="1833" t="s">
        <v>218</v>
      </c>
      <c r="F338" s="1828"/>
      <c r="G338" s="62" t="s">
        <v>50</v>
      </c>
    </row>
    <row r="339" spans="1:7" ht="65.25" hidden="1" customHeight="1">
      <c r="A339" s="66" t="s">
        <v>244</v>
      </c>
      <c r="B339" s="1840" t="s">
        <v>669</v>
      </c>
      <c r="C339" s="1830"/>
      <c r="D339" s="1830"/>
      <c r="E339" s="1830"/>
      <c r="F339" s="1830"/>
      <c r="G339" s="1828"/>
    </row>
    <row r="340" spans="1:7" ht="14.25" hidden="1" customHeight="1">
      <c r="A340" s="1836" t="s">
        <v>220</v>
      </c>
      <c r="B340" s="1830"/>
      <c r="C340" s="1830"/>
      <c r="D340" s="1830"/>
      <c r="E340" s="1830"/>
      <c r="F340" s="1830"/>
      <c r="G340" s="1828"/>
    </row>
    <row r="341" spans="1:7" ht="14.25" hidden="1" customHeight="1">
      <c r="A341" s="1829" t="s">
        <v>221</v>
      </c>
      <c r="B341" s="1828"/>
      <c r="C341" s="63" t="s">
        <v>670</v>
      </c>
      <c r="D341" s="63" t="s">
        <v>671</v>
      </c>
      <c r="E341" s="63" t="s">
        <v>672</v>
      </c>
      <c r="F341" s="63" t="s">
        <v>673</v>
      </c>
      <c r="G341" s="63" t="s">
        <v>226</v>
      </c>
    </row>
    <row r="342" spans="1:7" ht="14.25" hidden="1" customHeight="1">
      <c r="A342" s="1847" t="s">
        <v>674</v>
      </c>
      <c r="B342" s="1828"/>
      <c r="C342" s="64"/>
      <c r="D342" s="64"/>
      <c r="E342" s="64"/>
      <c r="F342" s="64"/>
      <c r="G342" s="64"/>
    </row>
    <row r="343" spans="1:7" ht="14.25" hidden="1" customHeight="1">
      <c r="A343" s="1845" t="s">
        <v>675</v>
      </c>
      <c r="B343" s="1828"/>
      <c r="C343" s="190" t="s">
        <v>676</v>
      </c>
      <c r="D343" s="64">
        <v>77.010000000000005</v>
      </c>
      <c r="E343" s="64">
        <v>6.43</v>
      </c>
      <c r="F343" s="64"/>
      <c r="G343" s="64">
        <f t="shared" ref="G343:G350" si="19">+D343*E343*F343</f>
        <v>0</v>
      </c>
    </row>
    <row r="344" spans="1:7" ht="14.25" hidden="1" customHeight="1">
      <c r="A344" s="1845" t="s">
        <v>677</v>
      </c>
      <c r="B344" s="1828"/>
      <c r="C344" s="190" t="s">
        <v>676</v>
      </c>
      <c r="D344" s="64">
        <v>19.16</v>
      </c>
      <c r="E344" s="64">
        <v>6.43</v>
      </c>
      <c r="F344" s="64"/>
      <c r="G344" s="64">
        <f t="shared" si="19"/>
        <v>0</v>
      </c>
    </row>
    <row r="345" spans="1:7" ht="14.25" hidden="1" customHeight="1">
      <c r="A345" s="1845" t="s">
        <v>677</v>
      </c>
      <c r="B345" s="1828"/>
      <c r="C345" s="190" t="s">
        <v>678</v>
      </c>
      <c r="D345" s="64">
        <v>132.30000000000001</v>
      </c>
      <c r="E345" s="64">
        <v>2.34</v>
      </c>
      <c r="F345" s="64"/>
      <c r="G345" s="64">
        <f t="shared" si="19"/>
        <v>0</v>
      </c>
    </row>
    <row r="346" spans="1:7" ht="14.25" hidden="1" customHeight="1">
      <c r="A346" s="1845" t="s">
        <v>677</v>
      </c>
      <c r="B346" s="1828"/>
      <c r="C346" s="190" t="s">
        <v>679</v>
      </c>
      <c r="D346" s="64">
        <v>20.6</v>
      </c>
      <c r="E346" s="64">
        <v>4.01</v>
      </c>
      <c r="F346" s="64"/>
      <c r="G346" s="64">
        <f t="shared" si="19"/>
        <v>0</v>
      </c>
    </row>
    <row r="347" spans="1:7" ht="14.25" hidden="1" customHeight="1">
      <c r="A347" s="1845" t="s">
        <v>680</v>
      </c>
      <c r="B347" s="1828"/>
      <c r="C347" s="190" t="s">
        <v>676</v>
      </c>
      <c r="D347" s="64">
        <v>6</v>
      </c>
      <c r="E347" s="64">
        <v>6.43</v>
      </c>
      <c r="F347" s="64"/>
      <c r="G347" s="64">
        <f t="shared" si="19"/>
        <v>0</v>
      </c>
    </row>
    <row r="348" spans="1:7" ht="14.25" hidden="1" customHeight="1">
      <c r="A348" s="1845" t="s">
        <v>680</v>
      </c>
      <c r="B348" s="1828"/>
      <c r="C348" s="190" t="s">
        <v>681</v>
      </c>
      <c r="D348" s="64">
        <v>20.010000000000002</v>
      </c>
      <c r="E348" s="64">
        <v>5.29</v>
      </c>
      <c r="F348" s="64"/>
      <c r="G348" s="64">
        <f t="shared" si="19"/>
        <v>0</v>
      </c>
    </row>
    <row r="349" spans="1:7" ht="14.25" hidden="1" customHeight="1">
      <c r="A349" s="1845" t="s">
        <v>680</v>
      </c>
      <c r="B349" s="1828"/>
      <c r="C349" s="190" t="s">
        <v>682</v>
      </c>
      <c r="D349" s="64">
        <v>50.21</v>
      </c>
      <c r="E349" s="64">
        <v>4.1100000000000003</v>
      </c>
      <c r="F349" s="64"/>
      <c r="G349" s="64">
        <f t="shared" si="19"/>
        <v>0</v>
      </c>
    </row>
    <row r="350" spans="1:7" ht="14.25" hidden="1" customHeight="1">
      <c r="A350" s="1845" t="s">
        <v>683</v>
      </c>
      <c r="B350" s="1828"/>
      <c r="C350" s="190" t="s">
        <v>684</v>
      </c>
      <c r="D350" s="64">
        <v>92.86</v>
      </c>
      <c r="E350" s="64">
        <v>3.21</v>
      </c>
      <c r="F350" s="64"/>
      <c r="G350" s="64">
        <f t="shared" si="19"/>
        <v>0</v>
      </c>
    </row>
    <row r="351" spans="1:7" ht="14.25" hidden="1" customHeight="1">
      <c r="A351" s="1847" t="s">
        <v>685</v>
      </c>
      <c r="B351" s="1828"/>
      <c r="C351" s="64"/>
      <c r="D351" s="64"/>
      <c r="E351" s="64"/>
      <c r="F351" s="64"/>
      <c r="G351" s="64"/>
    </row>
    <row r="352" spans="1:7" ht="14.25" hidden="1" customHeight="1">
      <c r="A352" s="1845" t="s">
        <v>686</v>
      </c>
      <c r="B352" s="1828"/>
      <c r="C352" s="190" t="s">
        <v>676</v>
      </c>
      <c r="D352" s="64">
        <v>18.53</v>
      </c>
      <c r="E352" s="64">
        <v>6.43</v>
      </c>
      <c r="F352" s="64"/>
      <c r="G352" s="64">
        <f t="shared" ref="G352:G356" si="20">+D352*E352*F352</f>
        <v>0</v>
      </c>
    </row>
    <row r="353" spans="1:7" ht="14.25" hidden="1" customHeight="1">
      <c r="A353" s="1845" t="s">
        <v>677</v>
      </c>
      <c r="B353" s="1828"/>
      <c r="C353" s="190" t="s">
        <v>684</v>
      </c>
      <c r="D353" s="64">
        <v>42.68</v>
      </c>
      <c r="E353" s="64">
        <v>3.21</v>
      </c>
      <c r="F353" s="64"/>
      <c r="G353" s="64">
        <f t="shared" si="20"/>
        <v>0</v>
      </c>
    </row>
    <row r="354" spans="1:7" ht="14.25" hidden="1" customHeight="1">
      <c r="A354" s="1845" t="s">
        <v>677</v>
      </c>
      <c r="B354" s="1828"/>
      <c r="C354" s="190" t="s">
        <v>679</v>
      </c>
      <c r="D354" s="64">
        <v>4.7699999999999996</v>
      </c>
      <c r="E354" s="64">
        <v>4.01</v>
      </c>
      <c r="F354" s="64"/>
      <c r="G354" s="64">
        <f t="shared" si="20"/>
        <v>0</v>
      </c>
    </row>
    <row r="355" spans="1:7" ht="14.25" hidden="1" customHeight="1">
      <c r="A355" s="1845" t="s">
        <v>687</v>
      </c>
      <c r="B355" s="1828"/>
      <c r="C355" s="190" t="s">
        <v>676</v>
      </c>
      <c r="D355" s="64">
        <v>18</v>
      </c>
      <c r="E355" s="64">
        <v>6.43</v>
      </c>
      <c r="F355" s="64"/>
      <c r="G355" s="64">
        <f t="shared" si="20"/>
        <v>0</v>
      </c>
    </row>
    <row r="356" spans="1:7" ht="14.25" hidden="1" customHeight="1">
      <c r="A356" s="1845" t="s">
        <v>683</v>
      </c>
      <c r="B356" s="1828"/>
      <c r="C356" s="190" t="s">
        <v>684</v>
      </c>
      <c r="D356" s="64">
        <v>31.02</v>
      </c>
      <c r="E356" s="64">
        <v>3.21</v>
      </c>
      <c r="F356" s="64"/>
      <c r="G356" s="64">
        <f t="shared" si="20"/>
        <v>0</v>
      </c>
    </row>
    <row r="357" spans="1:7" ht="14.25" hidden="1" customHeight="1">
      <c r="A357" s="1847" t="s">
        <v>688</v>
      </c>
      <c r="B357" s="1828"/>
      <c r="C357" s="64"/>
      <c r="D357" s="64"/>
      <c r="E357" s="64"/>
      <c r="F357" s="64"/>
      <c r="G357" s="64"/>
    </row>
    <row r="358" spans="1:7" ht="14.25" hidden="1" customHeight="1">
      <c r="A358" s="1845" t="s">
        <v>675</v>
      </c>
      <c r="B358" s="1828"/>
      <c r="C358" s="190" t="s">
        <v>679</v>
      </c>
      <c r="D358" s="64">
        <v>10.28</v>
      </c>
      <c r="E358" s="64">
        <v>4.01</v>
      </c>
      <c r="F358" s="64"/>
      <c r="G358" s="64">
        <f t="shared" ref="G358:G361" si="21">+D358*E358*F358</f>
        <v>0</v>
      </c>
    </row>
    <row r="359" spans="1:7" ht="14.25" hidden="1" customHeight="1">
      <c r="A359" s="1845" t="s">
        <v>677</v>
      </c>
      <c r="B359" s="1828"/>
      <c r="C359" s="190" t="s">
        <v>689</v>
      </c>
      <c r="D359" s="64">
        <v>22.73</v>
      </c>
      <c r="E359" s="64">
        <v>2.1800000000000002</v>
      </c>
      <c r="F359" s="64"/>
      <c r="G359" s="64">
        <f t="shared" si="21"/>
        <v>0</v>
      </c>
    </row>
    <row r="360" spans="1:7" ht="14.25" hidden="1" customHeight="1">
      <c r="A360" s="1845" t="s">
        <v>680</v>
      </c>
      <c r="B360" s="1828"/>
      <c r="C360" s="190" t="s">
        <v>679</v>
      </c>
      <c r="D360" s="64">
        <v>10.28</v>
      </c>
      <c r="E360" s="64">
        <v>4.01</v>
      </c>
      <c r="F360" s="64"/>
      <c r="G360" s="64">
        <f t="shared" si="21"/>
        <v>0</v>
      </c>
    </row>
    <row r="361" spans="1:7" ht="14.25" hidden="1" customHeight="1">
      <c r="A361" s="1845" t="s">
        <v>683</v>
      </c>
      <c r="B361" s="1828"/>
      <c r="C361" s="190" t="s">
        <v>689</v>
      </c>
      <c r="D361" s="64">
        <v>14.97</v>
      </c>
      <c r="E361" s="64">
        <v>2.1800000000000002</v>
      </c>
      <c r="F361" s="64"/>
      <c r="G361" s="64">
        <f t="shared" si="21"/>
        <v>0</v>
      </c>
    </row>
    <row r="362" spans="1:7" ht="14.25" hidden="1" customHeight="1">
      <c r="A362" s="1847" t="s">
        <v>690</v>
      </c>
      <c r="B362" s="1828"/>
      <c r="C362" s="64"/>
      <c r="D362" s="64"/>
      <c r="E362" s="64"/>
      <c r="F362" s="64"/>
      <c r="G362" s="64"/>
    </row>
    <row r="363" spans="1:7" ht="14.25" hidden="1" customHeight="1">
      <c r="A363" s="1845" t="s">
        <v>675</v>
      </c>
      <c r="B363" s="1828"/>
      <c r="C363" s="190" t="s">
        <v>679</v>
      </c>
      <c r="D363" s="64">
        <v>5.14</v>
      </c>
      <c r="E363" s="64">
        <v>4.01</v>
      </c>
      <c r="F363" s="64"/>
      <c r="G363" s="64">
        <f t="shared" ref="G363:G365" si="22">+D363*E363*F363</f>
        <v>0</v>
      </c>
    </row>
    <row r="364" spans="1:7" ht="14.25" hidden="1" customHeight="1">
      <c r="A364" s="1845" t="s">
        <v>677</v>
      </c>
      <c r="B364" s="1828"/>
      <c r="C364" s="190" t="s">
        <v>689</v>
      </c>
      <c r="D364" s="64">
        <v>28.32</v>
      </c>
      <c r="E364" s="64">
        <v>2.1800000000000002</v>
      </c>
      <c r="F364" s="64"/>
      <c r="G364" s="64">
        <f t="shared" si="22"/>
        <v>0</v>
      </c>
    </row>
    <row r="365" spans="1:7" ht="14.25" hidden="1" customHeight="1">
      <c r="A365" s="1845" t="s">
        <v>680</v>
      </c>
      <c r="B365" s="1828"/>
      <c r="C365" s="190" t="s">
        <v>679</v>
      </c>
      <c r="D365" s="64">
        <v>5.14</v>
      </c>
      <c r="E365" s="64">
        <v>4.01</v>
      </c>
      <c r="F365" s="64"/>
      <c r="G365" s="64">
        <f t="shared" si="22"/>
        <v>0</v>
      </c>
    </row>
    <row r="366" spans="1:7" ht="14.25" hidden="1" customHeight="1">
      <c r="A366" s="1847" t="s">
        <v>691</v>
      </c>
      <c r="B366" s="1828"/>
      <c r="C366" s="64"/>
      <c r="D366" s="64"/>
      <c r="E366" s="64"/>
      <c r="F366" s="64"/>
      <c r="G366" s="64"/>
    </row>
    <row r="367" spans="1:7" ht="14.25" hidden="1" customHeight="1">
      <c r="A367" s="1845" t="s">
        <v>675</v>
      </c>
      <c r="B367" s="1828"/>
      <c r="C367" s="190" t="s">
        <v>679</v>
      </c>
      <c r="D367" s="64">
        <v>5.14</v>
      </c>
      <c r="E367" s="64">
        <v>4.01</v>
      </c>
      <c r="F367" s="64"/>
      <c r="G367" s="64">
        <f t="shared" ref="G367:G369" si="23">+D367*E367*F367</f>
        <v>0</v>
      </c>
    </row>
    <row r="368" spans="1:7" ht="14.25" hidden="1" customHeight="1">
      <c r="A368" s="1845" t="s">
        <v>677</v>
      </c>
      <c r="B368" s="1828"/>
      <c r="C368" s="190" t="s">
        <v>689</v>
      </c>
      <c r="D368" s="64">
        <v>18.25</v>
      </c>
      <c r="E368" s="64">
        <v>2.1800000000000002</v>
      </c>
      <c r="F368" s="64"/>
      <c r="G368" s="64">
        <f t="shared" si="23"/>
        <v>0</v>
      </c>
    </row>
    <row r="369" spans="1:7" ht="14.25" hidden="1" customHeight="1">
      <c r="A369" s="1845" t="s">
        <v>680</v>
      </c>
      <c r="B369" s="1828"/>
      <c r="C369" s="190" t="s">
        <v>679</v>
      </c>
      <c r="D369" s="64">
        <v>5.14</v>
      </c>
      <c r="E369" s="64">
        <v>4.01</v>
      </c>
      <c r="F369" s="64"/>
      <c r="G369" s="64">
        <f t="shared" si="23"/>
        <v>0</v>
      </c>
    </row>
    <row r="370" spans="1:7" ht="14.25" hidden="1" customHeight="1">
      <c r="A370" s="1845"/>
      <c r="B370" s="1828"/>
      <c r="C370" s="190"/>
      <c r="D370" s="64"/>
      <c r="E370" s="64"/>
      <c r="F370" s="64"/>
      <c r="G370" s="64"/>
    </row>
    <row r="371" spans="1:7" ht="14.25" hidden="1" customHeight="1">
      <c r="A371" s="1845" t="s">
        <v>692</v>
      </c>
      <c r="B371" s="1828"/>
      <c r="C371" s="190" t="s">
        <v>693</v>
      </c>
      <c r="D371" s="64">
        <v>36.299999999999997</v>
      </c>
      <c r="E371" s="64">
        <v>4.8099999999999996</v>
      </c>
      <c r="F371" s="64"/>
      <c r="G371" s="64">
        <f t="shared" ref="G371:G372" si="24">+D371*E371*F371</f>
        <v>0</v>
      </c>
    </row>
    <row r="372" spans="1:7" ht="14.25" hidden="1" customHeight="1">
      <c r="A372" s="1845" t="s">
        <v>694</v>
      </c>
      <c r="B372" s="1828"/>
      <c r="C372" s="190" t="s">
        <v>695</v>
      </c>
      <c r="D372" s="64">
        <v>38.5</v>
      </c>
      <c r="E372" s="64">
        <v>1</v>
      </c>
      <c r="F372" s="64"/>
      <c r="G372" s="64">
        <f t="shared" si="24"/>
        <v>0</v>
      </c>
    </row>
    <row r="373" spans="1:7" ht="14.25" hidden="1" customHeight="1">
      <c r="A373" s="1829" t="s">
        <v>227</v>
      </c>
      <c r="B373" s="1830"/>
      <c r="C373" s="1830"/>
      <c r="D373" s="1830"/>
      <c r="E373" s="1830"/>
      <c r="F373" s="1828"/>
      <c r="G373" s="65">
        <f>ROUND(SUM(G343:G372),2)</f>
        <v>0</v>
      </c>
    </row>
    <row r="374" spans="1:7" ht="14.25" customHeight="1">
      <c r="A374" s="1831"/>
      <c r="B374" s="1830"/>
      <c r="C374" s="1830"/>
      <c r="D374" s="1830"/>
      <c r="E374" s="1830"/>
      <c r="F374" s="1830"/>
      <c r="G374" s="1828"/>
    </row>
    <row r="375" spans="1:7" ht="14.25" customHeight="1">
      <c r="A375" s="66" t="s">
        <v>240</v>
      </c>
      <c r="B375" s="1832" t="str">
        <f>+B338</f>
        <v>ESTRUCTURA METÁLICA</v>
      </c>
      <c r="C375" s="1830"/>
      <c r="D375" s="1828"/>
      <c r="E375" s="1833" t="s">
        <v>218</v>
      </c>
      <c r="F375" s="1828"/>
      <c r="G375" s="62" t="s">
        <v>228</v>
      </c>
    </row>
    <row r="376" spans="1:7" ht="24" customHeight="1">
      <c r="A376" s="66" t="s">
        <v>696</v>
      </c>
      <c r="B376" s="1840" t="s">
        <v>697</v>
      </c>
      <c r="C376" s="1830"/>
      <c r="D376" s="1830"/>
      <c r="E376" s="1830"/>
      <c r="F376" s="1830"/>
      <c r="G376" s="1828"/>
    </row>
    <row r="377" spans="1:7" ht="14.25" customHeight="1">
      <c r="A377" s="1836" t="s">
        <v>220</v>
      </c>
      <c r="B377" s="1830"/>
      <c r="C377" s="1830"/>
      <c r="D377" s="1830"/>
      <c r="E377" s="1830"/>
      <c r="F377" s="1830"/>
      <c r="G377" s="1828"/>
    </row>
    <row r="378" spans="1:7" ht="14.25" customHeight="1">
      <c r="A378" s="1829" t="s">
        <v>221</v>
      </c>
      <c r="B378" s="1828"/>
      <c r="C378" s="63" t="s">
        <v>222</v>
      </c>
      <c r="D378" s="63" t="s">
        <v>223</v>
      </c>
      <c r="E378" s="63" t="s">
        <v>252</v>
      </c>
      <c r="F378" s="63" t="s">
        <v>225</v>
      </c>
      <c r="G378" s="63" t="s">
        <v>226</v>
      </c>
    </row>
    <row r="379" spans="1:7" ht="15" customHeight="1">
      <c r="A379" s="1845" t="s">
        <v>699</v>
      </c>
      <c r="B379" s="1828"/>
      <c r="C379" s="64"/>
      <c r="D379" s="64"/>
      <c r="E379" s="64"/>
      <c r="F379" s="64"/>
      <c r="G379" s="64">
        <v>1234.3</v>
      </c>
    </row>
    <row r="380" spans="1:7" ht="14.25" customHeight="1">
      <c r="A380" s="1845"/>
      <c r="B380" s="1828"/>
      <c r="C380" s="64"/>
      <c r="D380" s="64"/>
      <c r="E380" s="64"/>
      <c r="F380" s="64"/>
      <c r="G380" s="64"/>
    </row>
    <row r="381" spans="1:7" ht="14.25" customHeight="1">
      <c r="A381" s="1829" t="s">
        <v>227</v>
      </c>
      <c r="B381" s="1830"/>
      <c r="C381" s="1830"/>
      <c r="D381" s="1830"/>
      <c r="E381" s="1830"/>
      <c r="F381" s="1828"/>
      <c r="G381" s="65">
        <f>ROUND(SUM(G379:G380),2)</f>
        <v>1234.3</v>
      </c>
    </row>
    <row r="382" spans="1:7" ht="14.25" customHeight="1">
      <c r="A382" s="1831"/>
      <c r="B382" s="1830"/>
      <c r="C382" s="1830"/>
      <c r="D382" s="1830"/>
      <c r="E382" s="1830"/>
      <c r="F382" s="1830"/>
      <c r="G382" s="1828"/>
    </row>
    <row r="383" spans="1:7" ht="14.25" customHeight="1">
      <c r="A383" s="66" t="s">
        <v>240</v>
      </c>
      <c r="B383" s="1832" t="str">
        <f>+B375</f>
        <v>ESTRUCTURA METÁLICA</v>
      </c>
      <c r="C383" s="1830"/>
      <c r="D383" s="1828"/>
      <c r="E383" s="1833" t="s">
        <v>218</v>
      </c>
      <c r="F383" s="1828"/>
      <c r="G383" s="62" t="s">
        <v>228</v>
      </c>
    </row>
    <row r="384" spans="1:7" ht="48.75" customHeight="1">
      <c r="A384" s="66" t="s">
        <v>700</v>
      </c>
      <c r="B384" s="1840" t="s">
        <v>701</v>
      </c>
      <c r="C384" s="1830"/>
      <c r="D384" s="1830"/>
      <c r="E384" s="1830"/>
      <c r="F384" s="1830"/>
      <c r="G384" s="1828"/>
    </row>
    <row r="385" spans="1:7" ht="14.25" customHeight="1">
      <c r="A385" s="1836" t="s">
        <v>220</v>
      </c>
      <c r="B385" s="1830"/>
      <c r="C385" s="1830"/>
      <c r="D385" s="1830"/>
      <c r="E385" s="1830"/>
      <c r="F385" s="1830"/>
      <c r="G385" s="1828"/>
    </row>
    <row r="386" spans="1:7" ht="14.25" customHeight="1">
      <c r="A386" s="1829" t="s">
        <v>221</v>
      </c>
      <c r="B386" s="1828"/>
      <c r="C386" s="63" t="s">
        <v>222</v>
      </c>
      <c r="D386" s="63" t="s">
        <v>223</v>
      </c>
      <c r="E386" s="63" t="s">
        <v>224</v>
      </c>
      <c r="F386" s="63" t="s">
        <v>225</v>
      </c>
      <c r="G386" s="63" t="s">
        <v>226</v>
      </c>
    </row>
    <row r="387" spans="1:7" ht="14.25" customHeight="1">
      <c r="A387" s="1845" t="s">
        <v>702</v>
      </c>
      <c r="B387" s="1828"/>
      <c r="C387" s="64">
        <v>20.010000000000002</v>
      </c>
      <c r="D387" s="64"/>
      <c r="E387" s="64"/>
      <c r="F387" s="64">
        <v>5</v>
      </c>
      <c r="G387" s="64">
        <f>+F387*C387</f>
        <v>100.05000000000001</v>
      </c>
    </row>
    <row r="388" spans="1:7" ht="14.25" customHeight="1">
      <c r="A388" s="1845" t="s">
        <v>703</v>
      </c>
      <c r="B388" s="1828"/>
      <c r="C388" s="64">
        <v>6</v>
      </c>
      <c r="D388" s="64">
        <v>3</v>
      </c>
      <c r="E388" s="64"/>
      <c r="F388" s="64"/>
      <c r="G388" s="64">
        <f>+D388*C388</f>
        <v>18</v>
      </c>
    </row>
    <row r="389" spans="1:7" ht="14.25" customHeight="1">
      <c r="A389" s="1829" t="s">
        <v>227</v>
      </c>
      <c r="B389" s="1830"/>
      <c r="C389" s="1830"/>
      <c r="D389" s="1830"/>
      <c r="E389" s="1830"/>
      <c r="F389" s="1828"/>
      <c r="G389" s="65">
        <f>ROUND(SUM(G387:G388),2)</f>
        <v>118.05</v>
      </c>
    </row>
    <row r="390" spans="1:7" ht="14.25" hidden="1" customHeight="1">
      <c r="A390" s="1831"/>
      <c r="B390" s="1830"/>
      <c r="C390" s="1830"/>
      <c r="D390" s="1830"/>
      <c r="E390" s="1830"/>
      <c r="F390" s="1830"/>
      <c r="G390" s="1828"/>
    </row>
    <row r="391" spans="1:7" ht="14.25" hidden="1" customHeight="1">
      <c r="A391" s="66" t="s">
        <v>240</v>
      </c>
      <c r="B391" s="1832" t="str">
        <f>+B383</f>
        <v>ESTRUCTURA METÁLICA</v>
      </c>
      <c r="C391" s="1830"/>
      <c r="D391" s="1828"/>
      <c r="E391" s="1833" t="s">
        <v>218</v>
      </c>
      <c r="F391" s="1828"/>
      <c r="G391" s="62" t="s">
        <v>120</v>
      </c>
    </row>
    <row r="392" spans="1:7" ht="30.75" hidden="1" customHeight="1">
      <c r="A392" s="66" t="s">
        <v>247</v>
      </c>
      <c r="B392" s="1840" t="s">
        <v>704</v>
      </c>
      <c r="C392" s="1830"/>
      <c r="D392" s="1830"/>
      <c r="E392" s="1830"/>
      <c r="F392" s="1830"/>
      <c r="G392" s="1828"/>
    </row>
    <row r="393" spans="1:7" ht="14.25" hidden="1" customHeight="1">
      <c r="A393" s="1836" t="s">
        <v>220</v>
      </c>
      <c r="B393" s="1830"/>
      <c r="C393" s="1830"/>
      <c r="D393" s="1830"/>
      <c r="E393" s="1830"/>
      <c r="F393" s="1830"/>
      <c r="G393" s="1828"/>
    </row>
    <row r="394" spans="1:7" ht="14.25" hidden="1" customHeight="1">
      <c r="A394" s="1829" t="s">
        <v>221</v>
      </c>
      <c r="B394" s="1828"/>
      <c r="C394" s="63" t="s">
        <v>222</v>
      </c>
      <c r="D394" s="63" t="s">
        <v>223</v>
      </c>
      <c r="E394" s="63" t="s">
        <v>224</v>
      </c>
      <c r="F394" s="63" t="s">
        <v>225</v>
      </c>
      <c r="G394" s="63" t="s">
        <v>226</v>
      </c>
    </row>
    <row r="395" spans="1:7" ht="14.25" hidden="1" customHeight="1">
      <c r="A395" s="1845" t="s">
        <v>705</v>
      </c>
      <c r="B395" s="1828"/>
      <c r="C395" s="64">
        <v>5.6719999999999997</v>
      </c>
      <c r="D395" s="64"/>
      <c r="E395" s="64"/>
      <c r="F395" s="64">
        <v>2</v>
      </c>
      <c r="G395" s="64"/>
    </row>
    <row r="396" spans="1:7" ht="14.25" hidden="1" customHeight="1">
      <c r="A396" s="1845" t="s">
        <v>706</v>
      </c>
      <c r="B396" s="1828"/>
      <c r="C396" s="64">
        <v>25.81</v>
      </c>
      <c r="D396" s="64"/>
      <c r="E396" s="64"/>
      <c r="F396" s="64">
        <v>1</v>
      </c>
      <c r="G396" s="64"/>
    </row>
    <row r="397" spans="1:7" ht="14.25" hidden="1" customHeight="1">
      <c r="A397" s="1845"/>
      <c r="B397" s="1828"/>
      <c r="C397" s="64"/>
      <c r="D397" s="64"/>
      <c r="E397" s="64"/>
      <c r="F397" s="64"/>
      <c r="G397" s="64"/>
    </row>
    <row r="398" spans="1:7" ht="14.25" hidden="1" customHeight="1">
      <c r="A398" s="1829" t="s">
        <v>227</v>
      </c>
      <c r="B398" s="1830"/>
      <c r="C398" s="1830"/>
      <c r="D398" s="1830"/>
      <c r="E398" s="1830"/>
      <c r="F398" s="1828"/>
      <c r="G398" s="191"/>
    </row>
    <row r="399" spans="1:7" ht="14.25" hidden="1" customHeight="1">
      <c r="A399" s="1831"/>
      <c r="B399" s="1830"/>
      <c r="C399" s="1830"/>
      <c r="D399" s="1830"/>
      <c r="E399" s="1830"/>
      <c r="F399" s="1830"/>
      <c r="G399" s="1828"/>
    </row>
    <row r="400" spans="1:7" ht="14.25" hidden="1" customHeight="1">
      <c r="A400" s="66" t="s">
        <v>240</v>
      </c>
      <c r="B400" s="1832" t="str">
        <f>+B391</f>
        <v>ESTRUCTURA METÁLICA</v>
      </c>
      <c r="C400" s="1830"/>
      <c r="D400" s="1828"/>
      <c r="E400" s="1833" t="s">
        <v>218</v>
      </c>
      <c r="F400" s="1828"/>
      <c r="G400" s="62" t="s">
        <v>228</v>
      </c>
    </row>
    <row r="401" spans="1:7" ht="14.25" hidden="1" customHeight="1">
      <c r="A401" s="66" t="s">
        <v>667</v>
      </c>
      <c r="B401" s="1840" t="s">
        <v>399</v>
      </c>
      <c r="C401" s="1830"/>
      <c r="D401" s="1830"/>
      <c r="E401" s="1830"/>
      <c r="F401" s="1830"/>
      <c r="G401" s="1828"/>
    </row>
    <row r="402" spans="1:7" ht="14.25" hidden="1" customHeight="1">
      <c r="A402" s="1836" t="s">
        <v>220</v>
      </c>
      <c r="B402" s="1830"/>
      <c r="C402" s="1830"/>
      <c r="D402" s="1830"/>
      <c r="E402" s="1830"/>
      <c r="F402" s="1830"/>
      <c r="G402" s="1828"/>
    </row>
    <row r="403" spans="1:7" ht="14.25" hidden="1" customHeight="1">
      <c r="A403" s="1829" t="s">
        <v>221</v>
      </c>
      <c r="B403" s="1828"/>
      <c r="C403" s="63" t="s">
        <v>222</v>
      </c>
      <c r="D403" s="63" t="s">
        <v>223</v>
      </c>
      <c r="E403" s="63" t="s">
        <v>224</v>
      </c>
      <c r="F403" s="63" t="s">
        <v>225</v>
      </c>
      <c r="G403" s="63" t="s">
        <v>226</v>
      </c>
    </row>
    <row r="404" spans="1:7" ht="14.25" hidden="1" customHeight="1">
      <c r="A404" s="1845" t="s">
        <v>707</v>
      </c>
      <c r="B404" s="1828"/>
      <c r="C404" s="64"/>
      <c r="D404" s="64"/>
      <c r="E404" s="64"/>
      <c r="F404" s="64"/>
      <c r="G404" s="64"/>
    </row>
    <row r="405" spans="1:7" ht="14.25" hidden="1" customHeight="1">
      <c r="A405" s="1845"/>
      <c r="B405" s="1828"/>
      <c r="C405" s="64"/>
      <c r="D405" s="64"/>
      <c r="E405" s="64"/>
      <c r="F405" s="64"/>
      <c r="G405" s="64"/>
    </row>
    <row r="406" spans="1:7" ht="14.25" hidden="1" customHeight="1">
      <c r="A406" s="1829" t="s">
        <v>227</v>
      </c>
      <c r="B406" s="1830"/>
      <c r="C406" s="1830"/>
      <c r="D406" s="1830"/>
      <c r="E406" s="1830"/>
      <c r="F406" s="1828"/>
      <c r="G406" s="191">
        <f>ROUND(SUM(G404:G405),2)</f>
        <v>0</v>
      </c>
    </row>
    <row r="407" spans="1:7" ht="14.25" hidden="1" customHeight="1">
      <c r="A407" s="1831"/>
      <c r="B407" s="1830"/>
      <c r="C407" s="1830"/>
      <c r="D407" s="1830"/>
      <c r="E407" s="1830"/>
      <c r="F407" s="1830"/>
      <c r="G407" s="1828"/>
    </row>
    <row r="408" spans="1:7" ht="14.25" hidden="1" customHeight="1">
      <c r="A408" s="66" t="s">
        <v>240</v>
      </c>
      <c r="B408" s="1832" t="str">
        <f>+B400</f>
        <v>ESTRUCTURA METÁLICA</v>
      </c>
      <c r="C408" s="1830"/>
      <c r="D408" s="1828"/>
      <c r="E408" s="1833" t="s">
        <v>218</v>
      </c>
      <c r="F408" s="1828"/>
      <c r="G408" s="62" t="s">
        <v>120</v>
      </c>
    </row>
    <row r="409" spans="1:7" ht="14.25" hidden="1" customHeight="1">
      <c r="A409" s="66" t="s">
        <v>696</v>
      </c>
      <c r="B409" s="1840" t="s">
        <v>400</v>
      </c>
      <c r="C409" s="1830"/>
      <c r="D409" s="1830"/>
      <c r="E409" s="1830"/>
      <c r="F409" s="1830"/>
      <c r="G409" s="1828"/>
    </row>
    <row r="410" spans="1:7" ht="14.25" hidden="1" customHeight="1">
      <c r="A410" s="1836" t="s">
        <v>220</v>
      </c>
      <c r="B410" s="1830"/>
      <c r="C410" s="1830"/>
      <c r="D410" s="1830"/>
      <c r="E410" s="1830"/>
      <c r="F410" s="1830"/>
      <c r="G410" s="1828"/>
    </row>
    <row r="411" spans="1:7" ht="14.25" hidden="1" customHeight="1">
      <c r="A411" s="1829" t="s">
        <v>221</v>
      </c>
      <c r="B411" s="1828"/>
      <c r="C411" s="63" t="s">
        <v>222</v>
      </c>
      <c r="D411" s="63" t="s">
        <v>223</v>
      </c>
      <c r="E411" s="63" t="s">
        <v>224</v>
      </c>
      <c r="F411" s="63" t="s">
        <v>225</v>
      </c>
      <c r="G411" s="63" t="s">
        <v>226</v>
      </c>
    </row>
    <row r="412" spans="1:7" ht="14.25" hidden="1" customHeight="1">
      <c r="A412" s="1845"/>
      <c r="B412" s="1828"/>
      <c r="C412" s="192"/>
      <c r="D412" s="64"/>
      <c r="E412" s="64"/>
      <c r="F412" s="64"/>
      <c r="G412" s="64"/>
    </row>
    <row r="413" spans="1:7" ht="14.25" hidden="1" customHeight="1">
      <c r="A413" s="1845"/>
      <c r="B413" s="1828"/>
      <c r="C413" s="64"/>
      <c r="D413" s="64"/>
      <c r="E413" s="64"/>
      <c r="F413" s="64"/>
      <c r="G413" s="64"/>
    </row>
    <row r="414" spans="1:7" ht="14.25" hidden="1" customHeight="1">
      <c r="A414" s="1829" t="s">
        <v>227</v>
      </c>
      <c r="B414" s="1830"/>
      <c r="C414" s="1830"/>
      <c r="D414" s="1830"/>
      <c r="E414" s="1830"/>
      <c r="F414" s="1828"/>
      <c r="G414" s="191">
        <f>ROUND(SUM(G412:G413),2)</f>
        <v>0</v>
      </c>
    </row>
    <row r="415" spans="1:7" ht="14.25" hidden="1" customHeight="1">
      <c r="A415" s="1831"/>
      <c r="B415" s="1830"/>
      <c r="C415" s="1830"/>
      <c r="D415" s="1830"/>
      <c r="E415" s="1830"/>
      <c r="F415" s="1830"/>
      <c r="G415" s="1828"/>
    </row>
    <row r="416" spans="1:7" ht="14.25" hidden="1" customHeight="1">
      <c r="A416" s="66" t="s">
        <v>240</v>
      </c>
      <c r="B416" s="1832" t="str">
        <f>+B408</f>
        <v>ESTRUCTURA METÁLICA</v>
      </c>
      <c r="C416" s="1830"/>
      <c r="D416" s="1828"/>
      <c r="E416" s="1833" t="s">
        <v>218</v>
      </c>
      <c r="F416" s="1828"/>
      <c r="G416" s="62" t="s">
        <v>120</v>
      </c>
    </row>
    <row r="417" spans="1:7" ht="14.25" hidden="1" customHeight="1">
      <c r="A417" s="66" t="s">
        <v>700</v>
      </c>
      <c r="B417" s="1840" t="s">
        <v>402</v>
      </c>
      <c r="C417" s="1830"/>
      <c r="D417" s="1830"/>
      <c r="E417" s="1830"/>
      <c r="F417" s="1830"/>
      <c r="G417" s="1828"/>
    </row>
    <row r="418" spans="1:7" ht="14.25" hidden="1" customHeight="1">
      <c r="A418" s="1836" t="s">
        <v>220</v>
      </c>
      <c r="B418" s="1830"/>
      <c r="C418" s="1830"/>
      <c r="D418" s="1830"/>
      <c r="E418" s="1830"/>
      <c r="F418" s="1830"/>
      <c r="G418" s="1828"/>
    </row>
    <row r="419" spans="1:7" ht="14.25" hidden="1" customHeight="1">
      <c r="A419" s="1829" t="s">
        <v>221</v>
      </c>
      <c r="B419" s="1828"/>
      <c r="C419" s="63" t="s">
        <v>222</v>
      </c>
      <c r="D419" s="63" t="s">
        <v>223</v>
      </c>
      <c r="E419" s="63" t="s">
        <v>224</v>
      </c>
      <c r="F419" s="63" t="s">
        <v>225</v>
      </c>
      <c r="G419" s="63" t="s">
        <v>226</v>
      </c>
    </row>
    <row r="420" spans="1:7" ht="14.25" hidden="1" customHeight="1">
      <c r="A420" s="1845"/>
      <c r="B420" s="1828"/>
      <c r="C420" s="64"/>
      <c r="D420" s="64"/>
      <c r="E420" s="64"/>
      <c r="F420" s="64"/>
      <c r="G420" s="64"/>
    </row>
    <row r="421" spans="1:7" ht="14.25" hidden="1" customHeight="1">
      <c r="A421" s="1845"/>
      <c r="B421" s="1828"/>
      <c r="C421" s="64"/>
      <c r="D421" s="64"/>
      <c r="E421" s="64"/>
      <c r="F421" s="64"/>
      <c r="G421" s="64"/>
    </row>
    <row r="422" spans="1:7" ht="14.25" hidden="1" customHeight="1">
      <c r="A422" s="1829" t="s">
        <v>227</v>
      </c>
      <c r="B422" s="1830"/>
      <c r="C422" s="1830"/>
      <c r="D422" s="1830"/>
      <c r="E422" s="1830"/>
      <c r="F422" s="1828"/>
      <c r="G422" s="191">
        <f>ROUND(SUM(G420:G421),2)</f>
        <v>0</v>
      </c>
    </row>
    <row r="423" spans="1:7" ht="14.25" hidden="1" customHeight="1">
      <c r="A423" s="1831"/>
      <c r="B423" s="1830"/>
      <c r="C423" s="1830"/>
      <c r="D423" s="1830"/>
      <c r="E423" s="1830"/>
      <c r="F423" s="1830"/>
      <c r="G423" s="1828"/>
    </row>
    <row r="424" spans="1:7" ht="14.25" hidden="1" customHeight="1">
      <c r="A424" s="66" t="s">
        <v>240</v>
      </c>
      <c r="B424" s="1832" t="str">
        <f>+B416</f>
        <v>ESTRUCTURA METÁLICA</v>
      </c>
      <c r="C424" s="1830"/>
      <c r="D424" s="1828"/>
      <c r="E424" s="1833" t="s">
        <v>218</v>
      </c>
      <c r="F424" s="1828"/>
      <c r="G424" s="62" t="s">
        <v>120</v>
      </c>
    </row>
    <row r="425" spans="1:7" ht="14.25" hidden="1" customHeight="1">
      <c r="A425" s="66" t="s">
        <v>708</v>
      </c>
      <c r="B425" s="1840" t="s">
        <v>404</v>
      </c>
      <c r="C425" s="1830"/>
      <c r="D425" s="1830"/>
      <c r="E425" s="1830"/>
      <c r="F425" s="1830"/>
      <c r="G425" s="1828"/>
    </row>
    <row r="426" spans="1:7" ht="14.25" hidden="1" customHeight="1">
      <c r="A426" s="1836" t="s">
        <v>220</v>
      </c>
      <c r="B426" s="1830"/>
      <c r="C426" s="1830"/>
      <c r="D426" s="1830"/>
      <c r="E426" s="1830"/>
      <c r="F426" s="1830"/>
      <c r="G426" s="1828"/>
    </row>
    <row r="427" spans="1:7" ht="14.25" hidden="1" customHeight="1">
      <c r="A427" s="1829" t="s">
        <v>221</v>
      </c>
      <c r="B427" s="1828"/>
      <c r="C427" s="63" t="s">
        <v>222</v>
      </c>
      <c r="D427" s="63" t="s">
        <v>223</v>
      </c>
      <c r="E427" s="63" t="s">
        <v>224</v>
      </c>
      <c r="F427" s="63" t="s">
        <v>225</v>
      </c>
      <c r="G427" s="63" t="s">
        <v>226</v>
      </c>
    </row>
    <row r="428" spans="1:7" ht="14.25" hidden="1" customHeight="1">
      <c r="A428" s="1845"/>
      <c r="B428" s="1828"/>
      <c r="C428" s="64"/>
      <c r="D428" s="64"/>
      <c r="E428" s="64"/>
      <c r="F428" s="64"/>
      <c r="G428" s="64"/>
    </row>
    <row r="429" spans="1:7" ht="14.25" hidden="1" customHeight="1">
      <c r="A429" s="1845"/>
      <c r="B429" s="1828"/>
      <c r="C429" s="64"/>
      <c r="D429" s="64"/>
      <c r="E429" s="64"/>
      <c r="F429" s="64"/>
      <c r="G429" s="64"/>
    </row>
    <row r="430" spans="1:7" ht="14.25" hidden="1" customHeight="1">
      <c r="A430" s="1829" t="s">
        <v>227</v>
      </c>
      <c r="B430" s="1830"/>
      <c r="C430" s="1830"/>
      <c r="D430" s="1830"/>
      <c r="E430" s="1830"/>
      <c r="F430" s="1828"/>
      <c r="G430" s="191">
        <f>ROUND(SUM(G428:G429),2)</f>
        <v>0</v>
      </c>
    </row>
    <row r="431" spans="1:7" ht="14.25" customHeight="1">
      <c r="A431" s="1831"/>
      <c r="B431" s="1830"/>
      <c r="C431" s="1830"/>
      <c r="D431" s="1830"/>
      <c r="E431" s="1830"/>
      <c r="F431" s="1830"/>
      <c r="G431" s="1828"/>
    </row>
    <row r="432" spans="1:7" ht="14.25" customHeight="1">
      <c r="A432" s="66" t="s">
        <v>240</v>
      </c>
      <c r="B432" s="1832" t="str">
        <f>+B383</f>
        <v>ESTRUCTURA METÁLICA</v>
      </c>
      <c r="C432" s="1830"/>
      <c r="D432" s="1828"/>
      <c r="E432" s="1833" t="s">
        <v>218</v>
      </c>
      <c r="F432" s="1828"/>
      <c r="G432" s="62" t="s">
        <v>120</v>
      </c>
    </row>
    <row r="433" spans="1:7" ht="48.75" customHeight="1">
      <c r="A433" s="66" t="s">
        <v>708</v>
      </c>
      <c r="B433" s="1840" t="s">
        <v>709</v>
      </c>
      <c r="C433" s="1830"/>
      <c r="D433" s="1830"/>
      <c r="E433" s="1830"/>
      <c r="F433" s="1830"/>
      <c r="G433" s="1828"/>
    </row>
    <row r="434" spans="1:7" ht="14.25" customHeight="1">
      <c r="A434" s="1836" t="s">
        <v>220</v>
      </c>
      <c r="B434" s="1830"/>
      <c r="C434" s="1830"/>
      <c r="D434" s="1830"/>
      <c r="E434" s="1830"/>
      <c r="F434" s="1830"/>
      <c r="G434" s="1828"/>
    </row>
    <row r="435" spans="1:7" ht="14.25" customHeight="1">
      <c r="A435" s="1829" t="s">
        <v>221</v>
      </c>
      <c r="B435" s="1828"/>
      <c r="C435" s="63" t="s">
        <v>222</v>
      </c>
      <c r="D435" s="63" t="s">
        <v>223</v>
      </c>
      <c r="E435" s="63" t="s">
        <v>224</v>
      </c>
      <c r="F435" s="63" t="s">
        <v>225</v>
      </c>
      <c r="G435" s="63" t="s">
        <v>226</v>
      </c>
    </row>
    <row r="436" spans="1:7" ht="25.5" customHeight="1">
      <c r="A436" s="1845" t="s">
        <v>710</v>
      </c>
      <c r="B436" s="1828"/>
      <c r="C436" s="64">
        <f>+C154</f>
        <v>454.77</v>
      </c>
      <c r="D436" s="64"/>
      <c r="E436" s="64"/>
      <c r="F436" s="64">
        <v>1</v>
      </c>
      <c r="G436" s="64">
        <f>+F436*C436</f>
        <v>454.77</v>
      </c>
    </row>
    <row r="437" spans="1:7" ht="14.25" customHeight="1">
      <c r="A437" s="1845"/>
      <c r="B437" s="1828"/>
      <c r="C437" s="64"/>
      <c r="D437" s="64"/>
      <c r="E437" s="64"/>
      <c r="F437" s="64"/>
      <c r="G437" s="64"/>
    </row>
    <row r="438" spans="1:7" ht="14.25" customHeight="1">
      <c r="A438" s="1829" t="s">
        <v>227</v>
      </c>
      <c r="B438" s="1830"/>
      <c r="C438" s="1830"/>
      <c r="D438" s="1830"/>
      <c r="E438" s="1830"/>
      <c r="F438" s="1828"/>
      <c r="G438" s="65">
        <f>ROUND(SUM(G436:G437),2)</f>
        <v>454.77</v>
      </c>
    </row>
    <row r="439" spans="1:7" ht="14.25" customHeight="1">
      <c r="A439" s="1831"/>
      <c r="B439" s="1830"/>
      <c r="C439" s="1830"/>
      <c r="D439" s="1830"/>
      <c r="E439" s="1830"/>
      <c r="F439" s="1830"/>
      <c r="G439" s="1828"/>
    </row>
    <row r="440" spans="1:7" ht="14.25" customHeight="1">
      <c r="A440" s="66" t="s">
        <v>240</v>
      </c>
      <c r="B440" s="1832" t="str">
        <f>+B432</f>
        <v>ESTRUCTURA METÁLICA</v>
      </c>
      <c r="C440" s="1830"/>
      <c r="D440" s="1828"/>
      <c r="E440" s="1833" t="s">
        <v>218</v>
      </c>
      <c r="F440" s="1828"/>
      <c r="G440" s="62" t="s">
        <v>120</v>
      </c>
    </row>
    <row r="441" spans="1:7" ht="30.75" customHeight="1">
      <c r="A441" s="66" t="s">
        <v>711</v>
      </c>
      <c r="B441" s="1840" t="s">
        <v>704</v>
      </c>
      <c r="C441" s="1830"/>
      <c r="D441" s="1830"/>
      <c r="E441" s="1830"/>
      <c r="F441" s="1830"/>
      <c r="G441" s="1828"/>
    </row>
    <row r="442" spans="1:7" ht="14.25" customHeight="1">
      <c r="A442" s="1836" t="s">
        <v>220</v>
      </c>
      <c r="B442" s="1830"/>
      <c r="C442" s="1830"/>
      <c r="D442" s="1830"/>
      <c r="E442" s="1830"/>
      <c r="F442" s="1830"/>
      <c r="G442" s="1828"/>
    </row>
    <row r="443" spans="1:7" ht="14.25" customHeight="1">
      <c r="A443" s="1829" t="s">
        <v>221</v>
      </c>
      <c r="B443" s="1828"/>
      <c r="C443" s="63" t="s">
        <v>222</v>
      </c>
      <c r="D443" s="63" t="s">
        <v>223</v>
      </c>
      <c r="E443" s="63" t="s">
        <v>224</v>
      </c>
      <c r="F443" s="63" t="s">
        <v>225</v>
      </c>
      <c r="G443" s="63" t="s">
        <v>226</v>
      </c>
    </row>
    <row r="444" spans="1:7" ht="14.25" customHeight="1">
      <c r="A444" s="1845" t="s">
        <v>705</v>
      </c>
      <c r="B444" s="1828"/>
      <c r="C444" s="64">
        <v>25.67</v>
      </c>
      <c r="D444" s="64"/>
      <c r="E444" s="64"/>
      <c r="F444" s="64">
        <v>2</v>
      </c>
      <c r="G444" s="64">
        <f t="shared" ref="G444:G445" si="25">+F444*C444</f>
        <v>51.34</v>
      </c>
    </row>
    <row r="445" spans="1:7" ht="14.25" customHeight="1">
      <c r="A445" s="1845" t="s">
        <v>706</v>
      </c>
      <c r="B445" s="1828"/>
      <c r="C445" s="64">
        <v>45.87</v>
      </c>
      <c r="D445" s="64"/>
      <c r="E445" s="64"/>
      <c r="F445" s="64">
        <v>1</v>
      </c>
      <c r="G445" s="64">
        <f t="shared" si="25"/>
        <v>45.87</v>
      </c>
    </row>
    <row r="446" spans="1:7" ht="14.25" customHeight="1">
      <c r="A446" s="1845"/>
      <c r="B446" s="1828"/>
      <c r="C446" s="64"/>
      <c r="D446" s="64"/>
      <c r="E446" s="64"/>
      <c r="F446" s="64"/>
      <c r="G446" s="64"/>
    </row>
    <row r="447" spans="1:7" ht="14.25" customHeight="1">
      <c r="A447" s="1829" t="s">
        <v>227</v>
      </c>
      <c r="B447" s="1830"/>
      <c r="C447" s="1830"/>
      <c r="D447" s="1830"/>
      <c r="E447" s="1830"/>
      <c r="F447" s="1828"/>
      <c r="G447" s="191">
        <f>SUM(G444:G446)</f>
        <v>97.210000000000008</v>
      </c>
    </row>
    <row r="448" spans="1:7" ht="14.25" hidden="1" customHeight="1">
      <c r="A448" s="1831"/>
      <c r="B448" s="1830"/>
      <c r="C448" s="1830"/>
      <c r="D448" s="1830"/>
      <c r="E448" s="1830"/>
      <c r="F448" s="1830"/>
      <c r="G448" s="1828"/>
    </row>
    <row r="449" spans="1:7" ht="14.25" hidden="1" customHeight="1">
      <c r="A449" s="66" t="s">
        <v>240</v>
      </c>
      <c r="B449" s="1832" t="str">
        <f>+B440</f>
        <v>ESTRUCTURA METÁLICA</v>
      </c>
      <c r="C449" s="1830"/>
      <c r="D449" s="1828"/>
      <c r="E449" s="1833" t="s">
        <v>218</v>
      </c>
      <c r="F449" s="1828"/>
      <c r="G449" s="62" t="s">
        <v>228</v>
      </c>
    </row>
    <row r="450" spans="1:7" ht="14.25" hidden="1" customHeight="1">
      <c r="A450" s="66" t="s">
        <v>667</v>
      </c>
      <c r="B450" s="1840" t="s">
        <v>399</v>
      </c>
      <c r="C450" s="1830"/>
      <c r="D450" s="1830"/>
      <c r="E450" s="1830"/>
      <c r="F450" s="1830"/>
      <c r="G450" s="1828"/>
    </row>
    <row r="451" spans="1:7" ht="14.25" hidden="1" customHeight="1">
      <c r="A451" s="1836" t="s">
        <v>220</v>
      </c>
      <c r="B451" s="1830"/>
      <c r="C451" s="1830"/>
      <c r="D451" s="1830"/>
      <c r="E451" s="1830"/>
      <c r="F451" s="1830"/>
      <c r="G451" s="1828"/>
    </row>
    <row r="452" spans="1:7" ht="14.25" hidden="1" customHeight="1">
      <c r="A452" s="1829" t="s">
        <v>221</v>
      </c>
      <c r="B452" s="1828"/>
      <c r="C452" s="63" t="s">
        <v>222</v>
      </c>
      <c r="D452" s="63" t="s">
        <v>223</v>
      </c>
      <c r="E452" s="63" t="s">
        <v>224</v>
      </c>
      <c r="F452" s="63" t="s">
        <v>225</v>
      </c>
      <c r="G452" s="63" t="s">
        <v>226</v>
      </c>
    </row>
    <row r="453" spans="1:7" ht="14.25" hidden="1" customHeight="1">
      <c r="A453" s="1845" t="s">
        <v>707</v>
      </c>
      <c r="B453" s="1828"/>
      <c r="C453" s="64"/>
      <c r="D453" s="64"/>
      <c r="E453" s="64"/>
      <c r="F453" s="64"/>
      <c r="G453" s="64"/>
    </row>
    <row r="454" spans="1:7" ht="14.25" hidden="1" customHeight="1">
      <c r="A454" s="1845"/>
      <c r="B454" s="1828"/>
      <c r="C454" s="64"/>
      <c r="D454" s="64"/>
      <c r="E454" s="64"/>
      <c r="F454" s="64"/>
      <c r="G454" s="64"/>
    </row>
    <row r="455" spans="1:7" ht="14.25" hidden="1" customHeight="1">
      <c r="A455" s="1829" t="s">
        <v>227</v>
      </c>
      <c r="B455" s="1830"/>
      <c r="C455" s="1830"/>
      <c r="D455" s="1830"/>
      <c r="E455" s="1830"/>
      <c r="F455" s="1828"/>
      <c r="G455" s="191">
        <f>ROUND(SUM(G453:G454),2)</f>
        <v>0</v>
      </c>
    </row>
    <row r="456" spans="1:7" ht="14.25" hidden="1" customHeight="1">
      <c r="A456" s="1831"/>
      <c r="B456" s="1830"/>
      <c r="C456" s="1830"/>
      <c r="D456" s="1830"/>
      <c r="E456" s="1830"/>
      <c r="F456" s="1830"/>
      <c r="G456" s="1828"/>
    </row>
    <row r="457" spans="1:7" ht="14.25" hidden="1" customHeight="1">
      <c r="A457" s="66" t="s">
        <v>240</v>
      </c>
      <c r="B457" s="1832" t="str">
        <f>+B449</f>
        <v>ESTRUCTURA METÁLICA</v>
      </c>
      <c r="C457" s="1830"/>
      <c r="D457" s="1828"/>
      <c r="E457" s="1833" t="s">
        <v>218</v>
      </c>
      <c r="F457" s="1828"/>
      <c r="G457" s="62" t="s">
        <v>120</v>
      </c>
    </row>
    <row r="458" spans="1:7" ht="14.25" hidden="1" customHeight="1">
      <c r="A458" s="66" t="s">
        <v>696</v>
      </c>
      <c r="B458" s="1840" t="s">
        <v>400</v>
      </c>
      <c r="C458" s="1830"/>
      <c r="D458" s="1830"/>
      <c r="E458" s="1830"/>
      <c r="F458" s="1830"/>
      <c r="G458" s="1828"/>
    </row>
    <row r="459" spans="1:7" ht="14.25" hidden="1" customHeight="1">
      <c r="A459" s="1836" t="s">
        <v>220</v>
      </c>
      <c r="B459" s="1830"/>
      <c r="C459" s="1830"/>
      <c r="D459" s="1830"/>
      <c r="E459" s="1830"/>
      <c r="F459" s="1830"/>
      <c r="G459" s="1828"/>
    </row>
    <row r="460" spans="1:7" ht="14.25" hidden="1" customHeight="1">
      <c r="A460" s="1829" t="s">
        <v>221</v>
      </c>
      <c r="B460" s="1828"/>
      <c r="C460" s="63" t="s">
        <v>222</v>
      </c>
      <c r="D460" s="63" t="s">
        <v>223</v>
      </c>
      <c r="E460" s="63" t="s">
        <v>224</v>
      </c>
      <c r="F460" s="63" t="s">
        <v>225</v>
      </c>
      <c r="G460" s="63" t="s">
        <v>226</v>
      </c>
    </row>
    <row r="461" spans="1:7" ht="14.25" hidden="1" customHeight="1">
      <c r="A461" s="1845"/>
      <c r="B461" s="1828"/>
      <c r="C461" s="192"/>
      <c r="D461" s="64"/>
      <c r="E461" s="64"/>
      <c r="F461" s="64"/>
      <c r="G461" s="64"/>
    </row>
    <row r="462" spans="1:7" ht="14.25" hidden="1" customHeight="1">
      <c r="A462" s="1845"/>
      <c r="B462" s="1828"/>
      <c r="C462" s="64"/>
      <c r="D462" s="64"/>
      <c r="E462" s="64"/>
      <c r="F462" s="64"/>
      <c r="G462" s="64"/>
    </row>
    <row r="463" spans="1:7" ht="14.25" hidden="1" customHeight="1">
      <c r="A463" s="1829" t="s">
        <v>227</v>
      </c>
      <c r="B463" s="1830"/>
      <c r="C463" s="1830"/>
      <c r="D463" s="1830"/>
      <c r="E463" s="1830"/>
      <c r="F463" s="1828"/>
      <c r="G463" s="191">
        <f>ROUND(SUM(G461:G462),2)</f>
        <v>0</v>
      </c>
    </row>
    <row r="464" spans="1:7" ht="14.25" customHeight="1">
      <c r="A464" s="1831"/>
      <c r="B464" s="1830"/>
      <c r="C464" s="1830"/>
      <c r="D464" s="1830"/>
      <c r="E464" s="1830"/>
      <c r="F464" s="1830"/>
      <c r="G464" s="1828"/>
    </row>
    <row r="465" spans="1:7" ht="14.25" customHeight="1">
      <c r="A465" s="66" t="s">
        <v>240</v>
      </c>
      <c r="B465" s="1832" t="str">
        <f>+B457</f>
        <v>ESTRUCTURA METÁLICA</v>
      </c>
      <c r="C465" s="1830"/>
      <c r="D465" s="1828"/>
      <c r="E465" s="1833" t="s">
        <v>218</v>
      </c>
      <c r="F465" s="1828"/>
      <c r="G465" s="62" t="s">
        <v>120</v>
      </c>
    </row>
    <row r="466" spans="1:7" ht="14.25" customHeight="1">
      <c r="A466" s="66" t="s">
        <v>712</v>
      </c>
      <c r="B466" s="1840" t="s">
        <v>402</v>
      </c>
      <c r="C466" s="1830"/>
      <c r="D466" s="1830"/>
      <c r="E466" s="1830"/>
      <c r="F466" s="1830"/>
      <c r="G466" s="1828"/>
    </row>
    <row r="467" spans="1:7" ht="14.25" customHeight="1">
      <c r="A467" s="1836" t="s">
        <v>220</v>
      </c>
      <c r="B467" s="1830"/>
      <c r="C467" s="1830"/>
      <c r="D467" s="1830"/>
      <c r="E467" s="1830"/>
      <c r="F467" s="1830"/>
      <c r="G467" s="1828"/>
    </row>
    <row r="468" spans="1:7" ht="14.25" customHeight="1">
      <c r="A468" s="1829" t="s">
        <v>221</v>
      </c>
      <c r="B468" s="1828"/>
      <c r="C468" s="63" t="s">
        <v>222</v>
      </c>
      <c r="D468" s="63" t="s">
        <v>223</v>
      </c>
      <c r="E468" s="63" t="s">
        <v>224</v>
      </c>
      <c r="F468" s="63" t="s">
        <v>225</v>
      </c>
      <c r="G468" s="63" t="s">
        <v>226</v>
      </c>
    </row>
    <row r="469" spans="1:7" ht="14.25" customHeight="1">
      <c r="A469" s="1847" t="s">
        <v>699</v>
      </c>
      <c r="B469" s="1828"/>
      <c r="C469" s="64"/>
      <c r="D469" s="64"/>
      <c r="E469" s="64"/>
      <c r="F469" s="64"/>
      <c r="G469" s="64"/>
    </row>
    <row r="470" spans="1:7" ht="14.25" customHeight="1">
      <c r="A470" s="1845" t="s">
        <v>964</v>
      </c>
      <c r="B470" s="1828"/>
      <c r="C470" s="64">
        <v>163.15</v>
      </c>
      <c r="D470" s="64"/>
      <c r="E470" s="64"/>
      <c r="F470" s="64"/>
      <c r="G470" s="64">
        <f>+C470</f>
        <v>163.15</v>
      </c>
    </row>
    <row r="471" spans="1:7" ht="14.25" customHeight="1">
      <c r="A471" s="1829" t="s">
        <v>227</v>
      </c>
      <c r="B471" s="1830"/>
      <c r="C471" s="1830"/>
      <c r="D471" s="1830"/>
      <c r="E471" s="1830"/>
      <c r="F471" s="1828"/>
      <c r="G471" s="191">
        <f>SUM(G469:G470)</f>
        <v>163.15</v>
      </c>
    </row>
    <row r="472" spans="1:7" ht="14.25" customHeight="1">
      <c r="A472" s="1831"/>
      <c r="B472" s="1830"/>
      <c r="C472" s="1830"/>
      <c r="D472" s="1830"/>
      <c r="E472" s="1830"/>
      <c r="F472" s="1830"/>
      <c r="G472" s="1828"/>
    </row>
    <row r="473" spans="1:7" ht="14.25" customHeight="1">
      <c r="A473" s="66" t="s">
        <v>240</v>
      </c>
      <c r="B473" s="1832" t="str">
        <f>+B465</f>
        <v>ESTRUCTURA METÁLICA</v>
      </c>
      <c r="C473" s="1830"/>
      <c r="D473" s="1828"/>
      <c r="E473" s="1833" t="s">
        <v>218</v>
      </c>
      <c r="F473" s="1828"/>
      <c r="G473" s="62" t="s">
        <v>120</v>
      </c>
    </row>
    <row r="474" spans="1:7" ht="14.25" customHeight="1">
      <c r="A474" s="66" t="s">
        <v>714</v>
      </c>
      <c r="B474" s="1840" t="s">
        <v>404</v>
      </c>
      <c r="C474" s="1830"/>
      <c r="D474" s="1830"/>
      <c r="E474" s="1830"/>
      <c r="F474" s="1830"/>
      <c r="G474" s="1828"/>
    </row>
    <row r="475" spans="1:7" ht="14.25" customHeight="1">
      <c r="A475" s="1836" t="s">
        <v>220</v>
      </c>
      <c r="B475" s="1830"/>
      <c r="C475" s="1830"/>
      <c r="D475" s="1830"/>
      <c r="E475" s="1830"/>
      <c r="F475" s="1830"/>
      <c r="G475" s="1828"/>
    </row>
    <row r="476" spans="1:7" ht="14.25" customHeight="1">
      <c r="A476" s="1829" t="s">
        <v>221</v>
      </c>
      <c r="B476" s="1828"/>
      <c r="C476" s="63" t="s">
        <v>222</v>
      </c>
      <c r="D476" s="63" t="s">
        <v>223</v>
      </c>
      <c r="E476" s="63" t="s">
        <v>224</v>
      </c>
      <c r="F476" s="63" t="s">
        <v>225</v>
      </c>
      <c r="G476" s="63" t="s">
        <v>226</v>
      </c>
    </row>
    <row r="477" spans="1:7" ht="14.25" customHeight="1">
      <c r="A477" s="1847" t="s">
        <v>699</v>
      </c>
      <c r="B477" s="1828"/>
      <c r="C477" s="64"/>
      <c r="D477" s="64"/>
      <c r="E477" s="64"/>
      <c r="F477" s="64"/>
      <c r="G477" s="64"/>
    </row>
    <row r="478" spans="1:7" ht="14.25" customHeight="1">
      <c r="A478" s="1845" t="s">
        <v>966</v>
      </c>
      <c r="B478" s="1828"/>
      <c r="C478" s="64">
        <v>284.64999999999998</v>
      </c>
      <c r="D478" s="64"/>
      <c r="E478" s="64"/>
      <c r="F478" s="64"/>
      <c r="G478" s="64">
        <f>+C478</f>
        <v>284.64999999999998</v>
      </c>
    </row>
    <row r="479" spans="1:7" ht="14.25" customHeight="1">
      <c r="A479" s="1829" t="s">
        <v>227</v>
      </c>
      <c r="B479" s="1830"/>
      <c r="C479" s="1830"/>
      <c r="D479" s="1830"/>
      <c r="E479" s="1830"/>
      <c r="F479" s="1828"/>
      <c r="G479" s="191">
        <f>ROUND(SUM(G477:G478),2)</f>
        <v>284.64999999999998</v>
      </c>
    </row>
    <row r="480" spans="1:7" ht="14.25" customHeight="1">
      <c r="A480" s="1831"/>
      <c r="B480" s="1830"/>
      <c r="C480" s="1830"/>
      <c r="D480" s="1830"/>
      <c r="E480" s="1830"/>
      <c r="F480" s="1830"/>
      <c r="G480" s="1828"/>
    </row>
    <row r="481" spans="1:7" ht="14.25" customHeight="1">
      <c r="A481" s="66" t="s">
        <v>249</v>
      </c>
      <c r="B481" s="1832" t="s">
        <v>405</v>
      </c>
      <c r="C481" s="1830"/>
      <c r="D481" s="1828"/>
      <c r="E481" s="1833" t="s">
        <v>218</v>
      </c>
      <c r="F481" s="1828"/>
      <c r="G481" s="62" t="s">
        <v>228</v>
      </c>
    </row>
    <row r="482" spans="1:7" ht="30" customHeight="1">
      <c r="A482" s="66" t="s">
        <v>250</v>
      </c>
      <c r="B482" s="1840" t="s">
        <v>716</v>
      </c>
      <c r="C482" s="1830"/>
      <c r="D482" s="1830"/>
      <c r="E482" s="1830"/>
      <c r="F482" s="1830"/>
      <c r="G482" s="1828"/>
    </row>
    <row r="483" spans="1:7" ht="14.25" customHeight="1">
      <c r="A483" s="1836" t="s">
        <v>220</v>
      </c>
      <c r="B483" s="1830"/>
      <c r="C483" s="1830"/>
      <c r="D483" s="1830"/>
      <c r="E483" s="1830"/>
      <c r="F483" s="1830"/>
      <c r="G483" s="1828"/>
    </row>
    <row r="484" spans="1:7" ht="14.25" customHeight="1">
      <c r="A484" s="1829" t="s">
        <v>221</v>
      </c>
      <c r="B484" s="1828"/>
      <c r="C484" s="63" t="s">
        <v>222</v>
      </c>
      <c r="D484" s="63" t="s">
        <v>223</v>
      </c>
      <c r="E484" s="63" t="s">
        <v>248</v>
      </c>
      <c r="F484" s="63" t="s">
        <v>225</v>
      </c>
      <c r="G484" s="63" t="s">
        <v>226</v>
      </c>
    </row>
    <row r="485" spans="1:7" ht="14.25" customHeight="1">
      <c r="A485" s="1847" t="s">
        <v>737</v>
      </c>
      <c r="B485" s="1828"/>
      <c r="C485" s="64"/>
      <c r="D485" s="64"/>
      <c r="E485" s="64"/>
      <c r="F485" s="64"/>
      <c r="G485" s="64"/>
    </row>
    <row r="486" spans="1:7" ht="15" customHeight="1">
      <c r="A486" s="1844" t="s">
        <v>1005</v>
      </c>
      <c r="B486" s="1828"/>
      <c r="C486" s="64">
        <v>132.44999999999999</v>
      </c>
      <c r="D486" s="64">
        <v>18.246542091355231</v>
      </c>
      <c r="E486" s="64"/>
      <c r="F486" s="64">
        <v>2</v>
      </c>
      <c r="G486" s="64">
        <f>+F486*D486*C486</f>
        <v>4833.509</v>
      </c>
    </row>
    <row r="487" spans="1:7" ht="14.25" customHeight="1">
      <c r="A487" s="1844"/>
      <c r="B487" s="1828"/>
      <c r="C487" s="64"/>
      <c r="D487" s="64"/>
      <c r="E487" s="64"/>
      <c r="F487" s="64"/>
      <c r="G487" s="64"/>
    </row>
    <row r="488" spans="1:7" ht="14.25" customHeight="1">
      <c r="A488" s="1829" t="s">
        <v>227</v>
      </c>
      <c r="B488" s="1830"/>
      <c r="C488" s="1830"/>
      <c r="D488" s="1830"/>
      <c r="E488" s="1830"/>
      <c r="F488" s="1828"/>
      <c r="G488" s="65">
        <f>ROUND(SUM(G485:G487),2)</f>
        <v>4833.51</v>
      </c>
    </row>
    <row r="489" spans="1:7" ht="14.25" customHeight="1">
      <c r="A489" s="1831"/>
      <c r="B489" s="1830"/>
      <c r="C489" s="1830"/>
      <c r="D489" s="1830"/>
      <c r="E489" s="1830"/>
      <c r="F489" s="1830"/>
      <c r="G489" s="1828"/>
    </row>
    <row r="490" spans="1:7" ht="14.25" hidden="1" customHeight="1">
      <c r="A490" s="66" t="s">
        <v>249</v>
      </c>
      <c r="B490" s="1832" t="str">
        <f>+B481</f>
        <v>PISOS Y ENCHAPES</v>
      </c>
      <c r="C490" s="1830"/>
      <c r="D490" s="1828"/>
      <c r="E490" s="1833" t="s">
        <v>218</v>
      </c>
      <c r="F490" s="1828"/>
      <c r="G490" s="62" t="s">
        <v>228</v>
      </c>
    </row>
    <row r="491" spans="1:7" ht="14.25" hidden="1" customHeight="1">
      <c r="A491" s="66" t="s">
        <v>251</v>
      </c>
      <c r="B491" s="1840" t="s">
        <v>722</v>
      </c>
      <c r="C491" s="1830"/>
      <c r="D491" s="1830"/>
      <c r="E491" s="1830"/>
      <c r="F491" s="1830"/>
      <c r="G491" s="1828"/>
    </row>
    <row r="492" spans="1:7" ht="14.25" hidden="1" customHeight="1">
      <c r="A492" s="1836" t="s">
        <v>220</v>
      </c>
      <c r="B492" s="1830"/>
      <c r="C492" s="1830"/>
      <c r="D492" s="1830"/>
      <c r="E492" s="1830"/>
      <c r="F492" s="1830"/>
      <c r="G492" s="1828"/>
    </row>
    <row r="493" spans="1:7" ht="14.25" hidden="1" customHeight="1">
      <c r="A493" s="1829" t="s">
        <v>221</v>
      </c>
      <c r="B493" s="1828"/>
      <c r="C493" s="63" t="s">
        <v>222</v>
      </c>
      <c r="D493" s="63" t="s">
        <v>223</v>
      </c>
      <c r="E493" s="63" t="s">
        <v>224</v>
      </c>
      <c r="F493" s="63" t="s">
        <v>225</v>
      </c>
      <c r="G493" s="63" t="s">
        <v>226</v>
      </c>
    </row>
    <row r="494" spans="1:7" ht="14.25" hidden="1" customHeight="1">
      <c r="A494" s="1845" t="s">
        <v>723</v>
      </c>
      <c r="B494" s="1828"/>
      <c r="C494" s="64">
        <v>13.5</v>
      </c>
      <c r="D494" s="64">
        <v>4.2</v>
      </c>
      <c r="E494" s="64"/>
      <c r="F494" s="64"/>
      <c r="G494" s="64">
        <f t="shared" ref="G494:G495" si="26">+C494*D494</f>
        <v>56.7</v>
      </c>
    </row>
    <row r="495" spans="1:7" ht="14.25" hidden="1" customHeight="1">
      <c r="A495" s="1844" t="s">
        <v>724</v>
      </c>
      <c r="B495" s="1828"/>
      <c r="C495" s="64">
        <v>22.48</v>
      </c>
      <c r="D495" s="64">
        <f>74.53/C495</f>
        <v>3.3153914590747329</v>
      </c>
      <c r="E495" s="64"/>
      <c r="F495" s="64"/>
      <c r="G495" s="64">
        <f t="shared" si="26"/>
        <v>74.53</v>
      </c>
    </row>
    <row r="496" spans="1:7" ht="14.25" hidden="1" customHeight="1">
      <c r="A496" s="1844"/>
      <c r="B496" s="1828"/>
      <c r="C496" s="64"/>
      <c r="D496" s="64"/>
      <c r="E496" s="64"/>
      <c r="F496" s="64"/>
      <c r="G496" s="64"/>
    </row>
    <row r="497" spans="1:7" ht="14.25" hidden="1" customHeight="1">
      <c r="A497" s="1829" t="s">
        <v>227</v>
      </c>
      <c r="B497" s="1830"/>
      <c r="C497" s="1830"/>
      <c r="D497" s="1830"/>
      <c r="E497" s="1830"/>
      <c r="F497" s="1828"/>
      <c r="G497" s="191"/>
    </row>
    <row r="498" spans="1:7" ht="14.25" hidden="1" customHeight="1">
      <c r="A498" s="1831"/>
      <c r="B498" s="1830"/>
      <c r="C498" s="1830"/>
      <c r="D498" s="1830"/>
      <c r="E498" s="1830"/>
      <c r="F498" s="1830"/>
      <c r="G498" s="1828"/>
    </row>
    <row r="499" spans="1:7" ht="14.25" customHeight="1">
      <c r="A499" s="66" t="s">
        <v>249</v>
      </c>
      <c r="B499" s="1832" t="str">
        <f>+B490</f>
        <v>PISOS Y ENCHAPES</v>
      </c>
      <c r="C499" s="1830"/>
      <c r="D499" s="1828"/>
      <c r="E499" s="1833" t="s">
        <v>218</v>
      </c>
      <c r="F499" s="1828"/>
      <c r="G499" s="62" t="s">
        <v>228</v>
      </c>
    </row>
    <row r="500" spans="1:7" ht="14.25" customHeight="1">
      <c r="A500" s="66" t="s">
        <v>251</v>
      </c>
      <c r="B500" s="1840" t="s">
        <v>725</v>
      </c>
      <c r="C500" s="1830"/>
      <c r="D500" s="1830"/>
      <c r="E500" s="1830"/>
      <c r="F500" s="1830"/>
      <c r="G500" s="1828"/>
    </row>
    <row r="501" spans="1:7" ht="14.25" customHeight="1">
      <c r="A501" s="1836" t="s">
        <v>220</v>
      </c>
      <c r="B501" s="1830"/>
      <c r="C501" s="1830"/>
      <c r="D501" s="1830"/>
      <c r="E501" s="1830"/>
      <c r="F501" s="1830"/>
      <c r="G501" s="1828"/>
    </row>
    <row r="502" spans="1:7" ht="14.25" customHeight="1">
      <c r="A502" s="1829" t="s">
        <v>221</v>
      </c>
      <c r="B502" s="1828"/>
      <c r="C502" s="63" t="s">
        <v>222</v>
      </c>
      <c r="D502" s="63" t="s">
        <v>223</v>
      </c>
      <c r="E502" s="63" t="s">
        <v>224</v>
      </c>
      <c r="F502" s="63" t="s">
        <v>225</v>
      </c>
      <c r="G502" s="63" t="s">
        <v>226</v>
      </c>
    </row>
    <row r="503" spans="1:7" ht="14.25" customHeight="1">
      <c r="A503" s="1845" t="s">
        <v>1006</v>
      </c>
      <c r="B503" s="1828"/>
      <c r="C503" s="64">
        <v>9.7687667238421945</v>
      </c>
      <c r="D503" s="64">
        <v>1.2</v>
      </c>
      <c r="E503" s="64"/>
      <c r="F503" s="64">
        <v>2</v>
      </c>
      <c r="G503" s="64">
        <f t="shared" ref="G503:G504" si="27">+F503*D503*C503</f>
        <v>23.445040137221266</v>
      </c>
    </row>
    <row r="504" spans="1:7" ht="14.25" customHeight="1">
      <c r="A504" s="1845" t="s">
        <v>1007</v>
      </c>
      <c r="B504" s="1828"/>
      <c r="C504" s="64">
        <v>9.75</v>
      </c>
      <c r="D504" s="64">
        <v>1.4</v>
      </c>
      <c r="E504" s="64"/>
      <c r="F504" s="64">
        <v>2</v>
      </c>
      <c r="G504" s="64">
        <f t="shared" si="27"/>
        <v>27.299999999999997</v>
      </c>
    </row>
    <row r="505" spans="1:7" ht="14.25" customHeight="1">
      <c r="A505" s="1845"/>
      <c r="B505" s="1828"/>
      <c r="C505" s="64"/>
      <c r="D505" s="64"/>
      <c r="E505" s="64"/>
      <c r="F505" s="64"/>
      <c r="G505" s="64"/>
    </row>
    <row r="506" spans="1:7" ht="14.25" customHeight="1">
      <c r="A506" s="1829" t="s">
        <v>227</v>
      </c>
      <c r="B506" s="1830"/>
      <c r="C506" s="1830"/>
      <c r="D506" s="1830"/>
      <c r="E506" s="1830"/>
      <c r="F506" s="1828"/>
      <c r="G506" s="65">
        <f>ROUND(SUM(G503:G505),2)</f>
        <v>50.75</v>
      </c>
    </row>
    <row r="507" spans="1:7" ht="14.25" customHeight="1">
      <c r="A507" s="1831"/>
      <c r="B507" s="1830"/>
      <c r="C507" s="1830"/>
      <c r="D507" s="1830"/>
      <c r="E507" s="1830"/>
      <c r="F507" s="1830"/>
      <c r="G507" s="1828"/>
    </row>
    <row r="508" spans="1:7" ht="14.25" customHeight="1">
      <c r="A508" s="66" t="s">
        <v>249</v>
      </c>
      <c r="B508" s="1832" t="str">
        <f>+B499</f>
        <v>PISOS Y ENCHAPES</v>
      </c>
      <c r="C508" s="1830"/>
      <c r="D508" s="1828"/>
      <c r="E508" s="1833" t="s">
        <v>218</v>
      </c>
      <c r="F508" s="1828"/>
      <c r="G508" s="62" t="s">
        <v>228</v>
      </c>
    </row>
    <row r="509" spans="1:7" ht="30.75" customHeight="1">
      <c r="A509" s="66" t="s">
        <v>253</v>
      </c>
      <c r="B509" s="1840" t="s">
        <v>1008</v>
      </c>
      <c r="C509" s="1830"/>
      <c r="D509" s="1830"/>
      <c r="E509" s="1830"/>
      <c r="F509" s="1830"/>
      <c r="G509" s="1828"/>
    </row>
    <row r="510" spans="1:7" ht="14.25" customHeight="1">
      <c r="A510" s="1836" t="s">
        <v>220</v>
      </c>
      <c r="B510" s="1830"/>
      <c r="C510" s="1830"/>
      <c r="D510" s="1830"/>
      <c r="E510" s="1830"/>
      <c r="F510" s="1830"/>
      <c r="G510" s="1828"/>
    </row>
    <row r="511" spans="1:7" ht="14.25" customHeight="1">
      <c r="A511" s="1829" t="s">
        <v>221</v>
      </c>
      <c r="B511" s="1828"/>
      <c r="C511" s="63" t="s">
        <v>222</v>
      </c>
      <c r="D511" s="63" t="s">
        <v>223</v>
      </c>
      <c r="E511" s="63" t="s">
        <v>224</v>
      </c>
      <c r="F511" s="63" t="s">
        <v>225</v>
      </c>
      <c r="G511" s="63" t="s">
        <v>226</v>
      </c>
    </row>
    <row r="512" spans="1:7" ht="14.25" customHeight="1">
      <c r="A512" s="1846" t="s">
        <v>1009</v>
      </c>
      <c r="B512" s="1843"/>
      <c r="C512" s="64">
        <v>106.3</v>
      </c>
      <c r="D512" s="64">
        <v>10.00931326434619</v>
      </c>
      <c r="E512" s="64"/>
      <c r="F512" s="64">
        <v>1</v>
      </c>
      <c r="G512" s="64">
        <f t="shared" ref="G512:G514" si="28">+F512*D512*C512</f>
        <v>1063.99</v>
      </c>
    </row>
    <row r="513" spans="1:8" ht="14.25" customHeight="1">
      <c r="A513" s="1845" t="s">
        <v>1010</v>
      </c>
      <c r="B513" s="1828"/>
      <c r="C513" s="64">
        <v>73.7</v>
      </c>
      <c r="D513" s="64">
        <v>9.9999999999999982</v>
      </c>
      <c r="E513" s="64"/>
      <c r="F513" s="64">
        <v>1</v>
      </c>
      <c r="G513" s="64">
        <f t="shared" si="28"/>
        <v>736.99999999999989</v>
      </c>
      <c r="H513" s="59"/>
    </row>
    <row r="514" spans="1:8" ht="14.25" customHeight="1">
      <c r="A514" s="1844" t="s">
        <v>1011</v>
      </c>
      <c r="B514" s="1830"/>
      <c r="C514" s="64">
        <v>151.69999999999999</v>
      </c>
      <c r="D514" s="64">
        <v>10.006130520764669</v>
      </c>
      <c r="E514" s="64"/>
      <c r="F514" s="64">
        <v>1</v>
      </c>
      <c r="G514" s="64">
        <f t="shared" si="28"/>
        <v>1517.9300000000003</v>
      </c>
      <c r="H514" s="59"/>
    </row>
    <row r="515" spans="1:8" ht="14.25" customHeight="1">
      <c r="A515" s="1829" t="s">
        <v>227</v>
      </c>
      <c r="B515" s="1830"/>
      <c r="C515" s="1830"/>
      <c r="D515" s="1830"/>
      <c r="E515" s="1830"/>
      <c r="F515" s="1828"/>
      <c r="G515" s="191">
        <f>ROUND(SUM(G512:G514),2)</f>
        <v>3318.92</v>
      </c>
      <c r="H515" s="59"/>
    </row>
    <row r="516" spans="1:8" ht="14.25" customHeight="1">
      <c r="A516" s="1831"/>
      <c r="B516" s="1830"/>
      <c r="C516" s="1830"/>
      <c r="D516" s="1830"/>
      <c r="E516" s="1830"/>
      <c r="F516" s="1830"/>
      <c r="G516" s="1828"/>
      <c r="H516" s="59"/>
    </row>
    <row r="517" spans="1:8" ht="14.25" customHeight="1">
      <c r="A517" s="66" t="s">
        <v>249</v>
      </c>
      <c r="B517" s="1832" t="str">
        <f>+B508</f>
        <v>PISOS Y ENCHAPES</v>
      </c>
      <c r="C517" s="1830"/>
      <c r="D517" s="1828"/>
      <c r="E517" s="1833" t="s">
        <v>218</v>
      </c>
      <c r="F517" s="1828"/>
      <c r="G517" s="62" t="s">
        <v>228</v>
      </c>
      <c r="H517" s="59"/>
    </row>
    <row r="518" spans="1:8" ht="24.75" customHeight="1">
      <c r="A518" s="66" t="s">
        <v>256</v>
      </c>
      <c r="B518" s="1840" t="s">
        <v>1012</v>
      </c>
      <c r="C518" s="1830"/>
      <c r="D518" s="1830"/>
      <c r="E518" s="1830"/>
      <c r="F518" s="1830"/>
      <c r="G518" s="1828"/>
      <c r="H518" s="59"/>
    </row>
    <row r="519" spans="1:8" ht="14.25" customHeight="1">
      <c r="A519" s="1836" t="s">
        <v>220</v>
      </c>
      <c r="B519" s="1830"/>
      <c r="C519" s="1830"/>
      <c r="D519" s="1830"/>
      <c r="E519" s="1830"/>
      <c r="F519" s="1830"/>
      <c r="G519" s="1828"/>
      <c r="H519" s="59"/>
    </row>
    <row r="520" spans="1:8" ht="14.25" customHeight="1">
      <c r="A520" s="1829" t="s">
        <v>221</v>
      </c>
      <c r="B520" s="1828"/>
      <c r="C520" s="63" t="s">
        <v>222</v>
      </c>
      <c r="D520" s="63" t="s">
        <v>223</v>
      </c>
      <c r="E520" s="63" t="s">
        <v>224</v>
      </c>
      <c r="F520" s="63" t="s">
        <v>225</v>
      </c>
      <c r="G520" s="63" t="s">
        <v>226</v>
      </c>
      <c r="H520" s="59"/>
    </row>
    <row r="521" spans="1:8" ht="14.25" customHeight="1">
      <c r="A521" s="1846" t="s">
        <v>1013</v>
      </c>
      <c r="B521" s="1843"/>
      <c r="C521" s="64">
        <v>18.628007385350713</v>
      </c>
      <c r="D521" s="64">
        <v>14.623763837638377</v>
      </c>
      <c r="E521" s="64"/>
      <c r="F521" s="64">
        <v>1</v>
      </c>
      <c r="G521" s="64">
        <f>+F521*D521*C521</f>
        <v>272.41158076915235</v>
      </c>
      <c r="H521" s="59"/>
    </row>
    <row r="522" spans="1:8" ht="14.25" customHeight="1">
      <c r="A522" s="1867"/>
      <c r="B522" s="1828"/>
      <c r="C522" s="193"/>
      <c r="D522" s="193"/>
      <c r="E522" s="193"/>
      <c r="F522" s="193"/>
      <c r="G522" s="193"/>
      <c r="H522" s="59"/>
    </row>
    <row r="523" spans="1:8" ht="14.25" customHeight="1">
      <c r="A523" s="1829" t="s">
        <v>227</v>
      </c>
      <c r="B523" s="1830"/>
      <c r="C523" s="1830"/>
      <c r="D523" s="1830"/>
      <c r="E523" s="1830"/>
      <c r="F523" s="1828"/>
      <c r="G523" s="191">
        <f>ROUND((SUM(G521:G522)),2)</f>
        <v>272.41000000000003</v>
      </c>
      <c r="H523" s="59">
        <v>271.41000000000003</v>
      </c>
    </row>
    <row r="524" spans="1:8" ht="14.25" customHeight="1">
      <c r="A524" s="1831"/>
      <c r="B524" s="1830"/>
      <c r="C524" s="1830"/>
      <c r="D524" s="1830"/>
      <c r="E524" s="1830"/>
      <c r="F524" s="1830"/>
      <c r="G524" s="1828"/>
      <c r="H524" s="59"/>
    </row>
    <row r="525" spans="1:8" ht="14.25" customHeight="1">
      <c r="A525" s="66" t="s">
        <v>249</v>
      </c>
      <c r="B525" s="1832" t="str">
        <f>+B517</f>
        <v>PISOS Y ENCHAPES</v>
      </c>
      <c r="C525" s="1830"/>
      <c r="D525" s="1828"/>
      <c r="E525" s="1833" t="s">
        <v>218</v>
      </c>
      <c r="F525" s="1828"/>
      <c r="G525" s="62" t="s">
        <v>228</v>
      </c>
      <c r="H525" s="59"/>
    </row>
    <row r="526" spans="1:8" ht="14.25" customHeight="1">
      <c r="A526" s="66" t="s">
        <v>257</v>
      </c>
      <c r="B526" s="1840" t="s">
        <v>1014</v>
      </c>
      <c r="C526" s="1830"/>
      <c r="D526" s="1830"/>
      <c r="E526" s="1830"/>
      <c r="F526" s="1830"/>
      <c r="G526" s="1828"/>
      <c r="H526" s="59"/>
    </row>
    <row r="527" spans="1:8" ht="14.25" customHeight="1">
      <c r="A527" s="1836" t="s">
        <v>220</v>
      </c>
      <c r="B527" s="1830"/>
      <c r="C527" s="1830"/>
      <c r="D527" s="1830"/>
      <c r="E527" s="1830"/>
      <c r="F527" s="1830"/>
      <c r="G527" s="1828"/>
      <c r="H527" s="59"/>
    </row>
    <row r="528" spans="1:8" ht="14.25" customHeight="1">
      <c r="A528" s="1829" t="s">
        <v>221</v>
      </c>
      <c r="B528" s="1828"/>
      <c r="C528" s="63" t="s">
        <v>222</v>
      </c>
      <c r="D528" s="63" t="s">
        <v>223</v>
      </c>
      <c r="E528" s="63" t="s">
        <v>224</v>
      </c>
      <c r="F528" s="63" t="s">
        <v>225</v>
      </c>
      <c r="G528" s="63" t="s">
        <v>226</v>
      </c>
      <c r="H528" s="59"/>
    </row>
    <row r="529" spans="1:8" ht="14.25" customHeight="1">
      <c r="A529" s="1845" t="s">
        <v>1015</v>
      </c>
      <c r="B529" s="1828"/>
      <c r="C529" s="64">
        <v>80.150000000000006</v>
      </c>
      <c r="D529" s="64">
        <v>2</v>
      </c>
      <c r="E529" s="64"/>
      <c r="F529" s="64">
        <v>1</v>
      </c>
      <c r="G529" s="64">
        <f t="shared" ref="G529:G530" si="29">+F529*D529*C529</f>
        <v>160.30000000000001</v>
      </c>
      <c r="H529" s="59">
        <v>160.30000000000001</v>
      </c>
    </row>
    <row r="530" spans="1:8" ht="14.25" customHeight="1">
      <c r="A530" s="1845" t="s">
        <v>1016</v>
      </c>
      <c r="B530" s="1828"/>
      <c r="C530" s="64">
        <v>74.58</v>
      </c>
      <c r="D530" s="64">
        <v>1.5363368195226603</v>
      </c>
      <c r="E530" s="64"/>
      <c r="F530" s="64">
        <v>1</v>
      </c>
      <c r="G530" s="64">
        <f t="shared" si="29"/>
        <v>114.58</v>
      </c>
      <c r="H530" s="59">
        <v>114.58</v>
      </c>
    </row>
    <row r="531" spans="1:8" ht="14.25" customHeight="1">
      <c r="A531" s="1829" t="s">
        <v>227</v>
      </c>
      <c r="B531" s="1830"/>
      <c r="C531" s="1830"/>
      <c r="D531" s="1830"/>
      <c r="E531" s="1830"/>
      <c r="F531" s="1828"/>
      <c r="G531" s="65">
        <f>ROUND(SUM(G529:G530),2)</f>
        <v>274.88</v>
      </c>
      <c r="H531" s="59">
        <v>274.88</v>
      </c>
    </row>
    <row r="532" spans="1:8" ht="14.25" customHeight="1">
      <c r="A532" s="1831"/>
      <c r="B532" s="1830"/>
      <c r="C532" s="1830"/>
      <c r="D532" s="1830"/>
      <c r="E532" s="1830"/>
      <c r="F532" s="1830"/>
      <c r="G532" s="1828"/>
      <c r="H532" s="59"/>
    </row>
    <row r="533" spans="1:8" ht="14.25" customHeight="1">
      <c r="A533" s="66" t="s">
        <v>249</v>
      </c>
      <c r="B533" s="1832" t="str">
        <f>+B525</f>
        <v>PISOS Y ENCHAPES</v>
      </c>
      <c r="C533" s="1830"/>
      <c r="D533" s="1828"/>
      <c r="E533" s="1833" t="s">
        <v>218</v>
      </c>
      <c r="F533" s="1828"/>
      <c r="G533" s="62" t="s">
        <v>228</v>
      </c>
      <c r="H533" s="59"/>
    </row>
    <row r="534" spans="1:8" ht="14.25" customHeight="1">
      <c r="A534" s="66" t="s">
        <v>258</v>
      </c>
      <c r="B534" s="1840" t="s">
        <v>1017</v>
      </c>
      <c r="C534" s="1830"/>
      <c r="D534" s="1830"/>
      <c r="E534" s="1830"/>
      <c r="F534" s="1830"/>
      <c r="G534" s="1828"/>
      <c r="H534" s="59"/>
    </row>
    <row r="535" spans="1:8" ht="14.25" customHeight="1">
      <c r="A535" s="1836" t="s">
        <v>220</v>
      </c>
      <c r="B535" s="1830"/>
      <c r="C535" s="1830"/>
      <c r="D535" s="1830"/>
      <c r="E535" s="1830"/>
      <c r="F535" s="1830"/>
      <c r="G535" s="1828"/>
      <c r="H535" s="59"/>
    </row>
    <row r="536" spans="1:8" ht="14.25" customHeight="1">
      <c r="A536" s="1829" t="s">
        <v>221</v>
      </c>
      <c r="B536" s="1828"/>
      <c r="C536" s="63" t="s">
        <v>222</v>
      </c>
      <c r="D536" s="63" t="s">
        <v>223</v>
      </c>
      <c r="E536" s="63" t="s">
        <v>224</v>
      </c>
      <c r="F536" s="63" t="s">
        <v>225</v>
      </c>
      <c r="G536" s="63" t="s">
        <v>226</v>
      </c>
      <c r="H536" s="59"/>
    </row>
    <row r="537" spans="1:8" ht="14.25" customHeight="1">
      <c r="A537" s="1845" t="s">
        <v>1018</v>
      </c>
      <c r="B537" s="1828"/>
      <c r="C537" s="64">
        <v>21.5</v>
      </c>
      <c r="D537" s="64">
        <v>8.1725581395348854</v>
      </c>
      <c r="E537" s="64"/>
      <c r="F537" s="64">
        <v>1</v>
      </c>
      <c r="G537" s="64">
        <f t="shared" ref="G537:G539" si="30">+F537*D537*C537</f>
        <v>175.71000000000004</v>
      </c>
      <c r="H537" s="59">
        <v>175.71</v>
      </c>
    </row>
    <row r="538" spans="1:8" ht="14.25" customHeight="1">
      <c r="A538" s="1845" t="s">
        <v>1019</v>
      </c>
      <c r="B538" s="1828"/>
      <c r="C538" s="64">
        <v>18.5</v>
      </c>
      <c r="D538" s="64">
        <v>9.3129729729729718</v>
      </c>
      <c r="E538" s="64"/>
      <c r="F538" s="64">
        <v>1</v>
      </c>
      <c r="G538" s="64">
        <f t="shared" si="30"/>
        <v>172.28999999999996</v>
      </c>
      <c r="H538" s="59">
        <v>172.29</v>
      </c>
    </row>
    <row r="539" spans="1:8" ht="14.25" customHeight="1">
      <c r="A539" s="1845" t="s">
        <v>1020</v>
      </c>
      <c r="B539" s="1828"/>
      <c r="C539" s="64">
        <v>15.4</v>
      </c>
      <c r="D539" s="64">
        <v>2.9538961038961036</v>
      </c>
      <c r="E539" s="64"/>
      <c r="F539" s="64">
        <v>1</v>
      </c>
      <c r="G539" s="64">
        <f t="shared" si="30"/>
        <v>45.489999999999995</v>
      </c>
      <c r="H539" s="59">
        <v>45.49</v>
      </c>
    </row>
    <row r="540" spans="1:8" ht="14.25" customHeight="1">
      <c r="A540" s="1829" t="s">
        <v>227</v>
      </c>
      <c r="B540" s="1830"/>
      <c r="C540" s="1830"/>
      <c r="D540" s="1830"/>
      <c r="E540" s="1830"/>
      <c r="F540" s="1828"/>
      <c r="G540" s="65">
        <f>ROUND(SUM(G537:G539),2)</f>
        <v>393.49</v>
      </c>
      <c r="H540" s="59">
        <v>393.49</v>
      </c>
    </row>
    <row r="541" spans="1:8" ht="14.25" customHeight="1">
      <c r="A541" s="1831"/>
      <c r="B541" s="1830"/>
      <c r="C541" s="1830"/>
      <c r="D541" s="1830"/>
      <c r="E541" s="1830"/>
      <c r="F541" s="1830"/>
      <c r="G541" s="1828"/>
      <c r="H541" s="59"/>
    </row>
    <row r="542" spans="1:8" ht="14.25" customHeight="1">
      <c r="A542" s="66" t="s">
        <v>249</v>
      </c>
      <c r="B542" s="1832" t="str">
        <f>+B525</f>
        <v>PISOS Y ENCHAPES</v>
      </c>
      <c r="C542" s="1830"/>
      <c r="D542" s="1828"/>
      <c r="E542" s="1833" t="s">
        <v>218</v>
      </c>
      <c r="F542" s="1828"/>
      <c r="G542" s="62" t="s">
        <v>228</v>
      </c>
      <c r="H542" s="59"/>
    </row>
    <row r="543" spans="1:8" ht="14.25" customHeight="1">
      <c r="A543" s="66" t="s">
        <v>254</v>
      </c>
      <c r="B543" s="1840" t="s">
        <v>1021</v>
      </c>
      <c r="C543" s="1830"/>
      <c r="D543" s="1830"/>
      <c r="E543" s="1830"/>
      <c r="F543" s="1830"/>
      <c r="G543" s="1828"/>
      <c r="H543" s="59"/>
    </row>
    <row r="544" spans="1:8" ht="14.25" customHeight="1">
      <c r="A544" s="1836" t="s">
        <v>220</v>
      </c>
      <c r="B544" s="1830"/>
      <c r="C544" s="1830"/>
      <c r="D544" s="1830"/>
      <c r="E544" s="1830"/>
      <c r="F544" s="1830"/>
      <c r="G544" s="1828"/>
      <c r="H544" s="59"/>
    </row>
    <row r="545" spans="1:8" ht="14.25" customHeight="1">
      <c r="A545" s="1829" t="s">
        <v>221</v>
      </c>
      <c r="B545" s="1828"/>
      <c r="C545" s="63" t="s">
        <v>222</v>
      </c>
      <c r="D545" s="63" t="s">
        <v>223</v>
      </c>
      <c r="E545" s="63" t="s">
        <v>224</v>
      </c>
      <c r="F545" s="63" t="s">
        <v>225</v>
      </c>
      <c r="G545" s="63" t="s">
        <v>226</v>
      </c>
      <c r="H545" s="59"/>
    </row>
    <row r="546" spans="1:8" ht="14.25" customHeight="1">
      <c r="A546" s="1845" t="s">
        <v>1022</v>
      </c>
      <c r="B546" s="1828"/>
      <c r="C546" s="64">
        <v>9.5</v>
      </c>
      <c r="D546" s="64">
        <v>6.6805263157894732</v>
      </c>
      <c r="E546" s="64"/>
      <c r="F546" s="64">
        <v>1</v>
      </c>
      <c r="G546" s="64">
        <f>+F546*D546*C546</f>
        <v>63.464999999999996</v>
      </c>
      <c r="H546" s="59">
        <v>63.47</v>
      </c>
    </row>
    <row r="547" spans="1:8" ht="14.25" customHeight="1">
      <c r="A547" s="1829" t="s">
        <v>227</v>
      </c>
      <c r="B547" s="1830"/>
      <c r="C547" s="1830"/>
      <c r="D547" s="1830"/>
      <c r="E547" s="1830"/>
      <c r="F547" s="1828"/>
      <c r="G547" s="65">
        <f>ROUND(SUM(G546),2)</f>
        <v>63.47</v>
      </c>
      <c r="H547" s="59"/>
    </row>
    <row r="548" spans="1:8" ht="14.25" customHeight="1">
      <c r="A548" s="1831"/>
      <c r="B548" s="1830"/>
      <c r="C548" s="1830"/>
      <c r="D548" s="1830"/>
      <c r="E548" s="1830"/>
      <c r="F548" s="1830"/>
      <c r="G548" s="1828"/>
      <c r="H548" s="59"/>
    </row>
    <row r="549" spans="1:8" ht="14.25" customHeight="1">
      <c r="A549" s="66" t="s">
        <v>249</v>
      </c>
      <c r="B549" s="1832" t="str">
        <f>+B542</f>
        <v>PISOS Y ENCHAPES</v>
      </c>
      <c r="C549" s="1830"/>
      <c r="D549" s="1828"/>
      <c r="E549" s="1833" t="s">
        <v>218</v>
      </c>
      <c r="F549" s="1828"/>
      <c r="G549" s="62" t="s">
        <v>228</v>
      </c>
      <c r="H549" s="59"/>
    </row>
    <row r="550" spans="1:8" ht="14.25" customHeight="1">
      <c r="A550" s="66" t="s">
        <v>259</v>
      </c>
      <c r="B550" s="1840" t="s">
        <v>1023</v>
      </c>
      <c r="C550" s="1830"/>
      <c r="D550" s="1830"/>
      <c r="E550" s="1830"/>
      <c r="F550" s="1830"/>
      <c r="G550" s="1828"/>
      <c r="H550" s="59"/>
    </row>
    <row r="551" spans="1:8" ht="14.25" customHeight="1">
      <c r="A551" s="1836" t="s">
        <v>220</v>
      </c>
      <c r="B551" s="1830"/>
      <c r="C551" s="1830"/>
      <c r="D551" s="1830"/>
      <c r="E551" s="1830"/>
      <c r="F551" s="1830"/>
      <c r="G551" s="1828"/>
      <c r="H551" s="59"/>
    </row>
    <row r="552" spans="1:8" ht="14.25" customHeight="1">
      <c r="A552" s="1829" t="s">
        <v>221</v>
      </c>
      <c r="B552" s="1828"/>
      <c r="C552" s="63" t="s">
        <v>222</v>
      </c>
      <c r="D552" s="63" t="s">
        <v>223</v>
      </c>
      <c r="E552" s="63" t="s">
        <v>224</v>
      </c>
      <c r="F552" s="63" t="s">
        <v>225</v>
      </c>
      <c r="G552" s="63" t="s">
        <v>226</v>
      </c>
      <c r="H552" s="59"/>
    </row>
    <row r="553" spans="1:8" ht="14.25" customHeight="1">
      <c r="A553" s="1845" t="s">
        <v>1024</v>
      </c>
      <c r="B553" s="1828"/>
      <c r="C553" s="64">
        <v>21.5</v>
      </c>
      <c r="D553" s="64">
        <v>3.3374418604651157</v>
      </c>
      <c r="E553" s="64"/>
      <c r="F553" s="64">
        <v>2</v>
      </c>
      <c r="G553" s="64">
        <f t="shared" ref="G553:G555" si="31">+F553*D553*C553</f>
        <v>143.50999999999996</v>
      </c>
      <c r="H553" s="59">
        <v>143.51</v>
      </c>
    </row>
    <row r="554" spans="1:8" ht="14.25" customHeight="1">
      <c r="A554" s="1865" t="s">
        <v>1025</v>
      </c>
      <c r="B554" s="1843"/>
      <c r="C554" s="64">
        <v>22.45</v>
      </c>
      <c r="D554" s="199">
        <v>4.1180400890868594</v>
      </c>
      <c r="E554" s="199"/>
      <c r="F554" s="199">
        <v>1</v>
      </c>
      <c r="G554" s="64">
        <f t="shared" si="31"/>
        <v>92.449999999999989</v>
      </c>
      <c r="H554" s="59">
        <v>92.45</v>
      </c>
    </row>
    <row r="555" spans="1:8" ht="15" customHeight="1">
      <c r="A555" s="1845" t="s">
        <v>1026</v>
      </c>
      <c r="B555" s="1828"/>
      <c r="C555" s="71">
        <v>12.47</v>
      </c>
      <c r="D555" s="64">
        <v>14.360064153969525</v>
      </c>
      <c r="E555" s="64"/>
      <c r="F555" s="64">
        <v>1</v>
      </c>
      <c r="G555" s="71">
        <f t="shared" si="31"/>
        <v>179.07</v>
      </c>
      <c r="H555" s="59">
        <v>179.07</v>
      </c>
    </row>
    <row r="556" spans="1:8" ht="14.25" customHeight="1">
      <c r="A556" s="1849" t="s">
        <v>227</v>
      </c>
      <c r="B556" s="1621"/>
      <c r="C556" s="1621"/>
      <c r="D556" s="1621"/>
      <c r="E556" s="1621"/>
      <c r="F556" s="1622"/>
      <c r="G556" s="65">
        <f>ROUND(SUM(G553:G555),2)</f>
        <v>415.03</v>
      </c>
      <c r="H556" s="59">
        <v>415.03</v>
      </c>
    </row>
    <row r="557" spans="1:8" ht="14.25" customHeight="1">
      <c r="A557" s="1831"/>
      <c r="B557" s="1830"/>
      <c r="C557" s="1830"/>
      <c r="D557" s="1830"/>
      <c r="E557" s="1830"/>
      <c r="F557" s="1830"/>
      <c r="G557" s="1828"/>
      <c r="H557" s="59"/>
    </row>
    <row r="558" spans="1:8" ht="14.25" customHeight="1">
      <c r="A558" s="66" t="s">
        <v>249</v>
      </c>
      <c r="B558" s="1832" t="str">
        <f>B549</f>
        <v>PISOS Y ENCHAPES</v>
      </c>
      <c r="C558" s="1830"/>
      <c r="D558" s="1828"/>
      <c r="E558" s="1833" t="s">
        <v>218</v>
      </c>
      <c r="F558" s="1828"/>
      <c r="G558" s="62" t="s">
        <v>228</v>
      </c>
      <c r="H558" s="59"/>
    </row>
    <row r="559" spans="1:8" ht="14.25" customHeight="1">
      <c r="A559" s="66" t="s">
        <v>261</v>
      </c>
      <c r="B559" s="1840" t="s">
        <v>1027</v>
      </c>
      <c r="C559" s="1830"/>
      <c r="D559" s="1830"/>
      <c r="E559" s="1830"/>
      <c r="F559" s="1830"/>
      <c r="G559" s="1828"/>
      <c r="H559" s="59"/>
    </row>
    <row r="560" spans="1:8" ht="14.25" customHeight="1">
      <c r="A560" s="1836" t="s">
        <v>220</v>
      </c>
      <c r="B560" s="1830"/>
      <c r="C560" s="1830"/>
      <c r="D560" s="1830"/>
      <c r="E560" s="1830"/>
      <c r="F560" s="1830"/>
      <c r="G560" s="1828"/>
      <c r="H560" s="59"/>
    </row>
    <row r="561" spans="1:11" ht="14.25" customHeight="1">
      <c r="A561" s="1829" t="s">
        <v>221</v>
      </c>
      <c r="B561" s="1828"/>
      <c r="C561" s="63" t="s">
        <v>222</v>
      </c>
      <c r="D561" s="63" t="s">
        <v>223</v>
      </c>
      <c r="E561" s="63" t="s">
        <v>224</v>
      </c>
      <c r="F561" s="63" t="s">
        <v>225</v>
      </c>
      <c r="G561" s="63" t="s">
        <v>226</v>
      </c>
      <c r="H561" s="59"/>
      <c r="I561" s="60"/>
      <c r="J561" s="60"/>
      <c r="K561" s="61"/>
    </row>
    <row r="562" spans="1:11" ht="14.25" customHeight="1">
      <c r="A562" s="1845" t="s">
        <v>1028</v>
      </c>
      <c r="B562" s="1828"/>
      <c r="C562" s="64">
        <v>11.23</v>
      </c>
      <c r="D562" s="64">
        <v>8.9412430761530075</v>
      </c>
      <c r="E562" s="64"/>
      <c r="F562" s="64">
        <v>3</v>
      </c>
      <c r="G562" s="64">
        <f>+F562*D562*C562</f>
        <v>301.23047923559483</v>
      </c>
      <c r="H562" s="59"/>
      <c r="I562" s="60"/>
      <c r="J562" s="60"/>
      <c r="K562" s="61"/>
    </row>
    <row r="563" spans="1:11" ht="14.25" customHeight="1">
      <c r="A563" s="1865"/>
      <c r="B563" s="1843"/>
      <c r="C563" s="199"/>
      <c r="D563" s="199"/>
      <c r="E563" s="199"/>
      <c r="F563" s="199"/>
      <c r="G563" s="64"/>
      <c r="H563" s="59"/>
      <c r="I563" s="60"/>
      <c r="J563" s="60"/>
      <c r="K563" s="61"/>
    </row>
    <row r="564" spans="1:11" ht="14.25" customHeight="1">
      <c r="A564" s="1845"/>
      <c r="B564" s="1828"/>
      <c r="C564" s="64"/>
      <c r="D564" s="64"/>
      <c r="E564" s="64"/>
      <c r="F564" s="64"/>
      <c r="G564" s="71"/>
      <c r="H564" s="59"/>
      <c r="I564" s="60"/>
      <c r="J564" s="60"/>
      <c r="K564" s="61"/>
    </row>
    <row r="565" spans="1:11" ht="14.25" customHeight="1">
      <c r="A565" s="1849" t="s">
        <v>227</v>
      </c>
      <c r="B565" s="1621"/>
      <c r="C565" s="1621"/>
      <c r="D565" s="1621"/>
      <c r="E565" s="1621"/>
      <c r="F565" s="1622"/>
      <c r="G565" s="65">
        <f>ROUND(SUM(G562:G564),2)</f>
        <v>301.23</v>
      </c>
      <c r="H565" s="59">
        <v>301.23</v>
      </c>
      <c r="I565" s="60"/>
      <c r="J565" s="60"/>
      <c r="K565" s="61"/>
    </row>
    <row r="566" spans="1:11" ht="14.25" customHeight="1">
      <c r="A566" s="1831"/>
      <c r="B566" s="1830"/>
      <c r="C566" s="1830"/>
      <c r="D566" s="1830"/>
      <c r="E566" s="1830"/>
      <c r="F566" s="1830"/>
      <c r="G566" s="1828"/>
      <c r="H566" s="59"/>
      <c r="I566" s="60"/>
      <c r="J566" s="60"/>
      <c r="K566" s="61"/>
    </row>
    <row r="567" spans="1:11" ht="14.25" customHeight="1">
      <c r="A567" s="66" t="s">
        <v>249</v>
      </c>
      <c r="B567" s="1832" t="str">
        <f>+B558</f>
        <v>PISOS Y ENCHAPES</v>
      </c>
      <c r="C567" s="1830"/>
      <c r="D567" s="1828"/>
      <c r="E567" s="1833" t="s">
        <v>218</v>
      </c>
      <c r="F567" s="1828"/>
      <c r="G567" s="62" t="s">
        <v>228</v>
      </c>
      <c r="H567" s="59"/>
      <c r="I567" s="60"/>
      <c r="J567" s="60"/>
      <c r="K567" s="61"/>
    </row>
    <row r="568" spans="1:11" ht="14.25" customHeight="1">
      <c r="A568" s="66" t="s">
        <v>262</v>
      </c>
      <c r="B568" s="1840" t="s">
        <v>1029</v>
      </c>
      <c r="C568" s="1830"/>
      <c r="D568" s="1830"/>
      <c r="E568" s="1830"/>
      <c r="F568" s="1830"/>
      <c r="G568" s="1828"/>
      <c r="H568" s="59"/>
      <c r="I568" s="60"/>
      <c r="J568" s="60"/>
      <c r="K568" s="61"/>
    </row>
    <row r="569" spans="1:11" ht="14.25" customHeight="1">
      <c r="A569" s="1836" t="s">
        <v>220</v>
      </c>
      <c r="B569" s="1830"/>
      <c r="C569" s="1830"/>
      <c r="D569" s="1830"/>
      <c r="E569" s="1830"/>
      <c r="F569" s="1830"/>
      <c r="G569" s="1828"/>
      <c r="H569" s="59"/>
      <c r="I569" s="60"/>
      <c r="J569" s="60"/>
      <c r="K569" s="61"/>
    </row>
    <row r="570" spans="1:11" ht="14.25" customHeight="1">
      <c r="A570" s="1829" t="s">
        <v>221</v>
      </c>
      <c r="B570" s="1828"/>
      <c r="C570" s="63" t="s">
        <v>222</v>
      </c>
      <c r="D570" s="63" t="s">
        <v>223</v>
      </c>
      <c r="E570" s="63" t="s">
        <v>224</v>
      </c>
      <c r="F570" s="63" t="s">
        <v>225</v>
      </c>
      <c r="G570" s="63" t="s">
        <v>226</v>
      </c>
      <c r="H570" s="59"/>
      <c r="I570" s="60"/>
      <c r="J570" s="60"/>
      <c r="K570" s="61" t="s">
        <v>757</v>
      </c>
    </row>
    <row r="571" spans="1:11" ht="14.25" customHeight="1">
      <c r="A571" s="1845" t="s">
        <v>1030</v>
      </c>
      <c r="B571" s="1828"/>
      <c r="C571" s="64">
        <v>506.95</v>
      </c>
      <c r="D571" s="64"/>
      <c r="E571" s="64"/>
      <c r="F571" s="64"/>
      <c r="G571" s="64">
        <f t="shared" ref="G571:G573" si="32">C571</f>
        <v>506.95</v>
      </c>
      <c r="H571" s="59"/>
      <c r="I571" s="60"/>
      <c r="J571" s="60"/>
      <c r="K571" s="61"/>
    </row>
    <row r="572" spans="1:11" ht="14.25" customHeight="1">
      <c r="A572" s="1845" t="s">
        <v>1031</v>
      </c>
      <c r="B572" s="1828"/>
      <c r="C572" s="64">
        <v>630.66</v>
      </c>
      <c r="D572" s="64"/>
      <c r="E572" s="64"/>
      <c r="F572" s="64"/>
      <c r="G572" s="64">
        <f t="shared" si="32"/>
        <v>630.66</v>
      </c>
      <c r="H572" s="59"/>
      <c r="I572" s="60"/>
      <c r="J572" s="60"/>
      <c r="K572" s="61"/>
    </row>
    <row r="573" spans="1:11" ht="15" customHeight="1">
      <c r="A573" s="1845" t="s">
        <v>1032</v>
      </c>
      <c r="B573" s="1828"/>
      <c r="C573" s="64">
        <v>585.89</v>
      </c>
      <c r="D573" s="64"/>
      <c r="E573" s="64"/>
      <c r="F573" s="64"/>
      <c r="G573" s="64">
        <f t="shared" si="32"/>
        <v>585.89</v>
      </c>
      <c r="H573" s="59"/>
      <c r="I573" s="60"/>
      <c r="J573" s="60"/>
      <c r="K573" s="61"/>
    </row>
    <row r="574" spans="1:11" ht="14.25" customHeight="1">
      <c r="A574" s="1829" t="s">
        <v>227</v>
      </c>
      <c r="B574" s="1830"/>
      <c r="C574" s="1830"/>
      <c r="D574" s="1830"/>
      <c r="E574" s="1830"/>
      <c r="F574" s="1828"/>
      <c r="G574" s="65">
        <f>ROUND(SUM(G571:G573),2)</f>
        <v>1723.5</v>
      </c>
      <c r="H574" s="59"/>
      <c r="I574" s="60"/>
      <c r="J574" s="60"/>
      <c r="K574" s="61"/>
    </row>
    <row r="575" spans="1:11" ht="14.25" customHeight="1">
      <c r="A575" s="1831"/>
      <c r="B575" s="1830"/>
      <c r="C575" s="1830"/>
      <c r="D575" s="1830"/>
      <c r="E575" s="1830"/>
      <c r="F575" s="1830"/>
      <c r="G575" s="1828"/>
      <c r="H575" s="59"/>
      <c r="I575" s="60"/>
      <c r="J575" s="60"/>
      <c r="K575" s="61"/>
    </row>
    <row r="576" spans="1:11" ht="14.25" customHeight="1">
      <c r="A576" s="66" t="s">
        <v>249</v>
      </c>
      <c r="B576" s="1832" t="str">
        <f>+B567</f>
        <v>PISOS Y ENCHAPES</v>
      </c>
      <c r="C576" s="1830"/>
      <c r="D576" s="1828"/>
      <c r="E576" s="1833" t="s">
        <v>218</v>
      </c>
      <c r="F576" s="1828"/>
      <c r="G576" s="62" t="str">
        <f>+G567</f>
        <v>M2</v>
      </c>
      <c r="H576" s="59"/>
      <c r="I576" s="60"/>
      <c r="J576" s="60"/>
      <c r="K576" s="61"/>
    </row>
    <row r="577" spans="1:8" ht="14.25" customHeight="1">
      <c r="A577" s="66" t="s">
        <v>263</v>
      </c>
      <c r="B577" s="1840" t="s">
        <v>1033</v>
      </c>
      <c r="C577" s="1830"/>
      <c r="D577" s="1830"/>
      <c r="E577" s="1830"/>
      <c r="F577" s="1830"/>
      <c r="G577" s="1828"/>
      <c r="H577" s="59"/>
    </row>
    <row r="578" spans="1:8" ht="14.25" customHeight="1">
      <c r="A578" s="1836" t="s">
        <v>220</v>
      </c>
      <c r="B578" s="1830"/>
      <c r="C578" s="1830"/>
      <c r="D578" s="1830"/>
      <c r="E578" s="1830"/>
      <c r="F578" s="1830"/>
      <c r="G578" s="1828"/>
      <c r="H578" s="59"/>
    </row>
    <row r="579" spans="1:8" ht="14.25" customHeight="1">
      <c r="A579" s="1829" t="s">
        <v>221</v>
      </c>
      <c r="B579" s="1828"/>
      <c r="C579" s="63" t="s">
        <v>222</v>
      </c>
      <c r="D579" s="63" t="s">
        <v>223</v>
      </c>
      <c r="E579" s="63" t="s">
        <v>224</v>
      </c>
      <c r="F579" s="63" t="s">
        <v>225</v>
      </c>
      <c r="G579" s="63" t="s">
        <v>226</v>
      </c>
      <c r="H579" s="59"/>
    </row>
    <row r="580" spans="1:8" ht="14.25" customHeight="1">
      <c r="A580" s="1845" t="s">
        <v>1034</v>
      </c>
      <c r="B580" s="1828"/>
      <c r="C580" s="64">
        <v>5.77</v>
      </c>
      <c r="D580" s="64">
        <v>12.814991334488736</v>
      </c>
      <c r="E580" s="64"/>
      <c r="F580" s="64">
        <v>4</v>
      </c>
      <c r="G580" s="64">
        <f t="shared" ref="G580:G582" si="33">+F580*D580*C580</f>
        <v>295.77000000000004</v>
      </c>
      <c r="H580" s="59">
        <v>295.77</v>
      </c>
    </row>
    <row r="581" spans="1:8" ht="14.25" customHeight="1">
      <c r="A581" s="1845" t="s">
        <v>1035</v>
      </c>
      <c r="B581" s="1828"/>
      <c r="C581" s="64">
        <v>8.6</v>
      </c>
      <c r="D581" s="64">
        <v>8.8255813953488378</v>
      </c>
      <c r="E581" s="64"/>
      <c r="F581" s="64">
        <v>4</v>
      </c>
      <c r="G581" s="64">
        <f t="shared" si="33"/>
        <v>303.60000000000002</v>
      </c>
      <c r="H581" s="59">
        <v>303.60000000000002</v>
      </c>
    </row>
    <row r="582" spans="1:8" ht="14.25" customHeight="1">
      <c r="A582" s="1845" t="s">
        <v>1036</v>
      </c>
      <c r="B582" s="1828"/>
      <c r="C582" s="64">
        <v>10.37</v>
      </c>
      <c r="D582" s="64">
        <v>4.8305207328833184</v>
      </c>
      <c r="E582" s="64"/>
      <c r="F582" s="64">
        <v>4</v>
      </c>
      <c r="G582" s="64">
        <f t="shared" si="33"/>
        <v>200.37000000000003</v>
      </c>
      <c r="H582" s="59">
        <v>200.37</v>
      </c>
    </row>
    <row r="583" spans="1:8" ht="14.25" customHeight="1">
      <c r="A583" s="1829" t="s">
        <v>227</v>
      </c>
      <c r="B583" s="1830"/>
      <c r="C583" s="1830"/>
      <c r="D583" s="1830"/>
      <c r="E583" s="1830"/>
      <c r="F583" s="1828"/>
      <c r="G583" s="65">
        <f>ROUND(SUM(G580:G582),2)</f>
        <v>799.74</v>
      </c>
      <c r="H583" s="59">
        <v>799.74</v>
      </c>
    </row>
    <row r="584" spans="1:8" ht="14.25" customHeight="1">
      <c r="A584" s="1831"/>
      <c r="B584" s="1830"/>
      <c r="C584" s="1830"/>
      <c r="D584" s="1830"/>
      <c r="E584" s="1830"/>
      <c r="F584" s="1830"/>
      <c r="G584" s="1828"/>
      <c r="H584" s="59"/>
    </row>
    <row r="585" spans="1:8" ht="14.25" customHeight="1">
      <c r="A585" s="66" t="s">
        <v>264</v>
      </c>
      <c r="B585" s="1832" t="s">
        <v>419</v>
      </c>
      <c r="C585" s="1830"/>
      <c r="D585" s="1828"/>
      <c r="E585" s="1833" t="s">
        <v>218</v>
      </c>
      <c r="F585" s="1828"/>
      <c r="G585" s="62" t="str">
        <f>+G576</f>
        <v>M2</v>
      </c>
      <c r="H585" s="59"/>
    </row>
    <row r="586" spans="1:8" ht="14.25" customHeight="1">
      <c r="A586" s="66" t="s">
        <v>265</v>
      </c>
      <c r="B586" s="1840" t="s">
        <v>1037</v>
      </c>
      <c r="C586" s="1830"/>
      <c r="D586" s="1830"/>
      <c r="E586" s="1830"/>
      <c r="F586" s="1830"/>
      <c r="G586" s="1828"/>
      <c r="H586" s="59"/>
    </row>
    <row r="587" spans="1:8" ht="14.25" customHeight="1">
      <c r="A587" s="1836" t="s">
        <v>220</v>
      </c>
      <c r="B587" s="1830"/>
      <c r="C587" s="1830"/>
      <c r="D587" s="1830"/>
      <c r="E587" s="1830"/>
      <c r="F587" s="1830"/>
      <c r="G587" s="1828"/>
      <c r="H587" s="59"/>
    </row>
    <row r="588" spans="1:8" ht="14.25" customHeight="1">
      <c r="A588" s="1829" t="s">
        <v>221</v>
      </c>
      <c r="B588" s="1828"/>
      <c r="C588" s="63" t="s">
        <v>222</v>
      </c>
      <c r="D588" s="63" t="s">
        <v>223</v>
      </c>
      <c r="E588" s="63" t="s">
        <v>224</v>
      </c>
      <c r="F588" s="63" t="s">
        <v>225</v>
      </c>
      <c r="G588" s="63" t="s">
        <v>226</v>
      </c>
      <c r="H588" s="59"/>
    </row>
    <row r="589" spans="1:8" ht="14.25" customHeight="1">
      <c r="A589" s="1845" t="s">
        <v>1038</v>
      </c>
      <c r="B589" s="1828"/>
      <c r="C589" s="64">
        <v>124.70571428571429</v>
      </c>
      <c r="D589" s="64">
        <v>3.5</v>
      </c>
      <c r="E589" s="64"/>
      <c r="F589" s="64">
        <v>3</v>
      </c>
      <c r="G589" s="64">
        <f t="shared" ref="G589:G591" si="34">+F589*D589*C589</f>
        <v>1309.4100000000001</v>
      </c>
      <c r="H589" s="59">
        <v>1309.4100000000001</v>
      </c>
    </row>
    <row r="590" spans="1:8" ht="14.25" customHeight="1">
      <c r="A590" s="1845" t="s">
        <v>1039</v>
      </c>
      <c r="B590" s="1828"/>
      <c r="C590" s="64">
        <v>105.67523809523811</v>
      </c>
      <c r="D590" s="64">
        <v>3.5</v>
      </c>
      <c r="E590" s="64"/>
      <c r="F590" s="64">
        <v>3</v>
      </c>
      <c r="G590" s="64">
        <f t="shared" si="34"/>
        <v>1109.5900000000001</v>
      </c>
      <c r="H590" s="59">
        <v>1109.5899999999999</v>
      </c>
    </row>
    <row r="591" spans="1:8" ht="14.25" customHeight="1">
      <c r="A591" s="1845" t="s">
        <v>1040</v>
      </c>
      <c r="B591" s="1828"/>
      <c r="C591" s="64">
        <v>297.38285714285712</v>
      </c>
      <c r="D591" s="64">
        <v>3.5</v>
      </c>
      <c r="E591" s="64"/>
      <c r="F591" s="64">
        <v>1</v>
      </c>
      <c r="G591" s="64">
        <f t="shared" si="34"/>
        <v>1040.8399999999999</v>
      </c>
      <c r="H591" s="59">
        <v>1040.8399999999999</v>
      </c>
    </row>
    <row r="592" spans="1:8" ht="14.25" customHeight="1">
      <c r="A592" s="1829" t="s">
        <v>227</v>
      </c>
      <c r="B592" s="1830"/>
      <c r="C592" s="1830"/>
      <c r="D592" s="1830"/>
      <c r="E592" s="1830"/>
      <c r="F592" s="1828"/>
      <c r="G592" s="65">
        <f>ROUND(SUM(G589:G591),2)</f>
        <v>3459.84</v>
      </c>
      <c r="H592" s="59">
        <v>3459.84</v>
      </c>
    </row>
    <row r="593" spans="1:8" ht="14.25" customHeight="1">
      <c r="A593" s="1831"/>
      <c r="B593" s="1830"/>
      <c r="C593" s="1830"/>
      <c r="D593" s="1830"/>
      <c r="E593" s="1830"/>
      <c r="F593" s="1830"/>
      <c r="G593" s="1828"/>
      <c r="H593" s="59"/>
    </row>
    <row r="594" spans="1:8" ht="14.25" customHeight="1">
      <c r="A594" s="66" t="str">
        <f t="shared" ref="A594:B594" si="35">+A585</f>
        <v>CAPITULO 5:</v>
      </c>
      <c r="B594" s="1832" t="str">
        <f t="shared" si="35"/>
        <v>MAMPOSTERIA</v>
      </c>
      <c r="C594" s="1830"/>
      <c r="D594" s="1828"/>
      <c r="E594" s="1833" t="s">
        <v>218</v>
      </c>
      <c r="F594" s="1828"/>
      <c r="G594" s="62" t="str">
        <f>+G585</f>
        <v>M2</v>
      </c>
      <c r="H594" s="59"/>
    </row>
    <row r="595" spans="1:8" ht="34.5" customHeight="1">
      <c r="A595" s="66" t="s">
        <v>755</v>
      </c>
      <c r="B595" s="1840" t="s">
        <v>1041</v>
      </c>
      <c r="C595" s="1830"/>
      <c r="D595" s="1830"/>
      <c r="E595" s="1830"/>
      <c r="F595" s="1830"/>
      <c r="G595" s="1828"/>
      <c r="H595" s="59"/>
    </row>
    <row r="596" spans="1:8" ht="14.25" customHeight="1">
      <c r="A596" s="1836" t="s">
        <v>220</v>
      </c>
      <c r="B596" s="1830"/>
      <c r="C596" s="1830"/>
      <c r="D596" s="1830"/>
      <c r="E596" s="1830"/>
      <c r="F596" s="1830"/>
      <c r="G596" s="1828"/>
      <c r="H596" s="59"/>
    </row>
    <row r="597" spans="1:8" ht="14.25" customHeight="1">
      <c r="A597" s="1829" t="s">
        <v>221</v>
      </c>
      <c r="B597" s="1828"/>
      <c r="C597" s="63" t="s">
        <v>222</v>
      </c>
      <c r="D597" s="63" t="s">
        <v>223</v>
      </c>
      <c r="E597" s="63" t="s">
        <v>224</v>
      </c>
      <c r="F597" s="63" t="s">
        <v>225</v>
      </c>
      <c r="G597" s="63" t="s">
        <v>226</v>
      </c>
      <c r="H597" s="59"/>
    </row>
    <row r="598" spans="1:8" ht="14.25" customHeight="1">
      <c r="A598" s="1845" t="s">
        <v>1042</v>
      </c>
      <c r="B598" s="1828"/>
      <c r="C598" s="64">
        <v>98.24199999999999</v>
      </c>
      <c r="D598" s="64">
        <v>2.5</v>
      </c>
      <c r="E598" s="64"/>
      <c r="F598" s="64">
        <v>4</v>
      </c>
      <c r="G598" s="64">
        <f t="shared" ref="G598:G600" si="36">+F598*D598*C598</f>
        <v>982.41999999999985</v>
      </c>
      <c r="H598" s="59">
        <v>982.42</v>
      </c>
    </row>
    <row r="599" spans="1:8" ht="14.25" customHeight="1">
      <c r="A599" s="1845" t="s">
        <v>1043</v>
      </c>
      <c r="B599" s="1828"/>
      <c r="C599" s="64">
        <v>27.786999999999999</v>
      </c>
      <c r="D599" s="64">
        <v>2.5</v>
      </c>
      <c r="E599" s="64"/>
      <c r="F599" s="64">
        <v>4</v>
      </c>
      <c r="G599" s="64">
        <f t="shared" si="36"/>
        <v>277.87</v>
      </c>
      <c r="H599" s="59">
        <v>277.87</v>
      </c>
    </row>
    <row r="600" spans="1:8" ht="14.25" customHeight="1">
      <c r="A600" s="1845" t="s">
        <v>1044</v>
      </c>
      <c r="B600" s="1828"/>
      <c r="C600" s="64">
        <v>49.624000000000009</v>
      </c>
      <c r="D600" s="64">
        <v>2.5</v>
      </c>
      <c r="E600" s="64"/>
      <c r="F600" s="64">
        <v>2</v>
      </c>
      <c r="G600" s="64">
        <f t="shared" si="36"/>
        <v>248.12000000000006</v>
      </c>
      <c r="H600" s="59">
        <v>248.12</v>
      </c>
    </row>
    <row r="601" spans="1:8" ht="14.25" customHeight="1">
      <c r="A601" s="1829" t="s">
        <v>227</v>
      </c>
      <c r="B601" s="1830"/>
      <c r="C601" s="1830"/>
      <c r="D601" s="1830"/>
      <c r="E601" s="1830"/>
      <c r="F601" s="1828"/>
      <c r="G601" s="65">
        <f>ROUND(SUM(G598:G600),2)</f>
        <v>1508.41</v>
      </c>
      <c r="H601" s="59">
        <v>1508.41</v>
      </c>
    </row>
    <row r="602" spans="1:8" ht="14.25" customHeight="1">
      <c r="A602" s="1831"/>
      <c r="B602" s="1830"/>
      <c r="C602" s="1830"/>
      <c r="D602" s="1830"/>
      <c r="E602" s="1830"/>
      <c r="F602" s="1830"/>
      <c r="G602" s="1828"/>
      <c r="H602" s="59"/>
    </row>
    <row r="603" spans="1:8" ht="14.25" customHeight="1">
      <c r="A603" s="66" t="str">
        <f t="shared" ref="A603:B603" si="37">+A594</f>
        <v>CAPITULO 5:</v>
      </c>
      <c r="B603" s="1832" t="str">
        <f t="shared" si="37"/>
        <v>MAMPOSTERIA</v>
      </c>
      <c r="C603" s="1830"/>
      <c r="D603" s="1828"/>
      <c r="E603" s="1833" t="s">
        <v>218</v>
      </c>
      <c r="F603" s="1828"/>
      <c r="G603" s="62" t="str">
        <f>+G594</f>
        <v>M2</v>
      </c>
      <c r="H603" s="59"/>
    </row>
    <row r="604" spans="1:8" ht="14.25" customHeight="1">
      <c r="A604" s="66" t="s">
        <v>780</v>
      </c>
      <c r="B604" s="1840" t="s">
        <v>1045</v>
      </c>
      <c r="C604" s="1830"/>
      <c r="D604" s="1830"/>
      <c r="E604" s="1830"/>
      <c r="F604" s="1830"/>
      <c r="G604" s="1828"/>
      <c r="H604" s="59"/>
    </row>
    <row r="605" spans="1:8" ht="14.25" customHeight="1">
      <c r="A605" s="1836" t="s">
        <v>220</v>
      </c>
      <c r="B605" s="1830"/>
      <c r="C605" s="1830"/>
      <c r="D605" s="1830"/>
      <c r="E605" s="1830"/>
      <c r="F605" s="1830"/>
      <c r="G605" s="1828"/>
      <c r="H605" s="59"/>
    </row>
    <row r="606" spans="1:8" ht="14.25" customHeight="1">
      <c r="A606" s="1829" t="s">
        <v>221</v>
      </c>
      <c r="B606" s="1828"/>
      <c r="C606" s="63" t="s">
        <v>222</v>
      </c>
      <c r="D606" s="63" t="s">
        <v>223</v>
      </c>
      <c r="E606" s="63" t="s">
        <v>224</v>
      </c>
      <c r="F606" s="63" t="s">
        <v>225</v>
      </c>
      <c r="G606" s="63" t="s">
        <v>226</v>
      </c>
      <c r="H606" s="59"/>
    </row>
    <row r="607" spans="1:8" ht="15" customHeight="1">
      <c r="A607" s="1827" t="s">
        <v>1046</v>
      </c>
      <c r="B607" s="1828"/>
      <c r="C607" s="64">
        <v>124.70571428571418</v>
      </c>
      <c r="D607" s="64">
        <v>3.5</v>
      </c>
      <c r="E607" s="64"/>
      <c r="F607" s="64">
        <v>6</v>
      </c>
      <c r="G607" s="64">
        <f t="shared" ref="G607:G609" si="38">+F607*D607*C607</f>
        <v>2618.8199999999979</v>
      </c>
      <c r="H607" s="59">
        <v>2618.8200000000002</v>
      </c>
    </row>
    <row r="608" spans="1:8" ht="14.25" customHeight="1">
      <c r="A608" s="1865" t="s">
        <v>1047</v>
      </c>
      <c r="B608" s="1843"/>
      <c r="C608" s="64">
        <v>105.67523809523811</v>
      </c>
      <c r="D608" s="64">
        <v>3.5</v>
      </c>
      <c r="E608" s="64"/>
      <c r="F608" s="64">
        <v>6</v>
      </c>
      <c r="G608" s="64">
        <f t="shared" si="38"/>
        <v>2219.1800000000003</v>
      </c>
      <c r="H608" s="59">
        <v>2219.1799999999998</v>
      </c>
    </row>
    <row r="609" spans="1:8" ht="14.25" customHeight="1">
      <c r="A609" s="1827" t="s">
        <v>1048</v>
      </c>
      <c r="B609" s="1828"/>
      <c r="C609" s="71">
        <v>368.27428571428567</v>
      </c>
      <c r="D609" s="64">
        <v>3.5</v>
      </c>
      <c r="E609" s="64"/>
      <c r="F609" s="64">
        <v>2</v>
      </c>
      <c r="G609" s="64">
        <f t="shared" si="38"/>
        <v>2577.9199999999996</v>
      </c>
      <c r="H609" s="59">
        <v>2577.92</v>
      </c>
    </row>
    <row r="610" spans="1:8" ht="14.25" customHeight="1">
      <c r="A610" s="1849" t="s">
        <v>227</v>
      </c>
      <c r="B610" s="1621"/>
      <c r="C610" s="1621"/>
      <c r="D610" s="1621"/>
      <c r="E610" s="1621"/>
      <c r="F610" s="1622"/>
      <c r="G610" s="65">
        <f>ROUND(SUM(G607:G609),2)</f>
        <v>7415.92</v>
      </c>
      <c r="H610" s="59">
        <v>7415.92</v>
      </c>
    </row>
    <row r="611" spans="1:8" ht="14.25" customHeight="1">
      <c r="A611" s="1831"/>
      <c r="B611" s="1830"/>
      <c r="C611" s="1830"/>
      <c r="D611" s="1830"/>
      <c r="E611" s="1830"/>
      <c r="F611" s="1830"/>
      <c r="G611" s="1828"/>
      <c r="H611" s="59"/>
    </row>
    <row r="612" spans="1:8" ht="14.25" customHeight="1">
      <c r="A612" s="66" t="s">
        <v>268</v>
      </c>
      <c r="B612" s="1832" t="s">
        <v>423</v>
      </c>
      <c r="C612" s="1830"/>
      <c r="D612" s="1828"/>
      <c r="E612" s="1833" t="s">
        <v>218</v>
      </c>
      <c r="F612" s="1828"/>
      <c r="G612" s="62" t="str">
        <f>+G603</f>
        <v>M2</v>
      </c>
      <c r="H612" s="59"/>
    </row>
    <row r="613" spans="1:8" ht="15" customHeight="1">
      <c r="A613" s="66" t="s">
        <v>786</v>
      </c>
      <c r="B613" s="1866" t="s">
        <v>424</v>
      </c>
      <c r="C613" s="1830"/>
      <c r="D613" s="1830"/>
      <c r="E613" s="1830"/>
      <c r="F613" s="1830"/>
      <c r="G613" s="1828"/>
      <c r="H613" s="59"/>
    </row>
    <row r="614" spans="1:8" ht="14.25" customHeight="1">
      <c r="A614" s="1836" t="s">
        <v>220</v>
      </c>
      <c r="B614" s="1830"/>
      <c r="C614" s="1830"/>
      <c r="D614" s="1830"/>
      <c r="E614" s="1830"/>
      <c r="F614" s="1830"/>
      <c r="G614" s="1828"/>
      <c r="H614" s="59"/>
    </row>
    <row r="615" spans="1:8" ht="14.25" customHeight="1">
      <c r="A615" s="1848" t="s">
        <v>221</v>
      </c>
      <c r="B615" s="1843"/>
      <c r="C615" s="63" t="s">
        <v>222</v>
      </c>
      <c r="D615" s="63" t="s">
        <v>223</v>
      </c>
      <c r="E615" s="63" t="s">
        <v>252</v>
      </c>
      <c r="F615" s="63" t="s">
        <v>225</v>
      </c>
      <c r="G615" s="63" t="s">
        <v>226</v>
      </c>
      <c r="H615" s="59"/>
    </row>
    <row r="616" spans="1:8" ht="14.25" customHeight="1">
      <c r="A616" s="1865" t="s">
        <v>1049</v>
      </c>
      <c r="B616" s="1843"/>
      <c r="C616" s="64">
        <v>124.70571428571418</v>
      </c>
      <c r="D616" s="64">
        <v>3.2</v>
      </c>
      <c r="E616" s="64"/>
      <c r="F616" s="64">
        <v>4</v>
      </c>
      <c r="G616" s="64">
        <f t="shared" ref="G616:G618" si="39">+F616*D616*C616</f>
        <v>1596.2331428571415</v>
      </c>
      <c r="H616" s="59"/>
    </row>
    <row r="617" spans="1:8" ht="14.25" customHeight="1">
      <c r="A617" s="1865" t="s">
        <v>1050</v>
      </c>
      <c r="B617" s="1843"/>
      <c r="C617" s="64">
        <v>105.67523809523811</v>
      </c>
      <c r="D617" s="64">
        <v>3.2</v>
      </c>
      <c r="E617" s="64"/>
      <c r="F617" s="64">
        <v>4</v>
      </c>
      <c r="G617" s="64">
        <f t="shared" si="39"/>
        <v>1352.643047619048</v>
      </c>
      <c r="H617" s="59"/>
    </row>
    <row r="618" spans="1:8" ht="14.25" customHeight="1">
      <c r="A618" s="1845" t="s">
        <v>1051</v>
      </c>
      <c r="B618" s="1828"/>
      <c r="C618" s="71">
        <v>416.98129338988315</v>
      </c>
      <c r="D618" s="64">
        <v>3</v>
      </c>
      <c r="E618" s="64"/>
      <c r="F618" s="64">
        <v>1</v>
      </c>
      <c r="G618" s="64">
        <f t="shared" si="39"/>
        <v>1250.9438801696494</v>
      </c>
      <c r="H618" s="59"/>
    </row>
    <row r="619" spans="1:8" ht="14.25" customHeight="1">
      <c r="A619" s="1849" t="s">
        <v>227</v>
      </c>
      <c r="B619" s="1621"/>
      <c r="C619" s="1621"/>
      <c r="D619" s="1621"/>
      <c r="E619" s="1621"/>
      <c r="F619" s="1622"/>
      <c r="G619" s="65">
        <f>ROUND(SUM(G616:G618),2)</f>
        <v>4199.82</v>
      </c>
      <c r="H619" s="59">
        <v>4199.8159999999998</v>
      </c>
    </row>
    <row r="620" spans="1:8" ht="14.25" customHeight="1">
      <c r="A620" s="1831"/>
      <c r="B620" s="1830"/>
      <c r="C620" s="1830"/>
      <c r="D620" s="1830"/>
      <c r="E620" s="1830"/>
      <c r="F620" s="1830"/>
      <c r="G620" s="1828"/>
      <c r="H620" s="59"/>
    </row>
    <row r="621" spans="1:8" ht="14.25" customHeight="1">
      <c r="A621" s="66" t="str">
        <f t="shared" ref="A621:B621" si="40">+A612</f>
        <v>CAPITULO 6:</v>
      </c>
      <c r="B621" s="1832" t="str">
        <f t="shared" si="40"/>
        <v>ACABADOS</v>
      </c>
      <c r="C621" s="1830"/>
      <c r="D621" s="1828"/>
      <c r="E621" s="1833" t="s">
        <v>218</v>
      </c>
      <c r="F621" s="1828"/>
      <c r="G621" s="62" t="str">
        <f>+G612</f>
        <v>M2</v>
      </c>
      <c r="H621" s="59"/>
    </row>
    <row r="622" spans="1:8" ht="14.25" customHeight="1">
      <c r="A622" s="66" t="s">
        <v>790</v>
      </c>
      <c r="B622" s="1840" t="s">
        <v>1052</v>
      </c>
      <c r="C622" s="1830"/>
      <c r="D622" s="1830"/>
      <c r="E622" s="1830"/>
      <c r="F622" s="1830"/>
      <c r="G622" s="1828"/>
      <c r="H622" s="59"/>
    </row>
    <row r="623" spans="1:8" ht="14.25" customHeight="1">
      <c r="A623" s="1836" t="s">
        <v>220</v>
      </c>
      <c r="B623" s="1830"/>
      <c r="C623" s="1830"/>
      <c r="D623" s="1830"/>
      <c r="E623" s="1830"/>
      <c r="F623" s="1830"/>
      <c r="G623" s="1828"/>
      <c r="H623" s="59"/>
    </row>
    <row r="624" spans="1:8" ht="14.25" customHeight="1">
      <c r="A624" s="1829" t="s">
        <v>221</v>
      </c>
      <c r="B624" s="1828"/>
      <c r="C624" s="63" t="s">
        <v>222</v>
      </c>
      <c r="D624" s="63" t="s">
        <v>223</v>
      </c>
      <c r="E624" s="63" t="s">
        <v>252</v>
      </c>
      <c r="F624" s="63" t="s">
        <v>225</v>
      </c>
      <c r="G624" s="63" t="s">
        <v>226</v>
      </c>
      <c r="H624" s="59"/>
    </row>
    <row r="625" spans="1:256" ht="14.25" customHeight="1">
      <c r="A625" s="1845" t="s">
        <v>1053</v>
      </c>
      <c r="B625" s="1828"/>
      <c r="C625" s="64">
        <v>40.130000000000003</v>
      </c>
      <c r="D625" s="64">
        <v>9.2342689716933393</v>
      </c>
      <c r="E625" s="64"/>
      <c r="F625" s="64">
        <v>2</v>
      </c>
      <c r="G625" s="64">
        <f>+F625*D625*C625</f>
        <v>741.14242766810742</v>
      </c>
      <c r="H625" s="59"/>
      <c r="I625" s="60"/>
      <c r="J625" s="60"/>
      <c r="K625" s="61"/>
      <c r="L625" s="59"/>
      <c r="M625" s="59"/>
      <c r="N625" s="59"/>
      <c r="O625" s="59"/>
      <c r="P625" s="59"/>
      <c r="Q625" s="59"/>
      <c r="R625" s="59"/>
      <c r="S625" s="59"/>
      <c r="T625" s="59"/>
      <c r="U625" s="59"/>
      <c r="V625" s="59"/>
      <c r="W625" s="59"/>
      <c r="X625" s="59"/>
      <c r="Y625" s="59"/>
      <c r="Z625" s="59"/>
      <c r="AA625" s="59"/>
      <c r="AB625" s="59"/>
      <c r="AC625" s="59"/>
      <c r="AD625" s="59"/>
      <c r="AE625" s="59"/>
      <c r="AF625" s="59"/>
      <c r="AG625" s="59"/>
      <c r="AH625" s="59"/>
      <c r="AI625" s="59"/>
      <c r="AJ625" s="59"/>
      <c r="AK625" s="59"/>
      <c r="AL625" s="59"/>
      <c r="AM625" s="59"/>
      <c r="AN625" s="59"/>
      <c r="AO625" s="59"/>
      <c r="AP625" s="59"/>
      <c r="AQ625" s="59"/>
      <c r="AR625" s="59"/>
      <c r="AS625" s="59"/>
      <c r="AT625" s="59"/>
      <c r="AU625" s="59"/>
      <c r="AV625" s="59"/>
      <c r="AW625" s="59"/>
      <c r="AX625" s="59"/>
      <c r="AY625" s="59"/>
      <c r="AZ625" s="59"/>
      <c r="BA625" s="59"/>
      <c r="BB625" s="59"/>
      <c r="BC625" s="59"/>
      <c r="BD625" s="59"/>
      <c r="BE625" s="59"/>
      <c r="BF625" s="59"/>
      <c r="BG625" s="59"/>
      <c r="BH625" s="59"/>
      <c r="BI625" s="59"/>
      <c r="BJ625" s="59"/>
      <c r="BK625" s="59"/>
      <c r="BL625" s="59"/>
      <c r="BM625" s="59"/>
      <c r="BN625" s="59"/>
      <c r="BO625" s="59"/>
      <c r="BP625" s="59"/>
      <c r="BQ625" s="59"/>
      <c r="BR625" s="59"/>
      <c r="BS625" s="59"/>
      <c r="BT625" s="59"/>
      <c r="BU625" s="59"/>
      <c r="BV625" s="59"/>
      <c r="BW625" s="59"/>
      <c r="BX625" s="59"/>
      <c r="BY625" s="59"/>
      <c r="BZ625" s="59"/>
      <c r="CA625" s="59"/>
      <c r="CB625" s="59"/>
      <c r="CC625" s="59"/>
      <c r="CD625" s="59"/>
      <c r="CE625" s="59"/>
      <c r="CF625" s="59"/>
      <c r="CG625" s="59"/>
      <c r="CH625" s="59"/>
      <c r="CI625" s="59"/>
      <c r="CJ625" s="59"/>
      <c r="CK625" s="59"/>
      <c r="CL625" s="59"/>
      <c r="CM625" s="59"/>
      <c r="CN625" s="59"/>
      <c r="CO625" s="59"/>
      <c r="CP625" s="59"/>
      <c r="CQ625" s="59"/>
      <c r="CR625" s="59"/>
      <c r="CS625" s="59"/>
      <c r="CT625" s="59"/>
      <c r="CU625" s="59"/>
      <c r="CV625" s="59"/>
      <c r="CW625" s="59"/>
      <c r="CX625" s="59"/>
      <c r="CY625" s="59"/>
      <c r="CZ625" s="59"/>
      <c r="DA625" s="59"/>
      <c r="DB625" s="59"/>
      <c r="DC625" s="59"/>
      <c r="DD625" s="59"/>
      <c r="DE625" s="59"/>
      <c r="DF625" s="59"/>
      <c r="DG625" s="59"/>
      <c r="DH625" s="59"/>
      <c r="DI625" s="59"/>
      <c r="DJ625" s="59"/>
      <c r="DK625" s="59"/>
      <c r="DL625" s="59"/>
      <c r="DM625" s="59"/>
      <c r="DN625" s="59"/>
      <c r="DO625" s="59"/>
      <c r="DP625" s="59"/>
      <c r="DQ625" s="59"/>
      <c r="DR625" s="59"/>
      <c r="DS625" s="59"/>
      <c r="DT625" s="59"/>
      <c r="DU625" s="59"/>
      <c r="DV625" s="59"/>
      <c r="DW625" s="59"/>
      <c r="DX625" s="59"/>
      <c r="DY625" s="59"/>
      <c r="DZ625" s="59"/>
      <c r="EA625" s="59"/>
      <c r="EB625" s="59"/>
      <c r="EC625" s="59"/>
      <c r="ED625" s="59"/>
      <c r="EE625" s="59"/>
      <c r="EF625" s="59"/>
      <c r="EG625" s="59"/>
      <c r="EH625" s="59"/>
      <c r="EI625" s="59"/>
      <c r="EJ625" s="59"/>
      <c r="EK625" s="59"/>
      <c r="EL625" s="59"/>
      <c r="EM625" s="59"/>
      <c r="EN625" s="59"/>
      <c r="EO625" s="59"/>
      <c r="EP625" s="59"/>
      <c r="EQ625" s="59"/>
      <c r="ER625" s="59"/>
      <c r="ES625" s="59"/>
      <c r="ET625" s="59"/>
      <c r="EU625" s="59"/>
      <c r="EV625" s="59"/>
      <c r="EW625" s="59"/>
      <c r="EX625" s="59"/>
      <c r="EY625" s="59"/>
      <c r="EZ625" s="59"/>
      <c r="FA625" s="59"/>
      <c r="FB625" s="59"/>
      <c r="FC625" s="59"/>
      <c r="FD625" s="59"/>
      <c r="FE625" s="59"/>
      <c r="FF625" s="59"/>
      <c r="FG625" s="59"/>
      <c r="FH625" s="59"/>
      <c r="FI625" s="59"/>
      <c r="FJ625" s="59"/>
      <c r="FK625" s="59"/>
      <c r="FL625" s="59"/>
      <c r="FM625" s="59"/>
      <c r="FN625" s="59"/>
      <c r="FO625" s="59"/>
      <c r="FP625" s="59"/>
      <c r="FQ625" s="59"/>
      <c r="FR625" s="59"/>
      <c r="FS625" s="59"/>
      <c r="FT625" s="59"/>
      <c r="FU625" s="59"/>
      <c r="FV625" s="59"/>
      <c r="FW625" s="59"/>
      <c r="FX625" s="59"/>
      <c r="FY625" s="59"/>
      <c r="FZ625" s="59"/>
      <c r="GA625" s="59"/>
      <c r="GB625" s="59"/>
      <c r="GC625" s="59"/>
      <c r="GD625" s="59"/>
      <c r="GE625" s="59"/>
      <c r="GF625" s="59"/>
      <c r="GG625" s="59"/>
      <c r="GH625" s="59"/>
      <c r="GI625" s="59"/>
      <c r="GJ625" s="59"/>
      <c r="GK625" s="59"/>
      <c r="GL625" s="59"/>
      <c r="GM625" s="59"/>
      <c r="GN625" s="59"/>
      <c r="GO625" s="59"/>
      <c r="GP625" s="59"/>
      <c r="GQ625" s="59"/>
      <c r="GR625" s="59"/>
      <c r="GS625" s="59"/>
      <c r="GT625" s="59"/>
      <c r="GU625" s="59"/>
      <c r="GV625" s="59"/>
      <c r="GW625" s="59"/>
      <c r="GX625" s="59"/>
      <c r="GY625" s="59"/>
      <c r="GZ625" s="59"/>
      <c r="HA625" s="59"/>
      <c r="HB625" s="59"/>
      <c r="HC625" s="59"/>
      <c r="HD625" s="59"/>
      <c r="HE625" s="59"/>
      <c r="HF625" s="59"/>
      <c r="HG625" s="59"/>
      <c r="HH625" s="59"/>
      <c r="HI625" s="59"/>
      <c r="HJ625" s="59"/>
      <c r="HK625" s="59"/>
      <c r="HL625" s="59"/>
      <c r="HM625" s="59"/>
      <c r="HN625" s="59"/>
      <c r="HO625" s="59"/>
      <c r="HP625" s="59"/>
      <c r="HQ625" s="59"/>
      <c r="HR625" s="59"/>
      <c r="HS625" s="59"/>
      <c r="HT625" s="59"/>
      <c r="HU625" s="59"/>
      <c r="HV625" s="59"/>
      <c r="HW625" s="59"/>
      <c r="HX625" s="59"/>
      <c r="HY625" s="59"/>
      <c r="HZ625" s="59"/>
      <c r="IA625" s="59"/>
      <c r="IB625" s="59"/>
      <c r="IC625" s="59"/>
      <c r="ID625" s="59"/>
      <c r="IE625" s="59"/>
      <c r="IF625" s="59"/>
      <c r="IG625" s="59"/>
      <c r="IH625" s="59"/>
      <c r="II625" s="59"/>
      <c r="IJ625" s="59"/>
      <c r="IK625" s="59"/>
      <c r="IL625" s="59"/>
      <c r="IM625" s="59"/>
      <c r="IN625" s="59"/>
      <c r="IO625" s="59"/>
      <c r="IP625" s="59"/>
      <c r="IQ625" s="59"/>
      <c r="IR625" s="59"/>
      <c r="IS625" s="59"/>
      <c r="IT625" s="59"/>
      <c r="IU625" s="59"/>
      <c r="IV625" s="59"/>
    </row>
    <row r="626" spans="1:256" ht="14.25" customHeight="1">
      <c r="A626" s="1846"/>
      <c r="B626" s="1843"/>
      <c r="C626" s="64"/>
      <c r="D626" s="64"/>
      <c r="E626" s="64"/>
      <c r="F626" s="64"/>
      <c r="G626" s="64"/>
      <c r="H626" s="59"/>
      <c r="I626" s="60"/>
      <c r="J626" s="60"/>
      <c r="K626" s="61"/>
      <c r="L626" s="59"/>
      <c r="M626" s="59"/>
      <c r="N626" s="59"/>
      <c r="O626" s="59"/>
      <c r="P626" s="59"/>
      <c r="Q626" s="59"/>
      <c r="R626" s="59"/>
      <c r="S626" s="59"/>
      <c r="T626" s="59"/>
      <c r="U626" s="59"/>
      <c r="V626" s="59"/>
      <c r="W626" s="59"/>
      <c r="X626" s="59"/>
      <c r="Y626" s="59"/>
      <c r="Z626" s="59"/>
      <c r="AA626" s="59"/>
      <c r="AB626" s="59"/>
      <c r="AC626" s="59"/>
      <c r="AD626" s="59"/>
      <c r="AE626" s="59"/>
      <c r="AF626" s="59"/>
      <c r="AG626" s="59"/>
      <c r="AH626" s="59"/>
      <c r="AI626" s="59"/>
      <c r="AJ626" s="59"/>
      <c r="AK626" s="59"/>
      <c r="AL626" s="59"/>
      <c r="AM626" s="59"/>
      <c r="AN626" s="59"/>
      <c r="AO626" s="59"/>
      <c r="AP626" s="59"/>
      <c r="AQ626" s="59"/>
      <c r="AR626" s="59"/>
      <c r="AS626" s="59"/>
      <c r="AT626" s="59"/>
      <c r="AU626" s="59"/>
      <c r="AV626" s="59"/>
      <c r="AW626" s="59"/>
      <c r="AX626" s="59"/>
      <c r="AY626" s="59"/>
      <c r="AZ626" s="59"/>
      <c r="BA626" s="59"/>
      <c r="BB626" s="59"/>
      <c r="BC626" s="59"/>
      <c r="BD626" s="59"/>
      <c r="BE626" s="59"/>
      <c r="BF626" s="59"/>
      <c r="BG626" s="59"/>
      <c r="BH626" s="59"/>
      <c r="BI626" s="59"/>
      <c r="BJ626" s="59"/>
      <c r="BK626" s="59"/>
      <c r="BL626" s="59"/>
      <c r="BM626" s="59"/>
      <c r="BN626" s="59"/>
      <c r="BO626" s="59"/>
      <c r="BP626" s="59"/>
      <c r="BQ626" s="59"/>
      <c r="BR626" s="59"/>
      <c r="BS626" s="59"/>
      <c r="BT626" s="59"/>
      <c r="BU626" s="59"/>
      <c r="BV626" s="59"/>
      <c r="BW626" s="59"/>
      <c r="BX626" s="59"/>
      <c r="BY626" s="59"/>
      <c r="BZ626" s="59"/>
      <c r="CA626" s="59"/>
      <c r="CB626" s="59"/>
      <c r="CC626" s="59"/>
      <c r="CD626" s="59"/>
      <c r="CE626" s="59"/>
      <c r="CF626" s="59"/>
      <c r="CG626" s="59"/>
      <c r="CH626" s="59"/>
      <c r="CI626" s="59"/>
      <c r="CJ626" s="59"/>
      <c r="CK626" s="59"/>
      <c r="CL626" s="59"/>
      <c r="CM626" s="59"/>
      <c r="CN626" s="59"/>
      <c r="CO626" s="59"/>
      <c r="CP626" s="59"/>
      <c r="CQ626" s="59"/>
      <c r="CR626" s="59"/>
      <c r="CS626" s="59"/>
      <c r="CT626" s="59"/>
      <c r="CU626" s="59"/>
      <c r="CV626" s="59"/>
      <c r="CW626" s="59"/>
      <c r="CX626" s="59"/>
      <c r="CY626" s="59"/>
      <c r="CZ626" s="59"/>
      <c r="DA626" s="59"/>
      <c r="DB626" s="59"/>
      <c r="DC626" s="59"/>
      <c r="DD626" s="59"/>
      <c r="DE626" s="59"/>
      <c r="DF626" s="59"/>
      <c r="DG626" s="59"/>
      <c r="DH626" s="59"/>
      <c r="DI626" s="59"/>
      <c r="DJ626" s="59"/>
      <c r="DK626" s="59"/>
      <c r="DL626" s="59"/>
      <c r="DM626" s="59"/>
      <c r="DN626" s="59"/>
      <c r="DO626" s="59"/>
      <c r="DP626" s="59"/>
      <c r="DQ626" s="59"/>
      <c r="DR626" s="59"/>
      <c r="DS626" s="59"/>
      <c r="DT626" s="59"/>
      <c r="DU626" s="59"/>
      <c r="DV626" s="59"/>
      <c r="DW626" s="59"/>
      <c r="DX626" s="59"/>
      <c r="DY626" s="59"/>
      <c r="DZ626" s="59"/>
      <c r="EA626" s="59"/>
      <c r="EB626" s="59"/>
      <c r="EC626" s="59"/>
      <c r="ED626" s="59"/>
      <c r="EE626" s="59"/>
      <c r="EF626" s="59"/>
      <c r="EG626" s="59"/>
      <c r="EH626" s="59"/>
      <c r="EI626" s="59"/>
      <c r="EJ626" s="59"/>
      <c r="EK626" s="59"/>
      <c r="EL626" s="59"/>
      <c r="EM626" s="59"/>
      <c r="EN626" s="59"/>
      <c r="EO626" s="59"/>
      <c r="EP626" s="59"/>
      <c r="EQ626" s="59"/>
      <c r="ER626" s="59"/>
      <c r="ES626" s="59"/>
      <c r="ET626" s="59"/>
      <c r="EU626" s="59"/>
      <c r="EV626" s="59"/>
      <c r="EW626" s="59"/>
      <c r="EX626" s="59"/>
      <c r="EY626" s="59"/>
      <c r="EZ626" s="59"/>
      <c r="FA626" s="59"/>
      <c r="FB626" s="59"/>
      <c r="FC626" s="59"/>
      <c r="FD626" s="59"/>
      <c r="FE626" s="59"/>
      <c r="FF626" s="59"/>
      <c r="FG626" s="59"/>
      <c r="FH626" s="59"/>
      <c r="FI626" s="59"/>
      <c r="FJ626" s="59"/>
      <c r="FK626" s="59"/>
      <c r="FL626" s="59"/>
      <c r="FM626" s="59"/>
      <c r="FN626" s="59"/>
      <c r="FO626" s="59"/>
      <c r="FP626" s="59"/>
      <c r="FQ626" s="59"/>
      <c r="FR626" s="59"/>
      <c r="FS626" s="59"/>
      <c r="FT626" s="59"/>
      <c r="FU626" s="59"/>
      <c r="FV626" s="59"/>
      <c r="FW626" s="59"/>
      <c r="FX626" s="59"/>
      <c r="FY626" s="59"/>
      <c r="FZ626" s="59"/>
      <c r="GA626" s="59"/>
      <c r="GB626" s="59"/>
      <c r="GC626" s="59"/>
      <c r="GD626" s="59"/>
      <c r="GE626" s="59"/>
      <c r="GF626" s="59"/>
      <c r="GG626" s="59"/>
      <c r="GH626" s="59"/>
      <c r="GI626" s="59"/>
      <c r="GJ626" s="59"/>
      <c r="GK626" s="59"/>
      <c r="GL626" s="59"/>
      <c r="GM626" s="59"/>
      <c r="GN626" s="59"/>
      <c r="GO626" s="59"/>
      <c r="GP626" s="59"/>
      <c r="GQ626" s="59"/>
      <c r="GR626" s="59"/>
      <c r="GS626" s="59"/>
      <c r="GT626" s="59"/>
      <c r="GU626" s="59"/>
      <c r="GV626" s="59"/>
      <c r="GW626" s="59"/>
      <c r="GX626" s="59"/>
      <c r="GY626" s="59"/>
      <c r="GZ626" s="59"/>
      <c r="HA626" s="59"/>
      <c r="HB626" s="59"/>
      <c r="HC626" s="59"/>
      <c r="HD626" s="59"/>
      <c r="HE626" s="59"/>
      <c r="HF626" s="59"/>
      <c r="HG626" s="59"/>
      <c r="HH626" s="59"/>
      <c r="HI626" s="59"/>
      <c r="HJ626" s="59"/>
      <c r="HK626" s="59"/>
      <c r="HL626" s="59"/>
      <c r="HM626" s="59"/>
      <c r="HN626" s="59"/>
      <c r="HO626" s="59"/>
      <c r="HP626" s="59"/>
      <c r="HQ626" s="59"/>
      <c r="HR626" s="59"/>
      <c r="HS626" s="59"/>
      <c r="HT626" s="59"/>
      <c r="HU626" s="59"/>
      <c r="HV626" s="59"/>
      <c r="HW626" s="59"/>
      <c r="HX626" s="59"/>
      <c r="HY626" s="59"/>
      <c r="HZ626" s="59"/>
      <c r="IA626" s="59"/>
      <c r="IB626" s="59"/>
      <c r="IC626" s="59"/>
      <c r="ID626" s="59"/>
      <c r="IE626" s="59"/>
      <c r="IF626" s="59"/>
      <c r="IG626" s="59"/>
      <c r="IH626" s="59"/>
      <c r="II626" s="59"/>
      <c r="IJ626" s="59"/>
      <c r="IK626" s="59"/>
      <c r="IL626" s="59"/>
      <c r="IM626" s="59"/>
      <c r="IN626" s="59"/>
      <c r="IO626" s="59"/>
      <c r="IP626" s="59"/>
      <c r="IQ626" s="59"/>
      <c r="IR626" s="59"/>
      <c r="IS626" s="59"/>
      <c r="IT626" s="59"/>
      <c r="IU626" s="59"/>
      <c r="IV626" s="59"/>
    </row>
    <row r="627" spans="1:256" ht="14.25" customHeight="1">
      <c r="A627" s="1844"/>
      <c r="B627" s="1828"/>
      <c r="C627" s="64"/>
      <c r="D627" s="64"/>
      <c r="E627" s="64"/>
      <c r="F627" s="64"/>
      <c r="G627" s="64"/>
      <c r="H627" s="59"/>
      <c r="I627" s="60"/>
      <c r="J627" s="60"/>
      <c r="K627" s="61"/>
      <c r="L627" s="59"/>
      <c r="M627" s="59"/>
      <c r="N627" s="59"/>
      <c r="O627" s="59"/>
      <c r="P627" s="59"/>
      <c r="Q627" s="59"/>
      <c r="R627" s="59"/>
      <c r="S627" s="59"/>
      <c r="T627" s="59"/>
      <c r="U627" s="59"/>
      <c r="V627" s="59"/>
      <c r="W627" s="59"/>
      <c r="X627" s="59"/>
      <c r="Y627" s="59"/>
      <c r="Z627" s="59"/>
      <c r="AA627" s="59"/>
      <c r="AB627" s="59"/>
      <c r="AC627" s="59"/>
      <c r="AD627" s="59"/>
      <c r="AE627" s="59"/>
      <c r="AF627" s="59"/>
      <c r="AG627" s="59"/>
      <c r="AH627" s="59"/>
      <c r="AI627" s="59"/>
      <c r="AJ627" s="59"/>
      <c r="AK627" s="59"/>
      <c r="AL627" s="59"/>
      <c r="AM627" s="59"/>
      <c r="AN627" s="59"/>
      <c r="AO627" s="59"/>
      <c r="AP627" s="59"/>
      <c r="AQ627" s="59"/>
      <c r="AR627" s="59"/>
      <c r="AS627" s="59"/>
      <c r="AT627" s="59"/>
      <c r="AU627" s="59"/>
      <c r="AV627" s="59"/>
      <c r="AW627" s="59"/>
      <c r="AX627" s="59"/>
      <c r="AY627" s="59"/>
      <c r="AZ627" s="59"/>
      <c r="BA627" s="59"/>
      <c r="BB627" s="59"/>
      <c r="BC627" s="59"/>
      <c r="BD627" s="59"/>
      <c r="BE627" s="59"/>
      <c r="BF627" s="59"/>
      <c r="BG627" s="59"/>
      <c r="BH627" s="59"/>
      <c r="BI627" s="59"/>
      <c r="BJ627" s="59"/>
      <c r="BK627" s="59"/>
      <c r="BL627" s="59"/>
      <c r="BM627" s="59"/>
      <c r="BN627" s="59"/>
      <c r="BO627" s="59"/>
      <c r="BP627" s="59"/>
      <c r="BQ627" s="59"/>
      <c r="BR627" s="59"/>
      <c r="BS627" s="59"/>
      <c r="BT627" s="59"/>
      <c r="BU627" s="59"/>
      <c r="BV627" s="59"/>
      <c r="BW627" s="59"/>
      <c r="BX627" s="59"/>
      <c r="BY627" s="59"/>
      <c r="BZ627" s="59"/>
      <c r="CA627" s="59"/>
      <c r="CB627" s="59"/>
      <c r="CC627" s="59"/>
      <c r="CD627" s="59"/>
      <c r="CE627" s="59"/>
      <c r="CF627" s="59"/>
      <c r="CG627" s="59"/>
      <c r="CH627" s="59"/>
      <c r="CI627" s="59"/>
      <c r="CJ627" s="59"/>
      <c r="CK627" s="59"/>
      <c r="CL627" s="59"/>
      <c r="CM627" s="59"/>
      <c r="CN627" s="59"/>
      <c r="CO627" s="59"/>
      <c r="CP627" s="59"/>
      <c r="CQ627" s="59"/>
      <c r="CR627" s="59"/>
      <c r="CS627" s="59"/>
      <c r="CT627" s="59"/>
      <c r="CU627" s="59"/>
      <c r="CV627" s="59"/>
      <c r="CW627" s="59"/>
      <c r="CX627" s="59"/>
      <c r="CY627" s="59"/>
      <c r="CZ627" s="59"/>
      <c r="DA627" s="59"/>
      <c r="DB627" s="59"/>
      <c r="DC627" s="59"/>
      <c r="DD627" s="59"/>
      <c r="DE627" s="59"/>
      <c r="DF627" s="59"/>
      <c r="DG627" s="59"/>
      <c r="DH627" s="59"/>
      <c r="DI627" s="59"/>
      <c r="DJ627" s="59"/>
      <c r="DK627" s="59"/>
      <c r="DL627" s="59"/>
      <c r="DM627" s="59"/>
      <c r="DN627" s="59"/>
      <c r="DO627" s="59"/>
      <c r="DP627" s="59"/>
      <c r="DQ627" s="59"/>
      <c r="DR627" s="59"/>
      <c r="DS627" s="59"/>
      <c r="DT627" s="59"/>
      <c r="DU627" s="59"/>
      <c r="DV627" s="59"/>
      <c r="DW627" s="59"/>
      <c r="DX627" s="59"/>
      <c r="DY627" s="59"/>
      <c r="DZ627" s="59"/>
      <c r="EA627" s="59"/>
      <c r="EB627" s="59"/>
      <c r="EC627" s="59"/>
      <c r="ED627" s="59"/>
      <c r="EE627" s="59"/>
      <c r="EF627" s="59"/>
      <c r="EG627" s="59"/>
      <c r="EH627" s="59"/>
      <c r="EI627" s="59"/>
      <c r="EJ627" s="59"/>
      <c r="EK627" s="59"/>
      <c r="EL627" s="59"/>
      <c r="EM627" s="59"/>
      <c r="EN627" s="59"/>
      <c r="EO627" s="59"/>
      <c r="EP627" s="59"/>
      <c r="EQ627" s="59"/>
      <c r="ER627" s="59"/>
      <c r="ES627" s="59"/>
      <c r="ET627" s="59"/>
      <c r="EU627" s="59"/>
      <c r="EV627" s="59"/>
      <c r="EW627" s="59"/>
      <c r="EX627" s="59"/>
      <c r="EY627" s="59"/>
      <c r="EZ627" s="59"/>
      <c r="FA627" s="59"/>
      <c r="FB627" s="59"/>
      <c r="FC627" s="59"/>
      <c r="FD627" s="59"/>
      <c r="FE627" s="59"/>
      <c r="FF627" s="59"/>
      <c r="FG627" s="59"/>
      <c r="FH627" s="59"/>
      <c r="FI627" s="59"/>
      <c r="FJ627" s="59"/>
      <c r="FK627" s="59"/>
      <c r="FL627" s="59"/>
      <c r="FM627" s="59"/>
      <c r="FN627" s="59"/>
      <c r="FO627" s="59"/>
      <c r="FP627" s="59"/>
      <c r="FQ627" s="59"/>
      <c r="FR627" s="59"/>
      <c r="FS627" s="59"/>
      <c r="FT627" s="59"/>
      <c r="FU627" s="59"/>
      <c r="FV627" s="59"/>
      <c r="FW627" s="59"/>
      <c r="FX627" s="59"/>
      <c r="FY627" s="59"/>
      <c r="FZ627" s="59"/>
      <c r="GA627" s="59"/>
      <c r="GB627" s="59"/>
      <c r="GC627" s="59"/>
      <c r="GD627" s="59"/>
      <c r="GE627" s="59"/>
      <c r="GF627" s="59"/>
      <c r="GG627" s="59"/>
      <c r="GH627" s="59"/>
      <c r="GI627" s="59"/>
      <c r="GJ627" s="59"/>
      <c r="GK627" s="59"/>
      <c r="GL627" s="59"/>
      <c r="GM627" s="59"/>
      <c r="GN627" s="59"/>
      <c r="GO627" s="59"/>
      <c r="GP627" s="59"/>
      <c r="GQ627" s="59"/>
      <c r="GR627" s="59"/>
      <c r="GS627" s="59"/>
      <c r="GT627" s="59"/>
      <c r="GU627" s="59"/>
      <c r="GV627" s="59"/>
      <c r="GW627" s="59"/>
      <c r="GX627" s="59"/>
      <c r="GY627" s="59"/>
      <c r="GZ627" s="59"/>
      <c r="HA627" s="59"/>
      <c r="HB627" s="59"/>
      <c r="HC627" s="59"/>
      <c r="HD627" s="59"/>
      <c r="HE627" s="59"/>
      <c r="HF627" s="59"/>
      <c r="HG627" s="59"/>
      <c r="HH627" s="59"/>
      <c r="HI627" s="59"/>
      <c r="HJ627" s="59"/>
      <c r="HK627" s="59"/>
      <c r="HL627" s="59"/>
      <c r="HM627" s="59"/>
      <c r="HN627" s="59"/>
      <c r="HO627" s="59"/>
      <c r="HP627" s="59"/>
      <c r="HQ627" s="59"/>
      <c r="HR627" s="59"/>
      <c r="HS627" s="59"/>
      <c r="HT627" s="59"/>
      <c r="HU627" s="59"/>
      <c r="HV627" s="59"/>
      <c r="HW627" s="59"/>
      <c r="HX627" s="59"/>
      <c r="HY627" s="59"/>
      <c r="HZ627" s="59"/>
      <c r="IA627" s="59"/>
      <c r="IB627" s="59"/>
      <c r="IC627" s="59"/>
      <c r="ID627" s="59"/>
      <c r="IE627" s="59"/>
      <c r="IF627" s="59"/>
      <c r="IG627" s="59"/>
      <c r="IH627" s="59"/>
      <c r="II627" s="59"/>
      <c r="IJ627" s="59"/>
      <c r="IK627" s="59"/>
      <c r="IL627" s="59"/>
      <c r="IM627" s="59"/>
      <c r="IN627" s="59"/>
      <c r="IO627" s="59"/>
      <c r="IP627" s="59"/>
      <c r="IQ627" s="59"/>
      <c r="IR627" s="59"/>
      <c r="IS627" s="59"/>
      <c r="IT627" s="59"/>
      <c r="IU627" s="59"/>
      <c r="IV627" s="59"/>
    </row>
    <row r="628" spans="1:256" ht="14.25" customHeight="1">
      <c r="A628" s="1829" t="s">
        <v>227</v>
      </c>
      <c r="B628" s="1830"/>
      <c r="C628" s="1830"/>
      <c r="D628" s="1830"/>
      <c r="E628" s="1830"/>
      <c r="F628" s="1828"/>
      <c r="G628" s="65">
        <f>ROUND(SUM(G625:G627),2)</f>
        <v>741.14</v>
      </c>
      <c r="H628" s="59">
        <v>741.14400000000001</v>
      </c>
      <c r="I628" s="60"/>
      <c r="J628" s="60"/>
      <c r="K628" s="61"/>
      <c r="L628" s="59"/>
      <c r="M628" s="59"/>
      <c r="N628" s="59"/>
      <c r="O628" s="59"/>
      <c r="P628" s="59"/>
      <c r="Q628" s="59"/>
      <c r="R628" s="59"/>
      <c r="S628" s="59"/>
      <c r="T628" s="59"/>
      <c r="U628" s="59"/>
      <c r="V628" s="59"/>
      <c r="W628" s="59"/>
      <c r="X628" s="59"/>
      <c r="Y628" s="59"/>
      <c r="Z628" s="59"/>
      <c r="AA628" s="59"/>
      <c r="AB628" s="59"/>
      <c r="AC628" s="59"/>
      <c r="AD628" s="59"/>
      <c r="AE628" s="59"/>
      <c r="AF628" s="59"/>
      <c r="AG628" s="59"/>
      <c r="AH628" s="59"/>
      <c r="AI628" s="59"/>
      <c r="AJ628" s="59"/>
      <c r="AK628" s="59"/>
      <c r="AL628" s="59"/>
      <c r="AM628" s="59"/>
      <c r="AN628" s="59"/>
      <c r="AO628" s="59"/>
      <c r="AP628" s="59"/>
      <c r="AQ628" s="59"/>
      <c r="AR628" s="59"/>
      <c r="AS628" s="59"/>
      <c r="AT628" s="59"/>
      <c r="AU628" s="59"/>
      <c r="AV628" s="59"/>
      <c r="AW628" s="59"/>
      <c r="AX628" s="59"/>
      <c r="AY628" s="59"/>
      <c r="AZ628" s="59"/>
      <c r="BA628" s="59"/>
      <c r="BB628" s="59"/>
      <c r="BC628" s="59"/>
      <c r="BD628" s="59"/>
      <c r="BE628" s="59"/>
      <c r="BF628" s="59"/>
      <c r="BG628" s="59"/>
      <c r="BH628" s="59"/>
      <c r="BI628" s="59"/>
      <c r="BJ628" s="59"/>
      <c r="BK628" s="59"/>
      <c r="BL628" s="59"/>
      <c r="BM628" s="59"/>
      <c r="BN628" s="59"/>
      <c r="BO628" s="59"/>
      <c r="BP628" s="59"/>
      <c r="BQ628" s="59"/>
      <c r="BR628" s="59"/>
      <c r="BS628" s="59"/>
      <c r="BT628" s="59"/>
      <c r="BU628" s="59"/>
      <c r="BV628" s="59"/>
      <c r="BW628" s="59"/>
      <c r="BX628" s="59"/>
      <c r="BY628" s="59"/>
      <c r="BZ628" s="59"/>
      <c r="CA628" s="59"/>
      <c r="CB628" s="59"/>
      <c r="CC628" s="59"/>
      <c r="CD628" s="59"/>
      <c r="CE628" s="59"/>
      <c r="CF628" s="59"/>
      <c r="CG628" s="59"/>
      <c r="CH628" s="59"/>
      <c r="CI628" s="59"/>
      <c r="CJ628" s="59"/>
      <c r="CK628" s="59"/>
      <c r="CL628" s="59"/>
      <c r="CM628" s="59"/>
      <c r="CN628" s="59"/>
      <c r="CO628" s="59"/>
      <c r="CP628" s="59"/>
      <c r="CQ628" s="59"/>
      <c r="CR628" s="59"/>
      <c r="CS628" s="59"/>
      <c r="CT628" s="59"/>
      <c r="CU628" s="59"/>
      <c r="CV628" s="59"/>
      <c r="CW628" s="59"/>
      <c r="CX628" s="59"/>
      <c r="CY628" s="59"/>
      <c r="CZ628" s="59"/>
      <c r="DA628" s="59"/>
      <c r="DB628" s="59"/>
      <c r="DC628" s="59"/>
      <c r="DD628" s="59"/>
      <c r="DE628" s="59"/>
      <c r="DF628" s="59"/>
      <c r="DG628" s="59"/>
      <c r="DH628" s="59"/>
      <c r="DI628" s="59"/>
      <c r="DJ628" s="59"/>
      <c r="DK628" s="59"/>
      <c r="DL628" s="59"/>
      <c r="DM628" s="59"/>
      <c r="DN628" s="59"/>
      <c r="DO628" s="59"/>
      <c r="DP628" s="59"/>
      <c r="DQ628" s="59"/>
      <c r="DR628" s="59"/>
      <c r="DS628" s="59"/>
      <c r="DT628" s="59"/>
      <c r="DU628" s="59"/>
      <c r="DV628" s="59"/>
      <c r="DW628" s="59"/>
      <c r="DX628" s="59"/>
      <c r="DY628" s="59"/>
      <c r="DZ628" s="59"/>
      <c r="EA628" s="59"/>
      <c r="EB628" s="59"/>
      <c r="EC628" s="59"/>
      <c r="ED628" s="59"/>
      <c r="EE628" s="59"/>
      <c r="EF628" s="59"/>
      <c r="EG628" s="59"/>
      <c r="EH628" s="59"/>
      <c r="EI628" s="59"/>
      <c r="EJ628" s="59"/>
      <c r="EK628" s="59"/>
      <c r="EL628" s="59"/>
      <c r="EM628" s="59"/>
      <c r="EN628" s="59"/>
      <c r="EO628" s="59"/>
      <c r="EP628" s="59"/>
      <c r="EQ628" s="59"/>
      <c r="ER628" s="59"/>
      <c r="ES628" s="59"/>
      <c r="ET628" s="59"/>
      <c r="EU628" s="59"/>
      <c r="EV628" s="59"/>
      <c r="EW628" s="59"/>
      <c r="EX628" s="59"/>
      <c r="EY628" s="59"/>
      <c r="EZ628" s="59"/>
      <c r="FA628" s="59"/>
      <c r="FB628" s="59"/>
      <c r="FC628" s="59"/>
      <c r="FD628" s="59"/>
      <c r="FE628" s="59"/>
      <c r="FF628" s="59"/>
      <c r="FG628" s="59"/>
      <c r="FH628" s="59"/>
      <c r="FI628" s="59"/>
      <c r="FJ628" s="59"/>
      <c r="FK628" s="59"/>
      <c r="FL628" s="59"/>
      <c r="FM628" s="59"/>
      <c r="FN628" s="59"/>
      <c r="FO628" s="59"/>
      <c r="FP628" s="59"/>
      <c r="FQ628" s="59"/>
      <c r="FR628" s="59"/>
      <c r="FS628" s="59"/>
      <c r="FT628" s="59"/>
      <c r="FU628" s="59"/>
      <c r="FV628" s="59"/>
      <c r="FW628" s="59"/>
      <c r="FX628" s="59"/>
      <c r="FY628" s="59"/>
      <c r="FZ628" s="59"/>
      <c r="GA628" s="59"/>
      <c r="GB628" s="59"/>
      <c r="GC628" s="59"/>
      <c r="GD628" s="59"/>
      <c r="GE628" s="59"/>
      <c r="GF628" s="59"/>
      <c r="GG628" s="59"/>
      <c r="GH628" s="59"/>
      <c r="GI628" s="59"/>
      <c r="GJ628" s="59"/>
      <c r="GK628" s="59"/>
      <c r="GL628" s="59"/>
      <c r="GM628" s="59"/>
      <c r="GN628" s="59"/>
      <c r="GO628" s="59"/>
      <c r="GP628" s="59"/>
      <c r="GQ628" s="59"/>
      <c r="GR628" s="59"/>
      <c r="GS628" s="59"/>
      <c r="GT628" s="59"/>
      <c r="GU628" s="59"/>
      <c r="GV628" s="59"/>
      <c r="GW628" s="59"/>
      <c r="GX628" s="59"/>
      <c r="GY628" s="59"/>
      <c r="GZ628" s="59"/>
      <c r="HA628" s="59"/>
      <c r="HB628" s="59"/>
      <c r="HC628" s="59"/>
      <c r="HD628" s="59"/>
      <c r="HE628" s="59"/>
      <c r="HF628" s="59"/>
      <c r="HG628" s="59"/>
      <c r="HH628" s="59"/>
      <c r="HI628" s="59"/>
      <c r="HJ628" s="59"/>
      <c r="HK628" s="59"/>
      <c r="HL628" s="59"/>
      <c r="HM628" s="59"/>
      <c r="HN628" s="59"/>
      <c r="HO628" s="59"/>
      <c r="HP628" s="59"/>
      <c r="HQ628" s="59"/>
      <c r="HR628" s="59"/>
      <c r="HS628" s="59"/>
      <c r="HT628" s="59"/>
      <c r="HU628" s="59"/>
      <c r="HV628" s="59"/>
      <c r="HW628" s="59"/>
      <c r="HX628" s="59"/>
      <c r="HY628" s="59"/>
      <c r="HZ628" s="59"/>
      <c r="IA628" s="59"/>
      <c r="IB628" s="59"/>
      <c r="IC628" s="59"/>
      <c r="ID628" s="59"/>
      <c r="IE628" s="59"/>
      <c r="IF628" s="59"/>
      <c r="IG628" s="59"/>
      <c r="IH628" s="59"/>
      <c r="II628" s="59"/>
      <c r="IJ628" s="59"/>
      <c r="IK628" s="59"/>
      <c r="IL628" s="59"/>
      <c r="IM628" s="59"/>
      <c r="IN628" s="59"/>
      <c r="IO628" s="59"/>
      <c r="IP628" s="59"/>
      <c r="IQ628" s="59"/>
      <c r="IR628" s="59"/>
      <c r="IS628" s="59"/>
      <c r="IT628" s="59"/>
      <c r="IU628" s="59"/>
      <c r="IV628" s="69">
        <f>SUM(G628:IU628)</f>
        <v>1482.2840000000001</v>
      </c>
    </row>
    <row r="629" spans="1:256" ht="14.25" customHeight="1">
      <c r="A629" s="1831"/>
      <c r="B629" s="1830"/>
      <c r="C629" s="1830"/>
      <c r="D629" s="1830"/>
      <c r="E629" s="1830"/>
      <c r="F629" s="1830"/>
      <c r="G629" s="1828"/>
      <c r="H629" s="59"/>
      <c r="I629" s="60"/>
      <c r="J629" s="60"/>
      <c r="K629" s="61"/>
      <c r="L629" s="59"/>
      <c r="M629" s="59"/>
      <c r="N629" s="59"/>
      <c r="O629" s="59"/>
      <c r="P629" s="59"/>
      <c r="Q629" s="59"/>
      <c r="R629" s="59"/>
      <c r="S629" s="59"/>
      <c r="T629" s="59"/>
      <c r="U629" s="59"/>
      <c r="V629" s="59"/>
      <c r="W629" s="59"/>
      <c r="X629" s="59"/>
      <c r="Y629" s="59"/>
      <c r="Z629" s="59"/>
      <c r="AA629" s="59"/>
      <c r="AB629" s="59"/>
      <c r="AC629" s="59"/>
      <c r="AD629" s="59"/>
      <c r="AE629" s="59"/>
      <c r="AF629" s="59"/>
      <c r="AG629" s="59"/>
      <c r="AH629" s="59"/>
      <c r="AI629" s="59"/>
      <c r="AJ629" s="59"/>
      <c r="AK629" s="59"/>
      <c r="AL629" s="59"/>
      <c r="AM629" s="59"/>
      <c r="AN629" s="59"/>
      <c r="AO629" s="59"/>
      <c r="AP629" s="59"/>
      <c r="AQ629" s="59"/>
      <c r="AR629" s="59"/>
      <c r="AS629" s="59"/>
      <c r="AT629" s="59"/>
      <c r="AU629" s="59"/>
      <c r="AV629" s="59"/>
      <c r="AW629" s="59"/>
      <c r="AX629" s="59"/>
      <c r="AY629" s="59"/>
      <c r="AZ629" s="59"/>
      <c r="BA629" s="59"/>
      <c r="BB629" s="59"/>
      <c r="BC629" s="59"/>
      <c r="BD629" s="59"/>
      <c r="BE629" s="59"/>
      <c r="BF629" s="59"/>
      <c r="BG629" s="59"/>
      <c r="BH629" s="59"/>
      <c r="BI629" s="59"/>
      <c r="BJ629" s="59"/>
      <c r="BK629" s="59"/>
      <c r="BL629" s="59"/>
      <c r="BM629" s="59"/>
      <c r="BN629" s="59"/>
      <c r="BO629" s="59"/>
      <c r="BP629" s="59"/>
      <c r="BQ629" s="59"/>
      <c r="BR629" s="59"/>
      <c r="BS629" s="59"/>
      <c r="BT629" s="59"/>
      <c r="BU629" s="59"/>
      <c r="BV629" s="59"/>
      <c r="BW629" s="59"/>
      <c r="BX629" s="59"/>
      <c r="BY629" s="59"/>
      <c r="BZ629" s="59"/>
      <c r="CA629" s="59"/>
      <c r="CB629" s="59"/>
      <c r="CC629" s="59"/>
      <c r="CD629" s="59"/>
      <c r="CE629" s="59"/>
      <c r="CF629" s="59"/>
      <c r="CG629" s="59"/>
      <c r="CH629" s="59"/>
      <c r="CI629" s="59"/>
      <c r="CJ629" s="59"/>
      <c r="CK629" s="59"/>
      <c r="CL629" s="59"/>
      <c r="CM629" s="59"/>
      <c r="CN629" s="59"/>
      <c r="CO629" s="59"/>
      <c r="CP629" s="59"/>
      <c r="CQ629" s="59"/>
      <c r="CR629" s="59"/>
      <c r="CS629" s="59"/>
      <c r="CT629" s="59"/>
      <c r="CU629" s="59"/>
      <c r="CV629" s="59"/>
      <c r="CW629" s="59"/>
      <c r="CX629" s="59"/>
      <c r="CY629" s="59"/>
      <c r="CZ629" s="59"/>
      <c r="DA629" s="59"/>
      <c r="DB629" s="59"/>
      <c r="DC629" s="59"/>
      <c r="DD629" s="59"/>
      <c r="DE629" s="59"/>
      <c r="DF629" s="59"/>
      <c r="DG629" s="59"/>
      <c r="DH629" s="59"/>
      <c r="DI629" s="59"/>
      <c r="DJ629" s="59"/>
      <c r="DK629" s="59"/>
      <c r="DL629" s="59"/>
      <c r="DM629" s="59"/>
      <c r="DN629" s="59"/>
      <c r="DO629" s="59"/>
      <c r="DP629" s="59"/>
      <c r="DQ629" s="59"/>
      <c r="DR629" s="59"/>
      <c r="DS629" s="59"/>
      <c r="DT629" s="59"/>
      <c r="DU629" s="59"/>
      <c r="DV629" s="59"/>
      <c r="DW629" s="59"/>
      <c r="DX629" s="59"/>
      <c r="DY629" s="59"/>
      <c r="DZ629" s="59"/>
      <c r="EA629" s="59"/>
      <c r="EB629" s="59"/>
      <c r="EC629" s="59"/>
      <c r="ED629" s="59"/>
      <c r="EE629" s="59"/>
      <c r="EF629" s="59"/>
      <c r="EG629" s="59"/>
      <c r="EH629" s="59"/>
      <c r="EI629" s="59"/>
      <c r="EJ629" s="59"/>
      <c r="EK629" s="59"/>
      <c r="EL629" s="59"/>
      <c r="EM629" s="59"/>
      <c r="EN629" s="59"/>
      <c r="EO629" s="59"/>
      <c r="EP629" s="59"/>
      <c r="EQ629" s="59"/>
      <c r="ER629" s="59"/>
      <c r="ES629" s="59"/>
      <c r="ET629" s="59"/>
      <c r="EU629" s="59"/>
      <c r="EV629" s="59"/>
      <c r="EW629" s="59"/>
      <c r="EX629" s="59"/>
      <c r="EY629" s="59"/>
      <c r="EZ629" s="59"/>
      <c r="FA629" s="59"/>
      <c r="FB629" s="59"/>
      <c r="FC629" s="59"/>
      <c r="FD629" s="59"/>
      <c r="FE629" s="59"/>
      <c r="FF629" s="59"/>
      <c r="FG629" s="59"/>
      <c r="FH629" s="59"/>
      <c r="FI629" s="59"/>
      <c r="FJ629" s="59"/>
      <c r="FK629" s="59"/>
      <c r="FL629" s="59"/>
      <c r="FM629" s="59"/>
      <c r="FN629" s="59"/>
      <c r="FO629" s="59"/>
      <c r="FP629" s="59"/>
      <c r="FQ629" s="59"/>
      <c r="FR629" s="59"/>
      <c r="FS629" s="59"/>
      <c r="FT629" s="59"/>
      <c r="FU629" s="59"/>
      <c r="FV629" s="59"/>
      <c r="FW629" s="59"/>
      <c r="FX629" s="59"/>
      <c r="FY629" s="59"/>
      <c r="FZ629" s="59"/>
      <c r="GA629" s="59"/>
      <c r="GB629" s="59"/>
      <c r="GC629" s="59"/>
      <c r="GD629" s="59"/>
      <c r="GE629" s="59"/>
      <c r="GF629" s="59"/>
      <c r="GG629" s="59"/>
      <c r="GH629" s="59"/>
      <c r="GI629" s="59"/>
      <c r="GJ629" s="59"/>
      <c r="GK629" s="59"/>
      <c r="GL629" s="59"/>
      <c r="GM629" s="59"/>
      <c r="GN629" s="59"/>
      <c r="GO629" s="59"/>
      <c r="GP629" s="59"/>
      <c r="GQ629" s="59"/>
      <c r="GR629" s="59"/>
      <c r="GS629" s="59"/>
      <c r="GT629" s="59"/>
      <c r="GU629" s="59"/>
      <c r="GV629" s="59"/>
      <c r="GW629" s="59"/>
      <c r="GX629" s="59"/>
      <c r="GY629" s="59"/>
      <c r="GZ629" s="59"/>
      <c r="HA629" s="59"/>
      <c r="HB629" s="59"/>
      <c r="HC629" s="59"/>
      <c r="HD629" s="59"/>
      <c r="HE629" s="59"/>
      <c r="HF629" s="59"/>
      <c r="HG629" s="59"/>
      <c r="HH629" s="59"/>
      <c r="HI629" s="59"/>
      <c r="HJ629" s="59"/>
      <c r="HK629" s="59"/>
      <c r="HL629" s="59"/>
      <c r="HM629" s="59"/>
      <c r="HN629" s="59"/>
      <c r="HO629" s="59"/>
      <c r="HP629" s="59"/>
      <c r="HQ629" s="59"/>
      <c r="HR629" s="59"/>
      <c r="HS629" s="59"/>
      <c r="HT629" s="59"/>
      <c r="HU629" s="59"/>
      <c r="HV629" s="59"/>
      <c r="HW629" s="59"/>
      <c r="HX629" s="59"/>
      <c r="HY629" s="59"/>
      <c r="HZ629" s="59"/>
      <c r="IA629" s="59"/>
      <c r="IB629" s="59"/>
      <c r="IC629" s="59"/>
      <c r="ID629" s="59"/>
      <c r="IE629" s="59"/>
      <c r="IF629" s="59"/>
      <c r="IG629" s="59"/>
      <c r="IH629" s="59"/>
      <c r="II629" s="59"/>
      <c r="IJ629" s="59"/>
      <c r="IK629" s="59"/>
      <c r="IL629" s="59"/>
      <c r="IM629" s="59"/>
      <c r="IN629" s="59"/>
      <c r="IO629" s="59"/>
      <c r="IP629" s="59"/>
      <c r="IQ629" s="59"/>
      <c r="IR629" s="59"/>
      <c r="IS629" s="59"/>
      <c r="IT629" s="59"/>
      <c r="IU629" s="59"/>
      <c r="IV629" s="59"/>
    </row>
    <row r="630" spans="1:256" ht="14.25" customHeight="1">
      <c r="A630" s="66" t="s">
        <v>268</v>
      </c>
      <c r="B630" s="1832" t="str">
        <f>+B621</f>
        <v>ACABADOS</v>
      </c>
      <c r="C630" s="1830"/>
      <c r="D630" s="1828"/>
      <c r="E630" s="1833" t="s">
        <v>218</v>
      </c>
      <c r="F630" s="1828"/>
      <c r="G630" s="62" t="s">
        <v>228</v>
      </c>
      <c r="H630" s="59"/>
      <c r="I630" s="60"/>
      <c r="J630" s="60"/>
      <c r="K630" s="61"/>
      <c r="L630" s="59"/>
      <c r="M630" s="59"/>
      <c r="N630" s="59"/>
      <c r="O630" s="59"/>
      <c r="P630" s="59"/>
      <c r="Q630" s="59"/>
      <c r="R630" s="59"/>
      <c r="S630" s="59"/>
      <c r="T630" s="59"/>
      <c r="U630" s="59"/>
      <c r="V630" s="59"/>
      <c r="W630" s="59"/>
      <c r="X630" s="59"/>
      <c r="Y630" s="59"/>
      <c r="Z630" s="59"/>
      <c r="AA630" s="59"/>
      <c r="AB630" s="59"/>
      <c r="AC630" s="59"/>
      <c r="AD630" s="59"/>
      <c r="AE630" s="59"/>
      <c r="AF630" s="59"/>
      <c r="AG630" s="59"/>
      <c r="AH630" s="59"/>
      <c r="AI630" s="59"/>
      <c r="AJ630" s="59"/>
      <c r="AK630" s="59"/>
      <c r="AL630" s="59"/>
      <c r="AM630" s="59"/>
      <c r="AN630" s="59"/>
      <c r="AO630" s="59"/>
      <c r="AP630" s="59"/>
      <c r="AQ630" s="59"/>
      <c r="AR630" s="59"/>
      <c r="AS630" s="59"/>
      <c r="AT630" s="59"/>
      <c r="AU630" s="59"/>
      <c r="AV630" s="59"/>
      <c r="AW630" s="59"/>
      <c r="AX630" s="59"/>
      <c r="AY630" s="59"/>
      <c r="AZ630" s="59"/>
      <c r="BA630" s="59"/>
      <c r="BB630" s="59"/>
      <c r="BC630" s="59"/>
      <c r="BD630" s="59"/>
      <c r="BE630" s="59"/>
      <c r="BF630" s="59"/>
      <c r="BG630" s="59"/>
      <c r="BH630" s="59"/>
      <c r="BI630" s="59"/>
      <c r="BJ630" s="59"/>
      <c r="BK630" s="59"/>
      <c r="BL630" s="59"/>
      <c r="BM630" s="59"/>
      <c r="BN630" s="59"/>
      <c r="BO630" s="59"/>
      <c r="BP630" s="59"/>
      <c r="BQ630" s="59"/>
      <c r="BR630" s="59"/>
      <c r="BS630" s="59"/>
      <c r="BT630" s="59"/>
      <c r="BU630" s="59"/>
      <c r="BV630" s="59"/>
      <c r="BW630" s="59"/>
      <c r="BX630" s="59"/>
      <c r="BY630" s="59"/>
      <c r="BZ630" s="59"/>
      <c r="CA630" s="59"/>
      <c r="CB630" s="59"/>
      <c r="CC630" s="59"/>
      <c r="CD630" s="59"/>
      <c r="CE630" s="59"/>
      <c r="CF630" s="59"/>
      <c r="CG630" s="59"/>
      <c r="CH630" s="59"/>
      <c r="CI630" s="59"/>
      <c r="CJ630" s="59"/>
      <c r="CK630" s="59"/>
      <c r="CL630" s="59"/>
      <c r="CM630" s="59"/>
      <c r="CN630" s="59"/>
      <c r="CO630" s="59"/>
      <c r="CP630" s="59"/>
      <c r="CQ630" s="59"/>
      <c r="CR630" s="59"/>
      <c r="CS630" s="59"/>
      <c r="CT630" s="59"/>
      <c r="CU630" s="59"/>
      <c r="CV630" s="59"/>
      <c r="CW630" s="59"/>
      <c r="CX630" s="59"/>
      <c r="CY630" s="59"/>
      <c r="CZ630" s="59"/>
      <c r="DA630" s="59"/>
      <c r="DB630" s="59"/>
      <c r="DC630" s="59"/>
      <c r="DD630" s="59"/>
      <c r="DE630" s="59"/>
      <c r="DF630" s="59"/>
      <c r="DG630" s="59"/>
      <c r="DH630" s="59"/>
      <c r="DI630" s="59"/>
      <c r="DJ630" s="59"/>
      <c r="DK630" s="59"/>
      <c r="DL630" s="59"/>
      <c r="DM630" s="59"/>
      <c r="DN630" s="59"/>
      <c r="DO630" s="59"/>
      <c r="DP630" s="59"/>
      <c r="DQ630" s="59"/>
      <c r="DR630" s="59"/>
      <c r="DS630" s="59"/>
      <c r="DT630" s="59"/>
      <c r="DU630" s="59"/>
      <c r="DV630" s="59"/>
      <c r="DW630" s="59"/>
      <c r="DX630" s="59"/>
      <c r="DY630" s="59"/>
      <c r="DZ630" s="59"/>
      <c r="EA630" s="59"/>
      <c r="EB630" s="59"/>
      <c r="EC630" s="59"/>
      <c r="ED630" s="59"/>
      <c r="EE630" s="59"/>
      <c r="EF630" s="59"/>
      <c r="EG630" s="59"/>
      <c r="EH630" s="59"/>
      <c r="EI630" s="59"/>
      <c r="EJ630" s="59"/>
      <c r="EK630" s="59"/>
      <c r="EL630" s="59"/>
      <c r="EM630" s="59"/>
      <c r="EN630" s="59"/>
      <c r="EO630" s="59"/>
      <c r="EP630" s="59"/>
      <c r="EQ630" s="59"/>
      <c r="ER630" s="59"/>
      <c r="ES630" s="59"/>
      <c r="ET630" s="59"/>
      <c r="EU630" s="59"/>
      <c r="EV630" s="59"/>
      <c r="EW630" s="59"/>
      <c r="EX630" s="59"/>
      <c r="EY630" s="59"/>
      <c r="EZ630" s="59"/>
      <c r="FA630" s="59"/>
      <c r="FB630" s="59"/>
      <c r="FC630" s="59"/>
      <c r="FD630" s="59"/>
      <c r="FE630" s="59"/>
      <c r="FF630" s="59"/>
      <c r="FG630" s="59"/>
      <c r="FH630" s="59"/>
      <c r="FI630" s="59"/>
      <c r="FJ630" s="59"/>
      <c r="FK630" s="59"/>
      <c r="FL630" s="59"/>
      <c r="FM630" s="59"/>
      <c r="FN630" s="59"/>
      <c r="FO630" s="59"/>
      <c r="FP630" s="59"/>
      <c r="FQ630" s="59"/>
      <c r="FR630" s="59"/>
      <c r="FS630" s="59"/>
      <c r="FT630" s="59"/>
      <c r="FU630" s="59"/>
      <c r="FV630" s="59"/>
      <c r="FW630" s="59"/>
      <c r="FX630" s="59"/>
      <c r="FY630" s="59"/>
      <c r="FZ630" s="59"/>
      <c r="GA630" s="59"/>
      <c r="GB630" s="59"/>
      <c r="GC630" s="59"/>
      <c r="GD630" s="59"/>
      <c r="GE630" s="59"/>
      <c r="GF630" s="59"/>
      <c r="GG630" s="59"/>
      <c r="GH630" s="59"/>
      <c r="GI630" s="59"/>
      <c r="GJ630" s="59"/>
      <c r="GK630" s="59"/>
      <c r="GL630" s="59"/>
      <c r="GM630" s="59"/>
      <c r="GN630" s="59"/>
      <c r="GO630" s="59"/>
      <c r="GP630" s="59"/>
      <c r="GQ630" s="59"/>
      <c r="GR630" s="59"/>
      <c r="GS630" s="59"/>
      <c r="GT630" s="59"/>
      <c r="GU630" s="59"/>
      <c r="GV630" s="59"/>
      <c r="GW630" s="59"/>
      <c r="GX630" s="59"/>
      <c r="GY630" s="59"/>
      <c r="GZ630" s="59"/>
      <c r="HA630" s="59"/>
      <c r="HB630" s="59"/>
      <c r="HC630" s="59"/>
      <c r="HD630" s="59"/>
      <c r="HE630" s="59"/>
      <c r="HF630" s="59"/>
      <c r="HG630" s="59"/>
      <c r="HH630" s="59"/>
      <c r="HI630" s="59"/>
      <c r="HJ630" s="59"/>
      <c r="HK630" s="59"/>
      <c r="HL630" s="59"/>
      <c r="HM630" s="59"/>
      <c r="HN630" s="59"/>
      <c r="HO630" s="59"/>
      <c r="HP630" s="59"/>
      <c r="HQ630" s="59"/>
      <c r="HR630" s="59"/>
      <c r="HS630" s="59"/>
      <c r="HT630" s="59"/>
      <c r="HU630" s="59"/>
      <c r="HV630" s="59"/>
      <c r="HW630" s="59"/>
      <c r="HX630" s="59"/>
      <c r="HY630" s="59"/>
      <c r="HZ630" s="59"/>
      <c r="IA630" s="59"/>
      <c r="IB630" s="59"/>
      <c r="IC630" s="59"/>
      <c r="ID630" s="59"/>
      <c r="IE630" s="59"/>
      <c r="IF630" s="59"/>
      <c r="IG630" s="59"/>
      <c r="IH630" s="59"/>
      <c r="II630" s="59"/>
      <c r="IJ630" s="59"/>
      <c r="IK630" s="59"/>
      <c r="IL630" s="59"/>
      <c r="IM630" s="59"/>
      <c r="IN630" s="59"/>
      <c r="IO630" s="59"/>
      <c r="IP630" s="59"/>
      <c r="IQ630" s="59"/>
      <c r="IR630" s="59"/>
      <c r="IS630" s="59"/>
      <c r="IT630" s="59"/>
      <c r="IU630" s="59"/>
      <c r="IV630" s="59"/>
    </row>
    <row r="631" spans="1:256" ht="18" customHeight="1">
      <c r="A631" s="66" t="s">
        <v>792</v>
      </c>
      <c r="B631" s="1840" t="s">
        <v>426</v>
      </c>
      <c r="C631" s="1830"/>
      <c r="D631" s="1830"/>
      <c r="E631" s="1830"/>
      <c r="F631" s="1830"/>
      <c r="G631" s="1828"/>
      <c r="H631" s="59"/>
      <c r="I631" s="60"/>
      <c r="J631" s="60"/>
      <c r="K631" s="61"/>
      <c r="L631" s="59"/>
      <c r="M631" s="59"/>
      <c r="N631" s="59"/>
      <c r="O631" s="59"/>
      <c r="P631" s="59"/>
      <c r="Q631" s="59"/>
      <c r="R631" s="59"/>
      <c r="S631" s="59"/>
      <c r="T631" s="59"/>
      <c r="U631" s="59"/>
      <c r="V631" s="59"/>
      <c r="W631" s="59"/>
      <c r="X631" s="59"/>
      <c r="Y631" s="59"/>
      <c r="Z631" s="59"/>
      <c r="AA631" s="59"/>
      <c r="AB631" s="59"/>
      <c r="AC631" s="59"/>
      <c r="AD631" s="59"/>
      <c r="AE631" s="59"/>
      <c r="AF631" s="59"/>
      <c r="AG631" s="59"/>
      <c r="AH631" s="59"/>
      <c r="AI631" s="59"/>
      <c r="AJ631" s="59"/>
      <c r="AK631" s="59"/>
      <c r="AL631" s="59"/>
      <c r="AM631" s="59"/>
      <c r="AN631" s="59"/>
      <c r="AO631" s="59"/>
      <c r="AP631" s="59"/>
      <c r="AQ631" s="59"/>
      <c r="AR631" s="59"/>
      <c r="AS631" s="59"/>
      <c r="AT631" s="59"/>
      <c r="AU631" s="59"/>
      <c r="AV631" s="59"/>
      <c r="AW631" s="59"/>
      <c r="AX631" s="59"/>
      <c r="AY631" s="59"/>
      <c r="AZ631" s="59"/>
      <c r="BA631" s="59"/>
      <c r="BB631" s="59"/>
      <c r="BC631" s="59"/>
      <c r="BD631" s="59"/>
      <c r="BE631" s="59"/>
      <c r="BF631" s="59"/>
      <c r="BG631" s="59"/>
      <c r="BH631" s="59"/>
      <c r="BI631" s="59"/>
      <c r="BJ631" s="59"/>
      <c r="BK631" s="59"/>
      <c r="BL631" s="59"/>
      <c r="BM631" s="59"/>
      <c r="BN631" s="59"/>
      <c r="BO631" s="59"/>
      <c r="BP631" s="59"/>
      <c r="BQ631" s="59"/>
      <c r="BR631" s="59"/>
      <c r="BS631" s="59"/>
      <c r="BT631" s="59"/>
      <c r="BU631" s="59"/>
      <c r="BV631" s="59"/>
      <c r="BW631" s="59"/>
      <c r="BX631" s="59"/>
      <c r="BY631" s="59"/>
      <c r="BZ631" s="59"/>
      <c r="CA631" s="59"/>
      <c r="CB631" s="59"/>
      <c r="CC631" s="59"/>
      <c r="CD631" s="59"/>
      <c r="CE631" s="59"/>
      <c r="CF631" s="59"/>
      <c r="CG631" s="59"/>
      <c r="CH631" s="59"/>
      <c r="CI631" s="59"/>
      <c r="CJ631" s="59"/>
      <c r="CK631" s="59"/>
      <c r="CL631" s="59"/>
      <c r="CM631" s="59"/>
      <c r="CN631" s="59"/>
      <c r="CO631" s="59"/>
      <c r="CP631" s="59"/>
      <c r="CQ631" s="59"/>
      <c r="CR631" s="59"/>
      <c r="CS631" s="59"/>
      <c r="CT631" s="59"/>
      <c r="CU631" s="59"/>
      <c r="CV631" s="59"/>
      <c r="CW631" s="59"/>
      <c r="CX631" s="59"/>
      <c r="CY631" s="59"/>
      <c r="CZ631" s="59"/>
      <c r="DA631" s="59"/>
      <c r="DB631" s="59"/>
      <c r="DC631" s="59"/>
      <c r="DD631" s="59"/>
      <c r="DE631" s="59"/>
      <c r="DF631" s="59"/>
      <c r="DG631" s="59"/>
      <c r="DH631" s="59"/>
      <c r="DI631" s="59"/>
      <c r="DJ631" s="59"/>
      <c r="DK631" s="59"/>
      <c r="DL631" s="59"/>
      <c r="DM631" s="59"/>
      <c r="DN631" s="59"/>
      <c r="DO631" s="59"/>
      <c r="DP631" s="59"/>
      <c r="DQ631" s="59"/>
      <c r="DR631" s="59"/>
      <c r="DS631" s="59"/>
      <c r="DT631" s="59"/>
      <c r="DU631" s="59"/>
      <c r="DV631" s="59"/>
      <c r="DW631" s="59"/>
      <c r="DX631" s="59"/>
      <c r="DY631" s="59"/>
      <c r="DZ631" s="59"/>
      <c r="EA631" s="59"/>
      <c r="EB631" s="59"/>
      <c r="EC631" s="59"/>
      <c r="ED631" s="59"/>
      <c r="EE631" s="59"/>
      <c r="EF631" s="59"/>
      <c r="EG631" s="59"/>
      <c r="EH631" s="59"/>
      <c r="EI631" s="59"/>
      <c r="EJ631" s="59"/>
      <c r="EK631" s="59"/>
      <c r="EL631" s="59"/>
      <c r="EM631" s="59"/>
      <c r="EN631" s="59"/>
      <c r="EO631" s="59"/>
      <c r="EP631" s="59"/>
      <c r="EQ631" s="59"/>
      <c r="ER631" s="59"/>
      <c r="ES631" s="59"/>
      <c r="ET631" s="59"/>
      <c r="EU631" s="59"/>
      <c r="EV631" s="59"/>
      <c r="EW631" s="59"/>
      <c r="EX631" s="59"/>
      <c r="EY631" s="59"/>
      <c r="EZ631" s="59"/>
      <c r="FA631" s="59"/>
      <c r="FB631" s="59"/>
      <c r="FC631" s="59"/>
      <c r="FD631" s="59"/>
      <c r="FE631" s="59"/>
      <c r="FF631" s="59"/>
      <c r="FG631" s="59"/>
      <c r="FH631" s="59"/>
      <c r="FI631" s="59"/>
      <c r="FJ631" s="59"/>
      <c r="FK631" s="59"/>
      <c r="FL631" s="59"/>
      <c r="FM631" s="59"/>
      <c r="FN631" s="59"/>
      <c r="FO631" s="59"/>
      <c r="FP631" s="59"/>
      <c r="FQ631" s="59"/>
      <c r="FR631" s="59"/>
      <c r="FS631" s="59"/>
      <c r="FT631" s="59"/>
      <c r="FU631" s="59"/>
      <c r="FV631" s="59"/>
      <c r="FW631" s="59"/>
      <c r="FX631" s="59"/>
      <c r="FY631" s="59"/>
      <c r="FZ631" s="59"/>
      <c r="GA631" s="59"/>
      <c r="GB631" s="59"/>
      <c r="GC631" s="59"/>
      <c r="GD631" s="59"/>
      <c r="GE631" s="59"/>
      <c r="GF631" s="59"/>
      <c r="GG631" s="59"/>
      <c r="GH631" s="59"/>
      <c r="GI631" s="59"/>
      <c r="GJ631" s="59"/>
      <c r="GK631" s="59"/>
      <c r="GL631" s="59"/>
      <c r="GM631" s="59"/>
      <c r="GN631" s="59"/>
      <c r="GO631" s="59"/>
      <c r="GP631" s="59"/>
      <c r="GQ631" s="59"/>
      <c r="GR631" s="59"/>
      <c r="GS631" s="59"/>
      <c r="GT631" s="59"/>
      <c r="GU631" s="59"/>
      <c r="GV631" s="59"/>
      <c r="GW631" s="59"/>
      <c r="GX631" s="59"/>
      <c r="GY631" s="59"/>
      <c r="GZ631" s="59"/>
      <c r="HA631" s="59"/>
      <c r="HB631" s="59"/>
      <c r="HC631" s="59"/>
      <c r="HD631" s="59"/>
      <c r="HE631" s="59"/>
      <c r="HF631" s="59"/>
      <c r="HG631" s="59"/>
      <c r="HH631" s="59"/>
      <c r="HI631" s="59"/>
      <c r="HJ631" s="59"/>
      <c r="HK631" s="59"/>
      <c r="HL631" s="59"/>
      <c r="HM631" s="59"/>
      <c r="HN631" s="59"/>
      <c r="HO631" s="59"/>
      <c r="HP631" s="59"/>
      <c r="HQ631" s="59"/>
      <c r="HR631" s="59"/>
      <c r="HS631" s="59"/>
      <c r="HT631" s="59"/>
      <c r="HU631" s="59"/>
      <c r="HV631" s="59"/>
      <c r="HW631" s="59"/>
      <c r="HX631" s="59"/>
      <c r="HY631" s="59"/>
      <c r="HZ631" s="59"/>
      <c r="IA631" s="59"/>
      <c r="IB631" s="59"/>
      <c r="IC631" s="59"/>
      <c r="ID631" s="59"/>
      <c r="IE631" s="59"/>
      <c r="IF631" s="59"/>
      <c r="IG631" s="59"/>
      <c r="IH631" s="59"/>
      <c r="II631" s="59"/>
      <c r="IJ631" s="59"/>
      <c r="IK631" s="59"/>
      <c r="IL631" s="59"/>
      <c r="IM631" s="59"/>
      <c r="IN631" s="59"/>
      <c r="IO631" s="59"/>
      <c r="IP631" s="59"/>
      <c r="IQ631" s="59"/>
      <c r="IR631" s="59"/>
      <c r="IS631" s="59"/>
      <c r="IT631" s="59"/>
      <c r="IU631" s="59"/>
      <c r="IV631" s="59"/>
    </row>
    <row r="632" spans="1:256" ht="14.25" customHeight="1">
      <c r="A632" s="1836" t="s">
        <v>220</v>
      </c>
      <c r="B632" s="1830"/>
      <c r="C632" s="1830"/>
      <c r="D632" s="1830"/>
      <c r="E632" s="1830"/>
      <c r="F632" s="1830"/>
      <c r="G632" s="1828"/>
      <c r="H632" s="59"/>
      <c r="I632" s="60"/>
      <c r="J632" s="60"/>
      <c r="K632" s="61"/>
      <c r="L632" s="59"/>
      <c r="M632" s="59"/>
      <c r="N632" s="59"/>
      <c r="O632" s="59"/>
      <c r="P632" s="59"/>
      <c r="Q632" s="59"/>
      <c r="R632" s="59"/>
      <c r="S632" s="59"/>
      <c r="T632" s="59"/>
      <c r="U632" s="59"/>
      <c r="V632" s="59"/>
      <c r="W632" s="59"/>
      <c r="X632" s="59"/>
      <c r="Y632" s="59"/>
      <c r="Z632" s="59"/>
      <c r="AA632" s="59"/>
      <c r="AB632" s="59"/>
      <c r="AC632" s="59"/>
      <c r="AD632" s="59"/>
      <c r="AE632" s="59"/>
      <c r="AF632" s="59"/>
      <c r="AG632" s="59"/>
      <c r="AH632" s="59"/>
      <c r="AI632" s="59"/>
      <c r="AJ632" s="59"/>
      <c r="AK632" s="59"/>
      <c r="AL632" s="59"/>
      <c r="AM632" s="59"/>
      <c r="AN632" s="59"/>
      <c r="AO632" s="59"/>
      <c r="AP632" s="59"/>
      <c r="AQ632" s="59"/>
      <c r="AR632" s="59"/>
      <c r="AS632" s="59"/>
      <c r="AT632" s="59"/>
      <c r="AU632" s="59"/>
      <c r="AV632" s="59"/>
      <c r="AW632" s="59"/>
      <c r="AX632" s="59"/>
      <c r="AY632" s="59"/>
      <c r="AZ632" s="59"/>
      <c r="BA632" s="59"/>
      <c r="BB632" s="59"/>
      <c r="BC632" s="59"/>
      <c r="BD632" s="59"/>
      <c r="BE632" s="59"/>
      <c r="BF632" s="59"/>
      <c r="BG632" s="59"/>
      <c r="BH632" s="59"/>
      <c r="BI632" s="59"/>
      <c r="BJ632" s="59"/>
      <c r="BK632" s="59"/>
      <c r="BL632" s="59"/>
      <c r="BM632" s="59"/>
      <c r="BN632" s="59"/>
      <c r="BO632" s="59"/>
      <c r="BP632" s="59"/>
      <c r="BQ632" s="59"/>
      <c r="BR632" s="59"/>
      <c r="BS632" s="59"/>
      <c r="BT632" s="59"/>
      <c r="BU632" s="59"/>
      <c r="BV632" s="59"/>
      <c r="BW632" s="59"/>
      <c r="BX632" s="59"/>
      <c r="BY632" s="59"/>
      <c r="BZ632" s="59"/>
      <c r="CA632" s="59"/>
      <c r="CB632" s="59"/>
      <c r="CC632" s="59"/>
      <c r="CD632" s="59"/>
      <c r="CE632" s="59"/>
      <c r="CF632" s="59"/>
      <c r="CG632" s="59"/>
      <c r="CH632" s="59"/>
      <c r="CI632" s="59"/>
      <c r="CJ632" s="59"/>
      <c r="CK632" s="59"/>
      <c r="CL632" s="59"/>
      <c r="CM632" s="59"/>
      <c r="CN632" s="59"/>
      <c r="CO632" s="59"/>
      <c r="CP632" s="59"/>
      <c r="CQ632" s="59"/>
      <c r="CR632" s="59"/>
      <c r="CS632" s="59"/>
      <c r="CT632" s="59"/>
      <c r="CU632" s="59"/>
      <c r="CV632" s="59"/>
      <c r="CW632" s="59"/>
      <c r="CX632" s="59"/>
      <c r="CY632" s="59"/>
      <c r="CZ632" s="59"/>
      <c r="DA632" s="59"/>
      <c r="DB632" s="59"/>
      <c r="DC632" s="59"/>
      <c r="DD632" s="59"/>
      <c r="DE632" s="59"/>
      <c r="DF632" s="59"/>
      <c r="DG632" s="59"/>
      <c r="DH632" s="59"/>
      <c r="DI632" s="59"/>
      <c r="DJ632" s="59"/>
      <c r="DK632" s="59"/>
      <c r="DL632" s="59"/>
      <c r="DM632" s="59"/>
      <c r="DN632" s="59"/>
      <c r="DO632" s="59"/>
      <c r="DP632" s="59"/>
      <c r="DQ632" s="59"/>
      <c r="DR632" s="59"/>
      <c r="DS632" s="59"/>
      <c r="DT632" s="59"/>
      <c r="DU632" s="59"/>
      <c r="DV632" s="59"/>
      <c r="DW632" s="59"/>
      <c r="DX632" s="59"/>
      <c r="DY632" s="59"/>
      <c r="DZ632" s="59"/>
      <c r="EA632" s="59"/>
      <c r="EB632" s="59"/>
      <c r="EC632" s="59"/>
      <c r="ED632" s="59"/>
      <c r="EE632" s="59"/>
      <c r="EF632" s="59"/>
      <c r="EG632" s="59"/>
      <c r="EH632" s="59"/>
      <c r="EI632" s="59"/>
      <c r="EJ632" s="59"/>
      <c r="EK632" s="59"/>
      <c r="EL632" s="59"/>
      <c r="EM632" s="59"/>
      <c r="EN632" s="59"/>
      <c r="EO632" s="59"/>
      <c r="EP632" s="59"/>
      <c r="EQ632" s="59"/>
      <c r="ER632" s="59"/>
      <c r="ES632" s="59"/>
      <c r="ET632" s="59"/>
      <c r="EU632" s="59"/>
      <c r="EV632" s="59"/>
      <c r="EW632" s="59"/>
      <c r="EX632" s="59"/>
      <c r="EY632" s="59"/>
      <c r="EZ632" s="59"/>
      <c r="FA632" s="59"/>
      <c r="FB632" s="59"/>
      <c r="FC632" s="59"/>
      <c r="FD632" s="59"/>
      <c r="FE632" s="59"/>
      <c r="FF632" s="59"/>
      <c r="FG632" s="59"/>
      <c r="FH632" s="59"/>
      <c r="FI632" s="59"/>
      <c r="FJ632" s="59"/>
      <c r="FK632" s="59"/>
      <c r="FL632" s="59"/>
      <c r="FM632" s="59"/>
      <c r="FN632" s="59"/>
      <c r="FO632" s="59"/>
      <c r="FP632" s="59"/>
      <c r="FQ632" s="59"/>
      <c r="FR632" s="59"/>
      <c r="FS632" s="59"/>
      <c r="FT632" s="59"/>
      <c r="FU632" s="59"/>
      <c r="FV632" s="59"/>
      <c r="FW632" s="59"/>
      <c r="FX632" s="59"/>
      <c r="FY632" s="59"/>
      <c r="FZ632" s="59"/>
      <c r="GA632" s="59"/>
      <c r="GB632" s="59"/>
      <c r="GC632" s="59"/>
      <c r="GD632" s="59"/>
      <c r="GE632" s="59"/>
      <c r="GF632" s="59"/>
      <c r="GG632" s="59"/>
      <c r="GH632" s="59"/>
      <c r="GI632" s="59"/>
      <c r="GJ632" s="59"/>
      <c r="GK632" s="59"/>
      <c r="GL632" s="59"/>
      <c r="GM632" s="59"/>
      <c r="GN632" s="59"/>
      <c r="GO632" s="59"/>
      <c r="GP632" s="59"/>
      <c r="GQ632" s="59"/>
      <c r="GR632" s="59"/>
      <c r="GS632" s="59"/>
      <c r="GT632" s="59"/>
      <c r="GU632" s="59"/>
      <c r="GV632" s="59"/>
      <c r="GW632" s="59"/>
      <c r="GX632" s="59"/>
      <c r="GY632" s="59"/>
      <c r="GZ632" s="59"/>
      <c r="HA632" s="59"/>
      <c r="HB632" s="59"/>
      <c r="HC632" s="59"/>
      <c r="HD632" s="59"/>
      <c r="HE632" s="59"/>
      <c r="HF632" s="59"/>
      <c r="HG632" s="59"/>
      <c r="HH632" s="59"/>
      <c r="HI632" s="59"/>
      <c r="HJ632" s="59"/>
      <c r="HK632" s="59"/>
      <c r="HL632" s="59"/>
      <c r="HM632" s="59"/>
      <c r="HN632" s="59"/>
      <c r="HO632" s="59"/>
      <c r="HP632" s="59"/>
      <c r="HQ632" s="59"/>
      <c r="HR632" s="59"/>
      <c r="HS632" s="59"/>
      <c r="HT632" s="59"/>
      <c r="HU632" s="59"/>
      <c r="HV632" s="59"/>
      <c r="HW632" s="59"/>
      <c r="HX632" s="59"/>
      <c r="HY632" s="59"/>
      <c r="HZ632" s="59"/>
      <c r="IA632" s="59"/>
      <c r="IB632" s="59"/>
      <c r="IC632" s="59"/>
      <c r="ID632" s="59"/>
      <c r="IE632" s="59"/>
      <c r="IF632" s="59"/>
      <c r="IG632" s="59"/>
      <c r="IH632" s="59"/>
      <c r="II632" s="59"/>
      <c r="IJ632" s="59"/>
      <c r="IK632" s="59"/>
      <c r="IL632" s="59"/>
      <c r="IM632" s="59"/>
      <c r="IN632" s="59"/>
      <c r="IO632" s="59"/>
      <c r="IP632" s="59"/>
      <c r="IQ632" s="59"/>
      <c r="IR632" s="59"/>
      <c r="IS632" s="59"/>
      <c r="IT632" s="59"/>
      <c r="IU632" s="59"/>
      <c r="IV632" s="59"/>
    </row>
    <row r="633" spans="1:256" ht="14.25" customHeight="1">
      <c r="A633" s="1829" t="s">
        <v>221</v>
      </c>
      <c r="B633" s="1828"/>
      <c r="C633" s="63" t="s">
        <v>222</v>
      </c>
      <c r="D633" s="63" t="s">
        <v>223</v>
      </c>
      <c r="E633" s="63" t="s">
        <v>224</v>
      </c>
      <c r="F633" s="63" t="s">
        <v>225</v>
      </c>
      <c r="G633" s="63" t="s">
        <v>226</v>
      </c>
      <c r="H633" s="59"/>
      <c r="I633" s="60"/>
      <c r="J633" s="60"/>
      <c r="K633" s="61"/>
      <c r="L633" s="59"/>
      <c r="M633" s="59"/>
      <c r="N633" s="59"/>
      <c r="O633" s="59"/>
      <c r="P633" s="59"/>
      <c r="Q633" s="59"/>
      <c r="R633" s="59"/>
      <c r="S633" s="59"/>
      <c r="T633" s="59"/>
      <c r="U633" s="59"/>
      <c r="V633" s="59"/>
      <c r="W633" s="59"/>
      <c r="X633" s="59"/>
      <c r="Y633" s="59"/>
      <c r="Z633" s="59"/>
      <c r="AA633" s="59"/>
      <c r="AB633" s="59"/>
      <c r="AC633" s="59"/>
      <c r="AD633" s="59"/>
      <c r="AE633" s="59"/>
      <c r="AF633" s="59"/>
      <c r="AG633" s="59"/>
      <c r="AH633" s="59"/>
      <c r="AI633" s="59"/>
      <c r="AJ633" s="59"/>
      <c r="AK633" s="59"/>
      <c r="AL633" s="59"/>
      <c r="AM633" s="59"/>
      <c r="AN633" s="59"/>
      <c r="AO633" s="59"/>
      <c r="AP633" s="59"/>
      <c r="AQ633" s="59"/>
      <c r="AR633" s="59"/>
      <c r="AS633" s="59"/>
      <c r="AT633" s="59"/>
      <c r="AU633" s="59"/>
      <c r="AV633" s="59"/>
      <c r="AW633" s="59"/>
      <c r="AX633" s="59"/>
      <c r="AY633" s="59"/>
      <c r="AZ633" s="59"/>
      <c r="BA633" s="59"/>
      <c r="BB633" s="59"/>
      <c r="BC633" s="59"/>
      <c r="BD633" s="59"/>
      <c r="BE633" s="59"/>
      <c r="BF633" s="59"/>
      <c r="BG633" s="59"/>
      <c r="BH633" s="59"/>
      <c r="BI633" s="59"/>
      <c r="BJ633" s="59"/>
      <c r="BK633" s="59"/>
      <c r="BL633" s="59"/>
      <c r="BM633" s="59"/>
      <c r="BN633" s="59"/>
      <c r="BO633" s="59"/>
      <c r="BP633" s="59"/>
      <c r="BQ633" s="59"/>
      <c r="BR633" s="59"/>
      <c r="BS633" s="59"/>
      <c r="BT633" s="59"/>
      <c r="BU633" s="59"/>
      <c r="BV633" s="59"/>
      <c r="BW633" s="59"/>
      <c r="BX633" s="59"/>
      <c r="BY633" s="59"/>
      <c r="BZ633" s="59"/>
      <c r="CA633" s="59"/>
      <c r="CB633" s="59"/>
      <c r="CC633" s="59"/>
      <c r="CD633" s="59"/>
      <c r="CE633" s="59"/>
      <c r="CF633" s="59"/>
      <c r="CG633" s="59"/>
      <c r="CH633" s="59"/>
      <c r="CI633" s="59"/>
      <c r="CJ633" s="59"/>
      <c r="CK633" s="59"/>
      <c r="CL633" s="59"/>
      <c r="CM633" s="59"/>
      <c r="CN633" s="59"/>
      <c r="CO633" s="59"/>
      <c r="CP633" s="59"/>
      <c r="CQ633" s="59"/>
      <c r="CR633" s="59"/>
      <c r="CS633" s="59"/>
      <c r="CT633" s="59"/>
      <c r="CU633" s="59"/>
      <c r="CV633" s="59"/>
      <c r="CW633" s="59"/>
      <c r="CX633" s="59"/>
      <c r="CY633" s="59"/>
      <c r="CZ633" s="59"/>
      <c r="DA633" s="59"/>
      <c r="DB633" s="59"/>
      <c r="DC633" s="59"/>
      <c r="DD633" s="59"/>
      <c r="DE633" s="59"/>
      <c r="DF633" s="59"/>
      <c r="DG633" s="59"/>
      <c r="DH633" s="59"/>
      <c r="DI633" s="59"/>
      <c r="DJ633" s="59"/>
      <c r="DK633" s="59"/>
      <c r="DL633" s="59"/>
      <c r="DM633" s="59"/>
      <c r="DN633" s="59"/>
      <c r="DO633" s="59"/>
      <c r="DP633" s="59"/>
      <c r="DQ633" s="59"/>
      <c r="DR633" s="59"/>
      <c r="DS633" s="59"/>
      <c r="DT633" s="59"/>
      <c r="DU633" s="59"/>
      <c r="DV633" s="59"/>
      <c r="DW633" s="59"/>
      <c r="DX633" s="59"/>
      <c r="DY633" s="59"/>
      <c r="DZ633" s="59"/>
      <c r="EA633" s="59"/>
      <c r="EB633" s="59"/>
      <c r="EC633" s="59"/>
      <c r="ED633" s="59"/>
      <c r="EE633" s="59"/>
      <c r="EF633" s="59"/>
      <c r="EG633" s="59"/>
      <c r="EH633" s="59"/>
      <c r="EI633" s="59"/>
      <c r="EJ633" s="59"/>
      <c r="EK633" s="59"/>
      <c r="EL633" s="59"/>
      <c r="EM633" s="59"/>
      <c r="EN633" s="59"/>
      <c r="EO633" s="59"/>
      <c r="EP633" s="59"/>
      <c r="EQ633" s="59"/>
      <c r="ER633" s="59"/>
      <c r="ES633" s="59"/>
      <c r="ET633" s="59"/>
      <c r="EU633" s="59"/>
      <c r="EV633" s="59"/>
      <c r="EW633" s="59"/>
      <c r="EX633" s="59"/>
      <c r="EY633" s="59"/>
      <c r="EZ633" s="59"/>
      <c r="FA633" s="59"/>
      <c r="FB633" s="59"/>
      <c r="FC633" s="59"/>
      <c r="FD633" s="59"/>
      <c r="FE633" s="59"/>
      <c r="FF633" s="59"/>
      <c r="FG633" s="59"/>
      <c r="FH633" s="59"/>
      <c r="FI633" s="59"/>
      <c r="FJ633" s="59"/>
      <c r="FK633" s="59"/>
      <c r="FL633" s="59"/>
      <c r="FM633" s="59"/>
      <c r="FN633" s="59"/>
      <c r="FO633" s="59"/>
      <c r="FP633" s="59"/>
      <c r="FQ633" s="59"/>
      <c r="FR633" s="59"/>
      <c r="FS633" s="59"/>
      <c r="FT633" s="59"/>
      <c r="FU633" s="59"/>
      <c r="FV633" s="59"/>
      <c r="FW633" s="59"/>
      <c r="FX633" s="59"/>
      <c r="FY633" s="59"/>
      <c r="FZ633" s="59"/>
      <c r="GA633" s="59"/>
      <c r="GB633" s="59"/>
      <c r="GC633" s="59"/>
      <c r="GD633" s="59"/>
      <c r="GE633" s="59"/>
      <c r="GF633" s="59"/>
      <c r="GG633" s="59"/>
      <c r="GH633" s="59"/>
      <c r="GI633" s="59"/>
      <c r="GJ633" s="59"/>
      <c r="GK633" s="59"/>
      <c r="GL633" s="59"/>
      <c r="GM633" s="59"/>
      <c r="GN633" s="59"/>
      <c r="GO633" s="59"/>
      <c r="GP633" s="59"/>
      <c r="GQ633" s="59"/>
      <c r="GR633" s="59"/>
      <c r="GS633" s="59"/>
      <c r="GT633" s="59"/>
      <c r="GU633" s="59"/>
      <c r="GV633" s="59"/>
      <c r="GW633" s="59"/>
      <c r="GX633" s="59"/>
      <c r="GY633" s="59"/>
      <c r="GZ633" s="59"/>
      <c r="HA633" s="59"/>
      <c r="HB633" s="59"/>
      <c r="HC633" s="59"/>
      <c r="HD633" s="59"/>
      <c r="HE633" s="59"/>
      <c r="HF633" s="59"/>
      <c r="HG633" s="59"/>
      <c r="HH633" s="59"/>
      <c r="HI633" s="59"/>
      <c r="HJ633" s="59"/>
      <c r="HK633" s="59"/>
      <c r="HL633" s="59"/>
      <c r="HM633" s="59"/>
      <c r="HN633" s="59"/>
      <c r="HO633" s="59"/>
      <c r="HP633" s="59"/>
      <c r="HQ633" s="59"/>
      <c r="HR633" s="59"/>
      <c r="HS633" s="59"/>
      <c r="HT633" s="59"/>
      <c r="HU633" s="59"/>
      <c r="HV633" s="59"/>
      <c r="HW633" s="59"/>
      <c r="HX633" s="59"/>
      <c r="HY633" s="59"/>
      <c r="HZ633" s="59"/>
      <c r="IA633" s="59"/>
      <c r="IB633" s="59"/>
      <c r="IC633" s="59"/>
      <c r="ID633" s="59"/>
      <c r="IE633" s="59"/>
      <c r="IF633" s="59"/>
      <c r="IG633" s="59"/>
      <c r="IH633" s="59"/>
      <c r="II633" s="59"/>
      <c r="IJ633" s="59"/>
      <c r="IK633" s="59"/>
      <c r="IL633" s="59"/>
      <c r="IM633" s="59"/>
      <c r="IN633" s="59"/>
      <c r="IO633" s="59"/>
      <c r="IP633" s="59"/>
      <c r="IQ633" s="59"/>
      <c r="IR633" s="59"/>
      <c r="IS633" s="59"/>
      <c r="IT633" s="59"/>
      <c r="IU633" s="59"/>
      <c r="IV633" s="59"/>
    </row>
    <row r="634" spans="1:256" ht="14.25" customHeight="1">
      <c r="A634" s="1827" t="s">
        <v>1054</v>
      </c>
      <c r="B634" s="1828"/>
      <c r="C634" s="64">
        <v>73.326206896551696</v>
      </c>
      <c r="D634" s="64">
        <v>14.5</v>
      </c>
      <c r="E634" s="64"/>
      <c r="F634" s="64">
        <v>1</v>
      </c>
      <c r="G634" s="64">
        <f t="shared" ref="G634:G636" si="41">+F634*D634*C634</f>
        <v>1063.2299999999996</v>
      </c>
      <c r="H634" s="59">
        <v>1063.23</v>
      </c>
      <c r="I634" s="60"/>
      <c r="J634" s="60"/>
      <c r="K634" s="61"/>
      <c r="L634" s="59"/>
      <c r="M634" s="59"/>
      <c r="N634" s="59"/>
      <c r="O634" s="59"/>
      <c r="P634" s="59"/>
      <c r="Q634" s="59"/>
      <c r="R634" s="59"/>
      <c r="S634" s="59"/>
      <c r="T634" s="59"/>
      <c r="U634" s="59"/>
      <c r="V634" s="59"/>
      <c r="W634" s="59"/>
      <c r="X634" s="59"/>
      <c r="Y634" s="59"/>
      <c r="Z634" s="59"/>
      <c r="AA634" s="59"/>
      <c r="AB634" s="59"/>
      <c r="AC634" s="59"/>
      <c r="AD634" s="59"/>
      <c r="AE634" s="59"/>
      <c r="AF634" s="59"/>
      <c r="AG634" s="59"/>
      <c r="AH634" s="59"/>
      <c r="AI634" s="59"/>
      <c r="AJ634" s="59"/>
      <c r="AK634" s="59"/>
      <c r="AL634" s="59"/>
      <c r="AM634" s="59"/>
      <c r="AN634" s="59"/>
      <c r="AO634" s="59"/>
      <c r="AP634" s="59"/>
      <c r="AQ634" s="59"/>
      <c r="AR634" s="59"/>
      <c r="AS634" s="59"/>
      <c r="AT634" s="59"/>
      <c r="AU634" s="59"/>
      <c r="AV634" s="59"/>
      <c r="AW634" s="59"/>
      <c r="AX634" s="59"/>
      <c r="AY634" s="59"/>
      <c r="AZ634" s="59"/>
      <c r="BA634" s="59"/>
      <c r="BB634" s="59"/>
      <c r="BC634" s="59"/>
      <c r="BD634" s="59"/>
      <c r="BE634" s="59"/>
      <c r="BF634" s="59"/>
      <c r="BG634" s="59"/>
      <c r="BH634" s="59"/>
      <c r="BI634" s="59"/>
      <c r="BJ634" s="59"/>
      <c r="BK634" s="59"/>
      <c r="BL634" s="59"/>
      <c r="BM634" s="59"/>
      <c r="BN634" s="59"/>
      <c r="BO634" s="59"/>
      <c r="BP634" s="59"/>
      <c r="BQ634" s="59"/>
      <c r="BR634" s="59"/>
      <c r="BS634" s="59"/>
      <c r="BT634" s="59"/>
      <c r="BU634" s="59"/>
      <c r="BV634" s="59"/>
      <c r="BW634" s="59"/>
      <c r="BX634" s="59"/>
      <c r="BY634" s="59"/>
      <c r="BZ634" s="59"/>
      <c r="CA634" s="59"/>
      <c r="CB634" s="59"/>
      <c r="CC634" s="59"/>
      <c r="CD634" s="59"/>
      <c r="CE634" s="59"/>
      <c r="CF634" s="59"/>
      <c r="CG634" s="59"/>
      <c r="CH634" s="59"/>
      <c r="CI634" s="59"/>
      <c r="CJ634" s="59"/>
      <c r="CK634" s="59"/>
      <c r="CL634" s="59"/>
      <c r="CM634" s="59"/>
      <c r="CN634" s="59"/>
      <c r="CO634" s="59"/>
      <c r="CP634" s="59"/>
      <c r="CQ634" s="59"/>
      <c r="CR634" s="59"/>
      <c r="CS634" s="59"/>
      <c r="CT634" s="59"/>
      <c r="CU634" s="59"/>
      <c r="CV634" s="59"/>
      <c r="CW634" s="59"/>
      <c r="CX634" s="59"/>
      <c r="CY634" s="59"/>
      <c r="CZ634" s="59"/>
      <c r="DA634" s="59"/>
      <c r="DB634" s="59"/>
      <c r="DC634" s="59"/>
      <c r="DD634" s="59"/>
      <c r="DE634" s="59"/>
      <c r="DF634" s="59"/>
      <c r="DG634" s="59"/>
      <c r="DH634" s="59"/>
      <c r="DI634" s="59"/>
      <c r="DJ634" s="59"/>
      <c r="DK634" s="59"/>
      <c r="DL634" s="59"/>
      <c r="DM634" s="59"/>
      <c r="DN634" s="59"/>
      <c r="DO634" s="59"/>
      <c r="DP634" s="59"/>
      <c r="DQ634" s="59"/>
      <c r="DR634" s="59"/>
      <c r="DS634" s="59"/>
      <c r="DT634" s="59"/>
      <c r="DU634" s="59"/>
      <c r="DV634" s="59"/>
      <c r="DW634" s="59"/>
      <c r="DX634" s="59"/>
      <c r="DY634" s="59"/>
      <c r="DZ634" s="59"/>
      <c r="EA634" s="59"/>
      <c r="EB634" s="59"/>
      <c r="EC634" s="59"/>
      <c r="ED634" s="59"/>
      <c r="EE634" s="59"/>
      <c r="EF634" s="59"/>
      <c r="EG634" s="59"/>
      <c r="EH634" s="59"/>
      <c r="EI634" s="59"/>
      <c r="EJ634" s="59"/>
      <c r="EK634" s="59"/>
      <c r="EL634" s="59"/>
      <c r="EM634" s="59"/>
      <c r="EN634" s="59"/>
      <c r="EO634" s="59"/>
      <c r="EP634" s="59"/>
      <c r="EQ634" s="59"/>
      <c r="ER634" s="59"/>
      <c r="ES634" s="59"/>
      <c r="ET634" s="59"/>
      <c r="EU634" s="59"/>
      <c r="EV634" s="59"/>
      <c r="EW634" s="59"/>
      <c r="EX634" s="59"/>
      <c r="EY634" s="59"/>
      <c r="EZ634" s="59"/>
      <c r="FA634" s="59"/>
      <c r="FB634" s="59"/>
      <c r="FC634" s="59"/>
      <c r="FD634" s="59"/>
      <c r="FE634" s="59"/>
      <c r="FF634" s="59"/>
      <c r="FG634" s="59"/>
      <c r="FH634" s="59"/>
      <c r="FI634" s="59"/>
      <c r="FJ634" s="59"/>
      <c r="FK634" s="59"/>
      <c r="FL634" s="59"/>
      <c r="FM634" s="59"/>
      <c r="FN634" s="59"/>
      <c r="FO634" s="59"/>
      <c r="FP634" s="59"/>
      <c r="FQ634" s="59"/>
      <c r="FR634" s="59"/>
      <c r="FS634" s="59"/>
      <c r="FT634" s="59"/>
      <c r="FU634" s="59"/>
      <c r="FV634" s="59"/>
      <c r="FW634" s="59"/>
      <c r="FX634" s="59"/>
      <c r="FY634" s="59"/>
      <c r="FZ634" s="59"/>
      <c r="GA634" s="59"/>
      <c r="GB634" s="59"/>
      <c r="GC634" s="59"/>
      <c r="GD634" s="59"/>
      <c r="GE634" s="59"/>
      <c r="GF634" s="59"/>
      <c r="GG634" s="59"/>
      <c r="GH634" s="59"/>
      <c r="GI634" s="59"/>
      <c r="GJ634" s="59"/>
      <c r="GK634" s="59"/>
      <c r="GL634" s="59"/>
      <c r="GM634" s="59"/>
      <c r="GN634" s="59"/>
      <c r="GO634" s="59"/>
      <c r="GP634" s="59"/>
      <c r="GQ634" s="59"/>
      <c r="GR634" s="59"/>
      <c r="GS634" s="59"/>
      <c r="GT634" s="59"/>
      <c r="GU634" s="59"/>
      <c r="GV634" s="59"/>
      <c r="GW634" s="59"/>
      <c r="GX634" s="59"/>
      <c r="GY634" s="59"/>
      <c r="GZ634" s="59"/>
      <c r="HA634" s="59"/>
      <c r="HB634" s="59"/>
      <c r="HC634" s="59"/>
      <c r="HD634" s="59"/>
      <c r="HE634" s="59"/>
      <c r="HF634" s="59"/>
      <c r="HG634" s="59"/>
      <c r="HH634" s="59"/>
      <c r="HI634" s="59"/>
      <c r="HJ634" s="59"/>
      <c r="HK634" s="59"/>
      <c r="HL634" s="59"/>
      <c r="HM634" s="59"/>
      <c r="HN634" s="59"/>
      <c r="HO634" s="59"/>
      <c r="HP634" s="59"/>
      <c r="HQ634" s="59"/>
      <c r="HR634" s="59"/>
      <c r="HS634" s="59"/>
      <c r="HT634" s="59"/>
      <c r="HU634" s="59"/>
      <c r="HV634" s="59"/>
      <c r="HW634" s="59"/>
      <c r="HX634" s="59"/>
      <c r="HY634" s="59"/>
      <c r="HZ634" s="59"/>
      <c r="IA634" s="59"/>
      <c r="IB634" s="59"/>
      <c r="IC634" s="59"/>
      <c r="ID634" s="59"/>
      <c r="IE634" s="59"/>
      <c r="IF634" s="59"/>
      <c r="IG634" s="59"/>
      <c r="IH634" s="59"/>
      <c r="II634" s="59"/>
      <c r="IJ634" s="59"/>
      <c r="IK634" s="59"/>
      <c r="IL634" s="59"/>
      <c r="IM634" s="59"/>
      <c r="IN634" s="59"/>
      <c r="IO634" s="59"/>
      <c r="IP634" s="59"/>
      <c r="IQ634" s="59"/>
      <c r="IR634" s="59"/>
      <c r="IS634" s="59"/>
      <c r="IT634" s="59"/>
      <c r="IU634" s="59"/>
      <c r="IV634" s="59"/>
    </row>
    <row r="635" spans="1:256" ht="14.25" customHeight="1">
      <c r="A635" s="1842" t="s">
        <v>1055</v>
      </c>
      <c r="B635" s="1843"/>
      <c r="C635" s="199">
        <v>86.441463414634086</v>
      </c>
      <c r="D635" s="199">
        <v>12.3</v>
      </c>
      <c r="E635" s="199"/>
      <c r="F635" s="199">
        <v>1</v>
      </c>
      <c r="G635" s="199">
        <f t="shared" si="41"/>
        <v>1063.2299999999993</v>
      </c>
      <c r="H635" s="59">
        <v>1063.23</v>
      </c>
      <c r="I635" s="60"/>
      <c r="J635" s="60"/>
      <c r="K635" s="61"/>
      <c r="L635" s="59"/>
      <c r="M635" s="59"/>
      <c r="N635" s="59"/>
      <c r="O635" s="59"/>
      <c r="P635" s="59"/>
      <c r="Q635" s="59"/>
      <c r="R635" s="59"/>
      <c r="S635" s="59"/>
      <c r="T635" s="59"/>
      <c r="U635" s="59"/>
      <c r="V635" s="59"/>
      <c r="W635" s="59"/>
      <c r="X635" s="59"/>
      <c r="Y635" s="59"/>
      <c r="Z635" s="59"/>
      <c r="AA635" s="59"/>
      <c r="AB635" s="59"/>
      <c r="AC635" s="59"/>
      <c r="AD635" s="59"/>
      <c r="AE635" s="59"/>
      <c r="AF635" s="59"/>
      <c r="AG635" s="59"/>
      <c r="AH635" s="59"/>
      <c r="AI635" s="59"/>
      <c r="AJ635" s="59"/>
      <c r="AK635" s="59"/>
      <c r="AL635" s="59"/>
      <c r="AM635" s="59"/>
      <c r="AN635" s="59"/>
      <c r="AO635" s="59"/>
      <c r="AP635" s="59"/>
      <c r="AQ635" s="59"/>
      <c r="AR635" s="59"/>
      <c r="AS635" s="59"/>
      <c r="AT635" s="59"/>
      <c r="AU635" s="59"/>
      <c r="AV635" s="59"/>
      <c r="AW635" s="59"/>
      <c r="AX635" s="59"/>
      <c r="AY635" s="59"/>
      <c r="AZ635" s="59"/>
      <c r="BA635" s="59"/>
      <c r="BB635" s="59"/>
      <c r="BC635" s="59"/>
      <c r="BD635" s="59"/>
      <c r="BE635" s="59"/>
      <c r="BF635" s="59"/>
      <c r="BG635" s="59"/>
      <c r="BH635" s="59"/>
      <c r="BI635" s="59"/>
      <c r="BJ635" s="59"/>
      <c r="BK635" s="59"/>
      <c r="BL635" s="59"/>
      <c r="BM635" s="59"/>
      <c r="BN635" s="59"/>
      <c r="BO635" s="59"/>
      <c r="BP635" s="59"/>
      <c r="BQ635" s="59"/>
      <c r="BR635" s="59"/>
      <c r="BS635" s="59"/>
      <c r="BT635" s="59"/>
      <c r="BU635" s="59"/>
      <c r="BV635" s="59"/>
      <c r="BW635" s="59"/>
      <c r="BX635" s="59"/>
      <c r="BY635" s="59"/>
      <c r="BZ635" s="59"/>
      <c r="CA635" s="59"/>
      <c r="CB635" s="59"/>
      <c r="CC635" s="59"/>
      <c r="CD635" s="59"/>
      <c r="CE635" s="59"/>
      <c r="CF635" s="59"/>
      <c r="CG635" s="59"/>
      <c r="CH635" s="59"/>
      <c r="CI635" s="59"/>
      <c r="CJ635" s="59"/>
      <c r="CK635" s="59"/>
      <c r="CL635" s="59"/>
      <c r="CM635" s="59"/>
      <c r="CN635" s="59"/>
      <c r="CO635" s="59"/>
      <c r="CP635" s="59"/>
      <c r="CQ635" s="59"/>
      <c r="CR635" s="59"/>
      <c r="CS635" s="59"/>
      <c r="CT635" s="59"/>
      <c r="CU635" s="59"/>
      <c r="CV635" s="59"/>
      <c r="CW635" s="59"/>
      <c r="CX635" s="59"/>
      <c r="CY635" s="59"/>
      <c r="CZ635" s="59"/>
      <c r="DA635" s="59"/>
      <c r="DB635" s="59"/>
      <c r="DC635" s="59"/>
      <c r="DD635" s="59"/>
      <c r="DE635" s="59"/>
      <c r="DF635" s="59"/>
      <c r="DG635" s="59"/>
      <c r="DH635" s="59"/>
      <c r="DI635" s="59"/>
      <c r="DJ635" s="59"/>
      <c r="DK635" s="59"/>
      <c r="DL635" s="59"/>
      <c r="DM635" s="59"/>
      <c r="DN635" s="59"/>
      <c r="DO635" s="59"/>
      <c r="DP635" s="59"/>
      <c r="DQ635" s="59"/>
      <c r="DR635" s="59"/>
      <c r="DS635" s="59"/>
      <c r="DT635" s="59"/>
      <c r="DU635" s="59"/>
      <c r="DV635" s="59"/>
      <c r="DW635" s="59"/>
      <c r="DX635" s="59"/>
      <c r="DY635" s="59"/>
      <c r="DZ635" s="59"/>
      <c r="EA635" s="59"/>
      <c r="EB635" s="59"/>
      <c r="EC635" s="59"/>
      <c r="ED635" s="59"/>
      <c r="EE635" s="59"/>
      <c r="EF635" s="59"/>
      <c r="EG635" s="59"/>
      <c r="EH635" s="59"/>
      <c r="EI635" s="59"/>
      <c r="EJ635" s="59"/>
      <c r="EK635" s="59"/>
      <c r="EL635" s="59"/>
      <c r="EM635" s="59"/>
      <c r="EN635" s="59"/>
      <c r="EO635" s="59"/>
      <c r="EP635" s="59"/>
      <c r="EQ635" s="59"/>
      <c r="ER635" s="59"/>
      <c r="ES635" s="59"/>
      <c r="ET635" s="59"/>
      <c r="EU635" s="59"/>
      <c r="EV635" s="59"/>
      <c r="EW635" s="59"/>
      <c r="EX635" s="59"/>
      <c r="EY635" s="59"/>
      <c r="EZ635" s="59"/>
      <c r="FA635" s="59"/>
      <c r="FB635" s="59"/>
      <c r="FC635" s="59"/>
      <c r="FD635" s="59"/>
      <c r="FE635" s="59"/>
      <c r="FF635" s="59"/>
      <c r="FG635" s="59"/>
      <c r="FH635" s="59"/>
      <c r="FI635" s="59"/>
      <c r="FJ635" s="59"/>
      <c r="FK635" s="59"/>
      <c r="FL635" s="59"/>
      <c r="FM635" s="59"/>
      <c r="FN635" s="59"/>
      <c r="FO635" s="59"/>
      <c r="FP635" s="59"/>
      <c r="FQ635" s="59"/>
      <c r="FR635" s="59"/>
      <c r="FS635" s="59"/>
      <c r="FT635" s="59"/>
      <c r="FU635" s="59"/>
      <c r="FV635" s="59"/>
      <c r="FW635" s="59"/>
      <c r="FX635" s="59"/>
      <c r="FY635" s="59"/>
      <c r="FZ635" s="59"/>
      <c r="GA635" s="59"/>
      <c r="GB635" s="59"/>
      <c r="GC635" s="59"/>
      <c r="GD635" s="59"/>
      <c r="GE635" s="59"/>
      <c r="GF635" s="59"/>
      <c r="GG635" s="59"/>
      <c r="GH635" s="59"/>
      <c r="GI635" s="59"/>
      <c r="GJ635" s="59"/>
      <c r="GK635" s="59"/>
      <c r="GL635" s="59"/>
      <c r="GM635" s="59"/>
      <c r="GN635" s="59"/>
      <c r="GO635" s="59"/>
      <c r="GP635" s="59"/>
      <c r="GQ635" s="59"/>
      <c r="GR635" s="59"/>
      <c r="GS635" s="59"/>
      <c r="GT635" s="59"/>
      <c r="GU635" s="59"/>
      <c r="GV635" s="59"/>
      <c r="GW635" s="59"/>
      <c r="GX635" s="59"/>
      <c r="GY635" s="59"/>
      <c r="GZ635" s="59"/>
      <c r="HA635" s="59"/>
      <c r="HB635" s="59"/>
      <c r="HC635" s="59"/>
      <c r="HD635" s="59"/>
      <c r="HE635" s="59"/>
      <c r="HF635" s="59"/>
      <c r="HG635" s="59"/>
      <c r="HH635" s="59"/>
      <c r="HI635" s="59"/>
      <c r="HJ635" s="59"/>
      <c r="HK635" s="59"/>
      <c r="HL635" s="59"/>
      <c r="HM635" s="59"/>
      <c r="HN635" s="59"/>
      <c r="HO635" s="59"/>
      <c r="HP635" s="59"/>
      <c r="HQ635" s="59"/>
      <c r="HR635" s="59"/>
      <c r="HS635" s="59"/>
      <c r="HT635" s="59"/>
      <c r="HU635" s="59"/>
      <c r="HV635" s="59"/>
      <c r="HW635" s="59"/>
      <c r="HX635" s="59"/>
      <c r="HY635" s="59"/>
      <c r="HZ635" s="59"/>
      <c r="IA635" s="59"/>
      <c r="IB635" s="59"/>
      <c r="IC635" s="59"/>
      <c r="ID635" s="59"/>
      <c r="IE635" s="59"/>
      <c r="IF635" s="59"/>
      <c r="IG635" s="59"/>
      <c r="IH635" s="59"/>
      <c r="II635" s="59"/>
      <c r="IJ635" s="59"/>
      <c r="IK635" s="59"/>
      <c r="IL635" s="59"/>
      <c r="IM635" s="59"/>
      <c r="IN635" s="59"/>
      <c r="IO635" s="59"/>
      <c r="IP635" s="59"/>
      <c r="IQ635" s="59"/>
      <c r="IR635" s="59"/>
      <c r="IS635" s="59"/>
      <c r="IT635" s="59"/>
      <c r="IU635" s="59"/>
      <c r="IV635" s="59"/>
    </row>
    <row r="636" spans="1:256" ht="14.25" customHeight="1">
      <c r="A636" s="1827" t="s">
        <v>1056</v>
      </c>
      <c r="B636" s="1828"/>
      <c r="C636" s="64">
        <v>70.15130124962559</v>
      </c>
      <c r="D636" s="64">
        <v>16.457127383015596</v>
      </c>
      <c r="E636" s="64"/>
      <c r="F636" s="64">
        <v>1</v>
      </c>
      <c r="G636" s="64">
        <f t="shared" si="41"/>
        <v>1154.4889007493896</v>
      </c>
      <c r="H636" s="59">
        <v>164.13</v>
      </c>
      <c r="I636" s="60"/>
      <c r="J636" s="60"/>
      <c r="K636" s="61"/>
      <c r="L636" s="59"/>
      <c r="M636" s="59"/>
      <c r="N636" s="59"/>
      <c r="O636" s="59"/>
      <c r="P636" s="59"/>
      <c r="Q636" s="59"/>
      <c r="R636" s="59"/>
      <c r="S636" s="59"/>
      <c r="T636" s="59"/>
      <c r="U636" s="59"/>
      <c r="V636" s="59"/>
      <c r="W636" s="59"/>
      <c r="X636" s="59"/>
      <c r="Y636" s="59"/>
      <c r="Z636" s="59"/>
      <c r="AA636" s="59"/>
      <c r="AB636" s="59"/>
      <c r="AC636" s="59"/>
      <c r="AD636" s="59"/>
      <c r="AE636" s="59"/>
      <c r="AF636" s="59"/>
      <c r="AG636" s="59"/>
      <c r="AH636" s="59"/>
      <c r="AI636" s="59"/>
      <c r="AJ636" s="59"/>
      <c r="AK636" s="59"/>
      <c r="AL636" s="59"/>
      <c r="AM636" s="59"/>
      <c r="AN636" s="59"/>
      <c r="AO636" s="59"/>
      <c r="AP636" s="59"/>
      <c r="AQ636" s="59"/>
      <c r="AR636" s="59"/>
      <c r="AS636" s="59"/>
      <c r="AT636" s="59"/>
      <c r="AU636" s="59"/>
      <c r="AV636" s="59"/>
      <c r="AW636" s="59"/>
      <c r="AX636" s="59"/>
      <c r="AY636" s="59"/>
      <c r="AZ636" s="59"/>
      <c r="BA636" s="59"/>
      <c r="BB636" s="59"/>
      <c r="BC636" s="59"/>
      <c r="BD636" s="59"/>
      <c r="BE636" s="59"/>
      <c r="BF636" s="59"/>
      <c r="BG636" s="59"/>
      <c r="BH636" s="59"/>
      <c r="BI636" s="59"/>
      <c r="BJ636" s="59"/>
      <c r="BK636" s="59"/>
      <c r="BL636" s="59"/>
      <c r="BM636" s="59"/>
      <c r="BN636" s="59"/>
      <c r="BO636" s="59"/>
      <c r="BP636" s="59"/>
      <c r="BQ636" s="59"/>
      <c r="BR636" s="59"/>
      <c r="BS636" s="59"/>
      <c r="BT636" s="59"/>
      <c r="BU636" s="59"/>
      <c r="BV636" s="59"/>
      <c r="BW636" s="59"/>
      <c r="BX636" s="59"/>
      <c r="BY636" s="59"/>
      <c r="BZ636" s="59"/>
      <c r="CA636" s="59"/>
      <c r="CB636" s="59"/>
      <c r="CC636" s="59"/>
      <c r="CD636" s="59"/>
      <c r="CE636" s="59"/>
      <c r="CF636" s="59"/>
      <c r="CG636" s="59"/>
      <c r="CH636" s="59"/>
      <c r="CI636" s="59"/>
      <c r="CJ636" s="59"/>
      <c r="CK636" s="59"/>
      <c r="CL636" s="59"/>
      <c r="CM636" s="59"/>
      <c r="CN636" s="59"/>
      <c r="CO636" s="59"/>
      <c r="CP636" s="59"/>
      <c r="CQ636" s="59"/>
      <c r="CR636" s="59"/>
      <c r="CS636" s="59"/>
      <c r="CT636" s="59"/>
      <c r="CU636" s="59"/>
      <c r="CV636" s="59"/>
      <c r="CW636" s="59"/>
      <c r="CX636" s="59"/>
      <c r="CY636" s="59"/>
      <c r="CZ636" s="59"/>
      <c r="DA636" s="59"/>
      <c r="DB636" s="59"/>
      <c r="DC636" s="59"/>
      <c r="DD636" s="59"/>
      <c r="DE636" s="59"/>
      <c r="DF636" s="59"/>
      <c r="DG636" s="59"/>
      <c r="DH636" s="59"/>
      <c r="DI636" s="59"/>
      <c r="DJ636" s="59"/>
      <c r="DK636" s="59"/>
      <c r="DL636" s="59"/>
      <c r="DM636" s="59"/>
      <c r="DN636" s="59"/>
      <c r="DO636" s="59"/>
      <c r="DP636" s="59"/>
      <c r="DQ636" s="59"/>
      <c r="DR636" s="59"/>
      <c r="DS636" s="59"/>
      <c r="DT636" s="59"/>
      <c r="DU636" s="59"/>
      <c r="DV636" s="59"/>
      <c r="DW636" s="59"/>
      <c r="DX636" s="59"/>
      <c r="DY636" s="59"/>
      <c r="DZ636" s="59"/>
      <c r="EA636" s="59"/>
      <c r="EB636" s="59"/>
      <c r="EC636" s="59"/>
      <c r="ED636" s="59"/>
      <c r="EE636" s="59"/>
      <c r="EF636" s="59"/>
      <c r="EG636" s="59"/>
      <c r="EH636" s="59"/>
      <c r="EI636" s="59"/>
      <c r="EJ636" s="59"/>
      <c r="EK636" s="59"/>
      <c r="EL636" s="59"/>
      <c r="EM636" s="59"/>
      <c r="EN636" s="59"/>
      <c r="EO636" s="59"/>
      <c r="EP636" s="59"/>
      <c r="EQ636" s="59"/>
      <c r="ER636" s="59"/>
      <c r="ES636" s="59"/>
      <c r="ET636" s="59"/>
      <c r="EU636" s="59"/>
      <c r="EV636" s="59"/>
      <c r="EW636" s="59"/>
      <c r="EX636" s="59"/>
      <c r="EY636" s="59"/>
      <c r="EZ636" s="59"/>
      <c r="FA636" s="59"/>
      <c r="FB636" s="59"/>
      <c r="FC636" s="59"/>
      <c r="FD636" s="59"/>
      <c r="FE636" s="59"/>
      <c r="FF636" s="59"/>
      <c r="FG636" s="59"/>
      <c r="FH636" s="59"/>
      <c r="FI636" s="59"/>
      <c r="FJ636" s="59"/>
      <c r="FK636" s="59"/>
      <c r="FL636" s="59"/>
      <c r="FM636" s="59"/>
      <c r="FN636" s="59"/>
      <c r="FO636" s="59"/>
      <c r="FP636" s="59"/>
      <c r="FQ636" s="59"/>
      <c r="FR636" s="59"/>
      <c r="FS636" s="59"/>
      <c r="FT636" s="59"/>
      <c r="FU636" s="59"/>
      <c r="FV636" s="59"/>
      <c r="FW636" s="59"/>
      <c r="FX636" s="59"/>
      <c r="FY636" s="59"/>
      <c r="FZ636" s="59"/>
      <c r="GA636" s="59"/>
      <c r="GB636" s="59"/>
      <c r="GC636" s="59"/>
      <c r="GD636" s="59"/>
      <c r="GE636" s="59"/>
      <c r="GF636" s="59"/>
      <c r="GG636" s="59"/>
      <c r="GH636" s="59"/>
      <c r="GI636" s="59"/>
      <c r="GJ636" s="59"/>
      <c r="GK636" s="59"/>
      <c r="GL636" s="59"/>
      <c r="GM636" s="59"/>
      <c r="GN636" s="59"/>
      <c r="GO636" s="59"/>
      <c r="GP636" s="59"/>
      <c r="GQ636" s="59"/>
      <c r="GR636" s="59"/>
      <c r="GS636" s="59"/>
      <c r="GT636" s="59"/>
      <c r="GU636" s="59"/>
      <c r="GV636" s="59"/>
      <c r="GW636" s="59"/>
      <c r="GX636" s="59"/>
      <c r="GY636" s="59"/>
      <c r="GZ636" s="59"/>
      <c r="HA636" s="59"/>
      <c r="HB636" s="59"/>
      <c r="HC636" s="59"/>
      <c r="HD636" s="59"/>
      <c r="HE636" s="59"/>
      <c r="HF636" s="59"/>
      <c r="HG636" s="59"/>
      <c r="HH636" s="59"/>
      <c r="HI636" s="59"/>
      <c r="HJ636" s="59"/>
      <c r="HK636" s="59"/>
      <c r="HL636" s="59"/>
      <c r="HM636" s="59"/>
      <c r="HN636" s="59"/>
      <c r="HO636" s="59"/>
      <c r="HP636" s="59"/>
      <c r="HQ636" s="59"/>
      <c r="HR636" s="59"/>
      <c r="HS636" s="59"/>
      <c r="HT636" s="59"/>
      <c r="HU636" s="59"/>
      <c r="HV636" s="59"/>
      <c r="HW636" s="59"/>
      <c r="HX636" s="59"/>
      <c r="HY636" s="59"/>
      <c r="HZ636" s="59"/>
      <c r="IA636" s="59"/>
      <c r="IB636" s="59"/>
      <c r="IC636" s="59"/>
      <c r="ID636" s="59"/>
      <c r="IE636" s="59"/>
      <c r="IF636" s="59"/>
      <c r="IG636" s="59"/>
      <c r="IH636" s="59"/>
      <c r="II636" s="59"/>
      <c r="IJ636" s="59"/>
      <c r="IK636" s="59"/>
      <c r="IL636" s="59"/>
      <c r="IM636" s="59"/>
      <c r="IN636" s="59"/>
      <c r="IO636" s="59"/>
      <c r="IP636" s="59"/>
      <c r="IQ636" s="59"/>
      <c r="IR636" s="59"/>
      <c r="IS636" s="59"/>
      <c r="IT636" s="59"/>
      <c r="IU636" s="59"/>
      <c r="IV636" s="59"/>
    </row>
    <row r="637" spans="1:256" ht="14.25" customHeight="1">
      <c r="A637" s="1849" t="s">
        <v>227</v>
      </c>
      <c r="B637" s="1621"/>
      <c r="C637" s="1621"/>
      <c r="D637" s="1621"/>
      <c r="E637" s="1621"/>
      <c r="F637" s="1622"/>
      <c r="G637" s="65">
        <f>ROUND(SUM(G634:G636),2)</f>
        <v>3280.95</v>
      </c>
      <c r="H637" s="59">
        <v>2290.59</v>
      </c>
      <c r="I637" s="60"/>
      <c r="J637" s="60"/>
      <c r="K637" s="61"/>
      <c r="L637" s="59"/>
      <c r="M637" s="59"/>
      <c r="N637" s="59"/>
      <c r="O637" s="59"/>
      <c r="P637" s="59"/>
      <c r="Q637" s="59"/>
      <c r="R637" s="59"/>
      <c r="S637" s="59"/>
      <c r="T637" s="59"/>
      <c r="U637" s="59"/>
      <c r="V637" s="59"/>
      <c r="W637" s="59"/>
      <c r="X637" s="59"/>
      <c r="Y637" s="59"/>
      <c r="Z637" s="59"/>
      <c r="AA637" s="59"/>
      <c r="AB637" s="59"/>
      <c r="AC637" s="59"/>
      <c r="AD637" s="59"/>
      <c r="AE637" s="59"/>
      <c r="AF637" s="59"/>
      <c r="AG637" s="59"/>
      <c r="AH637" s="59"/>
      <c r="AI637" s="59"/>
      <c r="AJ637" s="59"/>
      <c r="AK637" s="59"/>
      <c r="AL637" s="59"/>
      <c r="AM637" s="59"/>
      <c r="AN637" s="59"/>
      <c r="AO637" s="59"/>
      <c r="AP637" s="59"/>
      <c r="AQ637" s="59"/>
      <c r="AR637" s="59"/>
      <c r="AS637" s="59"/>
      <c r="AT637" s="59"/>
      <c r="AU637" s="59"/>
      <c r="AV637" s="59"/>
      <c r="AW637" s="59"/>
      <c r="AX637" s="59"/>
      <c r="AY637" s="59"/>
      <c r="AZ637" s="59"/>
      <c r="BA637" s="59"/>
      <c r="BB637" s="59"/>
      <c r="BC637" s="59"/>
      <c r="BD637" s="59"/>
      <c r="BE637" s="59"/>
      <c r="BF637" s="59"/>
      <c r="BG637" s="59"/>
      <c r="BH637" s="59"/>
      <c r="BI637" s="59"/>
      <c r="BJ637" s="59"/>
      <c r="BK637" s="59"/>
      <c r="BL637" s="59"/>
      <c r="BM637" s="59"/>
      <c r="BN637" s="59"/>
      <c r="BO637" s="59"/>
      <c r="BP637" s="59"/>
      <c r="BQ637" s="59"/>
      <c r="BR637" s="59"/>
      <c r="BS637" s="59"/>
      <c r="BT637" s="59"/>
      <c r="BU637" s="59"/>
      <c r="BV637" s="59"/>
      <c r="BW637" s="59"/>
      <c r="BX637" s="59"/>
      <c r="BY637" s="59"/>
      <c r="BZ637" s="59"/>
      <c r="CA637" s="59"/>
      <c r="CB637" s="59"/>
      <c r="CC637" s="59"/>
      <c r="CD637" s="59"/>
      <c r="CE637" s="59"/>
      <c r="CF637" s="59"/>
      <c r="CG637" s="59"/>
      <c r="CH637" s="59"/>
      <c r="CI637" s="59"/>
      <c r="CJ637" s="59"/>
      <c r="CK637" s="59"/>
      <c r="CL637" s="59"/>
      <c r="CM637" s="59"/>
      <c r="CN637" s="59"/>
      <c r="CO637" s="59"/>
      <c r="CP637" s="59"/>
      <c r="CQ637" s="59"/>
      <c r="CR637" s="59"/>
      <c r="CS637" s="59"/>
      <c r="CT637" s="59"/>
      <c r="CU637" s="59"/>
      <c r="CV637" s="59"/>
      <c r="CW637" s="59"/>
      <c r="CX637" s="59"/>
      <c r="CY637" s="59"/>
      <c r="CZ637" s="59"/>
      <c r="DA637" s="59"/>
      <c r="DB637" s="59"/>
      <c r="DC637" s="59"/>
      <c r="DD637" s="59"/>
      <c r="DE637" s="59"/>
      <c r="DF637" s="59"/>
      <c r="DG637" s="59"/>
      <c r="DH637" s="59"/>
      <c r="DI637" s="59"/>
      <c r="DJ637" s="59"/>
      <c r="DK637" s="59"/>
      <c r="DL637" s="59"/>
      <c r="DM637" s="59"/>
      <c r="DN637" s="59"/>
      <c r="DO637" s="59"/>
      <c r="DP637" s="59"/>
      <c r="DQ637" s="59"/>
      <c r="DR637" s="59"/>
      <c r="DS637" s="59"/>
      <c r="DT637" s="59"/>
      <c r="DU637" s="59"/>
      <c r="DV637" s="59"/>
      <c r="DW637" s="59"/>
      <c r="DX637" s="59"/>
      <c r="DY637" s="59"/>
      <c r="DZ637" s="59"/>
      <c r="EA637" s="59"/>
      <c r="EB637" s="59"/>
      <c r="EC637" s="59"/>
      <c r="ED637" s="59"/>
      <c r="EE637" s="59"/>
      <c r="EF637" s="59"/>
      <c r="EG637" s="59"/>
      <c r="EH637" s="59"/>
      <c r="EI637" s="59"/>
      <c r="EJ637" s="59"/>
      <c r="EK637" s="59"/>
      <c r="EL637" s="59"/>
      <c r="EM637" s="59"/>
      <c r="EN637" s="59"/>
      <c r="EO637" s="59"/>
      <c r="EP637" s="59"/>
      <c r="EQ637" s="59"/>
      <c r="ER637" s="59"/>
      <c r="ES637" s="59"/>
      <c r="ET637" s="59"/>
      <c r="EU637" s="59"/>
      <c r="EV637" s="59"/>
      <c r="EW637" s="59"/>
      <c r="EX637" s="59"/>
      <c r="EY637" s="59"/>
      <c r="EZ637" s="59"/>
      <c r="FA637" s="59"/>
      <c r="FB637" s="59"/>
      <c r="FC637" s="59"/>
      <c r="FD637" s="59"/>
      <c r="FE637" s="59"/>
      <c r="FF637" s="59"/>
      <c r="FG637" s="59"/>
      <c r="FH637" s="59"/>
      <c r="FI637" s="59"/>
      <c r="FJ637" s="59"/>
      <c r="FK637" s="59"/>
      <c r="FL637" s="59"/>
      <c r="FM637" s="59"/>
      <c r="FN637" s="59"/>
      <c r="FO637" s="59"/>
      <c r="FP637" s="59"/>
      <c r="FQ637" s="59"/>
      <c r="FR637" s="59"/>
      <c r="FS637" s="59"/>
      <c r="FT637" s="59"/>
      <c r="FU637" s="59"/>
      <c r="FV637" s="59"/>
      <c r="FW637" s="59"/>
      <c r="FX637" s="59"/>
      <c r="FY637" s="59"/>
      <c r="FZ637" s="59"/>
      <c r="GA637" s="59"/>
      <c r="GB637" s="59"/>
      <c r="GC637" s="59"/>
      <c r="GD637" s="59"/>
      <c r="GE637" s="59"/>
      <c r="GF637" s="59"/>
      <c r="GG637" s="59"/>
      <c r="GH637" s="59"/>
      <c r="GI637" s="59"/>
      <c r="GJ637" s="59"/>
      <c r="GK637" s="59"/>
      <c r="GL637" s="59"/>
      <c r="GM637" s="59"/>
      <c r="GN637" s="59"/>
      <c r="GO637" s="59"/>
      <c r="GP637" s="59"/>
      <c r="GQ637" s="59"/>
      <c r="GR637" s="59"/>
      <c r="GS637" s="59"/>
      <c r="GT637" s="59"/>
      <c r="GU637" s="59"/>
      <c r="GV637" s="59"/>
      <c r="GW637" s="59"/>
      <c r="GX637" s="59"/>
      <c r="GY637" s="59"/>
      <c r="GZ637" s="59"/>
      <c r="HA637" s="59"/>
      <c r="HB637" s="59"/>
      <c r="HC637" s="59"/>
      <c r="HD637" s="59"/>
      <c r="HE637" s="59"/>
      <c r="HF637" s="59"/>
      <c r="HG637" s="59"/>
      <c r="HH637" s="59"/>
      <c r="HI637" s="59"/>
      <c r="HJ637" s="59"/>
      <c r="HK637" s="59"/>
      <c r="HL637" s="59"/>
      <c r="HM637" s="59"/>
      <c r="HN637" s="59"/>
      <c r="HO637" s="59"/>
      <c r="HP637" s="59"/>
      <c r="HQ637" s="59"/>
      <c r="HR637" s="59"/>
      <c r="HS637" s="59"/>
      <c r="HT637" s="59"/>
      <c r="HU637" s="59"/>
      <c r="HV637" s="59"/>
      <c r="HW637" s="59"/>
      <c r="HX637" s="59"/>
      <c r="HY637" s="59"/>
      <c r="HZ637" s="59"/>
      <c r="IA637" s="59"/>
      <c r="IB637" s="59"/>
      <c r="IC637" s="59"/>
      <c r="ID637" s="59"/>
      <c r="IE637" s="59"/>
      <c r="IF637" s="59"/>
      <c r="IG637" s="59"/>
      <c r="IH637" s="59"/>
      <c r="II637" s="59"/>
      <c r="IJ637" s="59"/>
      <c r="IK637" s="59"/>
      <c r="IL637" s="59"/>
      <c r="IM637" s="59"/>
      <c r="IN637" s="59"/>
      <c r="IO637" s="59"/>
      <c r="IP637" s="59"/>
      <c r="IQ637" s="59"/>
      <c r="IR637" s="59"/>
      <c r="IS637" s="59"/>
      <c r="IT637" s="59"/>
      <c r="IU637" s="59"/>
      <c r="IV637" s="59"/>
    </row>
    <row r="638" spans="1:256" ht="14.25" customHeight="1">
      <c r="A638" s="1831"/>
      <c r="B638" s="1830"/>
      <c r="C638" s="1830"/>
      <c r="D638" s="1830"/>
      <c r="E638" s="1830"/>
      <c r="F638" s="1830"/>
      <c r="G638" s="1828"/>
      <c r="H638" s="59"/>
      <c r="I638" s="60"/>
      <c r="J638" s="60"/>
      <c r="K638" s="61"/>
      <c r="L638" s="59"/>
      <c r="M638" s="59"/>
      <c r="N638" s="59"/>
      <c r="O638" s="59"/>
      <c r="P638" s="59"/>
      <c r="Q638" s="59"/>
      <c r="R638" s="59"/>
      <c r="S638" s="59"/>
      <c r="T638" s="59"/>
      <c r="U638" s="59"/>
      <c r="V638" s="59"/>
      <c r="W638" s="59"/>
      <c r="X638" s="59"/>
      <c r="Y638" s="59"/>
      <c r="Z638" s="59"/>
      <c r="AA638" s="59"/>
      <c r="AB638" s="59"/>
      <c r="AC638" s="59"/>
      <c r="AD638" s="59"/>
      <c r="AE638" s="59"/>
      <c r="AF638" s="59"/>
      <c r="AG638" s="59"/>
      <c r="AH638" s="59"/>
      <c r="AI638" s="59"/>
      <c r="AJ638" s="59"/>
      <c r="AK638" s="59"/>
      <c r="AL638" s="59"/>
      <c r="AM638" s="59"/>
      <c r="AN638" s="59"/>
      <c r="AO638" s="59"/>
      <c r="AP638" s="59"/>
      <c r="AQ638" s="59"/>
      <c r="AR638" s="59"/>
      <c r="AS638" s="59"/>
      <c r="AT638" s="59"/>
      <c r="AU638" s="59"/>
      <c r="AV638" s="59"/>
      <c r="AW638" s="59"/>
      <c r="AX638" s="59"/>
      <c r="AY638" s="59"/>
      <c r="AZ638" s="59"/>
      <c r="BA638" s="59"/>
      <c r="BB638" s="59"/>
      <c r="BC638" s="59"/>
      <c r="BD638" s="59"/>
      <c r="BE638" s="59"/>
      <c r="BF638" s="59"/>
      <c r="BG638" s="59"/>
      <c r="BH638" s="59"/>
      <c r="BI638" s="59"/>
      <c r="BJ638" s="59"/>
      <c r="BK638" s="59"/>
      <c r="BL638" s="59"/>
      <c r="BM638" s="59"/>
      <c r="BN638" s="59"/>
      <c r="BO638" s="59"/>
      <c r="BP638" s="59"/>
      <c r="BQ638" s="59"/>
      <c r="BR638" s="59"/>
      <c r="BS638" s="59"/>
      <c r="BT638" s="59"/>
      <c r="BU638" s="59"/>
      <c r="BV638" s="59"/>
      <c r="BW638" s="59"/>
      <c r="BX638" s="59"/>
      <c r="BY638" s="59"/>
      <c r="BZ638" s="59"/>
      <c r="CA638" s="59"/>
      <c r="CB638" s="59"/>
      <c r="CC638" s="59"/>
      <c r="CD638" s="59"/>
      <c r="CE638" s="59"/>
      <c r="CF638" s="59"/>
      <c r="CG638" s="59"/>
      <c r="CH638" s="59"/>
      <c r="CI638" s="59"/>
      <c r="CJ638" s="59"/>
      <c r="CK638" s="59"/>
      <c r="CL638" s="59"/>
      <c r="CM638" s="59"/>
      <c r="CN638" s="59"/>
      <c r="CO638" s="59"/>
      <c r="CP638" s="59"/>
      <c r="CQ638" s="59"/>
      <c r="CR638" s="59"/>
      <c r="CS638" s="59"/>
      <c r="CT638" s="59"/>
      <c r="CU638" s="59"/>
      <c r="CV638" s="59"/>
      <c r="CW638" s="59"/>
      <c r="CX638" s="59"/>
      <c r="CY638" s="59"/>
      <c r="CZ638" s="59"/>
      <c r="DA638" s="59"/>
      <c r="DB638" s="59"/>
      <c r="DC638" s="59"/>
      <c r="DD638" s="59"/>
      <c r="DE638" s="59"/>
      <c r="DF638" s="59"/>
      <c r="DG638" s="59"/>
      <c r="DH638" s="59"/>
      <c r="DI638" s="59"/>
      <c r="DJ638" s="59"/>
      <c r="DK638" s="59"/>
      <c r="DL638" s="59"/>
      <c r="DM638" s="59"/>
      <c r="DN638" s="59"/>
      <c r="DO638" s="59"/>
      <c r="DP638" s="59"/>
      <c r="DQ638" s="59"/>
      <c r="DR638" s="59"/>
      <c r="DS638" s="59"/>
      <c r="DT638" s="59"/>
      <c r="DU638" s="59"/>
      <c r="DV638" s="59"/>
      <c r="DW638" s="59"/>
      <c r="DX638" s="59"/>
      <c r="DY638" s="59"/>
      <c r="DZ638" s="59"/>
      <c r="EA638" s="59"/>
      <c r="EB638" s="59"/>
      <c r="EC638" s="59"/>
      <c r="ED638" s="59"/>
      <c r="EE638" s="59"/>
      <c r="EF638" s="59"/>
      <c r="EG638" s="59"/>
      <c r="EH638" s="59"/>
      <c r="EI638" s="59"/>
      <c r="EJ638" s="59"/>
      <c r="EK638" s="59"/>
      <c r="EL638" s="59"/>
      <c r="EM638" s="59"/>
      <c r="EN638" s="59"/>
      <c r="EO638" s="59"/>
      <c r="EP638" s="59"/>
      <c r="EQ638" s="59"/>
      <c r="ER638" s="59"/>
      <c r="ES638" s="59"/>
      <c r="ET638" s="59"/>
      <c r="EU638" s="59"/>
      <c r="EV638" s="59"/>
      <c r="EW638" s="59"/>
      <c r="EX638" s="59"/>
      <c r="EY638" s="59"/>
      <c r="EZ638" s="59"/>
      <c r="FA638" s="59"/>
      <c r="FB638" s="59"/>
      <c r="FC638" s="59"/>
      <c r="FD638" s="59"/>
      <c r="FE638" s="59"/>
      <c r="FF638" s="59"/>
      <c r="FG638" s="59"/>
      <c r="FH638" s="59"/>
      <c r="FI638" s="59"/>
      <c r="FJ638" s="59"/>
      <c r="FK638" s="59"/>
      <c r="FL638" s="59"/>
      <c r="FM638" s="59"/>
      <c r="FN638" s="59"/>
      <c r="FO638" s="59"/>
      <c r="FP638" s="59"/>
      <c r="FQ638" s="59"/>
      <c r="FR638" s="59"/>
      <c r="FS638" s="59"/>
      <c r="FT638" s="59"/>
      <c r="FU638" s="59"/>
      <c r="FV638" s="59"/>
      <c r="FW638" s="59"/>
      <c r="FX638" s="59"/>
      <c r="FY638" s="59"/>
      <c r="FZ638" s="59"/>
      <c r="GA638" s="59"/>
      <c r="GB638" s="59"/>
      <c r="GC638" s="59"/>
      <c r="GD638" s="59"/>
      <c r="GE638" s="59"/>
      <c r="GF638" s="59"/>
      <c r="GG638" s="59"/>
      <c r="GH638" s="59"/>
      <c r="GI638" s="59"/>
      <c r="GJ638" s="59"/>
      <c r="GK638" s="59"/>
      <c r="GL638" s="59"/>
      <c r="GM638" s="59"/>
      <c r="GN638" s="59"/>
      <c r="GO638" s="59"/>
      <c r="GP638" s="59"/>
      <c r="GQ638" s="59"/>
      <c r="GR638" s="59"/>
      <c r="GS638" s="59"/>
      <c r="GT638" s="59"/>
      <c r="GU638" s="59"/>
      <c r="GV638" s="59"/>
      <c r="GW638" s="59"/>
      <c r="GX638" s="59"/>
      <c r="GY638" s="59"/>
      <c r="GZ638" s="59"/>
      <c r="HA638" s="59"/>
      <c r="HB638" s="59"/>
      <c r="HC638" s="59"/>
      <c r="HD638" s="59"/>
      <c r="HE638" s="59"/>
      <c r="HF638" s="59"/>
      <c r="HG638" s="59"/>
      <c r="HH638" s="59"/>
      <c r="HI638" s="59"/>
      <c r="HJ638" s="59"/>
      <c r="HK638" s="59"/>
      <c r="HL638" s="59"/>
      <c r="HM638" s="59"/>
      <c r="HN638" s="59"/>
      <c r="HO638" s="59"/>
      <c r="HP638" s="59"/>
      <c r="HQ638" s="59"/>
      <c r="HR638" s="59"/>
      <c r="HS638" s="59"/>
      <c r="HT638" s="59"/>
      <c r="HU638" s="59"/>
      <c r="HV638" s="59"/>
      <c r="HW638" s="59"/>
      <c r="HX638" s="59"/>
      <c r="HY638" s="59"/>
      <c r="HZ638" s="59"/>
      <c r="IA638" s="59"/>
      <c r="IB638" s="59"/>
      <c r="IC638" s="59"/>
      <c r="ID638" s="59"/>
      <c r="IE638" s="59"/>
      <c r="IF638" s="59"/>
      <c r="IG638" s="59"/>
      <c r="IH638" s="59"/>
      <c r="II638" s="59"/>
      <c r="IJ638" s="59"/>
      <c r="IK638" s="59"/>
      <c r="IL638" s="59"/>
      <c r="IM638" s="59"/>
      <c r="IN638" s="59"/>
      <c r="IO638" s="59"/>
      <c r="IP638" s="59"/>
      <c r="IQ638" s="59"/>
      <c r="IR638" s="59"/>
      <c r="IS638" s="59"/>
      <c r="IT638" s="59"/>
      <c r="IU638" s="59"/>
      <c r="IV638" s="59"/>
    </row>
    <row r="639" spans="1:256" ht="14.25" customHeight="1">
      <c r="A639" s="66" t="s">
        <v>268</v>
      </c>
      <c r="B639" s="1832" t="str">
        <f>+B630</f>
        <v>ACABADOS</v>
      </c>
      <c r="C639" s="1830"/>
      <c r="D639" s="1828"/>
      <c r="E639" s="1833" t="s">
        <v>218</v>
      </c>
      <c r="F639" s="1828"/>
      <c r="G639" s="62" t="s">
        <v>228</v>
      </c>
      <c r="H639" s="59"/>
      <c r="I639" s="60"/>
      <c r="J639" s="60"/>
      <c r="K639" s="61"/>
      <c r="L639" s="59"/>
      <c r="M639" s="59"/>
      <c r="N639" s="59"/>
      <c r="O639" s="59"/>
      <c r="P639" s="59"/>
      <c r="Q639" s="59"/>
      <c r="R639" s="59"/>
      <c r="S639" s="59"/>
      <c r="T639" s="59"/>
      <c r="U639" s="59"/>
      <c r="V639" s="59"/>
      <c r="W639" s="59"/>
      <c r="X639" s="59"/>
      <c r="Y639" s="59"/>
      <c r="Z639" s="59"/>
      <c r="AA639" s="59"/>
      <c r="AB639" s="59"/>
      <c r="AC639" s="59"/>
      <c r="AD639" s="59"/>
      <c r="AE639" s="59"/>
      <c r="AF639" s="59"/>
      <c r="AG639" s="59"/>
      <c r="AH639" s="59"/>
      <c r="AI639" s="59"/>
      <c r="AJ639" s="59"/>
      <c r="AK639" s="59"/>
      <c r="AL639" s="59"/>
      <c r="AM639" s="59"/>
      <c r="AN639" s="59"/>
      <c r="AO639" s="59"/>
      <c r="AP639" s="59"/>
      <c r="AQ639" s="59"/>
      <c r="AR639" s="59"/>
      <c r="AS639" s="59"/>
      <c r="AT639" s="59"/>
      <c r="AU639" s="59"/>
      <c r="AV639" s="59"/>
      <c r="AW639" s="59"/>
      <c r="AX639" s="59"/>
      <c r="AY639" s="59"/>
      <c r="AZ639" s="59"/>
      <c r="BA639" s="59"/>
      <c r="BB639" s="59"/>
      <c r="BC639" s="59"/>
      <c r="BD639" s="59"/>
      <c r="BE639" s="59"/>
      <c r="BF639" s="59"/>
      <c r="BG639" s="59"/>
      <c r="BH639" s="59"/>
      <c r="BI639" s="59"/>
      <c r="BJ639" s="59"/>
      <c r="BK639" s="59"/>
      <c r="BL639" s="59"/>
      <c r="BM639" s="59"/>
      <c r="BN639" s="59"/>
      <c r="BO639" s="59"/>
      <c r="BP639" s="59"/>
      <c r="BQ639" s="59"/>
      <c r="BR639" s="59"/>
      <c r="BS639" s="59"/>
      <c r="BT639" s="59"/>
      <c r="BU639" s="59"/>
      <c r="BV639" s="59"/>
      <c r="BW639" s="59"/>
      <c r="BX639" s="59"/>
      <c r="BY639" s="59"/>
      <c r="BZ639" s="59"/>
      <c r="CA639" s="59"/>
      <c r="CB639" s="59"/>
      <c r="CC639" s="59"/>
      <c r="CD639" s="59"/>
      <c r="CE639" s="59"/>
      <c r="CF639" s="59"/>
      <c r="CG639" s="59"/>
      <c r="CH639" s="59"/>
      <c r="CI639" s="59"/>
      <c r="CJ639" s="59"/>
      <c r="CK639" s="59"/>
      <c r="CL639" s="59"/>
      <c r="CM639" s="59"/>
      <c r="CN639" s="59"/>
      <c r="CO639" s="59"/>
      <c r="CP639" s="59"/>
      <c r="CQ639" s="59"/>
      <c r="CR639" s="59"/>
      <c r="CS639" s="59"/>
      <c r="CT639" s="59"/>
      <c r="CU639" s="59"/>
      <c r="CV639" s="59"/>
      <c r="CW639" s="59"/>
      <c r="CX639" s="59"/>
      <c r="CY639" s="59"/>
      <c r="CZ639" s="59"/>
      <c r="DA639" s="59"/>
      <c r="DB639" s="59"/>
      <c r="DC639" s="59"/>
      <c r="DD639" s="59"/>
      <c r="DE639" s="59"/>
      <c r="DF639" s="59"/>
      <c r="DG639" s="59"/>
      <c r="DH639" s="59"/>
      <c r="DI639" s="59"/>
      <c r="DJ639" s="59"/>
      <c r="DK639" s="59"/>
      <c r="DL639" s="59"/>
      <c r="DM639" s="59"/>
      <c r="DN639" s="59"/>
      <c r="DO639" s="59"/>
      <c r="DP639" s="59"/>
      <c r="DQ639" s="59"/>
      <c r="DR639" s="59"/>
      <c r="DS639" s="59"/>
      <c r="DT639" s="59"/>
      <c r="DU639" s="59"/>
      <c r="DV639" s="59"/>
      <c r="DW639" s="59"/>
      <c r="DX639" s="59"/>
      <c r="DY639" s="59"/>
      <c r="DZ639" s="59"/>
      <c r="EA639" s="59"/>
      <c r="EB639" s="59"/>
      <c r="EC639" s="59"/>
      <c r="ED639" s="59"/>
      <c r="EE639" s="59"/>
      <c r="EF639" s="59"/>
      <c r="EG639" s="59"/>
      <c r="EH639" s="59"/>
      <c r="EI639" s="59"/>
      <c r="EJ639" s="59"/>
      <c r="EK639" s="59"/>
      <c r="EL639" s="59"/>
      <c r="EM639" s="59"/>
      <c r="EN639" s="59"/>
      <c r="EO639" s="59"/>
      <c r="EP639" s="59"/>
      <c r="EQ639" s="59"/>
      <c r="ER639" s="59"/>
      <c r="ES639" s="59"/>
      <c r="ET639" s="59"/>
      <c r="EU639" s="59"/>
      <c r="EV639" s="59"/>
      <c r="EW639" s="59"/>
      <c r="EX639" s="59"/>
      <c r="EY639" s="59"/>
      <c r="EZ639" s="59"/>
      <c r="FA639" s="59"/>
      <c r="FB639" s="59"/>
      <c r="FC639" s="59"/>
      <c r="FD639" s="59"/>
      <c r="FE639" s="59"/>
      <c r="FF639" s="59"/>
      <c r="FG639" s="59"/>
      <c r="FH639" s="59"/>
      <c r="FI639" s="59"/>
      <c r="FJ639" s="59"/>
      <c r="FK639" s="59"/>
      <c r="FL639" s="59"/>
      <c r="FM639" s="59"/>
      <c r="FN639" s="59"/>
      <c r="FO639" s="59"/>
      <c r="FP639" s="59"/>
      <c r="FQ639" s="59"/>
      <c r="FR639" s="59"/>
      <c r="FS639" s="59"/>
      <c r="FT639" s="59"/>
      <c r="FU639" s="59"/>
      <c r="FV639" s="59"/>
      <c r="FW639" s="59"/>
      <c r="FX639" s="59"/>
      <c r="FY639" s="59"/>
      <c r="FZ639" s="59"/>
      <c r="GA639" s="59"/>
      <c r="GB639" s="59"/>
      <c r="GC639" s="59"/>
      <c r="GD639" s="59"/>
      <c r="GE639" s="59"/>
      <c r="GF639" s="59"/>
      <c r="GG639" s="59"/>
      <c r="GH639" s="59"/>
      <c r="GI639" s="59"/>
      <c r="GJ639" s="59"/>
      <c r="GK639" s="59"/>
      <c r="GL639" s="59"/>
      <c r="GM639" s="59"/>
      <c r="GN639" s="59"/>
      <c r="GO639" s="59"/>
      <c r="GP639" s="59"/>
      <c r="GQ639" s="59"/>
      <c r="GR639" s="59"/>
      <c r="GS639" s="59"/>
      <c r="GT639" s="59"/>
      <c r="GU639" s="59"/>
      <c r="GV639" s="59"/>
      <c r="GW639" s="59"/>
      <c r="GX639" s="59"/>
      <c r="GY639" s="59"/>
      <c r="GZ639" s="59"/>
      <c r="HA639" s="59"/>
      <c r="HB639" s="59"/>
      <c r="HC639" s="59"/>
      <c r="HD639" s="59"/>
      <c r="HE639" s="59"/>
      <c r="HF639" s="59"/>
      <c r="HG639" s="59"/>
      <c r="HH639" s="59"/>
      <c r="HI639" s="59"/>
      <c r="HJ639" s="59"/>
      <c r="HK639" s="59"/>
      <c r="HL639" s="59"/>
      <c r="HM639" s="59"/>
      <c r="HN639" s="59"/>
      <c r="HO639" s="59"/>
      <c r="HP639" s="59"/>
      <c r="HQ639" s="59"/>
      <c r="HR639" s="59"/>
      <c r="HS639" s="59"/>
      <c r="HT639" s="59"/>
      <c r="HU639" s="59"/>
      <c r="HV639" s="59"/>
      <c r="HW639" s="59"/>
      <c r="HX639" s="59"/>
      <c r="HY639" s="59"/>
      <c r="HZ639" s="59"/>
      <c r="IA639" s="59"/>
      <c r="IB639" s="59"/>
      <c r="IC639" s="59"/>
      <c r="ID639" s="59"/>
      <c r="IE639" s="59"/>
      <c r="IF639" s="59"/>
      <c r="IG639" s="59"/>
      <c r="IH639" s="59"/>
      <c r="II639" s="59"/>
      <c r="IJ639" s="59"/>
      <c r="IK639" s="59"/>
      <c r="IL639" s="59"/>
      <c r="IM639" s="59"/>
      <c r="IN639" s="59"/>
      <c r="IO639" s="59"/>
      <c r="IP639" s="59"/>
      <c r="IQ639" s="59"/>
      <c r="IR639" s="59"/>
      <c r="IS639" s="59"/>
      <c r="IT639" s="59"/>
      <c r="IU639" s="59"/>
      <c r="IV639" s="59"/>
    </row>
    <row r="640" spans="1:256" ht="33" customHeight="1">
      <c r="A640" s="66" t="s">
        <v>807</v>
      </c>
      <c r="B640" s="1840" t="s">
        <v>1057</v>
      </c>
      <c r="C640" s="1830"/>
      <c r="D640" s="1830"/>
      <c r="E640" s="1830"/>
      <c r="F640" s="1830"/>
      <c r="G640" s="1828"/>
      <c r="H640" s="59"/>
      <c r="I640" s="60"/>
      <c r="J640" s="60"/>
      <c r="K640" s="61"/>
      <c r="L640" s="59"/>
      <c r="M640" s="59"/>
      <c r="N640" s="59"/>
      <c r="O640" s="59"/>
      <c r="P640" s="59"/>
      <c r="Q640" s="59"/>
      <c r="R640" s="59"/>
      <c r="S640" s="59"/>
      <c r="T640" s="59"/>
      <c r="U640" s="59"/>
      <c r="V640" s="59"/>
      <c r="W640" s="59"/>
      <c r="X640" s="59"/>
      <c r="Y640" s="59"/>
      <c r="Z640" s="59"/>
      <c r="AA640" s="59"/>
      <c r="AB640" s="59"/>
      <c r="AC640" s="59"/>
      <c r="AD640" s="59"/>
      <c r="AE640" s="59"/>
      <c r="AF640" s="59"/>
      <c r="AG640" s="59"/>
      <c r="AH640" s="59"/>
      <c r="AI640" s="59"/>
      <c r="AJ640" s="59"/>
      <c r="AK640" s="59"/>
      <c r="AL640" s="59"/>
      <c r="AM640" s="59"/>
      <c r="AN640" s="59"/>
      <c r="AO640" s="59"/>
      <c r="AP640" s="59"/>
      <c r="AQ640" s="59"/>
      <c r="AR640" s="59"/>
      <c r="AS640" s="59"/>
      <c r="AT640" s="59"/>
      <c r="AU640" s="59"/>
      <c r="AV640" s="59"/>
      <c r="AW640" s="59"/>
      <c r="AX640" s="59"/>
      <c r="AY640" s="59"/>
      <c r="AZ640" s="59"/>
      <c r="BA640" s="59"/>
      <c r="BB640" s="59"/>
      <c r="BC640" s="59"/>
      <c r="BD640" s="59"/>
      <c r="BE640" s="59"/>
      <c r="BF640" s="59"/>
      <c r="BG640" s="59"/>
      <c r="BH640" s="59"/>
      <c r="BI640" s="59"/>
      <c r="BJ640" s="59"/>
      <c r="BK640" s="59"/>
      <c r="BL640" s="59"/>
      <c r="BM640" s="59"/>
      <c r="BN640" s="59"/>
      <c r="BO640" s="59"/>
      <c r="BP640" s="59"/>
      <c r="BQ640" s="59"/>
      <c r="BR640" s="59"/>
      <c r="BS640" s="59"/>
      <c r="BT640" s="59"/>
      <c r="BU640" s="59"/>
      <c r="BV640" s="59"/>
      <c r="BW640" s="59"/>
      <c r="BX640" s="59"/>
      <c r="BY640" s="59"/>
      <c r="BZ640" s="59"/>
      <c r="CA640" s="59"/>
      <c r="CB640" s="59"/>
      <c r="CC640" s="59"/>
      <c r="CD640" s="59"/>
      <c r="CE640" s="59"/>
      <c r="CF640" s="59"/>
      <c r="CG640" s="59"/>
      <c r="CH640" s="59"/>
      <c r="CI640" s="59"/>
      <c r="CJ640" s="59"/>
      <c r="CK640" s="59"/>
      <c r="CL640" s="59"/>
      <c r="CM640" s="59"/>
      <c r="CN640" s="59"/>
      <c r="CO640" s="59"/>
      <c r="CP640" s="59"/>
      <c r="CQ640" s="59"/>
      <c r="CR640" s="59"/>
      <c r="CS640" s="59"/>
      <c r="CT640" s="59"/>
      <c r="CU640" s="59"/>
      <c r="CV640" s="59"/>
      <c r="CW640" s="59"/>
      <c r="CX640" s="59"/>
      <c r="CY640" s="59"/>
      <c r="CZ640" s="59"/>
      <c r="DA640" s="59"/>
      <c r="DB640" s="59"/>
      <c r="DC640" s="59"/>
      <c r="DD640" s="59"/>
      <c r="DE640" s="59"/>
      <c r="DF640" s="59"/>
      <c r="DG640" s="59"/>
      <c r="DH640" s="59"/>
      <c r="DI640" s="59"/>
      <c r="DJ640" s="59"/>
      <c r="DK640" s="59"/>
      <c r="DL640" s="59"/>
      <c r="DM640" s="59"/>
      <c r="DN640" s="59"/>
      <c r="DO640" s="59"/>
      <c r="DP640" s="59"/>
      <c r="DQ640" s="59"/>
      <c r="DR640" s="59"/>
      <c r="DS640" s="59"/>
      <c r="DT640" s="59"/>
      <c r="DU640" s="59"/>
      <c r="DV640" s="59"/>
      <c r="DW640" s="59"/>
      <c r="DX640" s="59"/>
      <c r="DY640" s="59"/>
      <c r="DZ640" s="59"/>
      <c r="EA640" s="59"/>
      <c r="EB640" s="59"/>
      <c r="EC640" s="59"/>
      <c r="ED640" s="59"/>
      <c r="EE640" s="59"/>
      <c r="EF640" s="59"/>
      <c r="EG640" s="59"/>
      <c r="EH640" s="59"/>
      <c r="EI640" s="59"/>
      <c r="EJ640" s="59"/>
      <c r="EK640" s="59"/>
      <c r="EL640" s="59"/>
      <c r="EM640" s="59"/>
      <c r="EN640" s="59"/>
      <c r="EO640" s="59"/>
      <c r="EP640" s="59"/>
      <c r="EQ640" s="59"/>
      <c r="ER640" s="59"/>
      <c r="ES640" s="59"/>
      <c r="ET640" s="59"/>
      <c r="EU640" s="59"/>
      <c r="EV640" s="59"/>
      <c r="EW640" s="59"/>
      <c r="EX640" s="59"/>
      <c r="EY640" s="59"/>
      <c r="EZ640" s="59"/>
      <c r="FA640" s="59"/>
      <c r="FB640" s="59"/>
      <c r="FC640" s="59"/>
      <c r="FD640" s="59"/>
      <c r="FE640" s="59"/>
      <c r="FF640" s="59"/>
      <c r="FG640" s="59"/>
      <c r="FH640" s="59"/>
      <c r="FI640" s="59"/>
      <c r="FJ640" s="59"/>
      <c r="FK640" s="59"/>
      <c r="FL640" s="59"/>
      <c r="FM640" s="59"/>
      <c r="FN640" s="59"/>
      <c r="FO640" s="59"/>
      <c r="FP640" s="59"/>
      <c r="FQ640" s="59"/>
      <c r="FR640" s="59"/>
      <c r="FS640" s="59"/>
      <c r="FT640" s="59"/>
      <c r="FU640" s="59"/>
      <c r="FV640" s="59"/>
      <c r="FW640" s="59"/>
      <c r="FX640" s="59"/>
      <c r="FY640" s="59"/>
      <c r="FZ640" s="59"/>
      <c r="GA640" s="59"/>
      <c r="GB640" s="59"/>
      <c r="GC640" s="59"/>
      <c r="GD640" s="59"/>
      <c r="GE640" s="59"/>
      <c r="GF640" s="59"/>
      <c r="GG640" s="59"/>
      <c r="GH640" s="59"/>
      <c r="GI640" s="59"/>
      <c r="GJ640" s="59"/>
      <c r="GK640" s="59"/>
      <c r="GL640" s="59"/>
      <c r="GM640" s="59"/>
      <c r="GN640" s="59"/>
      <c r="GO640" s="59"/>
      <c r="GP640" s="59"/>
      <c r="GQ640" s="59"/>
      <c r="GR640" s="59"/>
      <c r="GS640" s="59"/>
      <c r="GT640" s="59"/>
      <c r="GU640" s="59"/>
      <c r="GV640" s="59"/>
      <c r="GW640" s="59"/>
      <c r="GX640" s="59"/>
      <c r="GY640" s="59"/>
      <c r="GZ640" s="59"/>
      <c r="HA640" s="59"/>
      <c r="HB640" s="59"/>
      <c r="HC640" s="59"/>
      <c r="HD640" s="59"/>
      <c r="HE640" s="59"/>
      <c r="HF640" s="59"/>
      <c r="HG640" s="59"/>
      <c r="HH640" s="59"/>
      <c r="HI640" s="59"/>
      <c r="HJ640" s="59"/>
      <c r="HK640" s="59"/>
      <c r="HL640" s="59"/>
      <c r="HM640" s="59"/>
      <c r="HN640" s="59"/>
      <c r="HO640" s="59"/>
      <c r="HP640" s="59"/>
      <c r="HQ640" s="59"/>
      <c r="HR640" s="59"/>
      <c r="HS640" s="59"/>
      <c r="HT640" s="59"/>
      <c r="HU640" s="59"/>
      <c r="HV640" s="59"/>
      <c r="HW640" s="59"/>
      <c r="HX640" s="59"/>
      <c r="HY640" s="59"/>
      <c r="HZ640" s="59"/>
      <c r="IA640" s="59"/>
      <c r="IB640" s="59"/>
      <c r="IC640" s="59"/>
      <c r="ID640" s="59"/>
      <c r="IE640" s="59"/>
      <c r="IF640" s="59"/>
      <c r="IG640" s="59"/>
      <c r="IH640" s="59"/>
      <c r="II640" s="59"/>
      <c r="IJ640" s="59"/>
      <c r="IK640" s="59"/>
      <c r="IL640" s="59"/>
      <c r="IM640" s="59"/>
      <c r="IN640" s="59"/>
      <c r="IO640" s="59"/>
      <c r="IP640" s="59"/>
      <c r="IQ640" s="59"/>
      <c r="IR640" s="59"/>
      <c r="IS640" s="59"/>
      <c r="IT640" s="59"/>
      <c r="IU640" s="59"/>
      <c r="IV640" s="59"/>
    </row>
    <row r="641" spans="1:7" ht="14.25" customHeight="1">
      <c r="A641" s="1836" t="s">
        <v>220</v>
      </c>
      <c r="B641" s="1830"/>
      <c r="C641" s="1830"/>
      <c r="D641" s="1830"/>
      <c r="E641" s="1830"/>
      <c r="F641" s="1830"/>
      <c r="G641" s="1828"/>
    </row>
    <row r="642" spans="1:7" ht="14.25" customHeight="1">
      <c r="A642" s="1829" t="s">
        <v>221</v>
      </c>
      <c r="B642" s="1828"/>
      <c r="C642" s="63" t="s">
        <v>222</v>
      </c>
      <c r="D642" s="63" t="s">
        <v>223</v>
      </c>
      <c r="E642" s="63" t="s">
        <v>224</v>
      </c>
      <c r="F642" s="63" t="s">
        <v>225</v>
      </c>
      <c r="G642" s="63" t="s">
        <v>226</v>
      </c>
    </row>
    <row r="643" spans="1:7" ht="14.25" customHeight="1">
      <c r="A643" s="1845" t="s">
        <v>1058</v>
      </c>
      <c r="B643" s="1828"/>
      <c r="C643" s="64">
        <v>4.4444444444444464</v>
      </c>
      <c r="D643" s="64">
        <v>1.2</v>
      </c>
      <c r="E643" s="64"/>
      <c r="F643" s="64">
        <v>15</v>
      </c>
      <c r="G643" s="64">
        <f>+F643*D643*C643</f>
        <v>80.000000000000028</v>
      </c>
    </row>
    <row r="644" spans="1:7" ht="15" customHeight="1">
      <c r="A644" s="1845"/>
      <c r="B644" s="1828"/>
      <c r="C644" s="64"/>
      <c r="D644" s="64"/>
      <c r="E644" s="64"/>
      <c r="F644" s="64"/>
      <c r="G644" s="64"/>
    </row>
    <row r="645" spans="1:7" ht="15" customHeight="1">
      <c r="A645" s="1845"/>
      <c r="B645" s="1828"/>
      <c r="C645" s="64"/>
      <c r="D645" s="64"/>
      <c r="E645" s="64"/>
      <c r="F645" s="64"/>
      <c r="G645" s="64"/>
    </row>
    <row r="646" spans="1:7" ht="14.25" customHeight="1">
      <c r="A646" s="1829" t="s">
        <v>227</v>
      </c>
      <c r="B646" s="1830"/>
      <c r="C646" s="1830"/>
      <c r="D646" s="1830"/>
      <c r="E646" s="1830"/>
      <c r="F646" s="1828"/>
      <c r="G646" s="65">
        <f>ROUND(SUM(G643:G645),2)</f>
        <v>80</v>
      </c>
    </row>
    <row r="647" spans="1:7" ht="14.25" customHeight="1">
      <c r="A647" s="1831"/>
      <c r="B647" s="1830"/>
      <c r="C647" s="1830"/>
      <c r="D647" s="1830"/>
      <c r="E647" s="1830"/>
      <c r="F647" s="1830"/>
      <c r="G647" s="1828"/>
    </row>
    <row r="648" spans="1:7" ht="14.25" customHeight="1">
      <c r="A648" s="66" t="s">
        <v>268</v>
      </c>
      <c r="B648" s="1832" t="str">
        <f>+B630</f>
        <v>ACABADOS</v>
      </c>
      <c r="C648" s="1830"/>
      <c r="D648" s="1828"/>
      <c r="E648" s="1833" t="s">
        <v>218</v>
      </c>
      <c r="F648" s="1828"/>
      <c r="G648" s="62" t="s">
        <v>228</v>
      </c>
    </row>
    <row r="649" spans="1:7" ht="14.25" customHeight="1">
      <c r="A649" s="66" t="s">
        <v>267</v>
      </c>
      <c r="B649" s="1840" t="s">
        <v>1059</v>
      </c>
      <c r="C649" s="1830"/>
      <c r="D649" s="1830"/>
      <c r="E649" s="1830"/>
      <c r="F649" s="1830"/>
      <c r="G649" s="1828"/>
    </row>
    <row r="650" spans="1:7" ht="14.25" customHeight="1">
      <c r="A650" s="1836" t="s">
        <v>220</v>
      </c>
      <c r="B650" s="1830"/>
      <c r="C650" s="1830"/>
      <c r="D650" s="1830"/>
      <c r="E650" s="1830"/>
      <c r="F650" s="1830"/>
      <c r="G650" s="1828"/>
    </row>
    <row r="651" spans="1:7" ht="14.25" customHeight="1">
      <c r="A651" s="1829" t="s">
        <v>221</v>
      </c>
      <c r="B651" s="1828"/>
      <c r="C651" s="63" t="s">
        <v>222</v>
      </c>
      <c r="D651" s="63" t="s">
        <v>223</v>
      </c>
      <c r="E651" s="63" t="s">
        <v>224</v>
      </c>
      <c r="F651" s="63" t="s">
        <v>225</v>
      </c>
      <c r="G651" s="63" t="s">
        <v>226</v>
      </c>
    </row>
    <row r="652" spans="1:7" ht="14.25" customHeight="1">
      <c r="A652" s="1827" t="s">
        <v>1058</v>
      </c>
      <c r="B652" s="1828"/>
      <c r="C652" s="64">
        <v>3.1481481481481497</v>
      </c>
      <c r="D652" s="64">
        <v>1.35</v>
      </c>
      <c r="E652" s="64"/>
      <c r="F652" s="64">
        <v>20</v>
      </c>
      <c r="G652" s="64">
        <f>+F652*D652*C652</f>
        <v>85.000000000000043</v>
      </c>
    </row>
    <row r="653" spans="1:7" ht="14.25" customHeight="1">
      <c r="A653" s="1827"/>
      <c r="B653" s="1828"/>
      <c r="C653" s="64"/>
      <c r="D653" s="64"/>
      <c r="E653" s="64"/>
      <c r="F653" s="64"/>
      <c r="G653" s="64"/>
    </row>
    <row r="654" spans="1:7" ht="14.25" customHeight="1">
      <c r="A654" s="1827"/>
      <c r="B654" s="1828"/>
      <c r="C654" s="64"/>
      <c r="D654" s="64"/>
      <c r="E654" s="64"/>
      <c r="F654" s="64"/>
      <c r="G654" s="64"/>
    </row>
    <row r="655" spans="1:7" ht="14.25" customHeight="1">
      <c r="A655" s="1829" t="s">
        <v>227</v>
      </c>
      <c r="B655" s="1830"/>
      <c r="C655" s="1830"/>
      <c r="D655" s="1830"/>
      <c r="E655" s="1830"/>
      <c r="F655" s="1828"/>
      <c r="G655" s="65">
        <f>ROUND(SUM(G652:G654),2)</f>
        <v>85</v>
      </c>
    </row>
    <row r="656" spans="1:7" ht="14.25" customHeight="1">
      <c r="A656" s="1831"/>
      <c r="B656" s="1830"/>
      <c r="C656" s="1830"/>
      <c r="D656" s="1830"/>
      <c r="E656" s="1830"/>
      <c r="F656" s="1830"/>
      <c r="G656" s="1828"/>
    </row>
    <row r="657" spans="1:7" ht="14.25" customHeight="1">
      <c r="A657" s="66" t="s">
        <v>268</v>
      </c>
      <c r="B657" s="1832" t="str">
        <f>+B648</f>
        <v>ACABADOS</v>
      </c>
      <c r="C657" s="1830"/>
      <c r="D657" s="1828"/>
      <c r="E657" s="1833" t="s">
        <v>218</v>
      </c>
      <c r="F657" s="1828"/>
      <c r="G657" s="62" t="s">
        <v>228</v>
      </c>
    </row>
    <row r="658" spans="1:7" ht="22.5" customHeight="1">
      <c r="A658" s="66" t="s">
        <v>269</v>
      </c>
      <c r="B658" s="1832" t="s">
        <v>1060</v>
      </c>
      <c r="C658" s="1830"/>
      <c r="D658" s="1830"/>
      <c r="E658" s="1830"/>
      <c r="F658" s="1830"/>
      <c r="G658" s="1828"/>
    </row>
    <row r="659" spans="1:7" ht="14.25" customHeight="1">
      <c r="A659" s="1836" t="s">
        <v>220</v>
      </c>
      <c r="B659" s="1830"/>
      <c r="C659" s="1830"/>
      <c r="D659" s="1830"/>
      <c r="E659" s="1830"/>
      <c r="F659" s="1830"/>
      <c r="G659" s="1828"/>
    </row>
    <row r="660" spans="1:7" ht="14.25" customHeight="1">
      <c r="A660" s="1829" t="s">
        <v>221</v>
      </c>
      <c r="B660" s="1828"/>
      <c r="C660" s="63" t="s">
        <v>222</v>
      </c>
      <c r="D660" s="63" t="s">
        <v>223</v>
      </c>
      <c r="E660" s="63" t="s">
        <v>224</v>
      </c>
      <c r="F660" s="63" t="s">
        <v>225</v>
      </c>
      <c r="G660" s="63" t="s">
        <v>226</v>
      </c>
    </row>
    <row r="661" spans="1:7" ht="14.25" customHeight="1">
      <c r="A661" s="1842" t="s">
        <v>1061</v>
      </c>
      <c r="B661" s="1843"/>
      <c r="C661" s="64">
        <v>3</v>
      </c>
      <c r="D661" s="64">
        <v>1.6</v>
      </c>
      <c r="E661" s="64"/>
      <c r="F661" s="64">
        <v>1</v>
      </c>
      <c r="G661" s="64">
        <f>+F661*D661*C661</f>
        <v>4.8000000000000007</v>
      </c>
    </row>
    <row r="662" spans="1:7" ht="14.25" customHeight="1">
      <c r="A662" s="1829" t="s">
        <v>227</v>
      </c>
      <c r="B662" s="1830"/>
      <c r="C662" s="1830"/>
      <c r="D662" s="1830"/>
      <c r="E662" s="1830"/>
      <c r="F662" s="1828"/>
      <c r="G662" s="65">
        <f>ROUND(SUM(G659:G661),2)</f>
        <v>4.8</v>
      </c>
    </row>
    <row r="663" spans="1:7" ht="14.25" customHeight="1">
      <c r="A663" s="1831"/>
      <c r="B663" s="1830"/>
      <c r="C663" s="1830"/>
      <c r="D663" s="1830"/>
      <c r="E663" s="1830"/>
      <c r="F663" s="1830"/>
      <c r="G663" s="1828"/>
    </row>
    <row r="664" spans="1:7" ht="14.25" customHeight="1">
      <c r="A664" s="66" t="s">
        <v>268</v>
      </c>
      <c r="B664" s="1832" t="str">
        <f>B657</f>
        <v>ACABADOS</v>
      </c>
      <c r="C664" s="1830"/>
      <c r="D664" s="1828"/>
      <c r="E664" s="1833" t="s">
        <v>218</v>
      </c>
      <c r="F664" s="1828"/>
      <c r="G664" s="62" t="s">
        <v>228</v>
      </c>
    </row>
    <row r="665" spans="1:7" ht="14.25" customHeight="1">
      <c r="A665" s="66" t="s">
        <v>270</v>
      </c>
      <c r="B665" s="1840" t="s">
        <v>1062</v>
      </c>
      <c r="C665" s="1830"/>
      <c r="D665" s="1830"/>
      <c r="E665" s="1830"/>
      <c r="F665" s="1830"/>
      <c r="G665" s="1828"/>
    </row>
    <row r="666" spans="1:7" ht="14.25" customHeight="1">
      <c r="A666" s="1836" t="s">
        <v>220</v>
      </c>
      <c r="B666" s="1830"/>
      <c r="C666" s="1830"/>
      <c r="D666" s="1830"/>
      <c r="E666" s="1830"/>
      <c r="F666" s="1830"/>
      <c r="G666" s="1828"/>
    </row>
    <row r="667" spans="1:7" ht="14.25" customHeight="1">
      <c r="A667" s="1829" t="s">
        <v>221</v>
      </c>
      <c r="B667" s="1828"/>
      <c r="C667" s="63" t="s">
        <v>222</v>
      </c>
      <c r="D667" s="63" t="s">
        <v>223</v>
      </c>
      <c r="E667" s="63" t="s">
        <v>224</v>
      </c>
      <c r="F667" s="63" t="s">
        <v>225</v>
      </c>
      <c r="G667" s="63" t="s">
        <v>226</v>
      </c>
    </row>
    <row r="668" spans="1:7" ht="14.25" customHeight="1">
      <c r="A668" s="1827" t="s">
        <v>1058</v>
      </c>
      <c r="B668" s="1828"/>
      <c r="C668" s="64">
        <v>3.5</v>
      </c>
      <c r="D668" s="64">
        <v>1.6914285714285713</v>
      </c>
      <c r="E668" s="64"/>
      <c r="F668" s="64">
        <v>1</v>
      </c>
      <c r="G668" s="64">
        <f>+F668*D668*C668</f>
        <v>5.92</v>
      </c>
    </row>
    <row r="669" spans="1:7" ht="14.25" customHeight="1">
      <c r="A669" s="1827"/>
      <c r="B669" s="1828"/>
      <c r="C669" s="64"/>
      <c r="D669" s="64"/>
      <c r="E669" s="64"/>
      <c r="F669" s="64"/>
      <c r="G669" s="64"/>
    </row>
    <row r="670" spans="1:7" ht="14.25" customHeight="1">
      <c r="A670" s="1829" t="s">
        <v>227</v>
      </c>
      <c r="B670" s="1830"/>
      <c r="C670" s="1830"/>
      <c r="D670" s="1830"/>
      <c r="E670" s="1830"/>
      <c r="F670" s="1828"/>
      <c r="G670" s="65">
        <f>ROUND(SUM(G667:G669),2)</f>
        <v>5.92</v>
      </c>
    </row>
    <row r="671" spans="1:7" ht="14.25" customHeight="1">
      <c r="A671" s="1831"/>
      <c r="B671" s="1830"/>
      <c r="C671" s="1830"/>
      <c r="D671" s="1830"/>
      <c r="E671" s="1830"/>
      <c r="F671" s="1830"/>
      <c r="G671" s="1828"/>
    </row>
    <row r="672" spans="1:7" ht="14.25" customHeight="1">
      <c r="A672" s="66" t="s">
        <v>268</v>
      </c>
      <c r="B672" s="1832" t="str">
        <f>+B664</f>
        <v>ACABADOS</v>
      </c>
      <c r="C672" s="1830"/>
      <c r="D672" s="1828"/>
      <c r="E672" s="1833" t="s">
        <v>218</v>
      </c>
      <c r="F672" s="1828"/>
      <c r="G672" s="62" t="s">
        <v>228</v>
      </c>
    </row>
    <row r="673" spans="1:8" ht="14.25" customHeight="1">
      <c r="A673" s="66" t="s">
        <v>1063</v>
      </c>
      <c r="B673" s="1840" t="s">
        <v>1064</v>
      </c>
      <c r="C673" s="1830"/>
      <c r="D673" s="1830"/>
      <c r="E673" s="1830"/>
      <c r="F673" s="1830"/>
      <c r="G673" s="1828"/>
      <c r="H673" s="59"/>
    </row>
    <row r="674" spans="1:8" ht="14.25" customHeight="1">
      <c r="A674" s="1836" t="s">
        <v>220</v>
      </c>
      <c r="B674" s="1830"/>
      <c r="C674" s="1830"/>
      <c r="D674" s="1830"/>
      <c r="E674" s="1830"/>
      <c r="F674" s="1830"/>
      <c r="G674" s="1828"/>
      <c r="H674" s="59"/>
    </row>
    <row r="675" spans="1:8" ht="14.25" customHeight="1">
      <c r="A675" s="1829" t="s">
        <v>221</v>
      </c>
      <c r="B675" s="1828"/>
      <c r="C675" s="63" t="s">
        <v>222</v>
      </c>
      <c r="D675" s="63" t="s">
        <v>223</v>
      </c>
      <c r="E675" s="63" t="s">
        <v>224</v>
      </c>
      <c r="F675" s="63" t="s">
        <v>225</v>
      </c>
      <c r="G675" s="63" t="s">
        <v>226</v>
      </c>
      <c r="H675" s="59"/>
    </row>
    <row r="676" spans="1:8" ht="14.25" customHeight="1">
      <c r="A676" s="1841" t="s">
        <v>1065</v>
      </c>
      <c r="B676" s="1622"/>
      <c r="C676" s="64">
        <v>2.3986613818630289</v>
      </c>
      <c r="D676" s="64">
        <v>1.45</v>
      </c>
      <c r="E676" s="64"/>
      <c r="F676" s="64">
        <v>30</v>
      </c>
      <c r="G676" s="64">
        <f>+F676*D676*C676</f>
        <v>104.34177011104175</v>
      </c>
      <c r="H676" s="59"/>
    </row>
    <row r="677" spans="1:8" ht="14.25" customHeight="1">
      <c r="A677" s="1827"/>
      <c r="B677" s="1828"/>
      <c r="C677" s="64"/>
      <c r="D677" s="64"/>
      <c r="E677" s="64"/>
      <c r="F677" s="64"/>
      <c r="G677" s="64"/>
      <c r="H677" s="59"/>
    </row>
    <row r="678" spans="1:8" ht="14.25" customHeight="1">
      <c r="A678" s="1829" t="s">
        <v>227</v>
      </c>
      <c r="B678" s="1830"/>
      <c r="C678" s="1830"/>
      <c r="D678" s="1830"/>
      <c r="E678" s="1830"/>
      <c r="F678" s="1828"/>
      <c r="G678" s="65">
        <f>ROUND(SUM(G675:G677),2)</f>
        <v>104.34</v>
      </c>
      <c r="H678" s="59">
        <v>104.34</v>
      </c>
    </row>
    <row r="679" spans="1:8" ht="14.25" customHeight="1">
      <c r="A679" s="1831"/>
      <c r="B679" s="1830"/>
      <c r="C679" s="1830"/>
      <c r="D679" s="1830"/>
      <c r="E679" s="1830"/>
      <c r="F679" s="1830"/>
      <c r="G679" s="1828"/>
      <c r="H679" s="59"/>
    </row>
    <row r="680" spans="1:8" ht="14.25" customHeight="1">
      <c r="A680" s="66" t="s">
        <v>268</v>
      </c>
      <c r="B680" s="1832" t="str">
        <f>+B672</f>
        <v>ACABADOS</v>
      </c>
      <c r="C680" s="1830"/>
      <c r="D680" s="1828"/>
      <c r="E680" s="1833" t="s">
        <v>218</v>
      </c>
      <c r="F680" s="1828"/>
      <c r="G680" s="62" t="s">
        <v>228</v>
      </c>
      <c r="H680" s="59"/>
    </row>
    <row r="681" spans="1:8" ht="14.25" customHeight="1">
      <c r="A681" s="66" t="s">
        <v>815</v>
      </c>
      <c r="B681" s="1840" t="s">
        <v>1066</v>
      </c>
      <c r="C681" s="1830"/>
      <c r="D681" s="1830"/>
      <c r="E681" s="1830"/>
      <c r="F681" s="1830"/>
      <c r="G681" s="1828"/>
      <c r="H681" s="59"/>
    </row>
    <row r="682" spans="1:8" ht="14.25" customHeight="1">
      <c r="A682" s="1836" t="s">
        <v>220</v>
      </c>
      <c r="B682" s="1830"/>
      <c r="C682" s="1830"/>
      <c r="D682" s="1830"/>
      <c r="E682" s="1830"/>
      <c r="F682" s="1830"/>
      <c r="G682" s="1828"/>
      <c r="H682" s="59"/>
    </row>
    <row r="683" spans="1:8" ht="14.25" customHeight="1">
      <c r="A683" s="1829" t="s">
        <v>221</v>
      </c>
      <c r="B683" s="1828"/>
      <c r="C683" s="63" t="s">
        <v>222</v>
      </c>
      <c r="D683" s="63" t="s">
        <v>223</v>
      </c>
      <c r="E683" s="63" t="s">
        <v>224</v>
      </c>
      <c r="F683" s="63" t="s">
        <v>225</v>
      </c>
      <c r="G683" s="63" t="s">
        <v>226</v>
      </c>
      <c r="H683" s="59"/>
    </row>
    <row r="684" spans="1:8" ht="14.25" customHeight="1">
      <c r="A684" s="1827" t="s">
        <v>1067</v>
      </c>
      <c r="B684" s="1828"/>
      <c r="C684" s="64">
        <v>19.680220678839319</v>
      </c>
      <c r="D684" s="64">
        <v>2.25</v>
      </c>
      <c r="E684" s="64"/>
      <c r="F684" s="64">
        <v>8</v>
      </c>
      <c r="G684" s="64">
        <f>+F684*D684*C684</f>
        <v>354.24397221910772</v>
      </c>
      <c r="H684" s="59"/>
    </row>
    <row r="685" spans="1:8" ht="14.25" customHeight="1">
      <c r="A685" s="1829" t="s">
        <v>227</v>
      </c>
      <c r="B685" s="1830"/>
      <c r="C685" s="1830"/>
      <c r="D685" s="1830"/>
      <c r="E685" s="1830"/>
      <c r="F685" s="1828"/>
      <c r="G685" s="65">
        <f>ROUND(SUM(G682:G684),2)</f>
        <v>354.24</v>
      </c>
      <c r="H685" s="59">
        <v>354.24</v>
      </c>
    </row>
    <row r="686" spans="1:8" ht="14.25" customHeight="1">
      <c r="A686" s="1831"/>
      <c r="B686" s="1830"/>
      <c r="C686" s="1830"/>
      <c r="D686" s="1830"/>
      <c r="E686" s="1830"/>
      <c r="F686" s="1830"/>
      <c r="G686" s="1828"/>
      <c r="H686" s="59"/>
    </row>
    <row r="687" spans="1:8" ht="14.25" customHeight="1">
      <c r="A687" s="66" t="s">
        <v>268</v>
      </c>
      <c r="B687" s="1832" t="str">
        <f>+B680</f>
        <v>ACABADOS</v>
      </c>
      <c r="C687" s="1830"/>
      <c r="D687" s="1828"/>
      <c r="E687" s="1833" t="s">
        <v>218</v>
      </c>
      <c r="F687" s="1828"/>
      <c r="G687" s="62" t="s">
        <v>127</v>
      </c>
      <c r="H687" s="59"/>
    </row>
    <row r="688" spans="1:8" ht="14.25" customHeight="1">
      <c r="A688" s="66" t="s">
        <v>1068</v>
      </c>
      <c r="B688" s="1840" t="s">
        <v>1069</v>
      </c>
      <c r="C688" s="1830"/>
      <c r="D688" s="1830"/>
      <c r="E688" s="1830"/>
      <c r="F688" s="1830"/>
      <c r="G688" s="1828"/>
      <c r="H688" s="59"/>
    </row>
    <row r="689" spans="1:7" ht="14.25" customHeight="1">
      <c r="A689" s="1836" t="s">
        <v>220</v>
      </c>
      <c r="B689" s="1830"/>
      <c r="C689" s="1830"/>
      <c r="D689" s="1830"/>
      <c r="E689" s="1830"/>
      <c r="F689" s="1830"/>
      <c r="G689" s="1828"/>
    </row>
    <row r="690" spans="1:7" ht="14.25" customHeight="1">
      <c r="A690" s="1829" t="s">
        <v>221</v>
      </c>
      <c r="B690" s="1828"/>
      <c r="C690" s="63" t="s">
        <v>222</v>
      </c>
      <c r="D690" s="63" t="s">
        <v>223</v>
      </c>
      <c r="E690" s="63" t="s">
        <v>224</v>
      </c>
      <c r="F690" s="63" t="s">
        <v>225</v>
      </c>
      <c r="G690" s="63" t="s">
        <v>226</v>
      </c>
    </row>
    <row r="691" spans="1:7" ht="14.25" customHeight="1">
      <c r="A691" s="1827" t="s">
        <v>1070</v>
      </c>
      <c r="B691" s="1828"/>
      <c r="C691" s="64"/>
      <c r="D691" s="64"/>
      <c r="E691" s="64"/>
      <c r="F691" s="64">
        <v>59</v>
      </c>
      <c r="G691" s="64">
        <f>+F691</f>
        <v>59</v>
      </c>
    </row>
    <row r="692" spans="1:7" ht="14.25" customHeight="1">
      <c r="A692" s="1829" t="s">
        <v>227</v>
      </c>
      <c r="B692" s="1830"/>
      <c r="C692" s="1830"/>
      <c r="D692" s="1830"/>
      <c r="E692" s="1830"/>
      <c r="F692" s="1828"/>
      <c r="G692" s="65">
        <f>ROUND(SUM(G689:G691),2)</f>
        <v>59</v>
      </c>
    </row>
    <row r="693" spans="1:7" ht="14.25" customHeight="1">
      <c r="A693" s="1831"/>
      <c r="B693" s="1830"/>
      <c r="C693" s="1830"/>
      <c r="D693" s="1830"/>
      <c r="E693" s="1830"/>
      <c r="F693" s="1830"/>
      <c r="G693" s="1828"/>
    </row>
    <row r="694" spans="1:7" ht="14.25" customHeight="1">
      <c r="A694" s="66" t="s">
        <v>268</v>
      </c>
      <c r="B694" s="1832" t="str">
        <f>+B687</f>
        <v>ACABADOS</v>
      </c>
      <c r="C694" s="1830"/>
      <c r="D694" s="1828"/>
      <c r="E694" s="1833" t="s">
        <v>218</v>
      </c>
      <c r="F694" s="1828"/>
      <c r="G694" s="62" t="s">
        <v>127</v>
      </c>
    </row>
    <row r="695" spans="1:7" ht="14.25" customHeight="1">
      <c r="A695" s="66" t="s">
        <v>1071</v>
      </c>
      <c r="B695" s="1840" t="s">
        <v>1072</v>
      </c>
      <c r="C695" s="1830"/>
      <c r="D695" s="1830"/>
      <c r="E695" s="1830"/>
      <c r="F695" s="1830"/>
      <c r="G695" s="1828"/>
    </row>
    <row r="696" spans="1:7" ht="14.25" customHeight="1">
      <c r="A696" s="1836" t="s">
        <v>220</v>
      </c>
      <c r="B696" s="1830"/>
      <c r="C696" s="1830"/>
      <c r="D696" s="1830"/>
      <c r="E696" s="1830"/>
      <c r="F696" s="1830"/>
      <c r="G696" s="1828"/>
    </row>
    <row r="697" spans="1:7" ht="14.25" customHeight="1">
      <c r="A697" s="1829" t="s">
        <v>221</v>
      </c>
      <c r="B697" s="1828"/>
      <c r="C697" s="63" t="s">
        <v>222</v>
      </c>
      <c r="D697" s="63" t="s">
        <v>223</v>
      </c>
      <c r="E697" s="63" t="s">
        <v>224</v>
      </c>
      <c r="F697" s="63" t="s">
        <v>225</v>
      </c>
      <c r="G697" s="63" t="s">
        <v>226</v>
      </c>
    </row>
    <row r="698" spans="1:7" ht="14.25" customHeight="1">
      <c r="A698" s="1827" t="s">
        <v>1073</v>
      </c>
      <c r="B698" s="1828"/>
      <c r="C698" s="64"/>
      <c r="D698" s="64"/>
      <c r="E698" s="64"/>
      <c r="F698" s="64">
        <v>43</v>
      </c>
      <c r="G698" s="64">
        <f>+F698</f>
        <v>43</v>
      </c>
    </row>
    <row r="699" spans="1:7" ht="14.25" customHeight="1">
      <c r="A699" s="1829" t="s">
        <v>227</v>
      </c>
      <c r="B699" s="1830"/>
      <c r="C699" s="1830"/>
      <c r="D699" s="1830"/>
      <c r="E699" s="1830"/>
      <c r="F699" s="1828"/>
      <c r="G699" s="65">
        <f>ROUND(SUM(G696:G698),2)</f>
        <v>43</v>
      </c>
    </row>
    <row r="700" spans="1:7" ht="14.25" customHeight="1">
      <c r="A700" s="1831"/>
      <c r="B700" s="1830"/>
      <c r="C700" s="1830"/>
      <c r="D700" s="1830"/>
      <c r="E700" s="1830"/>
      <c r="F700" s="1830"/>
      <c r="G700" s="1828"/>
    </row>
    <row r="701" spans="1:7" ht="14.25" customHeight="1">
      <c r="A701" s="66" t="s">
        <v>268</v>
      </c>
      <c r="B701" s="1832" t="str">
        <f>+B694</f>
        <v>ACABADOS</v>
      </c>
      <c r="C701" s="1830"/>
      <c r="D701" s="1828"/>
      <c r="E701" s="1833" t="s">
        <v>218</v>
      </c>
      <c r="F701" s="1828"/>
      <c r="G701" s="62" t="s">
        <v>151</v>
      </c>
    </row>
    <row r="702" spans="1:7" ht="14.25" customHeight="1">
      <c r="A702" s="66" t="s">
        <v>1074</v>
      </c>
      <c r="B702" s="1840" t="s">
        <v>1075</v>
      </c>
      <c r="C702" s="1830"/>
      <c r="D702" s="1830"/>
      <c r="E702" s="1830"/>
      <c r="F702" s="1830"/>
      <c r="G702" s="1828"/>
    </row>
    <row r="703" spans="1:7" ht="14.25" customHeight="1">
      <c r="A703" s="1836" t="s">
        <v>220</v>
      </c>
      <c r="B703" s="1830"/>
      <c r="C703" s="1830"/>
      <c r="D703" s="1830"/>
      <c r="E703" s="1830"/>
      <c r="F703" s="1830"/>
      <c r="G703" s="1828"/>
    </row>
    <row r="704" spans="1:7" ht="14.25" customHeight="1">
      <c r="A704" s="1829" t="s">
        <v>221</v>
      </c>
      <c r="B704" s="1828"/>
      <c r="C704" s="63" t="s">
        <v>222</v>
      </c>
      <c r="D704" s="63" t="s">
        <v>223</v>
      </c>
      <c r="E704" s="63" t="s">
        <v>224</v>
      </c>
      <c r="F704" s="63" t="s">
        <v>225</v>
      </c>
      <c r="G704" s="63" t="s">
        <v>226</v>
      </c>
    </row>
    <row r="705" spans="1:7" ht="14.25" customHeight="1">
      <c r="A705" s="1827" t="s">
        <v>1076</v>
      </c>
      <c r="B705" s="1828"/>
      <c r="C705" s="64"/>
      <c r="D705" s="64"/>
      <c r="E705" s="64"/>
      <c r="F705" s="64">
        <v>26</v>
      </c>
      <c r="G705" s="64">
        <f>+F705</f>
        <v>26</v>
      </c>
    </row>
    <row r="706" spans="1:7" ht="14.25" customHeight="1">
      <c r="A706" s="1829" t="s">
        <v>227</v>
      </c>
      <c r="B706" s="1830"/>
      <c r="C706" s="1830"/>
      <c r="D706" s="1830"/>
      <c r="E706" s="1830"/>
      <c r="F706" s="1828"/>
      <c r="G706" s="65">
        <f>ROUND(SUM(G703:G705),2)</f>
        <v>26</v>
      </c>
    </row>
    <row r="707" spans="1:7" ht="14.25" customHeight="1">
      <c r="A707" s="1831"/>
      <c r="B707" s="1830"/>
      <c r="C707" s="1830"/>
      <c r="D707" s="1830"/>
      <c r="E707" s="1830"/>
      <c r="F707" s="1830"/>
      <c r="G707" s="1828"/>
    </row>
    <row r="708" spans="1:7" ht="14.25" customHeight="1">
      <c r="A708" s="66" t="s">
        <v>268</v>
      </c>
      <c r="B708" s="1832" t="str">
        <f>+B701</f>
        <v>ACABADOS</v>
      </c>
      <c r="C708" s="1830"/>
      <c r="D708" s="1828"/>
      <c r="E708" s="1833" t="s">
        <v>218</v>
      </c>
      <c r="F708" s="1828"/>
      <c r="G708" s="62" t="s">
        <v>127</v>
      </c>
    </row>
    <row r="709" spans="1:7" ht="14.25" customHeight="1">
      <c r="A709" s="66" t="s">
        <v>1077</v>
      </c>
      <c r="B709" s="1840" t="s">
        <v>1078</v>
      </c>
      <c r="C709" s="1830"/>
      <c r="D709" s="1830"/>
      <c r="E709" s="1830"/>
      <c r="F709" s="1830"/>
      <c r="G709" s="1828"/>
    </row>
    <row r="710" spans="1:7" ht="14.25" customHeight="1">
      <c r="A710" s="1836" t="s">
        <v>220</v>
      </c>
      <c r="B710" s="1830"/>
      <c r="C710" s="1830"/>
      <c r="D710" s="1830"/>
      <c r="E710" s="1830"/>
      <c r="F710" s="1830"/>
      <c r="G710" s="1828"/>
    </row>
    <row r="711" spans="1:7" ht="14.25" customHeight="1">
      <c r="A711" s="1829" t="s">
        <v>221</v>
      </c>
      <c r="B711" s="1828"/>
      <c r="C711" s="63" t="s">
        <v>222</v>
      </c>
      <c r="D711" s="63" t="s">
        <v>223</v>
      </c>
      <c r="E711" s="63" t="s">
        <v>224</v>
      </c>
      <c r="F711" s="63" t="s">
        <v>225</v>
      </c>
      <c r="G711" s="63" t="s">
        <v>226</v>
      </c>
    </row>
    <row r="712" spans="1:7" ht="14.25" customHeight="1">
      <c r="A712" s="1827" t="s">
        <v>1079</v>
      </c>
      <c r="B712" s="1828"/>
      <c r="C712" s="64"/>
      <c r="D712" s="64"/>
      <c r="E712" s="64"/>
      <c r="F712" s="64">
        <v>1</v>
      </c>
      <c r="G712" s="64">
        <f>+F712</f>
        <v>1</v>
      </c>
    </row>
    <row r="713" spans="1:7" ht="14.25" customHeight="1">
      <c r="A713" s="1829" t="s">
        <v>227</v>
      </c>
      <c r="B713" s="1830"/>
      <c r="C713" s="1830"/>
      <c r="D713" s="1830"/>
      <c r="E713" s="1830"/>
      <c r="F713" s="1828"/>
      <c r="G713" s="65">
        <f>ROUND(SUM(G710:G712),2)</f>
        <v>1</v>
      </c>
    </row>
    <row r="714" spans="1:7" ht="14.25" customHeight="1">
      <c r="A714" s="1831"/>
      <c r="B714" s="1830"/>
      <c r="C714" s="1830"/>
      <c r="D714" s="1830"/>
      <c r="E714" s="1830"/>
      <c r="F714" s="1830"/>
      <c r="G714" s="1828"/>
    </row>
    <row r="715" spans="1:7" ht="14.25" customHeight="1">
      <c r="A715" s="66" t="s">
        <v>268</v>
      </c>
      <c r="B715" s="1832" t="str">
        <f>+B708</f>
        <v>ACABADOS</v>
      </c>
      <c r="C715" s="1830"/>
      <c r="D715" s="1828"/>
      <c r="E715" s="1833" t="s">
        <v>218</v>
      </c>
      <c r="F715" s="1828"/>
      <c r="G715" s="62" t="s">
        <v>127</v>
      </c>
    </row>
    <row r="716" spans="1:7" ht="14.25" customHeight="1">
      <c r="A716" s="66" t="s">
        <v>1080</v>
      </c>
      <c r="B716" s="1840" t="s">
        <v>1081</v>
      </c>
      <c r="C716" s="1830"/>
      <c r="D716" s="1830"/>
      <c r="E716" s="1830"/>
      <c r="F716" s="1830"/>
      <c r="G716" s="1828"/>
    </row>
    <row r="717" spans="1:7" ht="14.25" customHeight="1">
      <c r="A717" s="1836" t="s">
        <v>220</v>
      </c>
      <c r="B717" s="1830"/>
      <c r="C717" s="1830"/>
      <c r="D717" s="1830"/>
      <c r="E717" s="1830"/>
      <c r="F717" s="1830"/>
      <c r="G717" s="1828"/>
    </row>
    <row r="718" spans="1:7" ht="14.25" customHeight="1">
      <c r="A718" s="1829" t="s">
        <v>221</v>
      </c>
      <c r="B718" s="1828"/>
      <c r="C718" s="63" t="s">
        <v>222</v>
      </c>
      <c r="D718" s="63" t="s">
        <v>223</v>
      </c>
      <c r="E718" s="63" t="s">
        <v>224</v>
      </c>
      <c r="F718" s="63" t="s">
        <v>225</v>
      </c>
      <c r="G718" s="63" t="s">
        <v>226</v>
      </c>
    </row>
    <row r="719" spans="1:7" ht="14.25" customHeight="1">
      <c r="A719" s="1827" t="s">
        <v>1082</v>
      </c>
      <c r="B719" s="1828"/>
      <c r="C719" s="64"/>
      <c r="D719" s="64"/>
      <c r="E719" s="64"/>
      <c r="F719" s="64">
        <v>7</v>
      </c>
      <c r="G719" s="64">
        <f>+F719</f>
        <v>7</v>
      </c>
    </row>
    <row r="720" spans="1:7" ht="14.25" customHeight="1">
      <c r="A720" s="1829" t="s">
        <v>227</v>
      </c>
      <c r="B720" s="1830"/>
      <c r="C720" s="1830"/>
      <c r="D720" s="1830"/>
      <c r="E720" s="1830"/>
      <c r="F720" s="1828"/>
      <c r="G720" s="65">
        <f>ROUND(SUM(G717:G719),2)</f>
        <v>7</v>
      </c>
    </row>
    <row r="721" spans="1:7" ht="14.25" customHeight="1">
      <c r="A721" s="1831"/>
      <c r="B721" s="1830"/>
      <c r="C721" s="1830"/>
      <c r="D721" s="1830"/>
      <c r="E721" s="1830"/>
      <c r="F721" s="1830"/>
      <c r="G721" s="1828"/>
    </row>
    <row r="722" spans="1:7" ht="14.25" customHeight="1">
      <c r="A722" s="66" t="s">
        <v>817</v>
      </c>
      <c r="B722" s="1832" t="s">
        <v>1083</v>
      </c>
      <c r="C722" s="1830"/>
      <c r="D722" s="1828"/>
      <c r="E722" s="1833" t="s">
        <v>218</v>
      </c>
      <c r="F722" s="1828"/>
      <c r="G722" s="197" t="s">
        <v>120</v>
      </c>
    </row>
    <row r="723" spans="1:7" ht="14.25" customHeight="1">
      <c r="A723" s="66" t="s">
        <v>819</v>
      </c>
      <c r="B723" s="1840" t="s">
        <v>1084</v>
      </c>
      <c r="C723" s="1830"/>
      <c r="D723" s="1830"/>
      <c r="E723" s="1830"/>
      <c r="F723" s="1830"/>
      <c r="G723" s="1828"/>
    </row>
    <row r="724" spans="1:7" ht="14.25" customHeight="1">
      <c r="A724" s="1836" t="s">
        <v>220</v>
      </c>
      <c r="B724" s="1830"/>
      <c r="C724" s="1830"/>
      <c r="D724" s="1830"/>
      <c r="E724" s="1830"/>
      <c r="F724" s="1830"/>
      <c r="G724" s="1828"/>
    </row>
    <row r="725" spans="1:7" ht="14.25" customHeight="1">
      <c r="A725" s="1829" t="s">
        <v>221</v>
      </c>
      <c r="B725" s="1828"/>
      <c r="C725" s="63" t="s">
        <v>222</v>
      </c>
      <c r="D725" s="63" t="s">
        <v>223</v>
      </c>
      <c r="E725" s="63" t="s">
        <v>224</v>
      </c>
      <c r="F725" s="63" t="s">
        <v>225</v>
      </c>
      <c r="G725" s="63" t="s">
        <v>226</v>
      </c>
    </row>
    <row r="726" spans="1:7" ht="14.25" customHeight="1">
      <c r="A726" s="1827" t="s">
        <v>827</v>
      </c>
      <c r="B726" s="1828"/>
      <c r="C726" s="64">
        <v>181.96</v>
      </c>
      <c r="D726" s="64"/>
      <c r="E726" s="64"/>
      <c r="F726" s="64"/>
      <c r="G726" s="64">
        <f>C726</f>
        <v>181.96</v>
      </c>
    </row>
    <row r="727" spans="1:7" ht="14.25" customHeight="1">
      <c r="A727" s="1829" t="s">
        <v>227</v>
      </c>
      <c r="B727" s="1830"/>
      <c r="C727" s="1830"/>
      <c r="D727" s="1830"/>
      <c r="E727" s="1830"/>
      <c r="F727" s="1828"/>
      <c r="G727" s="65">
        <f>ROUND(SUM(G724:G726),2)</f>
        <v>181.96</v>
      </c>
    </row>
    <row r="728" spans="1:7" ht="14.25" customHeight="1">
      <c r="A728" s="1831"/>
      <c r="B728" s="1830"/>
      <c r="C728" s="1830"/>
      <c r="D728" s="1830"/>
      <c r="E728" s="1830"/>
      <c r="F728" s="1830"/>
      <c r="G728" s="1828"/>
    </row>
    <row r="729" spans="1:7" ht="14.25" customHeight="1">
      <c r="A729" s="66" t="str">
        <f t="shared" ref="A729:B729" si="42">+A722</f>
        <v>CAPITULO 7:</v>
      </c>
      <c r="B729" s="1832" t="str">
        <f t="shared" si="42"/>
        <v>INTALACIONES HIDROSANITARIAS</v>
      </c>
      <c r="C729" s="1830"/>
      <c r="D729" s="1828"/>
      <c r="E729" s="1833" t="s">
        <v>218</v>
      </c>
      <c r="F729" s="1828"/>
      <c r="G729" s="197" t="s">
        <v>120</v>
      </c>
    </row>
    <row r="730" spans="1:7" ht="14.25" customHeight="1">
      <c r="A730" s="66" t="s">
        <v>822</v>
      </c>
      <c r="B730" s="1840" t="s">
        <v>1085</v>
      </c>
      <c r="C730" s="1830"/>
      <c r="D730" s="1830"/>
      <c r="E730" s="1830"/>
      <c r="F730" s="1830"/>
      <c r="G730" s="1828"/>
    </row>
    <row r="731" spans="1:7" ht="14.25" customHeight="1">
      <c r="A731" s="1836" t="s">
        <v>220</v>
      </c>
      <c r="B731" s="1830"/>
      <c r="C731" s="1830"/>
      <c r="D731" s="1830"/>
      <c r="E731" s="1830"/>
      <c r="F731" s="1830"/>
      <c r="G731" s="1828"/>
    </row>
    <row r="732" spans="1:7" ht="14.25" customHeight="1">
      <c r="A732" s="1829" t="s">
        <v>221</v>
      </c>
      <c r="B732" s="1828"/>
      <c r="C732" s="63" t="s">
        <v>222</v>
      </c>
      <c r="D732" s="63" t="s">
        <v>223</v>
      </c>
      <c r="E732" s="63" t="s">
        <v>224</v>
      </c>
      <c r="F732" s="63" t="s">
        <v>225</v>
      </c>
      <c r="G732" s="63" t="s">
        <v>226</v>
      </c>
    </row>
    <row r="733" spans="1:7" ht="14.25" customHeight="1">
      <c r="A733" s="1827" t="s">
        <v>827</v>
      </c>
      <c r="B733" s="1828"/>
      <c r="C733" s="64">
        <v>220.56</v>
      </c>
      <c r="D733" s="64"/>
      <c r="E733" s="64"/>
      <c r="F733" s="64"/>
      <c r="G733" s="64">
        <f>C733</f>
        <v>220.56</v>
      </c>
    </row>
    <row r="734" spans="1:7" ht="14.25" customHeight="1">
      <c r="A734" s="1829" t="s">
        <v>227</v>
      </c>
      <c r="B734" s="1830"/>
      <c r="C734" s="1830"/>
      <c r="D734" s="1830"/>
      <c r="E734" s="1830"/>
      <c r="F734" s="1828"/>
      <c r="G734" s="65">
        <f>ROUND(SUM(G731:G733),2)</f>
        <v>220.56</v>
      </c>
    </row>
    <row r="735" spans="1:7" ht="14.25" customHeight="1">
      <c r="A735" s="1831"/>
      <c r="B735" s="1830"/>
      <c r="C735" s="1830"/>
      <c r="D735" s="1830"/>
      <c r="E735" s="1830"/>
      <c r="F735" s="1830"/>
      <c r="G735" s="1828"/>
    </row>
    <row r="736" spans="1:7" ht="14.25" customHeight="1">
      <c r="A736" s="66" t="str">
        <f t="shared" ref="A736:B736" si="43">+A729</f>
        <v>CAPITULO 7:</v>
      </c>
      <c r="B736" s="1832" t="str">
        <f t="shared" si="43"/>
        <v>INTALACIONES HIDROSANITARIAS</v>
      </c>
      <c r="C736" s="1830"/>
      <c r="D736" s="1828"/>
      <c r="E736" s="1833" t="s">
        <v>218</v>
      </c>
      <c r="F736" s="1828"/>
      <c r="G736" s="197" t="s">
        <v>120</v>
      </c>
    </row>
    <row r="737" spans="1:7" ht="14.25" customHeight="1">
      <c r="A737" s="66" t="s">
        <v>825</v>
      </c>
      <c r="B737" s="1840" t="s">
        <v>1086</v>
      </c>
      <c r="C737" s="1830"/>
      <c r="D737" s="1830"/>
      <c r="E737" s="1830"/>
      <c r="F737" s="1830"/>
      <c r="G737" s="1828"/>
    </row>
    <row r="738" spans="1:7" ht="14.25" customHeight="1">
      <c r="A738" s="1836" t="s">
        <v>220</v>
      </c>
      <c r="B738" s="1830"/>
      <c r="C738" s="1830"/>
      <c r="D738" s="1830"/>
      <c r="E738" s="1830"/>
      <c r="F738" s="1830"/>
      <c r="G738" s="1828"/>
    </row>
    <row r="739" spans="1:7" ht="14.25" customHeight="1">
      <c r="A739" s="1829" t="s">
        <v>221</v>
      </c>
      <c r="B739" s="1828"/>
      <c r="C739" s="63" t="s">
        <v>222</v>
      </c>
      <c r="D739" s="63" t="s">
        <v>223</v>
      </c>
      <c r="E739" s="63" t="s">
        <v>224</v>
      </c>
      <c r="F739" s="63" t="s">
        <v>225</v>
      </c>
      <c r="G739" s="63" t="s">
        <v>226</v>
      </c>
    </row>
    <row r="740" spans="1:7" ht="14.25" customHeight="1">
      <c r="A740" s="1827" t="s">
        <v>827</v>
      </c>
      <c r="B740" s="1828"/>
      <c r="C740" s="64">
        <v>83.98</v>
      </c>
      <c r="D740" s="64"/>
      <c r="E740" s="64"/>
      <c r="F740" s="64"/>
      <c r="G740" s="64">
        <f>+C740</f>
        <v>83.98</v>
      </c>
    </row>
    <row r="741" spans="1:7" ht="14.25" customHeight="1">
      <c r="A741" s="1829" t="s">
        <v>227</v>
      </c>
      <c r="B741" s="1830"/>
      <c r="C741" s="1830"/>
      <c r="D741" s="1830"/>
      <c r="E741" s="1830"/>
      <c r="F741" s="1828"/>
      <c r="G741" s="65">
        <f>ROUND(SUM(G738:G740),2)</f>
        <v>83.98</v>
      </c>
    </row>
    <row r="742" spans="1:7" ht="14.25" customHeight="1">
      <c r="A742" s="1831"/>
      <c r="B742" s="1830"/>
      <c r="C742" s="1830"/>
      <c r="D742" s="1830"/>
      <c r="E742" s="1830"/>
      <c r="F742" s="1830"/>
      <c r="G742" s="1828"/>
    </row>
    <row r="743" spans="1:7" ht="14.25" customHeight="1">
      <c r="A743" s="66" t="str">
        <f t="shared" ref="A743:B743" si="44">+A736</f>
        <v>CAPITULO 7:</v>
      </c>
      <c r="B743" s="1832" t="str">
        <f t="shared" si="44"/>
        <v>INTALACIONES HIDROSANITARIAS</v>
      </c>
      <c r="C743" s="1830"/>
      <c r="D743" s="1828"/>
      <c r="E743" s="1833" t="s">
        <v>218</v>
      </c>
      <c r="F743" s="1828"/>
      <c r="G743" s="197" t="str">
        <f>+G736</f>
        <v>ML</v>
      </c>
    </row>
    <row r="744" spans="1:7" ht="14.25" customHeight="1">
      <c r="A744" s="66" t="s">
        <v>828</v>
      </c>
      <c r="B744" s="1840" t="s">
        <v>1087</v>
      </c>
      <c r="C744" s="1830"/>
      <c r="D744" s="1830"/>
      <c r="E744" s="1830"/>
      <c r="F744" s="1830"/>
      <c r="G744" s="1828"/>
    </row>
    <row r="745" spans="1:7" ht="14.25" customHeight="1">
      <c r="A745" s="1836" t="s">
        <v>220</v>
      </c>
      <c r="B745" s="1830"/>
      <c r="C745" s="1830"/>
      <c r="D745" s="1830"/>
      <c r="E745" s="1830"/>
      <c r="F745" s="1830"/>
      <c r="G745" s="1828"/>
    </row>
    <row r="746" spans="1:7" ht="14.25" customHeight="1">
      <c r="A746" s="1829" t="s">
        <v>221</v>
      </c>
      <c r="B746" s="1828"/>
      <c r="C746" s="63" t="s">
        <v>222</v>
      </c>
      <c r="D746" s="63" t="s">
        <v>223</v>
      </c>
      <c r="E746" s="63" t="s">
        <v>224</v>
      </c>
      <c r="F746" s="63" t="s">
        <v>225</v>
      </c>
      <c r="G746" s="63" t="s">
        <v>226</v>
      </c>
    </row>
    <row r="747" spans="1:7" ht="14.25" customHeight="1">
      <c r="A747" s="1827" t="s">
        <v>827</v>
      </c>
      <c r="B747" s="1828"/>
      <c r="C747" s="64">
        <v>172.43</v>
      </c>
      <c r="D747" s="64"/>
      <c r="E747" s="64"/>
      <c r="F747" s="64"/>
      <c r="G747" s="64">
        <f>+C747</f>
        <v>172.43</v>
      </c>
    </row>
    <row r="748" spans="1:7" ht="14.25" customHeight="1">
      <c r="A748" s="1829" t="s">
        <v>227</v>
      </c>
      <c r="B748" s="1830"/>
      <c r="C748" s="1830"/>
      <c r="D748" s="1830"/>
      <c r="E748" s="1830"/>
      <c r="F748" s="1828"/>
      <c r="G748" s="65">
        <f>ROUND(SUM(G745:G747),2)</f>
        <v>172.43</v>
      </c>
    </row>
    <row r="749" spans="1:7" ht="14.25" customHeight="1">
      <c r="A749" s="1831"/>
      <c r="B749" s="1830"/>
      <c r="C749" s="1830"/>
      <c r="D749" s="1830"/>
      <c r="E749" s="1830"/>
      <c r="F749" s="1830"/>
      <c r="G749" s="1828"/>
    </row>
    <row r="750" spans="1:7" ht="14.25" customHeight="1">
      <c r="A750" s="66" t="str">
        <f t="shared" ref="A750:B750" si="45">+A743</f>
        <v>CAPITULO 7:</v>
      </c>
      <c r="B750" s="1832" t="str">
        <f t="shared" si="45"/>
        <v>INTALACIONES HIDROSANITARIAS</v>
      </c>
      <c r="C750" s="1830"/>
      <c r="D750" s="1828"/>
      <c r="E750" s="1833" t="s">
        <v>218</v>
      </c>
      <c r="F750" s="1828"/>
      <c r="G750" s="197" t="s">
        <v>127</v>
      </c>
    </row>
    <row r="751" spans="1:7" ht="14.25" customHeight="1">
      <c r="A751" s="66" t="s">
        <v>830</v>
      </c>
      <c r="B751" s="1840" t="s">
        <v>1088</v>
      </c>
      <c r="C751" s="1830"/>
      <c r="D751" s="1830"/>
      <c r="E751" s="1830"/>
      <c r="F751" s="1830"/>
      <c r="G751" s="1828"/>
    </row>
    <row r="752" spans="1:7" ht="14.25" customHeight="1">
      <c r="A752" s="1836" t="s">
        <v>220</v>
      </c>
      <c r="B752" s="1830"/>
      <c r="C752" s="1830"/>
      <c r="D752" s="1830"/>
      <c r="E752" s="1830"/>
      <c r="F752" s="1830"/>
      <c r="G752" s="1828"/>
    </row>
    <row r="753" spans="1:7" ht="14.25" customHeight="1">
      <c r="A753" s="1829" t="s">
        <v>221</v>
      </c>
      <c r="B753" s="1828"/>
      <c r="C753" s="63" t="s">
        <v>222</v>
      </c>
      <c r="D753" s="63" t="s">
        <v>252</v>
      </c>
      <c r="E753" s="63" t="s">
        <v>224</v>
      </c>
      <c r="F753" s="63" t="s">
        <v>225</v>
      </c>
      <c r="G753" s="63" t="s">
        <v>226</v>
      </c>
    </row>
    <row r="754" spans="1:7" ht="14.25" customHeight="1">
      <c r="A754" s="1827" t="s">
        <v>827</v>
      </c>
      <c r="B754" s="1828"/>
      <c r="C754" s="64"/>
      <c r="D754" s="64"/>
      <c r="E754" s="64"/>
      <c r="F754" s="64">
        <v>17</v>
      </c>
      <c r="G754" s="64">
        <f>F754</f>
        <v>17</v>
      </c>
    </row>
    <row r="755" spans="1:7" ht="14.25" customHeight="1">
      <c r="A755" s="1829" t="s">
        <v>227</v>
      </c>
      <c r="B755" s="1830"/>
      <c r="C755" s="1830"/>
      <c r="D755" s="1830"/>
      <c r="E755" s="1830"/>
      <c r="F755" s="1828"/>
      <c r="G755" s="65">
        <f>ROUND(SUM(G752:G754),2)</f>
        <v>17</v>
      </c>
    </row>
    <row r="756" spans="1:7" ht="14.25" customHeight="1">
      <c r="A756" s="1831"/>
      <c r="B756" s="1830"/>
      <c r="C756" s="1830"/>
      <c r="D756" s="1830"/>
      <c r="E756" s="1830"/>
      <c r="F756" s="1830"/>
      <c r="G756" s="1828"/>
    </row>
    <row r="757" spans="1:7" ht="14.25" customHeight="1">
      <c r="A757" s="66" t="str">
        <f t="shared" ref="A757:B757" si="46">+A750</f>
        <v>CAPITULO 7:</v>
      </c>
      <c r="B757" s="1832" t="str">
        <f t="shared" si="46"/>
        <v>INTALACIONES HIDROSANITARIAS</v>
      </c>
      <c r="C757" s="1830"/>
      <c r="D757" s="1828"/>
      <c r="E757" s="1833" t="s">
        <v>218</v>
      </c>
      <c r="F757" s="1828"/>
      <c r="G757" s="197" t="s">
        <v>127</v>
      </c>
    </row>
    <row r="758" spans="1:7" ht="14.25" customHeight="1">
      <c r="A758" s="66" t="s">
        <v>832</v>
      </c>
      <c r="B758" s="1840" t="s">
        <v>1089</v>
      </c>
      <c r="C758" s="1830"/>
      <c r="D758" s="1830"/>
      <c r="E758" s="1830"/>
      <c r="F758" s="1830"/>
      <c r="G758" s="1828"/>
    </row>
    <row r="759" spans="1:7" ht="14.25" customHeight="1">
      <c r="A759" s="1836" t="s">
        <v>220</v>
      </c>
      <c r="B759" s="1830"/>
      <c r="C759" s="1830"/>
      <c r="D759" s="1830"/>
      <c r="E759" s="1830"/>
      <c r="F759" s="1830"/>
      <c r="G759" s="1828"/>
    </row>
    <row r="760" spans="1:7" ht="14.25" customHeight="1">
      <c r="A760" s="1829" t="s">
        <v>221</v>
      </c>
      <c r="B760" s="1828"/>
      <c r="C760" s="63" t="s">
        <v>222</v>
      </c>
      <c r="D760" s="63" t="s">
        <v>252</v>
      </c>
      <c r="E760" s="63" t="s">
        <v>224</v>
      </c>
      <c r="F760" s="63" t="s">
        <v>225</v>
      </c>
      <c r="G760" s="63" t="s">
        <v>226</v>
      </c>
    </row>
    <row r="761" spans="1:7" ht="14.25" customHeight="1">
      <c r="A761" s="1827" t="s">
        <v>827</v>
      </c>
      <c r="B761" s="1828"/>
      <c r="C761" s="64"/>
      <c r="D761" s="64"/>
      <c r="E761" s="64"/>
      <c r="F761" s="64">
        <v>4</v>
      </c>
      <c r="G761" s="64">
        <f>+F761</f>
        <v>4</v>
      </c>
    </row>
    <row r="762" spans="1:7" ht="14.25" customHeight="1">
      <c r="A762" s="1829" t="s">
        <v>227</v>
      </c>
      <c r="B762" s="1830"/>
      <c r="C762" s="1830"/>
      <c r="D762" s="1830"/>
      <c r="E762" s="1830"/>
      <c r="F762" s="1828"/>
      <c r="G762" s="65">
        <f>ROUND(SUM(G759:G761),2)</f>
        <v>4</v>
      </c>
    </row>
    <row r="763" spans="1:7" ht="14.25" customHeight="1">
      <c r="A763" s="1837"/>
      <c r="B763" s="1838"/>
      <c r="C763" s="1838"/>
      <c r="D763" s="1838"/>
      <c r="E763" s="1838"/>
      <c r="F763" s="1838"/>
      <c r="G763" s="1839"/>
    </row>
    <row r="764" spans="1:7" ht="14.25" customHeight="1">
      <c r="A764" s="66" t="str">
        <f t="shared" ref="A764:B764" si="47">+A757</f>
        <v>CAPITULO 7:</v>
      </c>
      <c r="B764" s="1832" t="str">
        <f t="shared" si="47"/>
        <v>INTALACIONES HIDROSANITARIAS</v>
      </c>
      <c r="C764" s="1830"/>
      <c r="D764" s="1828"/>
      <c r="E764" s="1833" t="s">
        <v>218</v>
      </c>
      <c r="F764" s="1828"/>
      <c r="G764" s="197" t="s">
        <v>127</v>
      </c>
    </row>
    <row r="765" spans="1:7" ht="14.25" customHeight="1">
      <c r="A765" s="66" t="s">
        <v>834</v>
      </c>
      <c r="B765" s="1840" t="s">
        <v>1090</v>
      </c>
      <c r="C765" s="1830"/>
      <c r="D765" s="1830"/>
      <c r="E765" s="1830"/>
      <c r="F765" s="1830"/>
      <c r="G765" s="1828"/>
    </row>
    <row r="766" spans="1:7" ht="14.25" customHeight="1">
      <c r="A766" s="1836" t="s">
        <v>220</v>
      </c>
      <c r="B766" s="1830"/>
      <c r="C766" s="1830"/>
      <c r="D766" s="1830"/>
      <c r="E766" s="1830"/>
      <c r="F766" s="1830"/>
      <c r="G766" s="1828"/>
    </row>
    <row r="767" spans="1:7" ht="14.25" customHeight="1">
      <c r="A767" s="1829" t="s">
        <v>221</v>
      </c>
      <c r="B767" s="1828"/>
      <c r="C767" s="63" t="s">
        <v>222</v>
      </c>
      <c r="D767" s="63" t="s">
        <v>252</v>
      </c>
      <c r="E767" s="63" t="s">
        <v>224</v>
      </c>
      <c r="F767" s="63" t="s">
        <v>225</v>
      </c>
      <c r="G767" s="63" t="s">
        <v>226</v>
      </c>
    </row>
    <row r="768" spans="1:7" ht="14.25" customHeight="1">
      <c r="A768" s="1827" t="s">
        <v>827</v>
      </c>
      <c r="B768" s="1828"/>
      <c r="C768" s="64"/>
      <c r="D768" s="64"/>
      <c r="E768" s="64"/>
      <c r="F768" s="64">
        <v>130</v>
      </c>
      <c r="G768" s="64">
        <f>+F768</f>
        <v>130</v>
      </c>
    </row>
    <row r="769" spans="1:7" ht="14.25" customHeight="1">
      <c r="A769" s="1829" t="s">
        <v>227</v>
      </c>
      <c r="B769" s="1830"/>
      <c r="C769" s="1830"/>
      <c r="D769" s="1830"/>
      <c r="E769" s="1830"/>
      <c r="F769" s="1828"/>
      <c r="G769" s="65">
        <f>ROUND(SUM(G766:G768),2)</f>
        <v>130</v>
      </c>
    </row>
    <row r="770" spans="1:7" ht="14.25" customHeight="1">
      <c r="A770" s="1837"/>
      <c r="B770" s="1838"/>
      <c r="C770" s="1838"/>
      <c r="D770" s="1838"/>
      <c r="E770" s="1838"/>
      <c r="F770" s="1838"/>
      <c r="G770" s="1839"/>
    </row>
    <row r="771" spans="1:7" ht="14.25" customHeight="1">
      <c r="A771" s="66" t="str">
        <f t="shared" ref="A771:B771" si="48">+A757</f>
        <v>CAPITULO 7:</v>
      </c>
      <c r="B771" s="1832" t="str">
        <f t="shared" si="48"/>
        <v>INTALACIONES HIDROSANITARIAS</v>
      </c>
      <c r="C771" s="1830"/>
      <c r="D771" s="1828"/>
      <c r="E771" s="1833" t="s">
        <v>218</v>
      </c>
      <c r="F771" s="1834"/>
      <c r="G771" s="197" t="s">
        <v>127</v>
      </c>
    </row>
    <row r="772" spans="1:7" ht="14.25" customHeight="1">
      <c r="A772" s="66" t="s">
        <v>836</v>
      </c>
      <c r="B772" s="1835" t="s">
        <v>1091</v>
      </c>
      <c r="C772" s="1621"/>
      <c r="D772" s="1621"/>
      <c r="E772" s="1621"/>
      <c r="F772" s="1621"/>
      <c r="G772" s="1622"/>
    </row>
    <row r="773" spans="1:7" ht="14.25" customHeight="1">
      <c r="A773" s="1836" t="s">
        <v>220</v>
      </c>
      <c r="B773" s="1830"/>
      <c r="C773" s="1830"/>
      <c r="D773" s="1830"/>
      <c r="E773" s="1830"/>
      <c r="F773" s="1830"/>
      <c r="G773" s="1828"/>
    </row>
    <row r="774" spans="1:7" ht="14.25" customHeight="1">
      <c r="A774" s="1829" t="s">
        <v>221</v>
      </c>
      <c r="B774" s="1828"/>
      <c r="C774" s="63" t="s">
        <v>222</v>
      </c>
      <c r="D774" s="63" t="s">
        <v>252</v>
      </c>
      <c r="E774" s="63" t="s">
        <v>224</v>
      </c>
      <c r="F774" s="63" t="s">
        <v>225</v>
      </c>
      <c r="G774" s="63" t="s">
        <v>226</v>
      </c>
    </row>
    <row r="775" spans="1:7" ht="14.25" customHeight="1">
      <c r="A775" s="1827" t="s">
        <v>827</v>
      </c>
      <c r="B775" s="1828"/>
      <c r="C775" s="64"/>
      <c r="D775" s="64"/>
      <c r="E775" s="64"/>
      <c r="F775" s="64">
        <v>62</v>
      </c>
      <c r="G775" s="64">
        <f>+F775</f>
        <v>62</v>
      </c>
    </row>
    <row r="776" spans="1:7" ht="14.25" customHeight="1">
      <c r="A776" s="1850"/>
      <c r="B776" s="1828"/>
      <c r="C776" s="64"/>
      <c r="D776" s="64"/>
      <c r="E776" s="64"/>
      <c r="F776" s="64"/>
      <c r="G776" s="64"/>
    </row>
    <row r="777" spans="1:7" ht="14.25" customHeight="1">
      <c r="A777" s="1829" t="s">
        <v>227</v>
      </c>
      <c r="B777" s="1830"/>
      <c r="C777" s="1830"/>
      <c r="D777" s="1830"/>
      <c r="E777" s="1830"/>
      <c r="F777" s="1828"/>
      <c r="G777" s="65">
        <f>ROUND(SUM(G774:G776),2)</f>
        <v>62</v>
      </c>
    </row>
    <row r="778" spans="1:7" ht="14.25" customHeight="1">
      <c r="A778" s="1837"/>
      <c r="B778" s="1838"/>
      <c r="C778" s="1838"/>
      <c r="D778" s="1838"/>
      <c r="E778" s="1838"/>
      <c r="F778" s="1838"/>
      <c r="G778" s="1839"/>
    </row>
    <row r="779" spans="1:7" ht="14.25" customHeight="1">
      <c r="A779" s="66" t="str">
        <f t="shared" ref="A779:B779" si="49">+A771</f>
        <v>CAPITULO 7:</v>
      </c>
      <c r="B779" s="1832" t="str">
        <f t="shared" si="49"/>
        <v>INTALACIONES HIDROSANITARIAS</v>
      </c>
      <c r="C779" s="1830"/>
      <c r="D779" s="1828"/>
      <c r="E779" s="1833" t="s">
        <v>218</v>
      </c>
      <c r="F779" s="1834"/>
      <c r="G779" s="197" t="s">
        <v>127</v>
      </c>
    </row>
    <row r="780" spans="1:7" ht="32.25" customHeight="1">
      <c r="A780" s="66" t="s">
        <v>838</v>
      </c>
      <c r="B780" s="1835" t="s">
        <v>452</v>
      </c>
      <c r="C780" s="1621"/>
      <c r="D780" s="1621"/>
      <c r="E780" s="1621"/>
      <c r="F780" s="1621"/>
      <c r="G780" s="1622"/>
    </row>
    <row r="781" spans="1:7" ht="14.25" customHeight="1">
      <c r="A781" s="1836" t="s">
        <v>220</v>
      </c>
      <c r="B781" s="1830"/>
      <c r="C781" s="1830"/>
      <c r="D781" s="1830"/>
      <c r="E781" s="1830"/>
      <c r="F781" s="1830"/>
      <c r="G781" s="1828"/>
    </row>
    <row r="782" spans="1:7" ht="14.25" customHeight="1">
      <c r="A782" s="1829" t="s">
        <v>221</v>
      </c>
      <c r="B782" s="1828"/>
      <c r="C782" s="63" t="s">
        <v>222</v>
      </c>
      <c r="D782" s="63" t="s">
        <v>252</v>
      </c>
      <c r="E782" s="63" t="s">
        <v>224</v>
      </c>
      <c r="F782" s="63" t="s">
        <v>225</v>
      </c>
      <c r="G782" s="63" t="s">
        <v>226</v>
      </c>
    </row>
    <row r="783" spans="1:7" ht="14.25" customHeight="1">
      <c r="A783" s="1827" t="s">
        <v>856</v>
      </c>
      <c r="B783" s="1828"/>
      <c r="C783" s="64"/>
      <c r="D783" s="64"/>
      <c r="E783" s="64"/>
      <c r="F783" s="64">
        <v>1</v>
      </c>
      <c r="G783" s="64">
        <f>F783</f>
        <v>1</v>
      </c>
    </row>
    <row r="784" spans="1:7" ht="14.25" customHeight="1">
      <c r="A784" s="1827"/>
      <c r="B784" s="1828"/>
      <c r="C784" s="64"/>
      <c r="D784" s="64"/>
      <c r="E784" s="64"/>
      <c r="F784" s="64"/>
      <c r="G784" s="64"/>
    </row>
    <row r="785" spans="1:7" ht="14.25" customHeight="1">
      <c r="A785" s="1829" t="s">
        <v>227</v>
      </c>
      <c r="B785" s="1830"/>
      <c r="C785" s="1830"/>
      <c r="D785" s="1830"/>
      <c r="E785" s="1830"/>
      <c r="F785" s="1828"/>
      <c r="G785" s="65">
        <f>ROUND(SUM(G782:G784),2)</f>
        <v>1</v>
      </c>
    </row>
    <row r="786" spans="1:7" ht="14.25" customHeight="1">
      <c r="A786" s="1837"/>
      <c r="B786" s="1838"/>
      <c r="C786" s="1838"/>
      <c r="D786" s="1838"/>
      <c r="E786" s="1838"/>
      <c r="F786" s="1838"/>
      <c r="G786" s="1839"/>
    </row>
    <row r="787" spans="1:7" ht="14.25" customHeight="1">
      <c r="A787" s="66" t="str">
        <f>+A779</f>
        <v>CAPITULO 7:</v>
      </c>
      <c r="B787" s="1832" t="s">
        <v>255</v>
      </c>
      <c r="C787" s="1830"/>
      <c r="D787" s="1828"/>
      <c r="E787" s="1833" t="s">
        <v>218</v>
      </c>
      <c r="F787" s="1834"/>
      <c r="G787" s="70" t="s">
        <v>127</v>
      </c>
    </row>
    <row r="788" spans="1:7" ht="16.5" customHeight="1">
      <c r="A788" s="66" t="s">
        <v>840</v>
      </c>
      <c r="B788" s="1835" t="s">
        <v>1092</v>
      </c>
      <c r="C788" s="1621"/>
      <c r="D788" s="1621"/>
      <c r="E788" s="1621"/>
      <c r="F788" s="1621"/>
      <c r="G788" s="1622"/>
    </row>
    <row r="789" spans="1:7" ht="14.25" customHeight="1">
      <c r="A789" s="1836" t="s">
        <v>220</v>
      </c>
      <c r="B789" s="1830"/>
      <c r="C789" s="1830"/>
      <c r="D789" s="1830"/>
      <c r="E789" s="1830"/>
      <c r="F789" s="1830"/>
      <c r="G789" s="1828"/>
    </row>
    <row r="790" spans="1:7" ht="14.25" customHeight="1">
      <c r="A790" s="1829" t="s">
        <v>221</v>
      </c>
      <c r="B790" s="1828"/>
      <c r="C790" s="63" t="s">
        <v>222</v>
      </c>
      <c r="D790" s="63" t="s">
        <v>252</v>
      </c>
      <c r="E790" s="63" t="s">
        <v>224</v>
      </c>
      <c r="F790" s="63" t="s">
        <v>225</v>
      </c>
      <c r="G790" s="63" t="s">
        <v>226</v>
      </c>
    </row>
    <row r="791" spans="1:7" ht="14.25" customHeight="1">
      <c r="A791" s="1827" t="s">
        <v>827</v>
      </c>
      <c r="B791" s="1828"/>
      <c r="C791" s="64"/>
      <c r="D791" s="64"/>
      <c r="E791" s="64"/>
      <c r="F791" s="64">
        <v>61</v>
      </c>
      <c r="G791" s="64">
        <f>+F791</f>
        <v>61</v>
      </c>
    </row>
    <row r="792" spans="1:7" ht="14.25" customHeight="1">
      <c r="A792" s="1829" t="s">
        <v>227</v>
      </c>
      <c r="B792" s="1830"/>
      <c r="C792" s="1830"/>
      <c r="D792" s="1830"/>
      <c r="E792" s="1830"/>
      <c r="F792" s="1828"/>
      <c r="G792" s="65">
        <f>ROUND(SUM(G789:G791),2)</f>
        <v>61</v>
      </c>
    </row>
    <row r="793" spans="1:7" ht="14.25" customHeight="1">
      <c r="A793" s="1837"/>
      <c r="B793" s="1838"/>
      <c r="C793" s="1838"/>
      <c r="D793" s="1838"/>
      <c r="E793" s="1838"/>
      <c r="F793" s="1838"/>
      <c r="G793" s="1839"/>
    </row>
    <row r="794" spans="1:7" ht="14.25" customHeight="1">
      <c r="A794" s="66" t="str">
        <f t="shared" ref="A794:B794" si="50">+A787</f>
        <v>CAPITULO 7:</v>
      </c>
      <c r="B794" s="1832" t="str">
        <f t="shared" si="50"/>
        <v xml:space="preserve">INSTALACIONES HIDROSANITARIAS           </v>
      </c>
      <c r="C794" s="1830"/>
      <c r="D794" s="1828"/>
      <c r="E794" s="1833" t="s">
        <v>218</v>
      </c>
      <c r="F794" s="1834"/>
      <c r="G794" s="70" t="s">
        <v>127</v>
      </c>
    </row>
    <row r="795" spans="1:7" ht="17.25" customHeight="1">
      <c r="A795" s="66" t="s">
        <v>842</v>
      </c>
      <c r="B795" s="1835" t="s">
        <v>1093</v>
      </c>
      <c r="C795" s="1621"/>
      <c r="D795" s="1621"/>
      <c r="E795" s="1621"/>
      <c r="F795" s="1621"/>
      <c r="G795" s="1622"/>
    </row>
    <row r="796" spans="1:7" ht="14.25" customHeight="1">
      <c r="A796" s="1836" t="s">
        <v>220</v>
      </c>
      <c r="B796" s="1830"/>
      <c r="C796" s="1830"/>
      <c r="D796" s="1830"/>
      <c r="E796" s="1830"/>
      <c r="F796" s="1830"/>
      <c r="G796" s="1828"/>
    </row>
    <row r="797" spans="1:7" ht="14.25" customHeight="1">
      <c r="A797" s="1829" t="s">
        <v>221</v>
      </c>
      <c r="B797" s="1828"/>
      <c r="C797" s="63" t="s">
        <v>222</v>
      </c>
      <c r="D797" s="63" t="s">
        <v>252</v>
      </c>
      <c r="E797" s="63" t="s">
        <v>224</v>
      </c>
      <c r="F797" s="63" t="s">
        <v>225</v>
      </c>
      <c r="G797" s="63" t="s">
        <v>226</v>
      </c>
    </row>
    <row r="798" spans="1:7" ht="14.25" customHeight="1">
      <c r="A798" s="1827" t="s">
        <v>827</v>
      </c>
      <c r="B798" s="1828"/>
      <c r="C798" s="64"/>
      <c r="D798" s="64"/>
      <c r="E798" s="64"/>
      <c r="F798" s="64">
        <v>92</v>
      </c>
      <c r="G798" s="64">
        <f>F798</f>
        <v>92</v>
      </c>
    </row>
    <row r="799" spans="1:7" ht="14.25" customHeight="1">
      <c r="A799" s="1829" t="s">
        <v>227</v>
      </c>
      <c r="B799" s="1830"/>
      <c r="C799" s="1830"/>
      <c r="D799" s="1830"/>
      <c r="E799" s="1830"/>
      <c r="F799" s="1828"/>
      <c r="G799" s="65">
        <f>ROUND(SUM(G796:G798),2)</f>
        <v>92</v>
      </c>
    </row>
    <row r="800" spans="1:7" ht="14.25" customHeight="1">
      <c r="A800" s="1837"/>
      <c r="B800" s="1838"/>
      <c r="C800" s="1838"/>
      <c r="D800" s="1838"/>
      <c r="E800" s="1838"/>
      <c r="F800" s="1838"/>
      <c r="G800" s="1839"/>
    </row>
    <row r="801" spans="1:7" ht="14.25" customHeight="1">
      <c r="A801" s="66" t="str">
        <f t="shared" ref="A801:B801" si="51">+A794</f>
        <v>CAPITULO 7:</v>
      </c>
      <c r="B801" s="1832" t="str">
        <f t="shared" si="51"/>
        <v xml:space="preserve">INSTALACIONES HIDROSANITARIAS           </v>
      </c>
      <c r="C801" s="1830"/>
      <c r="D801" s="1828"/>
      <c r="E801" s="1833" t="s">
        <v>218</v>
      </c>
      <c r="F801" s="1834"/>
      <c r="G801" s="70" t="s">
        <v>127</v>
      </c>
    </row>
    <row r="802" spans="1:7" ht="17.25" customHeight="1">
      <c r="A802" s="66" t="s">
        <v>844</v>
      </c>
      <c r="B802" s="1835" t="s">
        <v>1094</v>
      </c>
      <c r="C802" s="1621"/>
      <c r="D802" s="1621"/>
      <c r="E802" s="1621"/>
      <c r="F802" s="1621"/>
      <c r="G802" s="1622"/>
    </row>
    <row r="803" spans="1:7" ht="14.25" customHeight="1">
      <c r="A803" s="1836" t="s">
        <v>220</v>
      </c>
      <c r="B803" s="1830"/>
      <c r="C803" s="1830"/>
      <c r="D803" s="1830"/>
      <c r="E803" s="1830"/>
      <c r="F803" s="1830"/>
      <c r="G803" s="1828"/>
    </row>
    <row r="804" spans="1:7" ht="14.25" customHeight="1">
      <c r="A804" s="1829" t="s">
        <v>221</v>
      </c>
      <c r="B804" s="1828"/>
      <c r="C804" s="63" t="s">
        <v>222</v>
      </c>
      <c r="D804" s="63" t="s">
        <v>252</v>
      </c>
      <c r="E804" s="63" t="s">
        <v>224</v>
      </c>
      <c r="F804" s="63" t="s">
        <v>225</v>
      </c>
      <c r="G804" s="63" t="s">
        <v>226</v>
      </c>
    </row>
    <row r="805" spans="1:7" ht="14.25" customHeight="1">
      <c r="A805" s="1827" t="s">
        <v>827</v>
      </c>
      <c r="B805" s="1828"/>
      <c r="C805" s="64"/>
      <c r="D805" s="64"/>
      <c r="E805" s="64"/>
      <c r="F805" s="64">
        <v>73</v>
      </c>
      <c r="G805" s="64">
        <f>F805</f>
        <v>73</v>
      </c>
    </row>
    <row r="806" spans="1:7" ht="14.25" customHeight="1">
      <c r="A806" s="1829" t="s">
        <v>227</v>
      </c>
      <c r="B806" s="1830"/>
      <c r="C806" s="1830"/>
      <c r="D806" s="1830"/>
      <c r="E806" s="1830"/>
      <c r="F806" s="1828"/>
      <c r="G806" s="65">
        <f>ROUND(SUM(G803:G805),2)</f>
        <v>73</v>
      </c>
    </row>
    <row r="807" spans="1:7" ht="14.25" customHeight="1">
      <c r="A807" s="1837"/>
      <c r="B807" s="1838"/>
      <c r="C807" s="1838"/>
      <c r="D807" s="1838"/>
      <c r="E807" s="1838"/>
      <c r="F807" s="1838"/>
      <c r="G807" s="1839"/>
    </row>
    <row r="808" spans="1:7" ht="14.25" customHeight="1">
      <c r="A808" s="66" t="str">
        <f t="shared" ref="A808:B808" si="52">+A801</f>
        <v>CAPITULO 7:</v>
      </c>
      <c r="B808" s="1832" t="str">
        <f t="shared" si="52"/>
        <v xml:space="preserve">INSTALACIONES HIDROSANITARIAS           </v>
      </c>
      <c r="C808" s="1830"/>
      <c r="D808" s="1828"/>
      <c r="E808" s="1833" t="s">
        <v>218</v>
      </c>
      <c r="F808" s="1834"/>
      <c r="G808" s="70" t="s">
        <v>120</v>
      </c>
    </row>
    <row r="809" spans="1:7" ht="34.5" customHeight="1">
      <c r="A809" s="66" t="s">
        <v>846</v>
      </c>
      <c r="B809" s="1835" t="s">
        <v>1095</v>
      </c>
      <c r="C809" s="1621"/>
      <c r="D809" s="1621"/>
      <c r="E809" s="1621"/>
      <c r="F809" s="1621"/>
      <c r="G809" s="1622"/>
    </row>
    <row r="810" spans="1:7" ht="14.25" customHeight="1">
      <c r="A810" s="1836" t="s">
        <v>220</v>
      </c>
      <c r="B810" s="1830"/>
      <c r="C810" s="1830"/>
      <c r="D810" s="1830"/>
      <c r="E810" s="1830"/>
      <c r="F810" s="1830"/>
      <c r="G810" s="1828"/>
    </row>
    <row r="811" spans="1:7" ht="14.25" customHeight="1">
      <c r="A811" s="1829" t="s">
        <v>221</v>
      </c>
      <c r="B811" s="1828"/>
      <c r="C811" s="63" t="s">
        <v>222</v>
      </c>
      <c r="D811" s="63" t="s">
        <v>252</v>
      </c>
      <c r="E811" s="63" t="s">
        <v>224</v>
      </c>
      <c r="F811" s="63" t="s">
        <v>225</v>
      </c>
      <c r="G811" s="63" t="s">
        <v>226</v>
      </c>
    </row>
    <row r="812" spans="1:7" ht="14.25" customHeight="1">
      <c r="A812" s="1827" t="s">
        <v>827</v>
      </c>
      <c r="B812" s="1828"/>
      <c r="C812" s="64">
        <v>392</v>
      </c>
      <c r="D812" s="64"/>
      <c r="E812" s="64"/>
      <c r="F812" s="64"/>
      <c r="G812" s="64">
        <f>+C812</f>
        <v>392</v>
      </c>
    </row>
    <row r="813" spans="1:7" ht="14.25" customHeight="1">
      <c r="A813" s="1827"/>
      <c r="B813" s="1828"/>
      <c r="C813" s="64"/>
      <c r="D813" s="64"/>
      <c r="E813" s="64"/>
      <c r="F813" s="64"/>
      <c r="G813" s="64"/>
    </row>
    <row r="814" spans="1:7" ht="14.25" customHeight="1">
      <c r="A814" s="1829" t="s">
        <v>227</v>
      </c>
      <c r="B814" s="1830"/>
      <c r="C814" s="1830"/>
      <c r="D814" s="1830"/>
      <c r="E814" s="1830"/>
      <c r="F814" s="1828"/>
      <c r="G814" s="65">
        <f>ROUND(SUM(G811:G813),2)</f>
        <v>392</v>
      </c>
    </row>
    <row r="815" spans="1:7" ht="14.25" customHeight="1">
      <c r="A815" s="1837"/>
      <c r="B815" s="1838"/>
      <c r="C815" s="1838"/>
      <c r="D815" s="1838"/>
      <c r="E815" s="1838"/>
      <c r="F815" s="1838"/>
      <c r="G815" s="1839"/>
    </row>
    <row r="816" spans="1:7" ht="14.25" customHeight="1">
      <c r="A816" s="66" t="str">
        <f t="shared" ref="A816:B816" si="53">+A808</f>
        <v>CAPITULO 7:</v>
      </c>
      <c r="B816" s="1832" t="str">
        <f t="shared" si="53"/>
        <v xml:space="preserve">INSTALACIONES HIDROSANITARIAS           </v>
      </c>
      <c r="C816" s="1830"/>
      <c r="D816" s="1828"/>
      <c r="E816" s="1833" t="s">
        <v>218</v>
      </c>
      <c r="F816" s="1834"/>
      <c r="G816" s="70" t="s">
        <v>120</v>
      </c>
    </row>
    <row r="817" spans="1:7" ht="33.75" customHeight="1">
      <c r="A817" s="66" t="s">
        <v>848</v>
      </c>
      <c r="B817" s="1835" t="s">
        <v>1096</v>
      </c>
      <c r="C817" s="1621"/>
      <c r="D817" s="1621"/>
      <c r="E817" s="1621"/>
      <c r="F817" s="1621"/>
      <c r="G817" s="1622"/>
    </row>
    <row r="818" spans="1:7" ht="14.25" customHeight="1">
      <c r="A818" s="1836" t="s">
        <v>220</v>
      </c>
      <c r="B818" s="1830"/>
      <c r="C818" s="1830"/>
      <c r="D818" s="1830"/>
      <c r="E818" s="1830"/>
      <c r="F818" s="1830"/>
      <c r="G818" s="1828"/>
    </row>
    <row r="819" spans="1:7" ht="14.25" customHeight="1">
      <c r="A819" s="1829" t="s">
        <v>221</v>
      </c>
      <c r="B819" s="1828"/>
      <c r="C819" s="63" t="s">
        <v>222</v>
      </c>
      <c r="D819" s="63" t="s">
        <v>252</v>
      </c>
      <c r="E819" s="63" t="s">
        <v>224</v>
      </c>
      <c r="F819" s="63" t="s">
        <v>225</v>
      </c>
      <c r="G819" s="63" t="s">
        <v>226</v>
      </c>
    </row>
    <row r="820" spans="1:7" ht="14.25" customHeight="1">
      <c r="A820" s="1827" t="s">
        <v>827</v>
      </c>
      <c r="B820" s="1828"/>
      <c r="C820" s="64">
        <v>20</v>
      </c>
      <c r="D820" s="64"/>
      <c r="E820" s="64"/>
      <c r="F820" s="64"/>
      <c r="G820" s="64">
        <f>C820</f>
        <v>20</v>
      </c>
    </row>
    <row r="821" spans="1:7" ht="14.25" customHeight="1">
      <c r="A821" s="1829" t="s">
        <v>227</v>
      </c>
      <c r="B821" s="1830"/>
      <c r="C821" s="1830"/>
      <c r="D821" s="1830"/>
      <c r="E821" s="1830"/>
      <c r="F821" s="1828"/>
      <c r="G821" s="65">
        <f>ROUND(SUM(G818:G820),2)</f>
        <v>20</v>
      </c>
    </row>
    <row r="822" spans="1:7" ht="14.25" customHeight="1">
      <c r="A822" s="1837"/>
      <c r="B822" s="1838"/>
      <c r="C822" s="1838"/>
      <c r="D822" s="1838"/>
      <c r="E822" s="1838"/>
      <c r="F822" s="1838"/>
      <c r="G822" s="1839"/>
    </row>
    <row r="823" spans="1:7" ht="14.25" customHeight="1">
      <c r="A823" s="66" t="str">
        <f t="shared" ref="A823:B823" si="54">+A816</f>
        <v>CAPITULO 7:</v>
      </c>
      <c r="B823" s="1832" t="str">
        <f t="shared" si="54"/>
        <v xml:space="preserve">INSTALACIONES HIDROSANITARIAS           </v>
      </c>
      <c r="C823" s="1830"/>
      <c r="D823" s="1828"/>
      <c r="E823" s="1833" t="s">
        <v>218</v>
      </c>
      <c r="F823" s="1834"/>
      <c r="G823" s="70" t="s">
        <v>120</v>
      </c>
    </row>
    <row r="824" spans="1:7" ht="18" customHeight="1">
      <c r="A824" s="66" t="s">
        <v>850</v>
      </c>
      <c r="B824" s="1835" t="s">
        <v>1097</v>
      </c>
      <c r="C824" s="1621"/>
      <c r="D824" s="1621"/>
      <c r="E824" s="1621"/>
      <c r="F824" s="1621"/>
      <c r="G824" s="1622"/>
    </row>
    <row r="825" spans="1:7" ht="14.25" customHeight="1">
      <c r="A825" s="1836" t="s">
        <v>220</v>
      </c>
      <c r="B825" s="1830"/>
      <c r="C825" s="1830"/>
      <c r="D825" s="1830"/>
      <c r="E825" s="1830"/>
      <c r="F825" s="1830"/>
      <c r="G825" s="1828"/>
    </row>
    <row r="826" spans="1:7" ht="14.25" customHeight="1">
      <c r="A826" s="1829" t="s">
        <v>221</v>
      </c>
      <c r="B826" s="1828"/>
      <c r="C826" s="63" t="s">
        <v>222</v>
      </c>
      <c r="D826" s="63" t="s">
        <v>252</v>
      </c>
      <c r="E826" s="63" t="s">
        <v>224</v>
      </c>
      <c r="F826" s="63" t="s">
        <v>225</v>
      </c>
      <c r="G826" s="63" t="s">
        <v>226</v>
      </c>
    </row>
    <row r="827" spans="1:7" ht="14.25" customHeight="1">
      <c r="A827" s="1827" t="s">
        <v>827</v>
      </c>
      <c r="B827" s="1828"/>
      <c r="C827" s="64">
        <v>30</v>
      </c>
      <c r="D827" s="64"/>
      <c r="E827" s="64"/>
      <c r="F827" s="64"/>
      <c r="G827" s="64">
        <f>C827</f>
        <v>30</v>
      </c>
    </row>
    <row r="828" spans="1:7" ht="14.25" customHeight="1">
      <c r="A828" s="1827"/>
      <c r="B828" s="1828"/>
      <c r="C828" s="64"/>
      <c r="D828" s="64"/>
      <c r="E828" s="64"/>
      <c r="F828" s="64"/>
      <c r="G828" s="64"/>
    </row>
    <row r="829" spans="1:7" ht="14.25" customHeight="1">
      <c r="A829" s="1829" t="s">
        <v>227</v>
      </c>
      <c r="B829" s="1830"/>
      <c r="C829" s="1830"/>
      <c r="D829" s="1830"/>
      <c r="E829" s="1830"/>
      <c r="F829" s="1828"/>
      <c r="G829" s="65">
        <f>ROUND(SUM(G826:G828),2)</f>
        <v>30</v>
      </c>
    </row>
    <row r="830" spans="1:7" ht="14.25" customHeight="1">
      <c r="A830" s="1837"/>
      <c r="B830" s="1838"/>
      <c r="C830" s="1838"/>
      <c r="D830" s="1838"/>
      <c r="E830" s="1838"/>
      <c r="F830" s="1838"/>
      <c r="G830" s="1839"/>
    </row>
    <row r="831" spans="1:7" ht="14.25" customHeight="1">
      <c r="A831" s="66" t="str">
        <f t="shared" ref="A831:B831" si="55">+A823</f>
        <v>CAPITULO 7:</v>
      </c>
      <c r="B831" s="1832" t="str">
        <f t="shared" si="55"/>
        <v xml:space="preserve">INSTALACIONES HIDROSANITARIAS           </v>
      </c>
      <c r="C831" s="1830"/>
      <c r="D831" s="1828"/>
      <c r="E831" s="1833" t="s">
        <v>218</v>
      </c>
      <c r="F831" s="1834"/>
      <c r="G831" s="70" t="s">
        <v>120</v>
      </c>
    </row>
    <row r="832" spans="1:7" ht="17.25" customHeight="1">
      <c r="A832" s="66" t="s">
        <v>852</v>
      </c>
      <c r="B832" s="1835" t="s">
        <v>1098</v>
      </c>
      <c r="C832" s="1621"/>
      <c r="D832" s="1621"/>
      <c r="E832" s="1621"/>
      <c r="F832" s="1621"/>
      <c r="G832" s="1622"/>
    </row>
    <row r="833" spans="1:7" ht="14.25" customHeight="1">
      <c r="A833" s="1836" t="s">
        <v>220</v>
      </c>
      <c r="B833" s="1830"/>
      <c r="C833" s="1830"/>
      <c r="D833" s="1830"/>
      <c r="E833" s="1830"/>
      <c r="F833" s="1830"/>
      <c r="G833" s="1828"/>
    </row>
    <row r="834" spans="1:7" ht="14.25" customHeight="1">
      <c r="A834" s="1829" t="s">
        <v>221</v>
      </c>
      <c r="B834" s="1828"/>
      <c r="C834" s="63" t="s">
        <v>222</v>
      </c>
      <c r="D834" s="63" t="s">
        <v>252</v>
      </c>
      <c r="E834" s="63" t="s">
        <v>224</v>
      </c>
      <c r="F834" s="63" t="s">
        <v>225</v>
      </c>
      <c r="G834" s="63" t="s">
        <v>226</v>
      </c>
    </row>
    <row r="835" spans="1:7" ht="14.25" customHeight="1">
      <c r="A835" s="1827" t="s">
        <v>827</v>
      </c>
      <c r="B835" s="1828"/>
      <c r="C835" s="64">
        <v>111.67</v>
      </c>
      <c r="D835" s="64"/>
      <c r="E835" s="64"/>
      <c r="F835" s="64"/>
      <c r="G835" s="64">
        <f>C835</f>
        <v>111.67</v>
      </c>
    </row>
    <row r="836" spans="1:7" ht="14.25" customHeight="1">
      <c r="A836" s="1827"/>
      <c r="B836" s="1828"/>
      <c r="C836" s="64"/>
      <c r="D836" s="64"/>
      <c r="E836" s="64"/>
      <c r="F836" s="64"/>
      <c r="G836" s="64"/>
    </row>
    <row r="837" spans="1:7" ht="14.25" customHeight="1">
      <c r="A837" s="1829" t="s">
        <v>227</v>
      </c>
      <c r="B837" s="1830"/>
      <c r="C837" s="1830"/>
      <c r="D837" s="1830"/>
      <c r="E837" s="1830"/>
      <c r="F837" s="1828"/>
      <c r="G837" s="65">
        <f>ROUND(SUM(G834:G836),2)</f>
        <v>111.67</v>
      </c>
    </row>
    <row r="838" spans="1:7" ht="14.25" customHeight="1">
      <c r="A838" s="1837"/>
      <c r="B838" s="1838"/>
      <c r="C838" s="1838"/>
      <c r="D838" s="1838"/>
      <c r="E838" s="1838"/>
      <c r="F838" s="1838"/>
      <c r="G838" s="1839"/>
    </row>
    <row r="839" spans="1:7" ht="14.25" customHeight="1">
      <c r="A839" s="66" t="str">
        <f t="shared" ref="A839:B839" si="56">+A823</f>
        <v>CAPITULO 7:</v>
      </c>
      <c r="B839" s="1832" t="str">
        <f t="shared" si="56"/>
        <v xml:space="preserve">INSTALACIONES HIDROSANITARIAS           </v>
      </c>
      <c r="C839" s="1830"/>
      <c r="D839" s="1828"/>
      <c r="E839" s="1833" t="s">
        <v>218</v>
      </c>
      <c r="F839" s="1834"/>
      <c r="G839" s="70" t="s">
        <v>120</v>
      </c>
    </row>
    <row r="840" spans="1:7" ht="17.25" customHeight="1">
      <c r="A840" s="66" t="s">
        <v>854</v>
      </c>
      <c r="B840" s="1835" t="s">
        <v>1099</v>
      </c>
      <c r="C840" s="1621"/>
      <c r="D840" s="1621"/>
      <c r="E840" s="1621"/>
      <c r="F840" s="1621"/>
      <c r="G840" s="1622"/>
    </row>
    <row r="841" spans="1:7" ht="14.25" customHeight="1">
      <c r="A841" s="1836" t="s">
        <v>220</v>
      </c>
      <c r="B841" s="1830"/>
      <c r="C841" s="1830"/>
      <c r="D841" s="1830"/>
      <c r="E841" s="1830"/>
      <c r="F841" s="1830"/>
      <c r="G841" s="1828"/>
    </row>
    <row r="842" spans="1:7" ht="14.25" customHeight="1">
      <c r="A842" s="1829" t="s">
        <v>221</v>
      </c>
      <c r="B842" s="1828"/>
      <c r="C842" s="63" t="s">
        <v>222</v>
      </c>
      <c r="D842" s="63" t="s">
        <v>252</v>
      </c>
      <c r="E842" s="63" t="s">
        <v>224</v>
      </c>
      <c r="F842" s="63" t="s">
        <v>225</v>
      </c>
      <c r="G842" s="63" t="s">
        <v>226</v>
      </c>
    </row>
    <row r="843" spans="1:7" ht="14.25" customHeight="1">
      <c r="A843" s="1827" t="s">
        <v>827</v>
      </c>
      <c r="B843" s="1828"/>
      <c r="C843" s="64">
        <v>35.19</v>
      </c>
      <c r="D843" s="64"/>
      <c r="E843" s="64"/>
      <c r="F843" s="64"/>
      <c r="G843" s="64">
        <f>C843</f>
        <v>35.19</v>
      </c>
    </row>
    <row r="844" spans="1:7" ht="14.25" customHeight="1">
      <c r="A844" s="1829" t="s">
        <v>227</v>
      </c>
      <c r="B844" s="1830"/>
      <c r="C844" s="1830"/>
      <c r="D844" s="1830"/>
      <c r="E844" s="1830"/>
      <c r="F844" s="1828"/>
      <c r="G844" s="65">
        <f>ROUND(SUM(G841:G843),2)</f>
        <v>35.19</v>
      </c>
    </row>
    <row r="845" spans="1:7" ht="14.25" customHeight="1">
      <c r="A845" s="1837"/>
      <c r="B845" s="1838"/>
      <c r="C845" s="1838"/>
      <c r="D845" s="1838"/>
      <c r="E845" s="1838"/>
      <c r="F845" s="1838"/>
      <c r="G845" s="1839"/>
    </row>
    <row r="846" spans="1:7" ht="14.25" customHeight="1">
      <c r="A846" s="66" t="str">
        <f t="shared" ref="A846:B846" si="57">+A839</f>
        <v>CAPITULO 7:</v>
      </c>
      <c r="B846" s="1832" t="str">
        <f t="shared" si="57"/>
        <v xml:space="preserve">INSTALACIONES HIDROSANITARIAS           </v>
      </c>
      <c r="C846" s="1830"/>
      <c r="D846" s="1828"/>
      <c r="E846" s="1833" t="s">
        <v>218</v>
      </c>
      <c r="F846" s="1834"/>
      <c r="G846" s="70" t="s">
        <v>120</v>
      </c>
    </row>
    <row r="847" spans="1:7" ht="20.25" customHeight="1">
      <c r="A847" s="66" t="s">
        <v>857</v>
      </c>
      <c r="B847" s="1835" t="s">
        <v>1100</v>
      </c>
      <c r="C847" s="1621"/>
      <c r="D847" s="1621"/>
      <c r="E847" s="1621"/>
      <c r="F847" s="1621"/>
      <c r="G847" s="1622"/>
    </row>
    <row r="848" spans="1:7" ht="14.25" customHeight="1">
      <c r="A848" s="1836" t="s">
        <v>220</v>
      </c>
      <c r="B848" s="1830"/>
      <c r="C848" s="1830"/>
      <c r="D848" s="1830"/>
      <c r="E848" s="1830"/>
      <c r="F848" s="1830"/>
      <c r="G848" s="1828"/>
    </row>
    <row r="849" spans="1:7" ht="14.25" customHeight="1">
      <c r="A849" s="1829" t="s">
        <v>221</v>
      </c>
      <c r="B849" s="1828"/>
      <c r="C849" s="63" t="s">
        <v>222</v>
      </c>
      <c r="D849" s="63" t="s">
        <v>252</v>
      </c>
      <c r="E849" s="63" t="s">
        <v>224</v>
      </c>
      <c r="F849" s="63" t="s">
        <v>225</v>
      </c>
      <c r="G849" s="63" t="s">
        <v>226</v>
      </c>
    </row>
    <row r="850" spans="1:7" ht="14.25" customHeight="1">
      <c r="A850" s="1827" t="s">
        <v>827</v>
      </c>
      <c r="B850" s="1828"/>
      <c r="C850" s="64">
        <v>430</v>
      </c>
      <c r="D850" s="64"/>
      <c r="E850" s="64"/>
      <c r="F850" s="64"/>
      <c r="G850" s="64">
        <f>C850</f>
        <v>430</v>
      </c>
    </row>
    <row r="851" spans="1:7" ht="14.25" customHeight="1">
      <c r="A851" s="1829" t="s">
        <v>227</v>
      </c>
      <c r="B851" s="1830"/>
      <c r="C851" s="1830"/>
      <c r="D851" s="1830"/>
      <c r="E851" s="1830"/>
      <c r="F851" s="1828"/>
      <c r="G851" s="65">
        <f>ROUND(SUM(G848:G850),2)</f>
        <v>430</v>
      </c>
    </row>
    <row r="852" spans="1:7" ht="14.25" customHeight="1">
      <c r="A852" s="1837"/>
      <c r="B852" s="1838"/>
      <c r="C852" s="1838"/>
      <c r="D852" s="1838"/>
      <c r="E852" s="1838"/>
      <c r="F852" s="1838"/>
      <c r="G852" s="1839"/>
    </row>
    <row r="853" spans="1:7" ht="14.25" customHeight="1">
      <c r="A853" s="66" t="str">
        <f t="shared" ref="A853:B853" si="58">+A846</f>
        <v>CAPITULO 7:</v>
      </c>
      <c r="B853" s="1832" t="str">
        <f t="shared" si="58"/>
        <v xml:space="preserve">INSTALACIONES HIDROSANITARIAS           </v>
      </c>
      <c r="C853" s="1830"/>
      <c r="D853" s="1828"/>
      <c r="E853" s="1833" t="s">
        <v>218</v>
      </c>
      <c r="F853" s="1834"/>
      <c r="G853" s="70" t="s">
        <v>127</v>
      </c>
    </row>
    <row r="854" spans="1:7" ht="14.25" customHeight="1">
      <c r="A854" s="66" t="s">
        <v>859</v>
      </c>
      <c r="B854" s="1835" t="s">
        <v>1101</v>
      </c>
      <c r="C854" s="1621"/>
      <c r="D854" s="1621"/>
      <c r="E854" s="1621"/>
      <c r="F854" s="1621"/>
      <c r="G854" s="1622"/>
    </row>
    <row r="855" spans="1:7" ht="14.25" customHeight="1">
      <c r="A855" s="1836" t="s">
        <v>220</v>
      </c>
      <c r="B855" s="1830"/>
      <c r="C855" s="1830"/>
      <c r="D855" s="1830"/>
      <c r="E855" s="1830"/>
      <c r="F855" s="1830"/>
      <c r="G855" s="1828"/>
    </row>
    <row r="856" spans="1:7" ht="14.25" customHeight="1">
      <c r="A856" s="1829" t="s">
        <v>221</v>
      </c>
      <c r="B856" s="1828"/>
      <c r="C856" s="63" t="s">
        <v>222</v>
      </c>
      <c r="D856" s="63" t="s">
        <v>252</v>
      </c>
      <c r="E856" s="63" t="s">
        <v>224</v>
      </c>
      <c r="F856" s="63" t="s">
        <v>225</v>
      </c>
      <c r="G856" s="63" t="s">
        <v>226</v>
      </c>
    </row>
    <row r="857" spans="1:7" ht="14.25" customHeight="1">
      <c r="A857" s="1827" t="s">
        <v>827</v>
      </c>
      <c r="B857" s="1828"/>
      <c r="C857" s="64"/>
      <c r="D857" s="64"/>
      <c r="E857" s="64"/>
      <c r="F857" s="64">
        <v>20</v>
      </c>
      <c r="G857" s="64">
        <f>+F857</f>
        <v>20</v>
      </c>
    </row>
    <row r="858" spans="1:7" ht="14.25" customHeight="1">
      <c r="A858" s="1829" t="s">
        <v>227</v>
      </c>
      <c r="B858" s="1830"/>
      <c r="C858" s="1830"/>
      <c r="D858" s="1830"/>
      <c r="E858" s="1830"/>
      <c r="F858" s="1828"/>
      <c r="G858" s="65">
        <f>ROUND(SUM(G855:G857),2)</f>
        <v>20</v>
      </c>
    </row>
    <row r="859" spans="1:7" ht="14.25" customHeight="1">
      <c r="A859" s="1837"/>
      <c r="B859" s="1838"/>
      <c r="C859" s="1838"/>
      <c r="D859" s="1838"/>
      <c r="E859" s="1838"/>
      <c r="F859" s="1838"/>
      <c r="G859" s="1839"/>
    </row>
    <row r="860" spans="1:7" ht="14.25" customHeight="1">
      <c r="A860" s="66" t="str">
        <f t="shared" ref="A860:B860" si="59">+A853</f>
        <v>CAPITULO 7:</v>
      </c>
      <c r="B860" s="1832" t="str">
        <f t="shared" si="59"/>
        <v xml:space="preserve">INSTALACIONES HIDROSANITARIAS           </v>
      </c>
      <c r="C860" s="1830"/>
      <c r="D860" s="1828"/>
      <c r="E860" s="1833" t="s">
        <v>218</v>
      </c>
      <c r="F860" s="1834"/>
      <c r="G860" s="70" t="s">
        <v>127</v>
      </c>
    </row>
    <row r="861" spans="1:7" ht="14.25" customHeight="1">
      <c r="A861" s="66" t="s">
        <v>861</v>
      </c>
      <c r="B861" s="1835" t="s">
        <v>1102</v>
      </c>
      <c r="C861" s="1621"/>
      <c r="D861" s="1621"/>
      <c r="E861" s="1621"/>
      <c r="F861" s="1621"/>
      <c r="G861" s="1622"/>
    </row>
    <row r="862" spans="1:7" ht="14.25" customHeight="1">
      <c r="A862" s="1836" t="s">
        <v>220</v>
      </c>
      <c r="B862" s="1830"/>
      <c r="C862" s="1830"/>
      <c r="D862" s="1830"/>
      <c r="E862" s="1830"/>
      <c r="F862" s="1830"/>
      <c r="G862" s="1828"/>
    </row>
    <row r="863" spans="1:7" ht="14.25" customHeight="1">
      <c r="A863" s="1829" t="s">
        <v>221</v>
      </c>
      <c r="B863" s="1828"/>
      <c r="C863" s="63" t="s">
        <v>222</v>
      </c>
      <c r="D863" s="63" t="s">
        <v>252</v>
      </c>
      <c r="E863" s="63" t="s">
        <v>224</v>
      </c>
      <c r="F863" s="63" t="s">
        <v>225</v>
      </c>
      <c r="G863" s="63" t="s">
        <v>226</v>
      </c>
    </row>
    <row r="864" spans="1:7" ht="14.25" customHeight="1">
      <c r="A864" s="1827" t="s">
        <v>827</v>
      </c>
      <c r="B864" s="1828"/>
      <c r="C864" s="64"/>
      <c r="D864" s="64"/>
      <c r="E864" s="64"/>
      <c r="F864" s="64">
        <v>55</v>
      </c>
      <c r="G864" s="64">
        <f>+F864</f>
        <v>55</v>
      </c>
    </row>
    <row r="865" spans="1:7" ht="14.25" customHeight="1">
      <c r="A865" s="1829" t="s">
        <v>227</v>
      </c>
      <c r="B865" s="1830"/>
      <c r="C865" s="1830"/>
      <c r="D865" s="1830"/>
      <c r="E865" s="1830"/>
      <c r="F865" s="1828"/>
      <c r="G865" s="65">
        <f>ROUND(SUM(G862:G864),2)</f>
        <v>55</v>
      </c>
    </row>
    <row r="866" spans="1:7" ht="14.25" customHeight="1">
      <c r="A866" s="1837"/>
      <c r="B866" s="1838"/>
      <c r="C866" s="1838"/>
      <c r="D866" s="1838"/>
      <c r="E866" s="1838"/>
      <c r="F866" s="1838"/>
      <c r="G866" s="1839"/>
    </row>
    <row r="867" spans="1:7" ht="19.5" customHeight="1">
      <c r="A867" s="66" t="s">
        <v>817</v>
      </c>
      <c r="B867" s="1832" t="str">
        <f>+B860</f>
        <v xml:space="preserve">INSTALACIONES HIDROSANITARIAS           </v>
      </c>
      <c r="C867" s="1830"/>
      <c r="D867" s="1828"/>
      <c r="E867" s="1833" t="s">
        <v>218</v>
      </c>
      <c r="F867" s="1834"/>
      <c r="G867" s="70" t="s">
        <v>127</v>
      </c>
    </row>
    <row r="868" spans="1:7" ht="14.25" customHeight="1">
      <c r="A868" s="66" t="s">
        <v>863</v>
      </c>
      <c r="B868" s="1835" t="s">
        <v>465</v>
      </c>
      <c r="C868" s="1621"/>
      <c r="D868" s="1621"/>
      <c r="E868" s="1621"/>
      <c r="F868" s="1621"/>
      <c r="G868" s="1622"/>
    </row>
    <row r="869" spans="1:7" ht="14.25" customHeight="1">
      <c r="A869" s="1836" t="s">
        <v>220</v>
      </c>
      <c r="B869" s="1830"/>
      <c r="C869" s="1830"/>
      <c r="D869" s="1830"/>
      <c r="E869" s="1830"/>
      <c r="F869" s="1830"/>
      <c r="G869" s="1828"/>
    </row>
    <row r="870" spans="1:7" ht="14.25" customHeight="1">
      <c r="A870" s="1829" t="s">
        <v>221</v>
      </c>
      <c r="B870" s="1828"/>
      <c r="C870" s="63" t="s">
        <v>222</v>
      </c>
      <c r="D870" s="63" t="s">
        <v>252</v>
      </c>
      <c r="E870" s="63" t="s">
        <v>224</v>
      </c>
      <c r="F870" s="63" t="s">
        <v>225</v>
      </c>
      <c r="G870" s="63" t="s">
        <v>226</v>
      </c>
    </row>
    <row r="871" spans="1:7" ht="14.25" customHeight="1">
      <c r="A871" s="1827" t="s">
        <v>827</v>
      </c>
      <c r="B871" s="1828"/>
      <c r="C871" s="64"/>
      <c r="D871" s="64"/>
      <c r="E871" s="64"/>
      <c r="F871" s="64">
        <v>146</v>
      </c>
      <c r="G871" s="64">
        <f>+F871</f>
        <v>146</v>
      </c>
    </row>
    <row r="872" spans="1:7" ht="14.25" customHeight="1">
      <c r="A872" s="1829" t="s">
        <v>227</v>
      </c>
      <c r="B872" s="1830"/>
      <c r="C872" s="1830"/>
      <c r="D872" s="1830"/>
      <c r="E872" s="1830"/>
      <c r="F872" s="1828"/>
      <c r="G872" s="65">
        <f>ROUND(SUM(G869:G871),2)</f>
        <v>146</v>
      </c>
    </row>
    <row r="873" spans="1:7" ht="14.25" customHeight="1">
      <c r="A873" s="1837"/>
      <c r="B873" s="1838"/>
      <c r="C873" s="1838"/>
      <c r="D873" s="1838"/>
      <c r="E873" s="1838"/>
      <c r="F873" s="1838"/>
      <c r="G873" s="1839"/>
    </row>
    <row r="874" spans="1:7" ht="21" customHeight="1">
      <c r="A874" s="66" t="str">
        <f>+A867</f>
        <v>CAPITULO 7:</v>
      </c>
      <c r="B874" s="1832" t="str">
        <f>+$B$867</f>
        <v xml:space="preserve">INSTALACIONES HIDROSANITARIAS           </v>
      </c>
      <c r="C874" s="1830"/>
      <c r="D874" s="1828"/>
      <c r="E874" s="1833" t="s">
        <v>218</v>
      </c>
      <c r="F874" s="1834"/>
      <c r="G874" s="70" t="s">
        <v>116</v>
      </c>
    </row>
    <row r="875" spans="1:7" ht="19.5" customHeight="1">
      <c r="A875" s="66" t="s">
        <v>865</v>
      </c>
      <c r="B875" s="1835" t="s">
        <v>1103</v>
      </c>
      <c r="C875" s="1621"/>
      <c r="D875" s="1621"/>
      <c r="E875" s="1621"/>
      <c r="F875" s="1621"/>
      <c r="G875" s="1622"/>
    </row>
    <row r="876" spans="1:7" ht="14.25" customHeight="1">
      <c r="A876" s="1836" t="s">
        <v>220</v>
      </c>
      <c r="B876" s="1830"/>
      <c r="C876" s="1830"/>
      <c r="D876" s="1830"/>
      <c r="E876" s="1830"/>
      <c r="F876" s="1830"/>
      <c r="G876" s="1828"/>
    </row>
    <row r="877" spans="1:7" ht="14.25" customHeight="1">
      <c r="A877" s="1829" t="s">
        <v>221</v>
      </c>
      <c r="B877" s="1828"/>
      <c r="C877" s="63" t="s">
        <v>222</v>
      </c>
      <c r="D877" s="63" t="s">
        <v>252</v>
      </c>
      <c r="E877" s="63" t="s">
        <v>224</v>
      </c>
      <c r="F877" s="63" t="s">
        <v>225</v>
      </c>
      <c r="G877" s="63" t="s">
        <v>226</v>
      </c>
    </row>
    <row r="878" spans="1:7" ht="14.25" customHeight="1">
      <c r="A878" s="1827" t="str">
        <f>+A871</f>
        <v>General</v>
      </c>
      <c r="B878" s="1828"/>
      <c r="C878" s="64"/>
      <c r="D878" s="64">
        <v>64.75</v>
      </c>
      <c r="E878" s="64"/>
      <c r="F878" s="64"/>
      <c r="G878" s="64">
        <f>D878</f>
        <v>64.75</v>
      </c>
    </row>
    <row r="879" spans="1:7" ht="14.25" customHeight="1">
      <c r="A879" s="1829" t="s">
        <v>227</v>
      </c>
      <c r="B879" s="1830"/>
      <c r="C879" s="1830"/>
      <c r="D879" s="1830"/>
      <c r="E879" s="1830"/>
      <c r="F879" s="1828"/>
      <c r="G879" s="65">
        <f>ROUND(SUM(G876:G878),2)</f>
        <v>64.75</v>
      </c>
    </row>
    <row r="880" spans="1:7" ht="14.25" customHeight="1">
      <c r="A880" s="1837"/>
      <c r="B880" s="1838"/>
      <c r="C880" s="1838"/>
      <c r="D880" s="1838"/>
      <c r="E880" s="1838"/>
      <c r="F880" s="1838"/>
      <c r="G880" s="1839"/>
    </row>
    <row r="881" spans="1:7" ht="22.5" customHeight="1">
      <c r="A881" s="66" t="str">
        <f>+A874</f>
        <v>CAPITULO 7:</v>
      </c>
      <c r="B881" s="1832" t="str">
        <f>+$B$867</f>
        <v xml:space="preserve">INSTALACIONES HIDROSANITARIAS           </v>
      </c>
      <c r="C881" s="1830"/>
      <c r="D881" s="1828"/>
      <c r="E881" s="1833" t="s">
        <v>218</v>
      </c>
      <c r="F881" s="1834"/>
      <c r="G881" s="70" t="s">
        <v>116</v>
      </c>
    </row>
    <row r="882" spans="1:7" ht="31.5" customHeight="1">
      <c r="A882" s="66" t="s">
        <v>867</v>
      </c>
      <c r="B882" s="1835" t="s">
        <v>1104</v>
      </c>
      <c r="C882" s="1621"/>
      <c r="D882" s="1621"/>
      <c r="E882" s="1621"/>
      <c r="F882" s="1621"/>
      <c r="G882" s="1622"/>
    </row>
    <row r="883" spans="1:7" ht="14.25" customHeight="1">
      <c r="A883" s="1836" t="s">
        <v>220</v>
      </c>
      <c r="B883" s="1830"/>
      <c r="C883" s="1830"/>
      <c r="D883" s="1830"/>
      <c r="E883" s="1830"/>
      <c r="F883" s="1830"/>
      <c r="G883" s="1828"/>
    </row>
    <row r="884" spans="1:7" ht="14.25" customHeight="1">
      <c r="A884" s="1829" t="s">
        <v>221</v>
      </c>
      <c r="B884" s="1828"/>
      <c r="C884" s="63" t="s">
        <v>222</v>
      </c>
      <c r="D884" s="63" t="s">
        <v>252</v>
      </c>
      <c r="E884" s="63" t="s">
        <v>224</v>
      </c>
      <c r="F884" s="63" t="s">
        <v>225</v>
      </c>
      <c r="G884" s="63" t="s">
        <v>226</v>
      </c>
    </row>
    <row r="885" spans="1:7" ht="14.25" customHeight="1">
      <c r="A885" s="1827" t="str">
        <f>+A878</f>
        <v>General</v>
      </c>
      <c r="B885" s="1828"/>
      <c r="C885" s="64"/>
      <c r="D885" s="64">
        <v>18</v>
      </c>
      <c r="E885" s="64"/>
      <c r="F885" s="64"/>
      <c r="G885" s="64">
        <f>D885</f>
        <v>18</v>
      </c>
    </row>
    <row r="886" spans="1:7" ht="14.25" customHeight="1">
      <c r="A886" s="1829" t="s">
        <v>227</v>
      </c>
      <c r="B886" s="1830"/>
      <c r="C886" s="1830"/>
      <c r="D886" s="1830"/>
      <c r="E886" s="1830"/>
      <c r="F886" s="1828"/>
      <c r="G886" s="65">
        <f>ROUND(SUM(G883:G885),2)</f>
        <v>18</v>
      </c>
    </row>
    <row r="887" spans="1:7" ht="14.25" customHeight="1">
      <c r="A887" s="1837"/>
      <c r="B887" s="1838"/>
      <c r="C887" s="1838"/>
      <c r="D887" s="1838"/>
      <c r="E887" s="1838"/>
      <c r="F887" s="1838"/>
      <c r="G887" s="1839"/>
    </row>
    <row r="888" spans="1:7" ht="14.25" customHeight="1">
      <c r="A888" s="66" t="s">
        <v>877</v>
      </c>
      <c r="B888" s="1832" t="str">
        <f>+$B$867</f>
        <v xml:space="preserve">INSTALACIONES HIDROSANITARIAS           </v>
      </c>
      <c r="C888" s="1830"/>
      <c r="D888" s="1828"/>
      <c r="E888" s="1833" t="s">
        <v>218</v>
      </c>
      <c r="F888" s="1862"/>
      <c r="G888" s="70" t="s">
        <v>127</v>
      </c>
    </row>
    <row r="889" spans="1:7" ht="23.25" customHeight="1">
      <c r="A889" s="66" t="s">
        <v>869</v>
      </c>
      <c r="B889" s="1835" t="s">
        <v>1105</v>
      </c>
      <c r="C889" s="1621"/>
      <c r="D889" s="1621"/>
      <c r="E889" s="1621"/>
      <c r="F889" s="1621"/>
      <c r="G889" s="1622"/>
    </row>
    <row r="890" spans="1:7" ht="14.25" customHeight="1">
      <c r="A890" s="1836" t="s">
        <v>220</v>
      </c>
      <c r="B890" s="1830"/>
      <c r="C890" s="1830"/>
      <c r="D890" s="1830"/>
      <c r="E890" s="1830"/>
      <c r="F890" s="1830"/>
      <c r="G890" s="1828"/>
    </row>
    <row r="891" spans="1:7" ht="14.25" customHeight="1">
      <c r="A891" s="1829" t="s">
        <v>221</v>
      </c>
      <c r="B891" s="1828"/>
      <c r="C891" s="63" t="s">
        <v>222</v>
      </c>
      <c r="D891" s="63" t="s">
        <v>252</v>
      </c>
      <c r="E891" s="63" t="s">
        <v>224</v>
      </c>
      <c r="F891" s="63" t="s">
        <v>225</v>
      </c>
      <c r="G891" s="63" t="s">
        <v>226</v>
      </c>
    </row>
    <row r="892" spans="1:7" ht="14.25" customHeight="1">
      <c r="A892" s="1827" t="str">
        <f>+$A$885</f>
        <v>General</v>
      </c>
      <c r="B892" s="1828"/>
      <c r="C892" s="64"/>
      <c r="D892" s="64"/>
      <c r="E892" s="64"/>
      <c r="F892" s="64">
        <v>1</v>
      </c>
      <c r="G892" s="64">
        <f>+F892</f>
        <v>1</v>
      </c>
    </row>
    <row r="893" spans="1:7" ht="14.25" customHeight="1">
      <c r="A893" s="1829" t="s">
        <v>227</v>
      </c>
      <c r="B893" s="1830"/>
      <c r="C893" s="1830"/>
      <c r="D893" s="1830"/>
      <c r="E893" s="1830"/>
      <c r="F893" s="1828"/>
      <c r="G893" s="65">
        <f>ROUND(SUM(G890:G892),2)</f>
        <v>1</v>
      </c>
    </row>
    <row r="894" spans="1:7" ht="14.25" customHeight="1">
      <c r="A894" s="1837"/>
      <c r="B894" s="1838"/>
      <c r="C894" s="1838"/>
      <c r="D894" s="1838"/>
      <c r="E894" s="1838"/>
      <c r="F894" s="1838"/>
      <c r="G894" s="1839"/>
    </row>
    <row r="895" spans="1:7" ht="14.25" customHeight="1">
      <c r="A895" s="66" t="s">
        <v>877</v>
      </c>
      <c r="B895" s="1832" t="s">
        <v>498</v>
      </c>
      <c r="C895" s="1830"/>
      <c r="D895" s="1828"/>
      <c r="E895" s="1833" t="s">
        <v>218</v>
      </c>
      <c r="F895" s="1862"/>
      <c r="G895" s="70" t="s">
        <v>127</v>
      </c>
    </row>
    <row r="896" spans="1:7" ht="17.25" customHeight="1">
      <c r="A896" s="66" t="s">
        <v>871</v>
      </c>
      <c r="B896" s="1835" t="s">
        <v>1106</v>
      </c>
      <c r="C896" s="1621"/>
      <c r="D896" s="1621"/>
      <c r="E896" s="1621"/>
      <c r="F896" s="1621"/>
      <c r="G896" s="1622"/>
    </row>
    <row r="897" spans="1:7" ht="14.25" customHeight="1">
      <c r="A897" s="1836" t="s">
        <v>220</v>
      </c>
      <c r="B897" s="1830"/>
      <c r="C897" s="1830"/>
      <c r="D897" s="1830"/>
      <c r="E897" s="1830"/>
      <c r="F897" s="1830"/>
      <c r="G897" s="1828"/>
    </row>
    <row r="898" spans="1:7" ht="14.25" customHeight="1">
      <c r="A898" s="1829" t="s">
        <v>221</v>
      </c>
      <c r="B898" s="1828"/>
      <c r="C898" s="63" t="s">
        <v>222</v>
      </c>
      <c r="D898" s="63" t="s">
        <v>252</v>
      </c>
      <c r="E898" s="63" t="s">
        <v>224</v>
      </c>
      <c r="F898" s="63" t="s">
        <v>225</v>
      </c>
      <c r="G898" s="63" t="s">
        <v>226</v>
      </c>
    </row>
    <row r="899" spans="1:7" ht="15" customHeight="1">
      <c r="A899" s="1827" t="str">
        <f>+$A$885</f>
        <v>General</v>
      </c>
      <c r="B899" s="1828"/>
      <c r="C899" s="64"/>
      <c r="D899" s="64"/>
      <c r="E899" s="64"/>
      <c r="F899" s="64">
        <v>2</v>
      </c>
      <c r="G899" s="64">
        <f>+F899</f>
        <v>2</v>
      </c>
    </row>
    <row r="900" spans="1:7" ht="14.25" customHeight="1">
      <c r="A900" s="1829" t="s">
        <v>227</v>
      </c>
      <c r="B900" s="1830"/>
      <c r="C900" s="1830"/>
      <c r="D900" s="1830"/>
      <c r="E900" s="1830"/>
      <c r="F900" s="1828"/>
      <c r="G900" s="65">
        <f>ROUND(SUM(G897:G899),2)</f>
        <v>2</v>
      </c>
    </row>
    <row r="901" spans="1:7" ht="14.25" customHeight="1">
      <c r="A901" s="1837"/>
      <c r="B901" s="1838"/>
      <c r="C901" s="1838"/>
      <c r="D901" s="1838"/>
      <c r="E901" s="1838"/>
      <c r="F901" s="1838"/>
      <c r="G901" s="1839"/>
    </row>
    <row r="902" spans="1:7" ht="19.5" customHeight="1">
      <c r="A902" s="66" t="str">
        <f>+A881</f>
        <v>CAPITULO 7:</v>
      </c>
      <c r="B902" s="1832" t="str">
        <f>+$B$867</f>
        <v xml:space="preserve">INSTALACIONES HIDROSANITARIAS           </v>
      </c>
      <c r="C902" s="1830"/>
      <c r="D902" s="1828"/>
      <c r="E902" s="1833" t="s">
        <v>218</v>
      </c>
      <c r="F902" s="1834"/>
      <c r="G902" s="70" t="s">
        <v>127</v>
      </c>
    </row>
    <row r="903" spans="1:7" ht="39.75" customHeight="1">
      <c r="A903" s="66" t="s">
        <v>873</v>
      </c>
      <c r="B903" s="1835" t="s">
        <v>1107</v>
      </c>
      <c r="C903" s="1621"/>
      <c r="D903" s="1621"/>
      <c r="E903" s="1621"/>
      <c r="F903" s="1621"/>
      <c r="G903" s="1622"/>
    </row>
    <row r="904" spans="1:7" ht="14.25" customHeight="1">
      <c r="A904" s="1836" t="s">
        <v>220</v>
      </c>
      <c r="B904" s="1830"/>
      <c r="C904" s="1830"/>
      <c r="D904" s="1830"/>
      <c r="E904" s="1830"/>
      <c r="F904" s="1830"/>
      <c r="G904" s="1828"/>
    </row>
    <row r="905" spans="1:7" ht="14.25" customHeight="1">
      <c r="A905" s="1829" t="s">
        <v>221</v>
      </c>
      <c r="B905" s="1828"/>
      <c r="C905" s="63" t="s">
        <v>222</v>
      </c>
      <c r="D905" s="63" t="s">
        <v>252</v>
      </c>
      <c r="E905" s="63" t="s">
        <v>224</v>
      </c>
      <c r="F905" s="63" t="s">
        <v>225</v>
      </c>
      <c r="G905" s="63" t="s">
        <v>226</v>
      </c>
    </row>
    <row r="906" spans="1:7" ht="14.25" customHeight="1">
      <c r="A906" s="1827" t="s">
        <v>1108</v>
      </c>
      <c r="B906" s="1828"/>
      <c r="C906" s="64"/>
      <c r="D906" s="64"/>
      <c r="E906" s="64"/>
      <c r="F906" s="64">
        <v>11</v>
      </c>
      <c r="G906" s="64">
        <f>+F906</f>
        <v>11</v>
      </c>
    </row>
    <row r="907" spans="1:7" ht="14.25" customHeight="1">
      <c r="A907" s="1829" t="s">
        <v>227</v>
      </c>
      <c r="B907" s="1830"/>
      <c r="C907" s="1830"/>
      <c r="D907" s="1830"/>
      <c r="E907" s="1830"/>
      <c r="F907" s="1828"/>
      <c r="G907" s="65">
        <f>ROUND(SUM(G904:G906),2)</f>
        <v>11</v>
      </c>
    </row>
    <row r="908" spans="1:7" ht="14.25" customHeight="1">
      <c r="A908" s="1837"/>
      <c r="B908" s="1838"/>
      <c r="C908" s="1838"/>
      <c r="D908" s="1838"/>
      <c r="E908" s="1838"/>
      <c r="F908" s="1838"/>
      <c r="G908" s="1839"/>
    </row>
    <row r="909" spans="1:7" ht="18.75" customHeight="1">
      <c r="A909" s="66" t="str">
        <f>+A902</f>
        <v>CAPITULO 7:</v>
      </c>
      <c r="B909" s="1832" t="str">
        <f>+$B$867</f>
        <v xml:space="preserve">INSTALACIONES HIDROSANITARIAS           </v>
      </c>
      <c r="C909" s="1830"/>
      <c r="D909" s="1828"/>
      <c r="E909" s="1833" t="s">
        <v>218</v>
      </c>
      <c r="F909" s="1834"/>
      <c r="G909" s="70" t="s">
        <v>127</v>
      </c>
    </row>
    <row r="910" spans="1:7" ht="42" customHeight="1">
      <c r="A910" s="66" t="s">
        <v>875</v>
      </c>
      <c r="B910" s="1835" t="s">
        <v>1109</v>
      </c>
      <c r="C910" s="1621"/>
      <c r="D910" s="1621"/>
      <c r="E910" s="1621"/>
      <c r="F910" s="1621"/>
      <c r="G910" s="1622"/>
    </row>
    <row r="911" spans="1:7" ht="14.25" customHeight="1">
      <c r="A911" s="1836" t="s">
        <v>220</v>
      </c>
      <c r="B911" s="1830"/>
      <c r="C911" s="1830"/>
      <c r="D911" s="1830"/>
      <c r="E911" s="1830"/>
      <c r="F911" s="1830"/>
      <c r="G911" s="1828"/>
    </row>
    <row r="912" spans="1:7" ht="14.25" customHeight="1">
      <c r="A912" s="1829" t="s">
        <v>221</v>
      </c>
      <c r="B912" s="1828"/>
      <c r="C912" s="63" t="s">
        <v>222</v>
      </c>
      <c r="D912" s="63" t="s">
        <v>252</v>
      </c>
      <c r="E912" s="63" t="s">
        <v>224</v>
      </c>
      <c r="F912" s="63" t="s">
        <v>225</v>
      </c>
      <c r="G912" s="63" t="s">
        <v>226</v>
      </c>
    </row>
    <row r="913" spans="1:7" ht="14.25" customHeight="1">
      <c r="A913" s="1827" t="s">
        <v>1108</v>
      </c>
      <c r="B913" s="1828"/>
      <c r="C913" s="64"/>
      <c r="D913" s="64"/>
      <c r="E913" s="64"/>
      <c r="F913" s="64">
        <v>2</v>
      </c>
      <c r="G913" s="64">
        <f>+F913</f>
        <v>2</v>
      </c>
    </row>
    <row r="914" spans="1:7" ht="14.25" customHeight="1">
      <c r="A914" s="1829" t="s">
        <v>227</v>
      </c>
      <c r="B914" s="1830"/>
      <c r="C914" s="1830"/>
      <c r="D914" s="1830"/>
      <c r="E914" s="1830"/>
      <c r="F914" s="1828"/>
      <c r="G914" s="65">
        <f>ROUND(SUM(G911:G913),2)</f>
        <v>2</v>
      </c>
    </row>
    <row r="915" spans="1:7" ht="14.25" customHeight="1">
      <c r="A915" s="198"/>
      <c r="B915" s="198"/>
      <c r="C915" s="198"/>
      <c r="D915" s="198"/>
      <c r="E915" s="198"/>
      <c r="F915" s="198"/>
      <c r="G915" s="198"/>
    </row>
    <row r="916" spans="1:7" ht="14.25" customHeight="1">
      <c r="A916" s="1837"/>
      <c r="B916" s="1838"/>
      <c r="C916" s="1838"/>
      <c r="D916" s="1838"/>
      <c r="E916" s="1838"/>
      <c r="F916" s="1838"/>
      <c r="G916" s="1839"/>
    </row>
    <row r="917" spans="1:7" ht="20.25" customHeight="1">
      <c r="A917" s="66" t="str">
        <f>+A909</f>
        <v>CAPITULO 7:</v>
      </c>
      <c r="B917" s="1832" t="str">
        <f>+$B$867</f>
        <v xml:space="preserve">INSTALACIONES HIDROSANITARIAS           </v>
      </c>
      <c r="C917" s="1830"/>
      <c r="D917" s="1828"/>
      <c r="E917" s="1833" t="s">
        <v>218</v>
      </c>
      <c r="F917" s="1834"/>
      <c r="G917" s="70" t="s">
        <v>127</v>
      </c>
    </row>
    <row r="918" spans="1:7" ht="34.5" customHeight="1">
      <c r="A918" s="66" t="s">
        <v>1110</v>
      </c>
      <c r="B918" s="1835" t="s">
        <v>1111</v>
      </c>
      <c r="C918" s="1621"/>
      <c r="D918" s="1621"/>
      <c r="E918" s="1621"/>
      <c r="F918" s="1621"/>
      <c r="G918" s="1622"/>
    </row>
    <row r="919" spans="1:7" ht="14.25" customHeight="1">
      <c r="A919" s="1836" t="s">
        <v>220</v>
      </c>
      <c r="B919" s="1830"/>
      <c r="C919" s="1830"/>
      <c r="D919" s="1830"/>
      <c r="E919" s="1830"/>
      <c r="F919" s="1830"/>
      <c r="G919" s="1828"/>
    </row>
    <row r="920" spans="1:7" ht="14.25" customHeight="1">
      <c r="A920" s="1829" t="s">
        <v>221</v>
      </c>
      <c r="B920" s="1828"/>
      <c r="C920" s="63" t="s">
        <v>222</v>
      </c>
      <c r="D920" s="63" t="s">
        <v>252</v>
      </c>
      <c r="E920" s="63" t="s">
        <v>224</v>
      </c>
      <c r="F920" s="63" t="s">
        <v>225</v>
      </c>
      <c r="G920" s="63" t="s">
        <v>226</v>
      </c>
    </row>
    <row r="921" spans="1:7" ht="33" customHeight="1">
      <c r="A921" s="1827" t="s">
        <v>1112</v>
      </c>
      <c r="B921" s="1828"/>
      <c r="C921" s="64"/>
      <c r="D921" s="64"/>
      <c r="E921" s="64"/>
      <c r="F921" s="64">
        <v>3</v>
      </c>
      <c r="G921" s="64">
        <f t="shared" ref="G921:G922" si="60">+F921</f>
        <v>3</v>
      </c>
    </row>
    <row r="922" spans="1:7" ht="14.25" customHeight="1">
      <c r="A922" s="1827"/>
      <c r="B922" s="1828"/>
      <c r="C922" s="64"/>
      <c r="D922" s="64"/>
      <c r="E922" s="64"/>
      <c r="F922" s="64"/>
      <c r="G922" s="64">
        <f t="shared" si="60"/>
        <v>0</v>
      </c>
    </row>
    <row r="923" spans="1:7" ht="14.25" customHeight="1">
      <c r="A923" s="1829" t="s">
        <v>227</v>
      </c>
      <c r="B923" s="1830"/>
      <c r="C923" s="1830"/>
      <c r="D923" s="1830"/>
      <c r="E923" s="1830"/>
      <c r="F923" s="1828"/>
      <c r="G923" s="65">
        <f>ROUND(SUM(G920:G922),2)</f>
        <v>3</v>
      </c>
    </row>
    <row r="924" spans="1:7" ht="29.25" customHeight="1">
      <c r="A924" s="66" t="str">
        <f t="shared" ref="A924:B924" si="61">+A917</f>
        <v>CAPITULO 7:</v>
      </c>
      <c r="B924" s="1832" t="str">
        <f t="shared" si="61"/>
        <v xml:space="preserve">INSTALACIONES HIDROSANITARIAS           </v>
      </c>
      <c r="C924" s="1830"/>
      <c r="D924" s="1828"/>
      <c r="E924" s="1833" t="s">
        <v>218</v>
      </c>
      <c r="F924" s="1834"/>
      <c r="G924" s="70" t="s">
        <v>116</v>
      </c>
    </row>
    <row r="925" spans="1:7" ht="32.25" customHeight="1">
      <c r="A925" s="66" t="s">
        <v>1113</v>
      </c>
      <c r="B925" s="1835" t="s">
        <v>1114</v>
      </c>
      <c r="C925" s="1621"/>
      <c r="D925" s="1621"/>
      <c r="E925" s="1621"/>
      <c r="F925" s="1621"/>
      <c r="G925" s="1622"/>
    </row>
    <row r="926" spans="1:7" ht="14.25" customHeight="1">
      <c r="A926" s="1836" t="s">
        <v>220</v>
      </c>
      <c r="B926" s="1830"/>
      <c r="C926" s="1830"/>
      <c r="D926" s="1830"/>
      <c r="E926" s="1830"/>
      <c r="F926" s="1830"/>
      <c r="G926" s="1828"/>
    </row>
    <row r="927" spans="1:7" ht="14.25" customHeight="1">
      <c r="A927" s="1829" t="s">
        <v>221</v>
      </c>
      <c r="B927" s="1828"/>
      <c r="C927" s="63" t="s">
        <v>222</v>
      </c>
      <c r="D927" s="63" t="s">
        <v>252</v>
      </c>
      <c r="E927" s="63" t="s">
        <v>224</v>
      </c>
      <c r="F927" s="63" t="s">
        <v>225</v>
      </c>
      <c r="G927" s="63" t="s">
        <v>226</v>
      </c>
    </row>
    <row r="928" spans="1:7" ht="14.25" customHeight="1">
      <c r="A928" s="1827" t="s">
        <v>1115</v>
      </c>
      <c r="B928" s="1828"/>
      <c r="C928" s="64"/>
      <c r="D928" s="64">
        <v>69.8</v>
      </c>
      <c r="E928" s="64"/>
      <c r="F928" s="64"/>
      <c r="G928" s="64">
        <f>D928</f>
        <v>69.8</v>
      </c>
    </row>
    <row r="929" spans="1:7" ht="14.25" customHeight="1">
      <c r="A929" s="1827"/>
      <c r="B929" s="1828"/>
      <c r="C929" s="64"/>
      <c r="D929" s="64"/>
      <c r="E929" s="64"/>
      <c r="F929" s="64"/>
      <c r="G929" s="64">
        <f>+F929</f>
        <v>0</v>
      </c>
    </row>
    <row r="930" spans="1:7" ht="14.25" customHeight="1">
      <c r="A930" s="1829" t="s">
        <v>227</v>
      </c>
      <c r="B930" s="1830"/>
      <c r="C930" s="1830"/>
      <c r="D930" s="1830"/>
      <c r="E930" s="1830"/>
      <c r="F930" s="1828"/>
      <c r="G930" s="65">
        <f>ROUND(SUM(G927:G929),2)</f>
        <v>69.8</v>
      </c>
    </row>
    <row r="931" spans="1:7" ht="14.25" customHeight="1">
      <c r="A931" s="1837"/>
      <c r="B931" s="1838"/>
      <c r="C931" s="1838"/>
      <c r="D931" s="1838"/>
      <c r="E931" s="1838"/>
      <c r="F931" s="1838"/>
      <c r="G931" s="1839"/>
    </row>
    <row r="932" spans="1:7" ht="22.5" customHeight="1">
      <c r="A932" s="66" t="str">
        <f>+A924</f>
        <v>CAPITULO 7:</v>
      </c>
      <c r="B932" s="1832" t="str">
        <f>+$B$867</f>
        <v xml:space="preserve">INSTALACIONES HIDROSANITARIAS           </v>
      </c>
      <c r="C932" s="1830"/>
      <c r="D932" s="1828"/>
      <c r="E932" s="1833" t="s">
        <v>218</v>
      </c>
      <c r="F932" s="1834"/>
      <c r="G932" s="70" t="s">
        <v>171</v>
      </c>
    </row>
    <row r="933" spans="1:7" ht="14.25" customHeight="1">
      <c r="A933" s="66" t="s">
        <v>1116</v>
      </c>
      <c r="B933" s="1835" t="s">
        <v>1117</v>
      </c>
      <c r="C933" s="1621"/>
      <c r="D933" s="1621"/>
      <c r="E933" s="1621"/>
      <c r="F933" s="1621"/>
      <c r="G933" s="1622"/>
    </row>
    <row r="934" spans="1:7" ht="14.25" customHeight="1">
      <c r="A934" s="1836" t="s">
        <v>220</v>
      </c>
      <c r="B934" s="1830"/>
      <c r="C934" s="1830"/>
      <c r="D934" s="1830"/>
      <c r="E934" s="1830"/>
      <c r="F934" s="1830"/>
      <c r="G934" s="1828"/>
    </row>
    <row r="935" spans="1:7" ht="14.25" customHeight="1">
      <c r="A935" s="1829" t="s">
        <v>221</v>
      </c>
      <c r="B935" s="1828"/>
      <c r="C935" s="63" t="s">
        <v>222</v>
      </c>
      <c r="D935" s="63" t="s">
        <v>252</v>
      </c>
      <c r="E935" s="63" t="s">
        <v>224</v>
      </c>
      <c r="F935" s="63" t="s">
        <v>225</v>
      </c>
      <c r="G935" s="63" t="s">
        <v>226</v>
      </c>
    </row>
    <row r="936" spans="1:7" ht="14.25" customHeight="1">
      <c r="A936" s="1827" t="s">
        <v>1118</v>
      </c>
      <c r="B936" s="1828"/>
      <c r="C936" s="64"/>
      <c r="D936" s="64"/>
      <c r="E936" s="64"/>
      <c r="F936" s="64">
        <v>11281</v>
      </c>
      <c r="G936" s="64">
        <f t="shared" ref="G936:G937" si="62">+F936</f>
        <v>11281</v>
      </c>
    </row>
    <row r="937" spans="1:7" ht="14.25" customHeight="1">
      <c r="A937" s="1827"/>
      <c r="B937" s="1828"/>
      <c r="C937" s="64"/>
      <c r="D937" s="64"/>
      <c r="E937" s="64"/>
      <c r="F937" s="64"/>
      <c r="G937" s="64">
        <f t="shared" si="62"/>
        <v>0</v>
      </c>
    </row>
    <row r="938" spans="1:7" ht="14.25" customHeight="1">
      <c r="A938" s="1829" t="s">
        <v>227</v>
      </c>
      <c r="B938" s="1830"/>
      <c r="C938" s="1830"/>
      <c r="D938" s="1830"/>
      <c r="E938" s="1830"/>
      <c r="F938" s="1828"/>
      <c r="G938" s="65">
        <f>ROUND(SUM(G935:G937),2)</f>
        <v>11281</v>
      </c>
    </row>
    <row r="939" spans="1:7" ht="14.25" customHeight="1">
      <c r="A939" s="1837"/>
      <c r="B939" s="1838"/>
      <c r="C939" s="1838"/>
      <c r="D939" s="1838"/>
      <c r="E939" s="1838"/>
      <c r="F939" s="1838"/>
      <c r="G939" s="1839"/>
    </row>
    <row r="940" spans="1:7" ht="27" customHeight="1">
      <c r="A940" s="66" t="str">
        <f>+A932</f>
        <v>CAPITULO 7:</v>
      </c>
      <c r="B940" s="1832" t="str">
        <f>+$B$867</f>
        <v xml:space="preserve">INSTALACIONES HIDROSANITARIAS           </v>
      </c>
      <c r="C940" s="1830"/>
      <c r="D940" s="1828"/>
      <c r="E940" s="1833" t="s">
        <v>218</v>
      </c>
      <c r="F940" s="1834"/>
      <c r="G940" s="70" t="s">
        <v>127</v>
      </c>
    </row>
    <row r="941" spans="1:7" ht="14.25" customHeight="1">
      <c r="A941" s="66" t="s">
        <v>1119</v>
      </c>
      <c r="B941" s="1835" t="s">
        <v>1120</v>
      </c>
      <c r="C941" s="1621"/>
      <c r="D941" s="1621"/>
      <c r="E941" s="1621"/>
      <c r="F941" s="1621"/>
      <c r="G941" s="1622"/>
    </row>
    <row r="942" spans="1:7" ht="14.25" customHeight="1">
      <c r="A942" s="1836" t="s">
        <v>220</v>
      </c>
      <c r="B942" s="1830"/>
      <c r="C942" s="1830"/>
      <c r="D942" s="1830"/>
      <c r="E942" s="1830"/>
      <c r="F942" s="1830"/>
      <c r="G942" s="1828"/>
    </row>
    <row r="943" spans="1:7" ht="14.25" customHeight="1">
      <c r="A943" s="1829" t="s">
        <v>221</v>
      </c>
      <c r="B943" s="1828"/>
      <c r="C943" s="63" t="s">
        <v>222</v>
      </c>
      <c r="D943" s="63" t="s">
        <v>252</v>
      </c>
      <c r="E943" s="63" t="s">
        <v>224</v>
      </c>
      <c r="F943" s="63" t="s">
        <v>225</v>
      </c>
      <c r="G943" s="63" t="s">
        <v>226</v>
      </c>
    </row>
    <row r="944" spans="1:7" ht="14.25" customHeight="1">
      <c r="A944" s="1827" t="s">
        <v>1118</v>
      </c>
      <c r="B944" s="1828"/>
      <c r="C944" s="64"/>
      <c r="D944" s="64"/>
      <c r="E944" s="64"/>
      <c r="F944" s="64">
        <v>3</v>
      </c>
      <c r="G944" s="64">
        <f t="shared" ref="G944:G945" si="63">+F944</f>
        <v>3</v>
      </c>
    </row>
    <row r="945" spans="1:7" ht="14.25" customHeight="1">
      <c r="A945" s="1827"/>
      <c r="B945" s="1828"/>
      <c r="C945" s="64"/>
      <c r="D945" s="64"/>
      <c r="E945" s="64"/>
      <c r="F945" s="64"/>
      <c r="G945" s="64">
        <f t="shared" si="63"/>
        <v>0</v>
      </c>
    </row>
    <row r="946" spans="1:7" ht="14.25" customHeight="1">
      <c r="A946" s="1829" t="s">
        <v>227</v>
      </c>
      <c r="B946" s="1830"/>
      <c r="C946" s="1830"/>
      <c r="D946" s="1830"/>
      <c r="E946" s="1830"/>
      <c r="F946" s="1828"/>
      <c r="G946" s="65">
        <f>ROUND(SUM(G943:G945),2)</f>
        <v>3</v>
      </c>
    </row>
    <row r="947" spans="1:7" ht="14.25" customHeight="1">
      <c r="A947" s="1837"/>
      <c r="B947" s="1838"/>
      <c r="C947" s="1838"/>
      <c r="D947" s="1838"/>
      <c r="E947" s="1838"/>
      <c r="F947" s="1838"/>
      <c r="G947" s="1839"/>
    </row>
    <row r="948" spans="1:7" ht="17.25" customHeight="1">
      <c r="A948" s="66" t="str">
        <f>+A940</f>
        <v>CAPITULO 7:</v>
      </c>
      <c r="B948" s="1832" t="str">
        <f>+$B$867</f>
        <v xml:space="preserve">INSTALACIONES HIDROSANITARIAS           </v>
      </c>
      <c r="C948" s="1830"/>
      <c r="D948" s="1828"/>
      <c r="E948" s="1833" t="s">
        <v>218</v>
      </c>
      <c r="F948" s="1834"/>
      <c r="G948" s="70" t="s">
        <v>127</v>
      </c>
    </row>
    <row r="949" spans="1:7" ht="14.25" customHeight="1">
      <c r="A949" s="66" t="s">
        <v>1121</v>
      </c>
      <c r="B949" s="1835" t="s">
        <v>1122</v>
      </c>
      <c r="C949" s="1621"/>
      <c r="D949" s="1621"/>
      <c r="E949" s="1621"/>
      <c r="F949" s="1621"/>
      <c r="G949" s="1622"/>
    </row>
    <row r="950" spans="1:7" ht="14.25" customHeight="1">
      <c r="A950" s="1836" t="s">
        <v>220</v>
      </c>
      <c r="B950" s="1830"/>
      <c r="C950" s="1830"/>
      <c r="D950" s="1830"/>
      <c r="E950" s="1830"/>
      <c r="F950" s="1830"/>
      <c r="G950" s="1828"/>
    </row>
    <row r="951" spans="1:7" ht="14.25" customHeight="1">
      <c r="A951" s="1829" t="s">
        <v>221</v>
      </c>
      <c r="B951" s="1828"/>
      <c r="C951" s="63" t="s">
        <v>222</v>
      </c>
      <c r="D951" s="63" t="s">
        <v>252</v>
      </c>
      <c r="E951" s="63" t="s">
        <v>224</v>
      </c>
      <c r="F951" s="63" t="s">
        <v>225</v>
      </c>
      <c r="G951" s="63" t="s">
        <v>226</v>
      </c>
    </row>
    <row r="952" spans="1:7" ht="14.25" customHeight="1">
      <c r="A952" s="1827" t="s">
        <v>1118</v>
      </c>
      <c r="B952" s="1828"/>
      <c r="C952" s="64"/>
      <c r="D952" s="64"/>
      <c r="E952" s="64"/>
      <c r="F952" s="64">
        <v>2</v>
      </c>
      <c r="G952" s="64">
        <f t="shared" ref="G952:G953" si="64">+F952</f>
        <v>2</v>
      </c>
    </row>
    <row r="953" spans="1:7" ht="14.25" customHeight="1">
      <c r="A953" s="1827"/>
      <c r="B953" s="1828"/>
      <c r="C953" s="64"/>
      <c r="D953" s="64"/>
      <c r="E953" s="64"/>
      <c r="F953" s="64"/>
      <c r="G953" s="64">
        <f t="shared" si="64"/>
        <v>0</v>
      </c>
    </row>
    <row r="954" spans="1:7" ht="14.25" customHeight="1">
      <c r="A954" s="1829" t="s">
        <v>227</v>
      </c>
      <c r="B954" s="1830"/>
      <c r="C954" s="1830"/>
      <c r="D954" s="1830"/>
      <c r="E954" s="1830"/>
      <c r="F954" s="1828"/>
      <c r="G954" s="65">
        <f>ROUND(SUM(G951:G953),2)</f>
        <v>2</v>
      </c>
    </row>
    <row r="955" spans="1:7" ht="14.25" customHeight="1">
      <c r="A955" s="1837"/>
      <c r="B955" s="1838"/>
      <c r="C955" s="1838"/>
      <c r="D955" s="1838"/>
      <c r="E955" s="1838"/>
      <c r="F955" s="1838"/>
      <c r="G955" s="1839"/>
    </row>
    <row r="956" spans="1:7" ht="14.25" customHeight="1">
      <c r="A956" s="66" t="str">
        <f t="shared" ref="A956:B956" si="65">+A948</f>
        <v>CAPITULO 7:</v>
      </c>
      <c r="B956" s="1832" t="str">
        <f t="shared" si="65"/>
        <v xml:space="preserve">INSTALACIONES HIDROSANITARIAS           </v>
      </c>
      <c r="C956" s="1830"/>
      <c r="D956" s="1828"/>
      <c r="E956" s="1833" t="s">
        <v>218</v>
      </c>
      <c r="F956" s="1834"/>
      <c r="G956" s="70" t="s">
        <v>228</v>
      </c>
    </row>
    <row r="957" spans="1:7" ht="34.5" customHeight="1">
      <c r="A957" s="66" t="s">
        <v>1123</v>
      </c>
      <c r="B957" s="1835" t="s">
        <v>1124</v>
      </c>
      <c r="C957" s="1621"/>
      <c r="D957" s="1621"/>
      <c r="E957" s="1621"/>
      <c r="F957" s="1621"/>
      <c r="G957" s="1622"/>
    </row>
    <row r="958" spans="1:7" ht="14.25" customHeight="1">
      <c r="A958" s="1836" t="s">
        <v>220</v>
      </c>
      <c r="B958" s="1830"/>
      <c r="C958" s="1830"/>
      <c r="D958" s="1830"/>
      <c r="E958" s="1830"/>
      <c r="F958" s="1830"/>
      <c r="G958" s="1828"/>
    </row>
    <row r="959" spans="1:7" ht="14.25" customHeight="1">
      <c r="A959" s="1829" t="s">
        <v>221</v>
      </c>
      <c r="B959" s="1828"/>
      <c r="C959" s="63" t="s">
        <v>222</v>
      </c>
      <c r="D959" s="63" t="s">
        <v>252</v>
      </c>
      <c r="E959" s="63" t="s">
        <v>224</v>
      </c>
      <c r="F959" s="63" t="s">
        <v>225</v>
      </c>
      <c r="G959" s="63" t="s">
        <v>226</v>
      </c>
    </row>
    <row r="960" spans="1:7" ht="14.25" customHeight="1">
      <c r="A960" s="1827" t="s">
        <v>1118</v>
      </c>
      <c r="B960" s="1828"/>
      <c r="C960" s="64">
        <v>170</v>
      </c>
      <c r="D960" s="64"/>
      <c r="E960" s="64"/>
      <c r="F960" s="64"/>
      <c r="G960" s="64">
        <f>C960</f>
        <v>170</v>
      </c>
    </row>
    <row r="961" spans="1:7" ht="14.25" customHeight="1">
      <c r="A961" s="1827"/>
      <c r="B961" s="1828"/>
      <c r="C961" s="64"/>
      <c r="D961" s="64"/>
      <c r="E961" s="64"/>
      <c r="F961" s="64"/>
      <c r="G961" s="64">
        <f>+F961</f>
        <v>0</v>
      </c>
    </row>
    <row r="962" spans="1:7" ht="14.25" customHeight="1">
      <c r="A962" s="1829" t="s">
        <v>227</v>
      </c>
      <c r="B962" s="1830"/>
      <c r="C962" s="1830"/>
      <c r="D962" s="1830"/>
      <c r="E962" s="1830"/>
      <c r="F962" s="1828"/>
      <c r="G962" s="65">
        <f>ROUND(SUM(G959:G961),2)</f>
        <v>170</v>
      </c>
    </row>
    <row r="963" spans="1:7" ht="14.25" customHeight="1">
      <c r="A963" s="1837"/>
      <c r="B963" s="1838"/>
      <c r="C963" s="1838"/>
      <c r="D963" s="1838"/>
      <c r="E963" s="1838"/>
      <c r="F963" s="1838"/>
      <c r="G963" s="1839"/>
    </row>
    <row r="964" spans="1:7" ht="17.25" customHeight="1">
      <c r="A964" s="66" t="str">
        <f>+A956</f>
        <v>CAPITULO 7:</v>
      </c>
      <c r="B964" s="1832" t="str">
        <f>+$B$867</f>
        <v xml:space="preserve">INSTALACIONES HIDROSANITARIAS           </v>
      </c>
      <c r="C964" s="1830"/>
      <c r="D964" s="1828"/>
      <c r="E964" s="1833" t="s">
        <v>218</v>
      </c>
      <c r="F964" s="1834"/>
      <c r="G964" s="70" t="s">
        <v>228</v>
      </c>
    </row>
    <row r="965" spans="1:7" ht="14.25" customHeight="1">
      <c r="A965" s="66" t="s">
        <v>1125</v>
      </c>
      <c r="B965" s="1835" t="s">
        <v>1126</v>
      </c>
      <c r="C965" s="1621"/>
      <c r="D965" s="1621"/>
      <c r="E965" s="1621"/>
      <c r="F965" s="1621"/>
      <c r="G965" s="1622"/>
    </row>
    <row r="966" spans="1:7" ht="14.25" customHeight="1">
      <c r="A966" s="1836" t="s">
        <v>220</v>
      </c>
      <c r="B966" s="1830"/>
      <c r="C966" s="1830"/>
      <c r="D966" s="1830"/>
      <c r="E966" s="1830"/>
      <c r="F966" s="1830"/>
      <c r="G966" s="1828"/>
    </row>
    <row r="967" spans="1:7" ht="14.25" customHeight="1">
      <c r="A967" s="1829" t="s">
        <v>221</v>
      </c>
      <c r="B967" s="1828"/>
      <c r="C967" s="63" t="s">
        <v>222</v>
      </c>
      <c r="D967" s="63" t="s">
        <v>252</v>
      </c>
      <c r="E967" s="63" t="s">
        <v>224</v>
      </c>
      <c r="F967" s="63" t="s">
        <v>225</v>
      </c>
      <c r="G967" s="63" t="s">
        <v>226</v>
      </c>
    </row>
    <row r="968" spans="1:7" ht="14.25" customHeight="1">
      <c r="A968" s="1827" t="s">
        <v>1118</v>
      </c>
      <c r="B968" s="1828"/>
      <c r="C968" s="64">
        <v>138</v>
      </c>
      <c r="D968" s="64"/>
      <c r="E968" s="64"/>
      <c r="F968" s="64"/>
      <c r="G968" s="64">
        <f>C968</f>
        <v>138</v>
      </c>
    </row>
    <row r="969" spans="1:7" ht="14.25" customHeight="1">
      <c r="A969" s="1827"/>
      <c r="B969" s="1828"/>
      <c r="C969" s="64"/>
      <c r="D969" s="64"/>
      <c r="E969" s="64"/>
      <c r="F969" s="64"/>
      <c r="G969" s="64">
        <f>+F969</f>
        <v>0</v>
      </c>
    </row>
    <row r="970" spans="1:7" ht="14.25" customHeight="1">
      <c r="A970" s="1829" t="s">
        <v>227</v>
      </c>
      <c r="B970" s="1830"/>
      <c r="C970" s="1830"/>
      <c r="D970" s="1830"/>
      <c r="E970" s="1830"/>
      <c r="F970" s="1828"/>
      <c r="G970" s="65">
        <f>ROUND(SUM(G967:G969),2)</f>
        <v>138</v>
      </c>
    </row>
    <row r="971" spans="1:7" ht="14.25" customHeight="1">
      <c r="A971" s="1837"/>
      <c r="B971" s="1838"/>
      <c r="C971" s="1838"/>
      <c r="D971" s="1838"/>
      <c r="E971" s="1838"/>
      <c r="F971" s="1838"/>
      <c r="G971" s="1839"/>
    </row>
    <row r="972" spans="1:7" ht="17.25" customHeight="1">
      <c r="A972" s="66" t="str">
        <f>+A964</f>
        <v>CAPITULO 7:</v>
      </c>
      <c r="B972" s="1832" t="str">
        <f>+$B$867</f>
        <v xml:space="preserve">INSTALACIONES HIDROSANITARIAS           </v>
      </c>
      <c r="C972" s="1830"/>
      <c r="D972" s="1828"/>
      <c r="E972" s="1833" t="s">
        <v>218</v>
      </c>
      <c r="F972" s="1834"/>
      <c r="G972" s="70" t="s">
        <v>127</v>
      </c>
    </row>
    <row r="973" spans="1:7" ht="34.5" customHeight="1">
      <c r="A973" s="66" t="s">
        <v>1127</v>
      </c>
      <c r="B973" s="1835" t="s">
        <v>1128</v>
      </c>
      <c r="C973" s="1621"/>
      <c r="D973" s="1621"/>
      <c r="E973" s="1621"/>
      <c r="F973" s="1621"/>
      <c r="G973" s="1622"/>
    </row>
    <row r="974" spans="1:7" ht="14.25" customHeight="1">
      <c r="A974" s="1836" t="s">
        <v>220</v>
      </c>
      <c r="B974" s="1830"/>
      <c r="C974" s="1830"/>
      <c r="D974" s="1830"/>
      <c r="E974" s="1830"/>
      <c r="F974" s="1830"/>
      <c r="G974" s="1828"/>
    </row>
    <row r="975" spans="1:7" ht="14.25" customHeight="1">
      <c r="A975" s="1829" t="s">
        <v>221</v>
      </c>
      <c r="B975" s="1828"/>
      <c r="C975" s="63" t="s">
        <v>222</v>
      </c>
      <c r="D975" s="63" t="s">
        <v>252</v>
      </c>
      <c r="E975" s="63" t="s">
        <v>224</v>
      </c>
      <c r="F975" s="63" t="s">
        <v>225</v>
      </c>
      <c r="G975" s="63" t="s">
        <v>226</v>
      </c>
    </row>
    <row r="976" spans="1:7" ht="14.25" customHeight="1">
      <c r="A976" s="1827" t="s">
        <v>1118</v>
      </c>
      <c r="B976" s="1828"/>
      <c r="C976" s="64"/>
      <c r="D976" s="64"/>
      <c r="E976" s="64"/>
      <c r="F976" s="64">
        <v>1</v>
      </c>
      <c r="G976" s="64">
        <f t="shared" ref="G976:G977" si="66">+F976</f>
        <v>1</v>
      </c>
    </row>
    <row r="977" spans="1:7" ht="14.25" customHeight="1">
      <c r="A977" s="1827"/>
      <c r="B977" s="1828"/>
      <c r="C977" s="64"/>
      <c r="D977" s="64"/>
      <c r="E977" s="64"/>
      <c r="F977" s="64"/>
      <c r="G977" s="64">
        <f t="shared" si="66"/>
        <v>0</v>
      </c>
    </row>
    <row r="978" spans="1:7" ht="14.25" customHeight="1">
      <c r="A978" s="1829" t="s">
        <v>227</v>
      </c>
      <c r="B978" s="1830"/>
      <c r="C978" s="1830"/>
      <c r="D978" s="1830"/>
      <c r="E978" s="1830"/>
      <c r="F978" s="1828"/>
      <c r="G978" s="65">
        <f>ROUND(SUM(G975:G977),2)</f>
        <v>1</v>
      </c>
    </row>
    <row r="979" spans="1:7" ht="14.25" customHeight="1">
      <c r="A979" s="1831"/>
      <c r="B979" s="1830"/>
      <c r="C979" s="1830"/>
      <c r="D979" s="1830"/>
      <c r="E979" s="1830"/>
      <c r="F979" s="1830"/>
      <c r="G979" s="1828"/>
    </row>
    <row r="980" spans="1:7" ht="14.25" customHeight="1">
      <c r="A980" s="66" t="s">
        <v>877</v>
      </c>
      <c r="B980" s="1832" t="s">
        <v>260</v>
      </c>
      <c r="C980" s="1830"/>
      <c r="D980" s="1828"/>
      <c r="E980" s="1833" t="s">
        <v>218</v>
      </c>
      <c r="F980" s="1834"/>
      <c r="G980" s="70" t="s">
        <v>120</v>
      </c>
    </row>
    <row r="981" spans="1:7" ht="14.25" customHeight="1">
      <c r="A981" s="66" t="s">
        <v>878</v>
      </c>
      <c r="B981" s="1835" t="s">
        <v>1129</v>
      </c>
      <c r="C981" s="1621"/>
      <c r="D981" s="1621"/>
      <c r="E981" s="1621"/>
      <c r="F981" s="1621"/>
      <c r="G981" s="1622"/>
    </row>
    <row r="982" spans="1:7" ht="14.25" customHeight="1">
      <c r="A982" s="1836" t="s">
        <v>220</v>
      </c>
      <c r="B982" s="1830"/>
      <c r="C982" s="1830"/>
      <c r="D982" s="1830"/>
      <c r="E982" s="1830"/>
      <c r="F982" s="1830"/>
      <c r="G982" s="1828"/>
    </row>
    <row r="983" spans="1:7" ht="14.25" customHeight="1">
      <c r="A983" s="1829" t="s">
        <v>221</v>
      </c>
      <c r="B983" s="1828"/>
      <c r="C983" s="63" t="s">
        <v>222</v>
      </c>
      <c r="D983" s="63" t="s">
        <v>252</v>
      </c>
      <c r="E983" s="63" t="s">
        <v>224</v>
      </c>
      <c r="F983" s="63" t="s">
        <v>225</v>
      </c>
      <c r="G983" s="63" t="s">
        <v>226</v>
      </c>
    </row>
    <row r="984" spans="1:7" ht="14.25" customHeight="1">
      <c r="A984" s="1827" t="s">
        <v>827</v>
      </c>
      <c r="B984" s="1828"/>
      <c r="C984" s="64">
        <v>115</v>
      </c>
      <c r="D984" s="64"/>
      <c r="E984" s="64"/>
      <c r="F984" s="64"/>
      <c r="G984" s="64">
        <f>C984</f>
        <v>115</v>
      </c>
    </row>
    <row r="985" spans="1:7" ht="14.25" customHeight="1">
      <c r="A985" s="1827"/>
      <c r="B985" s="1828"/>
      <c r="C985" s="64"/>
      <c r="D985" s="64"/>
      <c r="E985" s="64"/>
      <c r="F985" s="64"/>
      <c r="G985" s="64"/>
    </row>
    <row r="986" spans="1:7" ht="14.25" customHeight="1">
      <c r="A986" s="1829" t="s">
        <v>227</v>
      </c>
      <c r="B986" s="1830"/>
      <c r="C986" s="1830"/>
      <c r="D986" s="1830"/>
      <c r="E986" s="1830"/>
      <c r="F986" s="1828"/>
      <c r="G986" s="65">
        <f>ROUND(SUM(G983:G985),2)</f>
        <v>115</v>
      </c>
    </row>
    <row r="987" spans="1:7" ht="14.25" customHeight="1">
      <c r="A987" s="1831"/>
      <c r="B987" s="1830"/>
      <c r="C987" s="1830"/>
      <c r="D987" s="1830"/>
      <c r="E987" s="1830"/>
      <c r="F987" s="1830"/>
      <c r="G987" s="1828"/>
    </row>
    <row r="988" spans="1:7" ht="14.25" customHeight="1">
      <c r="A988" s="66" t="s">
        <v>877</v>
      </c>
      <c r="B988" s="1832" t="s">
        <v>260</v>
      </c>
      <c r="C988" s="1830"/>
      <c r="D988" s="1828"/>
      <c r="E988" s="1833" t="s">
        <v>218</v>
      </c>
      <c r="F988" s="1834"/>
      <c r="G988" s="70" t="s">
        <v>127</v>
      </c>
    </row>
    <row r="989" spans="1:7" ht="14.25" customHeight="1">
      <c r="A989" s="66" t="s">
        <v>879</v>
      </c>
      <c r="B989" s="1835" t="s">
        <v>1130</v>
      </c>
      <c r="C989" s="1621"/>
      <c r="D989" s="1621"/>
      <c r="E989" s="1621"/>
      <c r="F989" s="1621"/>
      <c r="G989" s="1622"/>
    </row>
    <row r="990" spans="1:7" ht="14.25" customHeight="1">
      <c r="A990" s="1836" t="s">
        <v>220</v>
      </c>
      <c r="B990" s="1830"/>
      <c r="C990" s="1830"/>
      <c r="D990" s="1830"/>
      <c r="E990" s="1830"/>
      <c r="F990" s="1830"/>
      <c r="G990" s="1828"/>
    </row>
    <row r="991" spans="1:7" ht="14.25" customHeight="1">
      <c r="A991" s="1829" t="s">
        <v>221</v>
      </c>
      <c r="B991" s="1828"/>
      <c r="C991" s="63" t="s">
        <v>222</v>
      </c>
      <c r="D991" s="63" t="s">
        <v>252</v>
      </c>
      <c r="E991" s="63" t="s">
        <v>224</v>
      </c>
      <c r="F991" s="63" t="s">
        <v>225</v>
      </c>
      <c r="G991" s="63" t="s">
        <v>226</v>
      </c>
    </row>
    <row r="992" spans="1:7" ht="14.25" customHeight="1">
      <c r="A992" s="1827" t="s">
        <v>827</v>
      </c>
      <c r="B992" s="1828"/>
      <c r="C992" s="64"/>
      <c r="D992" s="64"/>
      <c r="E992" s="64"/>
      <c r="F992" s="64">
        <v>1</v>
      </c>
      <c r="G992" s="64">
        <f>+F992</f>
        <v>1</v>
      </c>
    </row>
    <row r="993" spans="1:7" ht="14.25" customHeight="1">
      <c r="A993" s="1827"/>
      <c r="B993" s="1828"/>
      <c r="C993" s="64"/>
      <c r="D993" s="64"/>
      <c r="E993" s="64"/>
      <c r="F993" s="64"/>
      <c r="G993" s="64"/>
    </row>
    <row r="994" spans="1:7" ht="14.25" customHeight="1">
      <c r="A994" s="1829" t="s">
        <v>227</v>
      </c>
      <c r="B994" s="1830"/>
      <c r="C994" s="1830"/>
      <c r="D994" s="1830"/>
      <c r="E994" s="1830"/>
      <c r="F994" s="1828"/>
      <c r="G994" s="65">
        <f>ROUND(SUM(G991:G993),2)</f>
        <v>1</v>
      </c>
    </row>
    <row r="995" spans="1:7" ht="14.25" customHeight="1">
      <c r="A995" s="1831"/>
      <c r="B995" s="1830"/>
      <c r="C995" s="1830"/>
      <c r="D995" s="1830"/>
      <c r="E995" s="1830"/>
      <c r="F995" s="1830"/>
      <c r="G995" s="1828"/>
    </row>
    <row r="996" spans="1:7" ht="14.25" customHeight="1">
      <c r="A996" s="66" t="s">
        <v>877</v>
      </c>
      <c r="B996" s="1832" t="s">
        <v>260</v>
      </c>
      <c r="C996" s="1830"/>
      <c r="D996" s="1828"/>
      <c r="E996" s="1833" t="s">
        <v>218</v>
      </c>
      <c r="F996" s="1834"/>
      <c r="G996" s="70" t="s">
        <v>127</v>
      </c>
    </row>
    <row r="997" spans="1:7" ht="14.25" customHeight="1">
      <c r="A997" s="66" t="s">
        <v>880</v>
      </c>
      <c r="B997" s="1835" t="s">
        <v>1131</v>
      </c>
      <c r="C997" s="1621"/>
      <c r="D997" s="1621"/>
      <c r="E997" s="1621"/>
      <c r="F997" s="1621"/>
      <c r="G997" s="1622"/>
    </row>
    <row r="998" spans="1:7" ht="14.25" customHeight="1">
      <c r="A998" s="1836" t="s">
        <v>220</v>
      </c>
      <c r="B998" s="1830"/>
      <c r="C998" s="1830"/>
      <c r="D998" s="1830"/>
      <c r="E998" s="1830"/>
      <c r="F998" s="1830"/>
      <c r="G998" s="1828"/>
    </row>
    <row r="999" spans="1:7" ht="14.25" customHeight="1">
      <c r="A999" s="1829" t="s">
        <v>221</v>
      </c>
      <c r="B999" s="1828"/>
      <c r="C999" s="63" t="s">
        <v>222</v>
      </c>
      <c r="D999" s="63" t="s">
        <v>252</v>
      </c>
      <c r="E999" s="63" t="s">
        <v>224</v>
      </c>
      <c r="F999" s="63" t="s">
        <v>225</v>
      </c>
      <c r="G999" s="63" t="s">
        <v>226</v>
      </c>
    </row>
    <row r="1000" spans="1:7" ht="14.25" customHeight="1">
      <c r="A1000" s="1827" t="s">
        <v>827</v>
      </c>
      <c r="B1000" s="1828"/>
      <c r="C1000" s="64"/>
      <c r="D1000" s="64"/>
      <c r="E1000" s="64"/>
      <c r="F1000" s="64">
        <v>2</v>
      </c>
      <c r="G1000" s="64">
        <f>+F1000</f>
        <v>2</v>
      </c>
    </row>
    <row r="1001" spans="1:7" ht="14.25" customHeight="1">
      <c r="A1001" s="1827"/>
      <c r="B1001" s="1828"/>
      <c r="C1001" s="64"/>
      <c r="D1001" s="64"/>
      <c r="E1001" s="64"/>
      <c r="F1001" s="64"/>
      <c r="G1001" s="64"/>
    </row>
    <row r="1002" spans="1:7" ht="14.25" customHeight="1">
      <c r="A1002" s="1829" t="s">
        <v>227</v>
      </c>
      <c r="B1002" s="1830"/>
      <c r="C1002" s="1830"/>
      <c r="D1002" s="1830"/>
      <c r="E1002" s="1830"/>
      <c r="F1002" s="1828"/>
      <c r="G1002" s="65">
        <f>ROUND(SUM(G999:G1001),2)</f>
        <v>2</v>
      </c>
    </row>
    <row r="1003" spans="1:7" ht="14.25" customHeight="1">
      <c r="A1003" s="1831"/>
      <c r="B1003" s="1830"/>
      <c r="C1003" s="1830"/>
      <c r="D1003" s="1830"/>
      <c r="E1003" s="1830"/>
      <c r="F1003" s="1830"/>
      <c r="G1003" s="1828"/>
    </row>
    <row r="1004" spans="1:7" ht="14.25" customHeight="1">
      <c r="A1004" s="66" t="s">
        <v>877</v>
      </c>
      <c r="B1004" s="1832" t="s">
        <v>260</v>
      </c>
      <c r="C1004" s="1830"/>
      <c r="D1004" s="1828"/>
      <c r="E1004" s="1833" t="s">
        <v>218</v>
      </c>
      <c r="F1004" s="1834"/>
      <c r="G1004" s="70" t="s">
        <v>127</v>
      </c>
    </row>
    <row r="1005" spans="1:7" ht="14.25" customHeight="1">
      <c r="A1005" s="66" t="s">
        <v>881</v>
      </c>
      <c r="B1005" s="1835" t="s">
        <v>1132</v>
      </c>
      <c r="C1005" s="1621"/>
      <c r="D1005" s="1621"/>
      <c r="E1005" s="1621"/>
      <c r="F1005" s="1621"/>
      <c r="G1005" s="1622"/>
    </row>
    <row r="1006" spans="1:7" ht="14.25" customHeight="1">
      <c r="A1006" s="1836" t="s">
        <v>220</v>
      </c>
      <c r="B1006" s="1830"/>
      <c r="C1006" s="1830"/>
      <c r="D1006" s="1830"/>
      <c r="E1006" s="1830"/>
      <c r="F1006" s="1830"/>
      <c r="G1006" s="1828"/>
    </row>
    <row r="1007" spans="1:7" ht="14.25" customHeight="1">
      <c r="A1007" s="1829" t="s">
        <v>221</v>
      </c>
      <c r="B1007" s="1828"/>
      <c r="C1007" s="63" t="s">
        <v>222</v>
      </c>
      <c r="D1007" s="63" t="s">
        <v>252</v>
      </c>
      <c r="E1007" s="63" t="s">
        <v>224</v>
      </c>
      <c r="F1007" s="63" t="s">
        <v>225</v>
      </c>
      <c r="G1007" s="63" t="s">
        <v>226</v>
      </c>
    </row>
    <row r="1008" spans="1:7" ht="14.25" customHeight="1">
      <c r="A1008" s="1827" t="s">
        <v>827</v>
      </c>
      <c r="B1008" s="1828"/>
      <c r="C1008" s="64"/>
      <c r="D1008" s="64"/>
      <c r="E1008" s="64"/>
      <c r="F1008" s="64">
        <v>2</v>
      </c>
      <c r="G1008" s="64">
        <f>+F1008</f>
        <v>2</v>
      </c>
    </row>
    <row r="1009" spans="1:7" ht="14.25" customHeight="1">
      <c r="A1009" s="1827"/>
      <c r="B1009" s="1828"/>
      <c r="C1009" s="64"/>
      <c r="D1009" s="64"/>
      <c r="E1009" s="64"/>
      <c r="F1009" s="64"/>
      <c r="G1009" s="64"/>
    </row>
    <row r="1010" spans="1:7" ht="14.25" customHeight="1">
      <c r="A1010" s="1829" t="s">
        <v>227</v>
      </c>
      <c r="B1010" s="1830"/>
      <c r="C1010" s="1830"/>
      <c r="D1010" s="1830"/>
      <c r="E1010" s="1830"/>
      <c r="F1010" s="1828"/>
      <c r="G1010" s="65">
        <f>ROUND(SUM(G1007:G1009),2)</f>
        <v>2</v>
      </c>
    </row>
    <row r="1011" spans="1:7" ht="14.25" customHeight="1">
      <c r="A1011" s="1831"/>
      <c r="B1011" s="1830"/>
      <c r="C1011" s="1830"/>
      <c r="D1011" s="1830"/>
      <c r="E1011" s="1830"/>
      <c r="F1011" s="1830"/>
      <c r="G1011" s="1828"/>
    </row>
    <row r="1012" spans="1:7" ht="14.25" customHeight="1">
      <c r="A1012" s="66" t="s">
        <v>877</v>
      </c>
      <c r="B1012" s="1832" t="s">
        <v>260</v>
      </c>
      <c r="C1012" s="1830"/>
      <c r="D1012" s="1828"/>
      <c r="E1012" s="1833" t="s">
        <v>218</v>
      </c>
      <c r="F1012" s="1834"/>
      <c r="G1012" s="70" t="s">
        <v>127</v>
      </c>
    </row>
    <row r="1013" spans="1:7" ht="14.25" customHeight="1">
      <c r="A1013" s="66" t="s">
        <v>882</v>
      </c>
      <c r="B1013" s="1835" t="s">
        <v>1133</v>
      </c>
      <c r="C1013" s="1621"/>
      <c r="D1013" s="1621"/>
      <c r="E1013" s="1621"/>
      <c r="F1013" s="1621"/>
      <c r="G1013" s="1622"/>
    </row>
    <row r="1014" spans="1:7" ht="14.25" customHeight="1">
      <c r="A1014" s="1836" t="s">
        <v>220</v>
      </c>
      <c r="B1014" s="1830"/>
      <c r="C1014" s="1830"/>
      <c r="D1014" s="1830"/>
      <c r="E1014" s="1830"/>
      <c r="F1014" s="1830"/>
      <c r="G1014" s="1828"/>
    </row>
    <row r="1015" spans="1:7" ht="14.25" customHeight="1">
      <c r="A1015" s="1829" t="s">
        <v>221</v>
      </c>
      <c r="B1015" s="1828"/>
      <c r="C1015" s="63" t="s">
        <v>222</v>
      </c>
      <c r="D1015" s="63" t="s">
        <v>252</v>
      </c>
      <c r="E1015" s="63" t="s">
        <v>224</v>
      </c>
      <c r="F1015" s="63" t="s">
        <v>225</v>
      </c>
      <c r="G1015" s="63" t="s">
        <v>226</v>
      </c>
    </row>
    <row r="1016" spans="1:7" ht="14.25" customHeight="1">
      <c r="A1016" s="1827" t="s">
        <v>827</v>
      </c>
      <c r="B1016" s="1828"/>
      <c r="C1016" s="64"/>
      <c r="D1016" s="64"/>
      <c r="E1016" s="64"/>
      <c r="F1016" s="64">
        <v>2</v>
      </c>
      <c r="G1016" s="64">
        <f>+F1016</f>
        <v>2</v>
      </c>
    </row>
    <row r="1017" spans="1:7" ht="14.25" customHeight="1">
      <c r="A1017" s="1827"/>
      <c r="B1017" s="1828"/>
      <c r="C1017" s="64"/>
      <c r="D1017" s="64"/>
      <c r="E1017" s="64"/>
      <c r="F1017" s="64"/>
      <c r="G1017" s="64"/>
    </row>
    <row r="1018" spans="1:7" ht="14.25" customHeight="1">
      <c r="A1018" s="1829" t="s">
        <v>227</v>
      </c>
      <c r="B1018" s="1830"/>
      <c r="C1018" s="1830"/>
      <c r="D1018" s="1830"/>
      <c r="E1018" s="1830"/>
      <c r="F1018" s="1828"/>
      <c r="G1018" s="65">
        <f>ROUND(SUM(G1015:G1017),2)</f>
        <v>2</v>
      </c>
    </row>
    <row r="1019" spans="1:7" ht="14.25" customHeight="1">
      <c r="A1019" s="1831"/>
      <c r="B1019" s="1830"/>
      <c r="C1019" s="1830"/>
      <c r="D1019" s="1830"/>
      <c r="E1019" s="1830"/>
      <c r="F1019" s="1830"/>
      <c r="G1019" s="1828"/>
    </row>
    <row r="1020" spans="1:7" ht="14.25" customHeight="1">
      <c r="A1020" s="66" t="s">
        <v>877</v>
      </c>
      <c r="B1020" s="1832" t="s">
        <v>260</v>
      </c>
      <c r="C1020" s="1830"/>
      <c r="D1020" s="1828"/>
      <c r="E1020" s="1833" t="s">
        <v>218</v>
      </c>
      <c r="F1020" s="1834"/>
      <c r="G1020" s="70" t="s">
        <v>127</v>
      </c>
    </row>
    <row r="1021" spans="1:7" ht="14.25" customHeight="1">
      <c r="A1021" s="66" t="s">
        <v>883</v>
      </c>
      <c r="B1021" s="1835" t="s">
        <v>1134</v>
      </c>
      <c r="C1021" s="1621"/>
      <c r="D1021" s="1621"/>
      <c r="E1021" s="1621"/>
      <c r="F1021" s="1621"/>
      <c r="G1021" s="1622"/>
    </row>
    <row r="1022" spans="1:7" ht="14.25" customHeight="1">
      <c r="A1022" s="1836" t="s">
        <v>220</v>
      </c>
      <c r="B1022" s="1830"/>
      <c r="C1022" s="1830"/>
      <c r="D1022" s="1830"/>
      <c r="E1022" s="1830"/>
      <c r="F1022" s="1830"/>
      <c r="G1022" s="1828"/>
    </row>
    <row r="1023" spans="1:7" ht="14.25" customHeight="1">
      <c r="A1023" s="1829" t="s">
        <v>221</v>
      </c>
      <c r="B1023" s="1828"/>
      <c r="C1023" s="63" t="s">
        <v>222</v>
      </c>
      <c r="D1023" s="63" t="s">
        <v>252</v>
      </c>
      <c r="E1023" s="63" t="s">
        <v>224</v>
      </c>
      <c r="F1023" s="63" t="s">
        <v>225</v>
      </c>
      <c r="G1023" s="63" t="s">
        <v>226</v>
      </c>
    </row>
    <row r="1024" spans="1:7" ht="14.25" customHeight="1">
      <c r="A1024" s="1827" t="s">
        <v>827</v>
      </c>
      <c r="B1024" s="1828"/>
      <c r="C1024" s="64"/>
      <c r="D1024" s="64"/>
      <c r="E1024" s="64"/>
      <c r="F1024" s="64">
        <v>1</v>
      </c>
      <c r="G1024" s="64">
        <f>+F1024</f>
        <v>1</v>
      </c>
    </row>
    <row r="1025" spans="1:7" ht="14.25" customHeight="1">
      <c r="A1025" s="1827"/>
      <c r="B1025" s="1828"/>
      <c r="C1025" s="64"/>
      <c r="D1025" s="64"/>
      <c r="E1025" s="64"/>
      <c r="F1025" s="64"/>
      <c r="G1025" s="64"/>
    </row>
    <row r="1026" spans="1:7" ht="14.25" customHeight="1">
      <c r="A1026" s="1829" t="s">
        <v>227</v>
      </c>
      <c r="B1026" s="1830"/>
      <c r="C1026" s="1830"/>
      <c r="D1026" s="1830"/>
      <c r="E1026" s="1830"/>
      <c r="F1026" s="1828"/>
      <c r="G1026" s="65">
        <f>ROUND(SUM(G1023:G1025),2)</f>
        <v>1</v>
      </c>
    </row>
    <row r="1027" spans="1:7" ht="14.25" customHeight="1">
      <c r="A1027" s="1831"/>
      <c r="B1027" s="1830"/>
      <c r="C1027" s="1830"/>
      <c r="D1027" s="1830"/>
      <c r="E1027" s="1830"/>
      <c r="F1027" s="1830"/>
      <c r="G1027" s="1828"/>
    </row>
    <row r="1028" spans="1:7" ht="14.25" customHeight="1">
      <c r="A1028" s="66" t="s">
        <v>877</v>
      </c>
      <c r="B1028" s="1832" t="s">
        <v>260</v>
      </c>
      <c r="C1028" s="1830"/>
      <c r="D1028" s="1828"/>
      <c r="E1028" s="1833" t="s">
        <v>218</v>
      </c>
      <c r="F1028" s="1834"/>
      <c r="G1028" s="70" t="s">
        <v>127</v>
      </c>
    </row>
    <row r="1029" spans="1:7" ht="14.25" customHeight="1">
      <c r="A1029" s="66" t="s">
        <v>884</v>
      </c>
      <c r="B1029" s="1835" t="s">
        <v>1135</v>
      </c>
      <c r="C1029" s="1621"/>
      <c r="D1029" s="1621"/>
      <c r="E1029" s="1621"/>
      <c r="F1029" s="1621"/>
      <c r="G1029" s="1622"/>
    </row>
    <row r="1030" spans="1:7" ht="14.25" customHeight="1">
      <c r="A1030" s="1836" t="s">
        <v>220</v>
      </c>
      <c r="B1030" s="1830"/>
      <c r="C1030" s="1830"/>
      <c r="D1030" s="1830"/>
      <c r="E1030" s="1830"/>
      <c r="F1030" s="1830"/>
      <c r="G1030" s="1828"/>
    </row>
    <row r="1031" spans="1:7" ht="14.25" customHeight="1">
      <c r="A1031" s="1829" t="s">
        <v>221</v>
      </c>
      <c r="B1031" s="1828"/>
      <c r="C1031" s="63" t="s">
        <v>222</v>
      </c>
      <c r="D1031" s="63" t="s">
        <v>252</v>
      </c>
      <c r="E1031" s="63" t="s">
        <v>224</v>
      </c>
      <c r="F1031" s="63" t="s">
        <v>225</v>
      </c>
      <c r="G1031" s="63" t="s">
        <v>226</v>
      </c>
    </row>
    <row r="1032" spans="1:7" ht="14.25" customHeight="1">
      <c r="A1032" s="1827" t="s">
        <v>827</v>
      </c>
      <c r="B1032" s="1828"/>
      <c r="C1032" s="64"/>
      <c r="D1032" s="64"/>
      <c r="E1032" s="64"/>
      <c r="F1032" s="64">
        <v>87</v>
      </c>
      <c r="G1032" s="64">
        <f t="shared" ref="G1032:G1033" si="67">+F1032</f>
        <v>87</v>
      </c>
    </row>
    <row r="1033" spans="1:7" ht="14.25" customHeight="1">
      <c r="A1033" s="1827"/>
      <c r="B1033" s="1828"/>
      <c r="C1033" s="64"/>
      <c r="D1033" s="64"/>
      <c r="E1033" s="64"/>
      <c r="F1033" s="64"/>
      <c r="G1033" s="64">
        <f t="shared" si="67"/>
        <v>0</v>
      </c>
    </row>
    <row r="1034" spans="1:7" ht="14.25" customHeight="1">
      <c r="A1034" s="1829" t="s">
        <v>227</v>
      </c>
      <c r="B1034" s="1830"/>
      <c r="C1034" s="1830"/>
      <c r="D1034" s="1830"/>
      <c r="E1034" s="1830"/>
      <c r="F1034" s="1828"/>
      <c r="G1034" s="65">
        <f>ROUND(SUM(G1031:G1033),2)</f>
        <v>87</v>
      </c>
    </row>
    <row r="1035" spans="1:7" ht="14.25" customHeight="1">
      <c r="A1035" s="1831"/>
      <c r="B1035" s="1830"/>
      <c r="C1035" s="1830"/>
      <c r="D1035" s="1830"/>
      <c r="E1035" s="1830"/>
      <c r="F1035" s="1830"/>
      <c r="G1035" s="1828"/>
    </row>
    <row r="1036" spans="1:7" ht="14.25" customHeight="1">
      <c r="A1036" s="66" t="s">
        <v>877</v>
      </c>
      <c r="B1036" s="1832" t="s">
        <v>260</v>
      </c>
      <c r="C1036" s="1830"/>
      <c r="D1036" s="1828"/>
      <c r="E1036" s="1833" t="s">
        <v>218</v>
      </c>
      <c r="F1036" s="1834"/>
      <c r="G1036" s="70" t="s">
        <v>127</v>
      </c>
    </row>
    <row r="1037" spans="1:7" ht="14.25" customHeight="1">
      <c r="A1037" s="66" t="s">
        <v>886</v>
      </c>
      <c r="B1037" s="1835" t="s">
        <v>1136</v>
      </c>
      <c r="C1037" s="1621"/>
      <c r="D1037" s="1621"/>
      <c r="E1037" s="1621"/>
      <c r="F1037" s="1621"/>
      <c r="G1037" s="1622"/>
    </row>
    <row r="1038" spans="1:7" ht="14.25" customHeight="1">
      <c r="A1038" s="1836" t="s">
        <v>220</v>
      </c>
      <c r="B1038" s="1830"/>
      <c r="C1038" s="1830"/>
      <c r="D1038" s="1830"/>
      <c r="E1038" s="1830"/>
      <c r="F1038" s="1830"/>
      <c r="G1038" s="1828"/>
    </row>
    <row r="1039" spans="1:7" ht="14.25" customHeight="1">
      <c r="A1039" s="1829" t="s">
        <v>221</v>
      </c>
      <c r="B1039" s="1828"/>
      <c r="C1039" s="63" t="s">
        <v>222</v>
      </c>
      <c r="D1039" s="63" t="s">
        <v>252</v>
      </c>
      <c r="E1039" s="63" t="s">
        <v>224</v>
      </c>
      <c r="F1039" s="63" t="s">
        <v>225</v>
      </c>
      <c r="G1039" s="63" t="s">
        <v>226</v>
      </c>
    </row>
    <row r="1040" spans="1:7" ht="14.25" customHeight="1">
      <c r="A1040" s="1827" t="s">
        <v>827</v>
      </c>
      <c r="B1040" s="1828"/>
      <c r="C1040" s="64"/>
      <c r="D1040" s="64"/>
      <c r="E1040" s="64"/>
      <c r="F1040" s="64">
        <v>1</v>
      </c>
      <c r="G1040" s="64">
        <f>+F1040</f>
        <v>1</v>
      </c>
    </row>
    <row r="1041" spans="1:7" ht="14.25" customHeight="1">
      <c r="A1041" s="1827"/>
      <c r="B1041" s="1828"/>
      <c r="C1041" s="64"/>
      <c r="D1041" s="64"/>
      <c r="E1041" s="64"/>
      <c r="F1041" s="64"/>
      <c r="G1041" s="64"/>
    </row>
    <row r="1042" spans="1:7" ht="14.25" customHeight="1">
      <c r="A1042" s="1829" t="s">
        <v>227</v>
      </c>
      <c r="B1042" s="1830"/>
      <c r="C1042" s="1830"/>
      <c r="D1042" s="1830"/>
      <c r="E1042" s="1830"/>
      <c r="F1042" s="1828"/>
      <c r="G1042" s="65">
        <f>ROUND(SUM(G1039:G1041),2)</f>
        <v>1</v>
      </c>
    </row>
    <row r="1043" spans="1:7" ht="14.25" customHeight="1">
      <c r="A1043" s="1831"/>
      <c r="B1043" s="1830"/>
      <c r="C1043" s="1830"/>
      <c r="D1043" s="1830"/>
      <c r="E1043" s="1830"/>
      <c r="F1043" s="1830"/>
      <c r="G1043" s="1828"/>
    </row>
    <row r="1044" spans="1:7" ht="14.25" customHeight="1">
      <c r="A1044" s="66" t="s">
        <v>877</v>
      </c>
      <c r="B1044" s="1832" t="s">
        <v>260</v>
      </c>
      <c r="C1044" s="1830"/>
      <c r="D1044" s="1828"/>
      <c r="E1044" s="1833" t="s">
        <v>218</v>
      </c>
      <c r="F1044" s="1834"/>
      <c r="G1044" s="70" t="s">
        <v>120</v>
      </c>
    </row>
    <row r="1045" spans="1:7" ht="14.25" customHeight="1">
      <c r="A1045" s="66" t="s">
        <v>887</v>
      </c>
      <c r="B1045" s="1835" t="s">
        <v>1137</v>
      </c>
      <c r="C1045" s="1621"/>
      <c r="D1045" s="1621"/>
      <c r="E1045" s="1621"/>
      <c r="F1045" s="1621"/>
      <c r="G1045" s="1622"/>
    </row>
    <row r="1046" spans="1:7" ht="14.25" customHeight="1">
      <c r="A1046" s="1836" t="s">
        <v>220</v>
      </c>
      <c r="B1046" s="1830"/>
      <c r="C1046" s="1830"/>
      <c r="D1046" s="1830"/>
      <c r="E1046" s="1830"/>
      <c r="F1046" s="1830"/>
      <c r="G1046" s="1828"/>
    </row>
    <row r="1047" spans="1:7" ht="14.25" customHeight="1">
      <c r="A1047" s="1829" t="s">
        <v>221</v>
      </c>
      <c r="B1047" s="1828"/>
      <c r="C1047" s="63" t="s">
        <v>222</v>
      </c>
      <c r="D1047" s="63" t="s">
        <v>252</v>
      </c>
      <c r="E1047" s="63" t="s">
        <v>224</v>
      </c>
      <c r="F1047" s="63" t="s">
        <v>225</v>
      </c>
      <c r="G1047" s="63" t="s">
        <v>226</v>
      </c>
    </row>
    <row r="1048" spans="1:7" ht="14.25" customHeight="1">
      <c r="A1048" s="1827" t="s">
        <v>827</v>
      </c>
      <c r="B1048" s="1828"/>
      <c r="C1048" s="64">
        <v>90</v>
      </c>
      <c r="D1048" s="64"/>
      <c r="E1048" s="64"/>
      <c r="F1048" s="64"/>
      <c r="G1048" s="64">
        <f>C1048</f>
        <v>90</v>
      </c>
    </row>
    <row r="1049" spans="1:7" ht="14.25" customHeight="1">
      <c r="A1049" s="1827"/>
      <c r="B1049" s="1828"/>
      <c r="C1049" s="64"/>
      <c r="D1049" s="64"/>
      <c r="E1049" s="64"/>
      <c r="F1049" s="64"/>
      <c r="G1049" s="64"/>
    </row>
    <row r="1050" spans="1:7" ht="14.25" customHeight="1">
      <c r="A1050" s="1829" t="s">
        <v>227</v>
      </c>
      <c r="B1050" s="1830"/>
      <c r="C1050" s="1830"/>
      <c r="D1050" s="1830"/>
      <c r="E1050" s="1830"/>
      <c r="F1050" s="1828"/>
      <c r="G1050" s="65">
        <f>ROUND(SUM(G1047:G1049),2)</f>
        <v>90</v>
      </c>
    </row>
    <row r="1051" spans="1:7" ht="14.25" customHeight="1">
      <c r="A1051" s="1831"/>
      <c r="B1051" s="1830"/>
      <c r="C1051" s="1830"/>
      <c r="D1051" s="1830"/>
      <c r="E1051" s="1830"/>
      <c r="F1051" s="1830"/>
      <c r="G1051" s="1828"/>
    </row>
    <row r="1052" spans="1:7" ht="14.25" customHeight="1">
      <c r="A1052" s="66" t="s">
        <v>877</v>
      </c>
      <c r="B1052" s="1832" t="s">
        <v>260</v>
      </c>
      <c r="C1052" s="1830"/>
      <c r="D1052" s="1828"/>
      <c r="E1052" s="1833" t="s">
        <v>218</v>
      </c>
      <c r="F1052" s="1834"/>
      <c r="G1052" s="70" t="s">
        <v>120</v>
      </c>
    </row>
    <row r="1053" spans="1:7" ht="14.25" customHeight="1">
      <c r="A1053" s="66" t="s">
        <v>888</v>
      </c>
      <c r="B1053" s="1835" t="s">
        <v>1138</v>
      </c>
      <c r="C1053" s="1621"/>
      <c r="D1053" s="1621"/>
      <c r="E1053" s="1621"/>
      <c r="F1053" s="1621"/>
      <c r="G1053" s="1622"/>
    </row>
    <row r="1054" spans="1:7" ht="14.25" customHeight="1">
      <c r="A1054" s="1836" t="s">
        <v>220</v>
      </c>
      <c r="B1054" s="1830"/>
      <c r="C1054" s="1830"/>
      <c r="D1054" s="1830"/>
      <c r="E1054" s="1830"/>
      <c r="F1054" s="1830"/>
      <c r="G1054" s="1828"/>
    </row>
    <row r="1055" spans="1:7" ht="14.25" customHeight="1">
      <c r="A1055" s="1829" t="s">
        <v>221</v>
      </c>
      <c r="B1055" s="1828"/>
      <c r="C1055" s="63" t="s">
        <v>222</v>
      </c>
      <c r="D1055" s="63" t="s">
        <v>252</v>
      </c>
      <c r="E1055" s="63" t="s">
        <v>224</v>
      </c>
      <c r="F1055" s="63" t="s">
        <v>225</v>
      </c>
      <c r="G1055" s="63" t="s">
        <v>226</v>
      </c>
    </row>
    <row r="1056" spans="1:7" ht="14.25" customHeight="1">
      <c r="A1056" s="1827" t="s">
        <v>827</v>
      </c>
      <c r="B1056" s="1828"/>
      <c r="C1056" s="64">
        <v>147</v>
      </c>
      <c r="D1056" s="64"/>
      <c r="E1056" s="64"/>
      <c r="F1056" s="64"/>
      <c r="G1056" s="64">
        <f>C1056</f>
        <v>147</v>
      </c>
    </row>
    <row r="1057" spans="1:7" ht="14.25" customHeight="1">
      <c r="A1057" s="1827"/>
      <c r="B1057" s="1828"/>
      <c r="C1057" s="64"/>
      <c r="D1057" s="64"/>
      <c r="E1057" s="64"/>
      <c r="F1057" s="64"/>
      <c r="G1057" s="64"/>
    </row>
    <row r="1058" spans="1:7" ht="14.25" customHeight="1">
      <c r="A1058" s="1829" t="s">
        <v>227</v>
      </c>
      <c r="B1058" s="1830"/>
      <c r="C1058" s="1830"/>
      <c r="D1058" s="1830"/>
      <c r="E1058" s="1830"/>
      <c r="F1058" s="1828"/>
      <c r="G1058" s="65">
        <f>ROUND(SUM(G1055:G1057),2)</f>
        <v>147</v>
      </c>
    </row>
    <row r="1059" spans="1:7" ht="14.25" customHeight="1">
      <c r="A1059" s="1831"/>
      <c r="B1059" s="1830"/>
      <c r="C1059" s="1830"/>
      <c r="D1059" s="1830"/>
      <c r="E1059" s="1830"/>
      <c r="F1059" s="1830"/>
      <c r="G1059" s="1828"/>
    </row>
    <row r="1060" spans="1:7" ht="14.25" customHeight="1">
      <c r="A1060" s="66" t="s">
        <v>877</v>
      </c>
      <c r="B1060" s="1832" t="s">
        <v>260</v>
      </c>
      <c r="C1060" s="1830"/>
      <c r="D1060" s="1828"/>
      <c r="E1060" s="1833" t="s">
        <v>218</v>
      </c>
      <c r="F1060" s="1834"/>
      <c r="G1060" s="70" t="s">
        <v>127</v>
      </c>
    </row>
    <row r="1061" spans="1:7" ht="14.25" customHeight="1">
      <c r="A1061" s="66" t="s">
        <v>1139</v>
      </c>
      <c r="B1061" s="1835" t="s">
        <v>1140</v>
      </c>
      <c r="C1061" s="1621"/>
      <c r="D1061" s="1621"/>
      <c r="E1061" s="1621"/>
      <c r="F1061" s="1621"/>
      <c r="G1061" s="1622"/>
    </row>
    <row r="1062" spans="1:7" ht="14.25" customHeight="1">
      <c r="A1062" s="1836" t="s">
        <v>220</v>
      </c>
      <c r="B1062" s="1830"/>
      <c r="C1062" s="1830"/>
      <c r="D1062" s="1830"/>
      <c r="E1062" s="1830"/>
      <c r="F1062" s="1830"/>
      <c r="G1062" s="1828"/>
    </row>
    <row r="1063" spans="1:7" ht="14.25" customHeight="1">
      <c r="A1063" s="1829" t="s">
        <v>221</v>
      </c>
      <c r="B1063" s="1828"/>
      <c r="C1063" s="63" t="s">
        <v>222</v>
      </c>
      <c r="D1063" s="63" t="s">
        <v>252</v>
      </c>
      <c r="E1063" s="63" t="s">
        <v>224</v>
      </c>
      <c r="F1063" s="63" t="s">
        <v>225</v>
      </c>
      <c r="G1063" s="63" t="s">
        <v>226</v>
      </c>
    </row>
    <row r="1064" spans="1:7" ht="14.25" customHeight="1">
      <c r="A1064" s="1827" t="s">
        <v>827</v>
      </c>
      <c r="B1064" s="1828"/>
      <c r="C1064" s="64"/>
      <c r="D1064" s="64"/>
      <c r="E1064" s="64"/>
      <c r="F1064" s="64">
        <v>2</v>
      </c>
      <c r="G1064" s="64">
        <f>+F1064</f>
        <v>2</v>
      </c>
    </row>
    <row r="1065" spans="1:7" ht="14.25" customHeight="1">
      <c r="A1065" s="1827"/>
      <c r="B1065" s="1828"/>
      <c r="C1065" s="64"/>
      <c r="D1065" s="64"/>
      <c r="E1065" s="64"/>
      <c r="F1065" s="64"/>
      <c r="G1065" s="64"/>
    </row>
    <row r="1066" spans="1:7" ht="14.25" customHeight="1">
      <c r="A1066" s="1829" t="s">
        <v>227</v>
      </c>
      <c r="B1066" s="1830"/>
      <c r="C1066" s="1830"/>
      <c r="D1066" s="1830"/>
      <c r="E1066" s="1830"/>
      <c r="F1066" s="1828"/>
      <c r="G1066" s="65">
        <f>ROUND(SUM(G1063:G1065),2)</f>
        <v>2</v>
      </c>
    </row>
    <row r="1067" spans="1:7" ht="14.25" customHeight="1">
      <c r="A1067" s="1831"/>
      <c r="B1067" s="1830"/>
      <c r="C1067" s="1830"/>
      <c r="D1067" s="1830"/>
      <c r="E1067" s="1830"/>
      <c r="F1067" s="1830"/>
      <c r="G1067" s="1828"/>
    </row>
    <row r="1068" spans="1:7" ht="14.25" customHeight="1">
      <c r="A1068" s="66" t="s">
        <v>877</v>
      </c>
      <c r="B1068" s="1832" t="s">
        <v>260</v>
      </c>
      <c r="C1068" s="1830"/>
      <c r="D1068" s="1828"/>
      <c r="E1068" s="1833" t="s">
        <v>218</v>
      </c>
      <c r="F1068" s="1834"/>
      <c r="G1068" s="70" t="s">
        <v>127</v>
      </c>
    </row>
    <row r="1069" spans="1:7" ht="14.25" customHeight="1">
      <c r="A1069" s="66" t="s">
        <v>890</v>
      </c>
      <c r="B1069" s="1835" t="s">
        <v>1141</v>
      </c>
      <c r="C1069" s="1621"/>
      <c r="D1069" s="1621"/>
      <c r="E1069" s="1621"/>
      <c r="F1069" s="1621"/>
      <c r="G1069" s="1622"/>
    </row>
    <row r="1070" spans="1:7" ht="14.25" customHeight="1">
      <c r="A1070" s="1836" t="s">
        <v>220</v>
      </c>
      <c r="B1070" s="1830"/>
      <c r="C1070" s="1830"/>
      <c r="D1070" s="1830"/>
      <c r="E1070" s="1830"/>
      <c r="F1070" s="1830"/>
      <c r="G1070" s="1828"/>
    </row>
    <row r="1071" spans="1:7" ht="14.25" customHeight="1">
      <c r="A1071" s="1829" t="s">
        <v>221</v>
      </c>
      <c r="B1071" s="1828"/>
      <c r="C1071" s="63" t="s">
        <v>222</v>
      </c>
      <c r="D1071" s="63" t="s">
        <v>252</v>
      </c>
      <c r="E1071" s="63" t="s">
        <v>224</v>
      </c>
      <c r="F1071" s="63" t="s">
        <v>225</v>
      </c>
      <c r="G1071" s="63" t="s">
        <v>226</v>
      </c>
    </row>
    <row r="1072" spans="1:7" ht="14.25" customHeight="1">
      <c r="A1072" s="1827" t="s">
        <v>827</v>
      </c>
      <c r="B1072" s="1828"/>
      <c r="C1072" s="64"/>
      <c r="D1072" s="64"/>
      <c r="E1072" s="64"/>
      <c r="F1072" s="64">
        <v>87</v>
      </c>
      <c r="G1072" s="64">
        <f>+F1072</f>
        <v>87</v>
      </c>
    </row>
    <row r="1073" spans="1:7" ht="14.25" customHeight="1">
      <c r="A1073" s="1827"/>
      <c r="B1073" s="1828"/>
      <c r="C1073" s="64"/>
      <c r="D1073" s="64"/>
      <c r="E1073" s="64"/>
      <c r="F1073" s="64"/>
      <c r="G1073" s="64"/>
    </row>
    <row r="1074" spans="1:7" ht="14.25" customHeight="1">
      <c r="A1074" s="1829" t="s">
        <v>227</v>
      </c>
      <c r="B1074" s="1830"/>
      <c r="C1074" s="1830"/>
      <c r="D1074" s="1830"/>
      <c r="E1074" s="1830"/>
      <c r="F1074" s="1828"/>
      <c r="G1074" s="65">
        <f>ROUND(SUM(G1071:G1073),2)</f>
        <v>87</v>
      </c>
    </row>
    <row r="1075" spans="1:7" ht="14.25" customHeight="1">
      <c r="A1075" s="1831"/>
      <c r="B1075" s="1830"/>
      <c r="C1075" s="1830"/>
      <c r="D1075" s="1830"/>
      <c r="E1075" s="1830"/>
      <c r="F1075" s="1830"/>
      <c r="G1075" s="1828"/>
    </row>
    <row r="1076" spans="1:7" ht="14.25" customHeight="1">
      <c r="A1076" s="66" t="s">
        <v>877</v>
      </c>
      <c r="B1076" s="1832" t="s">
        <v>260</v>
      </c>
      <c r="C1076" s="1830"/>
      <c r="D1076" s="1828"/>
      <c r="E1076" s="1833" t="s">
        <v>218</v>
      </c>
      <c r="F1076" s="1834"/>
      <c r="G1076" s="70" t="s">
        <v>127</v>
      </c>
    </row>
    <row r="1077" spans="1:7" ht="14.25" customHeight="1">
      <c r="A1077" s="66" t="s">
        <v>891</v>
      </c>
      <c r="B1077" s="1835" t="s">
        <v>1142</v>
      </c>
      <c r="C1077" s="1621"/>
      <c r="D1077" s="1621"/>
      <c r="E1077" s="1621"/>
      <c r="F1077" s="1621"/>
      <c r="G1077" s="1622"/>
    </row>
    <row r="1078" spans="1:7" ht="14.25" customHeight="1">
      <c r="A1078" s="1836" t="s">
        <v>220</v>
      </c>
      <c r="B1078" s="1830"/>
      <c r="C1078" s="1830"/>
      <c r="D1078" s="1830"/>
      <c r="E1078" s="1830"/>
      <c r="F1078" s="1830"/>
      <c r="G1078" s="1828"/>
    </row>
    <row r="1079" spans="1:7" ht="14.25" customHeight="1">
      <c r="A1079" s="1829" t="s">
        <v>221</v>
      </c>
      <c r="B1079" s="1828"/>
      <c r="C1079" s="63" t="s">
        <v>222</v>
      </c>
      <c r="D1079" s="63" t="s">
        <v>252</v>
      </c>
      <c r="E1079" s="63" t="s">
        <v>224</v>
      </c>
      <c r="F1079" s="63" t="s">
        <v>225</v>
      </c>
      <c r="G1079" s="63" t="s">
        <v>226</v>
      </c>
    </row>
    <row r="1080" spans="1:7" ht="14.25" customHeight="1">
      <c r="A1080" s="1827" t="s">
        <v>827</v>
      </c>
      <c r="B1080" s="1828"/>
      <c r="C1080" s="64"/>
      <c r="D1080" s="64"/>
      <c r="E1080" s="64"/>
      <c r="F1080" s="64">
        <v>7</v>
      </c>
      <c r="G1080" s="64">
        <f>+F1080</f>
        <v>7</v>
      </c>
    </row>
    <row r="1081" spans="1:7" ht="14.25" customHeight="1">
      <c r="A1081" s="1827"/>
      <c r="B1081" s="1828"/>
      <c r="C1081" s="64"/>
      <c r="D1081" s="64"/>
      <c r="E1081" s="64"/>
      <c r="F1081" s="64"/>
      <c r="G1081" s="64"/>
    </row>
    <row r="1082" spans="1:7" ht="14.25" customHeight="1">
      <c r="A1082" s="1829" t="s">
        <v>227</v>
      </c>
      <c r="B1082" s="1830"/>
      <c r="C1082" s="1830"/>
      <c r="D1082" s="1830"/>
      <c r="E1082" s="1830"/>
      <c r="F1082" s="1828"/>
      <c r="G1082" s="65">
        <f>ROUND(SUM(G1079:G1081),2)</f>
        <v>7</v>
      </c>
    </row>
    <row r="1083" spans="1:7" ht="14.25" customHeight="1">
      <c r="A1083" s="1831"/>
      <c r="B1083" s="1830"/>
      <c r="C1083" s="1830"/>
      <c r="D1083" s="1830"/>
      <c r="E1083" s="1830"/>
      <c r="F1083" s="1830"/>
      <c r="G1083" s="1828"/>
    </row>
    <row r="1084" spans="1:7" ht="14.25" customHeight="1">
      <c r="A1084" s="66" t="s">
        <v>877</v>
      </c>
      <c r="B1084" s="1832" t="s">
        <v>260</v>
      </c>
      <c r="C1084" s="1830"/>
      <c r="D1084" s="1828"/>
      <c r="E1084" s="1833" t="s">
        <v>218</v>
      </c>
      <c r="F1084" s="1834"/>
      <c r="G1084" s="70" t="s">
        <v>127</v>
      </c>
    </row>
    <row r="1085" spans="1:7" ht="14.25" customHeight="1">
      <c r="A1085" s="66" t="s">
        <v>892</v>
      </c>
      <c r="B1085" s="1835" t="s">
        <v>1143</v>
      </c>
      <c r="C1085" s="1621"/>
      <c r="D1085" s="1621"/>
      <c r="E1085" s="1621"/>
      <c r="F1085" s="1621"/>
      <c r="G1085" s="1622"/>
    </row>
    <row r="1086" spans="1:7" ht="14.25" customHeight="1">
      <c r="A1086" s="1836" t="s">
        <v>220</v>
      </c>
      <c r="B1086" s="1830"/>
      <c r="C1086" s="1830"/>
      <c r="D1086" s="1830"/>
      <c r="E1086" s="1830"/>
      <c r="F1086" s="1830"/>
      <c r="G1086" s="1828"/>
    </row>
    <row r="1087" spans="1:7" ht="14.25" customHeight="1">
      <c r="A1087" s="1829" t="s">
        <v>221</v>
      </c>
      <c r="B1087" s="1828"/>
      <c r="C1087" s="63" t="s">
        <v>222</v>
      </c>
      <c r="D1087" s="63" t="s">
        <v>252</v>
      </c>
      <c r="E1087" s="63" t="s">
        <v>224</v>
      </c>
      <c r="F1087" s="63" t="s">
        <v>225</v>
      </c>
      <c r="G1087" s="63" t="s">
        <v>226</v>
      </c>
    </row>
    <row r="1088" spans="1:7" ht="14.25" customHeight="1">
      <c r="A1088" s="1827" t="s">
        <v>827</v>
      </c>
      <c r="B1088" s="1828"/>
      <c r="C1088" s="64"/>
      <c r="D1088" s="64"/>
      <c r="E1088" s="64"/>
      <c r="F1088" s="64">
        <v>38</v>
      </c>
      <c r="G1088" s="64">
        <f>+F1088</f>
        <v>38</v>
      </c>
    </row>
    <row r="1089" spans="1:7" ht="14.25" customHeight="1">
      <c r="A1089" s="1827"/>
      <c r="B1089" s="1828"/>
      <c r="C1089" s="64"/>
      <c r="D1089" s="64"/>
      <c r="E1089" s="64"/>
      <c r="F1089" s="64"/>
      <c r="G1089" s="64"/>
    </row>
    <row r="1090" spans="1:7" ht="14.25" customHeight="1">
      <c r="A1090" s="1829" t="s">
        <v>227</v>
      </c>
      <c r="B1090" s="1830"/>
      <c r="C1090" s="1830"/>
      <c r="D1090" s="1830"/>
      <c r="E1090" s="1830"/>
      <c r="F1090" s="1828"/>
      <c r="G1090" s="65">
        <f>ROUND(SUM(G1087:G1089),2)</f>
        <v>38</v>
      </c>
    </row>
    <row r="1091" spans="1:7" ht="14.25" customHeight="1">
      <c r="A1091" s="1831"/>
      <c r="B1091" s="1830"/>
      <c r="C1091" s="1830"/>
      <c r="D1091" s="1830"/>
      <c r="E1091" s="1830"/>
      <c r="F1091" s="1830"/>
      <c r="G1091" s="1828"/>
    </row>
    <row r="1092" spans="1:7" ht="14.25" customHeight="1">
      <c r="A1092" s="66" t="s">
        <v>877</v>
      </c>
      <c r="B1092" s="1832" t="s">
        <v>260</v>
      </c>
      <c r="C1092" s="1830"/>
      <c r="D1092" s="1828"/>
      <c r="E1092" s="1833" t="s">
        <v>218</v>
      </c>
      <c r="F1092" s="1834"/>
      <c r="G1092" s="70" t="s">
        <v>127</v>
      </c>
    </row>
    <row r="1093" spans="1:7" ht="14.25" customHeight="1">
      <c r="A1093" s="66" t="s">
        <v>893</v>
      </c>
      <c r="B1093" s="1835" t="s">
        <v>1144</v>
      </c>
      <c r="C1093" s="1621"/>
      <c r="D1093" s="1621"/>
      <c r="E1093" s="1621"/>
      <c r="F1093" s="1621"/>
      <c r="G1093" s="1622"/>
    </row>
    <row r="1094" spans="1:7" ht="14.25" customHeight="1">
      <c r="A1094" s="1836" t="s">
        <v>220</v>
      </c>
      <c r="B1094" s="1830"/>
      <c r="C1094" s="1830"/>
      <c r="D1094" s="1830"/>
      <c r="E1094" s="1830"/>
      <c r="F1094" s="1830"/>
      <c r="G1094" s="1828"/>
    </row>
    <row r="1095" spans="1:7" ht="14.25" customHeight="1">
      <c r="A1095" s="1829" t="s">
        <v>221</v>
      </c>
      <c r="B1095" s="1828"/>
      <c r="C1095" s="63" t="s">
        <v>222</v>
      </c>
      <c r="D1095" s="63" t="s">
        <v>252</v>
      </c>
      <c r="E1095" s="63" t="s">
        <v>224</v>
      </c>
      <c r="F1095" s="63" t="s">
        <v>225</v>
      </c>
      <c r="G1095" s="63" t="s">
        <v>226</v>
      </c>
    </row>
    <row r="1096" spans="1:7" ht="14.25" customHeight="1">
      <c r="A1096" s="1827" t="s">
        <v>827</v>
      </c>
      <c r="B1096" s="1828"/>
      <c r="C1096" s="64"/>
      <c r="D1096" s="64"/>
      <c r="E1096" s="64"/>
      <c r="F1096" s="64">
        <v>117</v>
      </c>
      <c r="G1096" s="64">
        <f>+F1096</f>
        <v>117</v>
      </c>
    </row>
    <row r="1097" spans="1:7" ht="14.25" customHeight="1">
      <c r="A1097" s="1827"/>
      <c r="B1097" s="1828"/>
      <c r="C1097" s="64"/>
      <c r="D1097" s="64"/>
      <c r="E1097" s="64"/>
      <c r="F1097" s="64"/>
      <c r="G1097" s="64"/>
    </row>
    <row r="1098" spans="1:7" ht="14.25" customHeight="1">
      <c r="A1098" s="1829" t="s">
        <v>227</v>
      </c>
      <c r="B1098" s="1830"/>
      <c r="C1098" s="1830"/>
      <c r="D1098" s="1830"/>
      <c r="E1098" s="1830"/>
      <c r="F1098" s="1828"/>
      <c r="G1098" s="65">
        <f>ROUND(SUM(G1095:G1097),2)</f>
        <v>117</v>
      </c>
    </row>
    <row r="1099" spans="1:7" ht="14.25" customHeight="1">
      <c r="A1099" s="1831"/>
      <c r="B1099" s="1830"/>
      <c r="C1099" s="1830"/>
      <c r="D1099" s="1830"/>
      <c r="E1099" s="1830"/>
      <c r="F1099" s="1830"/>
      <c r="G1099" s="1828"/>
    </row>
    <row r="1100" spans="1:7" ht="14.25" customHeight="1">
      <c r="A1100" s="66" t="s">
        <v>877</v>
      </c>
      <c r="B1100" s="1832" t="s">
        <v>260</v>
      </c>
      <c r="C1100" s="1830"/>
      <c r="D1100" s="1828"/>
      <c r="E1100" s="1833" t="s">
        <v>218</v>
      </c>
      <c r="F1100" s="1834"/>
      <c r="G1100" s="70" t="s">
        <v>127</v>
      </c>
    </row>
    <row r="1101" spans="1:7" ht="14.25" customHeight="1">
      <c r="A1101" s="66" t="s">
        <v>894</v>
      </c>
      <c r="B1101" s="1835" t="s">
        <v>1145</v>
      </c>
      <c r="C1101" s="1621"/>
      <c r="D1101" s="1621"/>
      <c r="E1101" s="1621"/>
      <c r="F1101" s="1621"/>
      <c r="G1101" s="1622"/>
    </row>
    <row r="1102" spans="1:7" ht="14.25" customHeight="1">
      <c r="A1102" s="1836" t="s">
        <v>220</v>
      </c>
      <c r="B1102" s="1830"/>
      <c r="C1102" s="1830"/>
      <c r="D1102" s="1830"/>
      <c r="E1102" s="1830"/>
      <c r="F1102" s="1830"/>
      <c r="G1102" s="1828"/>
    </row>
    <row r="1103" spans="1:7" ht="14.25" customHeight="1">
      <c r="A1103" s="1829" t="s">
        <v>221</v>
      </c>
      <c r="B1103" s="1828"/>
      <c r="C1103" s="63" t="s">
        <v>222</v>
      </c>
      <c r="D1103" s="63" t="s">
        <v>252</v>
      </c>
      <c r="E1103" s="63" t="s">
        <v>224</v>
      </c>
      <c r="F1103" s="63" t="s">
        <v>225</v>
      </c>
      <c r="G1103" s="63" t="s">
        <v>226</v>
      </c>
    </row>
    <row r="1104" spans="1:7" ht="14.25" customHeight="1">
      <c r="A1104" s="1827" t="s">
        <v>827</v>
      </c>
      <c r="B1104" s="1828"/>
      <c r="C1104" s="64"/>
      <c r="D1104" s="64"/>
      <c r="E1104" s="64"/>
      <c r="F1104" s="64">
        <v>3</v>
      </c>
      <c r="G1104" s="64">
        <f>+F1104</f>
        <v>3</v>
      </c>
    </row>
    <row r="1105" spans="1:7" ht="17.25" customHeight="1">
      <c r="A1105" s="1827"/>
      <c r="B1105" s="1828"/>
      <c r="C1105" s="64"/>
      <c r="D1105" s="64"/>
      <c r="E1105" s="64"/>
      <c r="F1105" s="64"/>
      <c r="G1105" s="64"/>
    </row>
    <row r="1106" spans="1:7" ht="14.25" customHeight="1">
      <c r="A1106" s="1829" t="s">
        <v>227</v>
      </c>
      <c r="B1106" s="1830"/>
      <c r="C1106" s="1830"/>
      <c r="D1106" s="1830"/>
      <c r="E1106" s="1830"/>
      <c r="F1106" s="1828"/>
      <c r="G1106" s="65">
        <f>ROUND(SUM(G1103:G1105),2)</f>
        <v>3</v>
      </c>
    </row>
    <row r="1107" spans="1:7" ht="14.25" customHeight="1">
      <c r="A1107" s="1831"/>
      <c r="B1107" s="1830"/>
      <c r="C1107" s="1830"/>
      <c r="D1107" s="1830"/>
      <c r="E1107" s="1830"/>
      <c r="F1107" s="1830"/>
      <c r="G1107" s="1828"/>
    </row>
    <row r="1108" spans="1:7" ht="14.25" customHeight="1">
      <c r="A1108" s="66" t="s">
        <v>877</v>
      </c>
      <c r="B1108" s="1832" t="s">
        <v>260</v>
      </c>
      <c r="C1108" s="1830"/>
      <c r="D1108" s="1828"/>
      <c r="E1108" s="1833" t="s">
        <v>218</v>
      </c>
      <c r="F1108" s="1834"/>
      <c r="G1108" s="70" t="s">
        <v>127</v>
      </c>
    </row>
    <row r="1109" spans="1:7" ht="14.25" customHeight="1">
      <c r="A1109" s="66" t="s">
        <v>895</v>
      </c>
      <c r="B1109" s="1835" t="s">
        <v>1146</v>
      </c>
      <c r="C1109" s="1621"/>
      <c r="D1109" s="1621"/>
      <c r="E1109" s="1621"/>
      <c r="F1109" s="1621"/>
      <c r="G1109" s="1622"/>
    </row>
    <row r="1110" spans="1:7" ht="14.25" customHeight="1">
      <c r="A1110" s="1836" t="s">
        <v>220</v>
      </c>
      <c r="B1110" s="1830"/>
      <c r="C1110" s="1830"/>
      <c r="D1110" s="1830"/>
      <c r="E1110" s="1830"/>
      <c r="F1110" s="1830"/>
      <c r="G1110" s="1828"/>
    </row>
    <row r="1111" spans="1:7" ht="14.25" customHeight="1">
      <c r="A1111" s="1829" t="s">
        <v>221</v>
      </c>
      <c r="B1111" s="1828"/>
      <c r="C1111" s="63" t="s">
        <v>222</v>
      </c>
      <c r="D1111" s="63" t="s">
        <v>252</v>
      </c>
      <c r="E1111" s="63" t="s">
        <v>224</v>
      </c>
      <c r="F1111" s="63" t="s">
        <v>225</v>
      </c>
      <c r="G1111" s="63" t="s">
        <v>226</v>
      </c>
    </row>
    <row r="1112" spans="1:7" ht="14.25" customHeight="1">
      <c r="A1112" s="1827" t="s">
        <v>827</v>
      </c>
      <c r="B1112" s="1828"/>
      <c r="C1112" s="64"/>
      <c r="D1112" s="64"/>
      <c r="E1112" s="64"/>
      <c r="F1112" s="64">
        <v>65</v>
      </c>
      <c r="G1112" s="64">
        <f>+F1112</f>
        <v>65</v>
      </c>
    </row>
    <row r="1113" spans="1:7" ht="14.25" customHeight="1">
      <c r="A1113" s="1827"/>
      <c r="B1113" s="1828"/>
      <c r="C1113" s="64"/>
      <c r="D1113" s="64"/>
      <c r="E1113" s="64"/>
      <c r="F1113" s="64"/>
      <c r="G1113" s="64"/>
    </row>
    <row r="1114" spans="1:7" ht="14.25" customHeight="1">
      <c r="A1114" s="1829" t="s">
        <v>227</v>
      </c>
      <c r="B1114" s="1830"/>
      <c r="C1114" s="1830"/>
      <c r="D1114" s="1830"/>
      <c r="E1114" s="1830"/>
      <c r="F1114" s="1828"/>
      <c r="G1114" s="65">
        <f>ROUND(SUM(G1111:G1113),2)</f>
        <v>65</v>
      </c>
    </row>
    <row r="1115" spans="1:7" ht="14.25" customHeight="1">
      <c r="A1115" s="1831"/>
      <c r="B1115" s="1830"/>
      <c r="C1115" s="1830"/>
      <c r="D1115" s="1830"/>
      <c r="E1115" s="1830"/>
      <c r="F1115" s="1830"/>
      <c r="G1115" s="1828"/>
    </row>
    <row r="1116" spans="1:7" ht="14.25" customHeight="1">
      <c r="A1116" s="66" t="s">
        <v>877</v>
      </c>
      <c r="B1116" s="1832" t="s">
        <v>260</v>
      </c>
      <c r="C1116" s="1830"/>
      <c r="D1116" s="1828"/>
      <c r="E1116" s="1833" t="s">
        <v>218</v>
      </c>
      <c r="F1116" s="1834"/>
      <c r="G1116" s="70" t="s">
        <v>127</v>
      </c>
    </row>
    <row r="1117" spans="1:7" ht="14.25" customHeight="1">
      <c r="A1117" s="66" t="s">
        <v>896</v>
      </c>
      <c r="B1117" s="1835" t="s">
        <v>1147</v>
      </c>
      <c r="C1117" s="1621"/>
      <c r="D1117" s="1621"/>
      <c r="E1117" s="1621"/>
      <c r="F1117" s="1621"/>
      <c r="G1117" s="1622"/>
    </row>
    <row r="1118" spans="1:7" ht="14.25" customHeight="1">
      <c r="A1118" s="1836" t="s">
        <v>220</v>
      </c>
      <c r="B1118" s="1830"/>
      <c r="C1118" s="1830"/>
      <c r="D1118" s="1830"/>
      <c r="E1118" s="1830"/>
      <c r="F1118" s="1830"/>
      <c r="G1118" s="1828"/>
    </row>
    <row r="1119" spans="1:7" ht="14.25" customHeight="1">
      <c r="A1119" s="1829" t="s">
        <v>221</v>
      </c>
      <c r="B1119" s="1828"/>
      <c r="C1119" s="63" t="s">
        <v>222</v>
      </c>
      <c r="D1119" s="63" t="s">
        <v>252</v>
      </c>
      <c r="E1119" s="63" t="s">
        <v>224</v>
      </c>
      <c r="F1119" s="63" t="s">
        <v>225</v>
      </c>
      <c r="G1119" s="63" t="s">
        <v>226</v>
      </c>
    </row>
    <row r="1120" spans="1:7" ht="14.25" customHeight="1">
      <c r="A1120" s="1827" t="s">
        <v>827</v>
      </c>
      <c r="B1120" s="1828"/>
      <c r="C1120" s="64"/>
      <c r="D1120" s="64"/>
      <c r="E1120" s="64"/>
      <c r="F1120" s="64">
        <v>115</v>
      </c>
      <c r="G1120" s="64">
        <f>+F1120</f>
        <v>115</v>
      </c>
    </row>
    <row r="1121" spans="1:7" ht="14.25" customHeight="1">
      <c r="A1121" s="1827"/>
      <c r="B1121" s="1828"/>
      <c r="C1121" s="64"/>
      <c r="D1121" s="64"/>
      <c r="E1121" s="64"/>
      <c r="F1121" s="64"/>
      <c r="G1121" s="64"/>
    </row>
    <row r="1122" spans="1:7" ht="14.25" customHeight="1">
      <c r="A1122" s="1829" t="s">
        <v>227</v>
      </c>
      <c r="B1122" s="1830"/>
      <c r="C1122" s="1830"/>
      <c r="D1122" s="1830"/>
      <c r="E1122" s="1830"/>
      <c r="F1122" s="1828"/>
      <c r="G1122" s="65">
        <f>ROUND(SUM(G1119:G1121),2)</f>
        <v>115</v>
      </c>
    </row>
    <row r="1123" spans="1:7" ht="14.25" customHeight="1">
      <c r="A1123" s="1831"/>
      <c r="B1123" s="1830"/>
      <c r="C1123" s="1830"/>
      <c r="D1123" s="1830"/>
      <c r="E1123" s="1830"/>
      <c r="F1123" s="1830"/>
      <c r="G1123" s="1828"/>
    </row>
    <row r="1124" spans="1:7" ht="14.25" customHeight="1">
      <c r="A1124" s="66" t="s">
        <v>877</v>
      </c>
      <c r="B1124" s="1832" t="s">
        <v>260</v>
      </c>
      <c r="C1124" s="1830"/>
      <c r="D1124" s="1828"/>
      <c r="E1124" s="1833" t="s">
        <v>218</v>
      </c>
      <c r="F1124" s="1834"/>
      <c r="G1124" s="70" t="s">
        <v>127</v>
      </c>
    </row>
    <row r="1125" spans="1:7" ht="14.25" customHeight="1">
      <c r="A1125" s="66" t="s">
        <v>897</v>
      </c>
      <c r="B1125" s="1835" t="s">
        <v>1148</v>
      </c>
      <c r="C1125" s="1621"/>
      <c r="D1125" s="1621"/>
      <c r="E1125" s="1621"/>
      <c r="F1125" s="1621"/>
      <c r="G1125" s="1622"/>
    </row>
    <row r="1126" spans="1:7" ht="14.25" customHeight="1">
      <c r="A1126" s="1836" t="s">
        <v>220</v>
      </c>
      <c r="B1126" s="1830"/>
      <c r="C1126" s="1830"/>
      <c r="D1126" s="1830"/>
      <c r="E1126" s="1830"/>
      <c r="F1126" s="1830"/>
      <c r="G1126" s="1828"/>
    </row>
    <row r="1127" spans="1:7" ht="14.25" customHeight="1">
      <c r="A1127" s="1829" t="s">
        <v>221</v>
      </c>
      <c r="B1127" s="1828"/>
      <c r="C1127" s="63" t="s">
        <v>222</v>
      </c>
      <c r="D1127" s="63" t="s">
        <v>252</v>
      </c>
      <c r="E1127" s="63" t="s">
        <v>224</v>
      </c>
      <c r="F1127" s="63" t="s">
        <v>225</v>
      </c>
      <c r="G1127" s="63" t="s">
        <v>226</v>
      </c>
    </row>
    <row r="1128" spans="1:7" ht="14.25" customHeight="1">
      <c r="A1128" s="1827" t="s">
        <v>827</v>
      </c>
      <c r="B1128" s="1828"/>
      <c r="C1128" s="64"/>
      <c r="D1128" s="64"/>
      <c r="E1128" s="64"/>
      <c r="F1128" s="64">
        <v>4</v>
      </c>
      <c r="G1128" s="64">
        <f>+F1128</f>
        <v>4</v>
      </c>
    </row>
    <row r="1129" spans="1:7" ht="14.25" customHeight="1">
      <c r="A1129" s="1827"/>
      <c r="B1129" s="1828"/>
      <c r="C1129" s="64"/>
      <c r="D1129" s="64"/>
      <c r="E1129" s="64"/>
      <c r="F1129" s="64"/>
      <c r="G1129" s="64"/>
    </row>
    <row r="1130" spans="1:7" ht="14.25" customHeight="1">
      <c r="A1130" s="1829" t="s">
        <v>227</v>
      </c>
      <c r="B1130" s="1830"/>
      <c r="C1130" s="1830"/>
      <c r="D1130" s="1830"/>
      <c r="E1130" s="1830"/>
      <c r="F1130" s="1828"/>
      <c r="G1130" s="65">
        <f>ROUND(SUM(G1127:G1129),2)</f>
        <v>4</v>
      </c>
    </row>
    <row r="1131" spans="1:7" ht="14.25" customHeight="1">
      <c r="A1131" s="1831"/>
      <c r="B1131" s="1830"/>
      <c r="C1131" s="1830"/>
      <c r="D1131" s="1830"/>
      <c r="E1131" s="1830"/>
      <c r="F1131" s="1830"/>
      <c r="G1131" s="1828"/>
    </row>
    <row r="1132" spans="1:7" ht="14.25" customHeight="1">
      <c r="A1132" s="66" t="s">
        <v>877</v>
      </c>
      <c r="B1132" s="1832" t="s">
        <v>260</v>
      </c>
      <c r="C1132" s="1830"/>
      <c r="D1132" s="1828"/>
      <c r="E1132" s="1833" t="s">
        <v>218</v>
      </c>
      <c r="F1132" s="1834"/>
      <c r="G1132" s="70" t="s">
        <v>127</v>
      </c>
    </row>
    <row r="1133" spans="1:7" ht="14.25" customHeight="1">
      <c r="A1133" s="66" t="s">
        <v>898</v>
      </c>
      <c r="B1133" s="1835" t="s">
        <v>1149</v>
      </c>
      <c r="C1133" s="1621"/>
      <c r="D1133" s="1621"/>
      <c r="E1133" s="1621"/>
      <c r="F1133" s="1621"/>
      <c r="G1133" s="1622"/>
    </row>
    <row r="1134" spans="1:7" ht="14.25" customHeight="1">
      <c r="A1134" s="1836" t="s">
        <v>220</v>
      </c>
      <c r="B1134" s="1830"/>
      <c r="C1134" s="1830"/>
      <c r="D1134" s="1830"/>
      <c r="E1134" s="1830"/>
      <c r="F1134" s="1830"/>
      <c r="G1134" s="1828"/>
    </row>
    <row r="1135" spans="1:7" ht="14.25" customHeight="1">
      <c r="A1135" s="1829" t="s">
        <v>221</v>
      </c>
      <c r="B1135" s="1828"/>
      <c r="C1135" s="63" t="s">
        <v>222</v>
      </c>
      <c r="D1135" s="63" t="s">
        <v>252</v>
      </c>
      <c r="E1135" s="63" t="s">
        <v>224</v>
      </c>
      <c r="F1135" s="63" t="s">
        <v>225</v>
      </c>
      <c r="G1135" s="63" t="s">
        <v>226</v>
      </c>
    </row>
    <row r="1136" spans="1:7" ht="14.25" customHeight="1">
      <c r="A1136" s="1827" t="s">
        <v>827</v>
      </c>
      <c r="B1136" s="1828"/>
      <c r="C1136" s="64"/>
      <c r="D1136" s="64"/>
      <c r="E1136" s="64"/>
      <c r="F1136" s="64">
        <v>98</v>
      </c>
      <c r="G1136" s="64">
        <f>+F1136</f>
        <v>98</v>
      </c>
    </row>
    <row r="1137" spans="1:7" ht="14.25" customHeight="1">
      <c r="A1137" s="1827"/>
      <c r="B1137" s="1828"/>
      <c r="C1137" s="64"/>
      <c r="D1137" s="64"/>
      <c r="E1137" s="64"/>
      <c r="F1137" s="64"/>
      <c r="G1137" s="64"/>
    </row>
    <row r="1138" spans="1:7" ht="14.25" customHeight="1">
      <c r="A1138" s="1829" t="s">
        <v>227</v>
      </c>
      <c r="B1138" s="1830"/>
      <c r="C1138" s="1830"/>
      <c r="D1138" s="1830"/>
      <c r="E1138" s="1830"/>
      <c r="F1138" s="1828"/>
      <c r="G1138" s="65">
        <f>ROUND(SUM(G1135:G1137),2)</f>
        <v>98</v>
      </c>
    </row>
    <row r="1139" spans="1:7" ht="14.25" customHeight="1">
      <c r="A1139" s="1831"/>
      <c r="B1139" s="1830"/>
      <c r="C1139" s="1830"/>
      <c r="D1139" s="1830"/>
      <c r="E1139" s="1830"/>
      <c r="F1139" s="1830"/>
      <c r="G1139" s="1828"/>
    </row>
    <row r="1140" spans="1:7" ht="14.25" customHeight="1">
      <c r="A1140" s="66" t="s">
        <v>877</v>
      </c>
      <c r="B1140" s="1832" t="s">
        <v>260</v>
      </c>
      <c r="C1140" s="1830"/>
      <c r="D1140" s="1828"/>
      <c r="E1140" s="1833" t="s">
        <v>218</v>
      </c>
      <c r="F1140" s="1834"/>
      <c r="G1140" s="70" t="s">
        <v>127</v>
      </c>
    </row>
    <row r="1141" spans="1:7" ht="14.25" customHeight="1">
      <c r="A1141" s="66" t="s">
        <v>900</v>
      </c>
      <c r="B1141" s="1835" t="s">
        <v>1150</v>
      </c>
      <c r="C1141" s="1621"/>
      <c r="D1141" s="1621"/>
      <c r="E1141" s="1621"/>
      <c r="F1141" s="1621"/>
      <c r="G1141" s="1622"/>
    </row>
    <row r="1142" spans="1:7" ht="14.25" customHeight="1">
      <c r="A1142" s="1836" t="s">
        <v>220</v>
      </c>
      <c r="B1142" s="1830"/>
      <c r="C1142" s="1830"/>
      <c r="D1142" s="1830"/>
      <c r="E1142" s="1830"/>
      <c r="F1142" s="1830"/>
      <c r="G1142" s="1828"/>
    </row>
    <row r="1143" spans="1:7" ht="14.25" customHeight="1">
      <c r="A1143" s="1829" t="s">
        <v>221</v>
      </c>
      <c r="B1143" s="1828"/>
      <c r="C1143" s="63" t="s">
        <v>222</v>
      </c>
      <c r="D1143" s="63" t="s">
        <v>252</v>
      </c>
      <c r="E1143" s="63" t="s">
        <v>224</v>
      </c>
      <c r="F1143" s="63" t="s">
        <v>225</v>
      </c>
      <c r="G1143" s="63" t="s">
        <v>226</v>
      </c>
    </row>
    <row r="1144" spans="1:7" ht="14.25" customHeight="1">
      <c r="A1144" s="1827" t="s">
        <v>827</v>
      </c>
      <c r="B1144" s="1828"/>
      <c r="C1144" s="64"/>
      <c r="D1144" s="64"/>
      <c r="E1144" s="64"/>
      <c r="F1144" s="64">
        <v>29</v>
      </c>
      <c r="G1144" s="64">
        <f>+F1144</f>
        <v>29</v>
      </c>
    </row>
    <row r="1145" spans="1:7" ht="14.25" customHeight="1">
      <c r="A1145" s="1827"/>
      <c r="B1145" s="1828"/>
      <c r="C1145" s="64"/>
      <c r="D1145" s="64"/>
      <c r="E1145" s="64"/>
      <c r="F1145" s="64"/>
      <c r="G1145" s="64"/>
    </row>
    <row r="1146" spans="1:7" ht="14.25" customHeight="1">
      <c r="A1146" s="1829" t="s">
        <v>227</v>
      </c>
      <c r="B1146" s="1830"/>
      <c r="C1146" s="1830"/>
      <c r="D1146" s="1830"/>
      <c r="E1146" s="1830"/>
      <c r="F1146" s="1828"/>
      <c r="G1146" s="65">
        <f>ROUND(SUM(G1143:G1145),2)</f>
        <v>29</v>
      </c>
    </row>
    <row r="1147" spans="1:7" ht="14.25" customHeight="1">
      <c r="A1147" s="1831"/>
      <c r="B1147" s="1830"/>
      <c r="C1147" s="1830"/>
      <c r="D1147" s="1830"/>
      <c r="E1147" s="1830"/>
      <c r="F1147" s="1830"/>
      <c r="G1147" s="1828"/>
    </row>
    <row r="1148" spans="1:7" ht="14.25" customHeight="1">
      <c r="A1148" s="66" t="s">
        <v>877</v>
      </c>
      <c r="B1148" s="1832" t="s">
        <v>260</v>
      </c>
      <c r="C1148" s="1830"/>
      <c r="D1148" s="1828"/>
      <c r="E1148" s="1833" t="s">
        <v>218</v>
      </c>
      <c r="F1148" s="1834"/>
      <c r="G1148" s="70" t="s">
        <v>127</v>
      </c>
    </row>
    <row r="1149" spans="1:7" ht="14.25" customHeight="1">
      <c r="A1149" s="66" t="s">
        <v>901</v>
      </c>
      <c r="B1149" s="1835" t="s">
        <v>1151</v>
      </c>
      <c r="C1149" s="1621"/>
      <c r="D1149" s="1621"/>
      <c r="E1149" s="1621"/>
      <c r="F1149" s="1621"/>
      <c r="G1149" s="1622"/>
    </row>
    <row r="1150" spans="1:7" ht="14.25" customHeight="1">
      <c r="A1150" s="1836" t="s">
        <v>220</v>
      </c>
      <c r="B1150" s="1830"/>
      <c r="C1150" s="1830"/>
      <c r="D1150" s="1830"/>
      <c r="E1150" s="1830"/>
      <c r="F1150" s="1830"/>
      <c r="G1150" s="1828"/>
    </row>
    <row r="1151" spans="1:7" ht="14.25" customHeight="1">
      <c r="A1151" s="1829" t="s">
        <v>221</v>
      </c>
      <c r="B1151" s="1828"/>
      <c r="C1151" s="63" t="s">
        <v>222</v>
      </c>
      <c r="D1151" s="63" t="s">
        <v>252</v>
      </c>
      <c r="E1151" s="63" t="s">
        <v>224</v>
      </c>
      <c r="F1151" s="63" t="s">
        <v>225</v>
      </c>
      <c r="G1151" s="63" t="s">
        <v>226</v>
      </c>
    </row>
    <row r="1152" spans="1:7" ht="14.25" customHeight="1">
      <c r="A1152" s="1827" t="s">
        <v>827</v>
      </c>
      <c r="B1152" s="1828"/>
      <c r="C1152" s="64"/>
      <c r="D1152" s="64"/>
      <c r="E1152" s="64"/>
      <c r="F1152" s="64">
        <v>7</v>
      </c>
      <c r="G1152" s="64">
        <f>+F1152</f>
        <v>7</v>
      </c>
    </row>
    <row r="1153" spans="1:8" ht="14.25" customHeight="1">
      <c r="A1153" s="1827"/>
      <c r="B1153" s="1828"/>
      <c r="C1153" s="64"/>
      <c r="D1153" s="64"/>
      <c r="E1153" s="64"/>
      <c r="F1153" s="64"/>
      <c r="G1153" s="64"/>
      <c r="H1153" s="59"/>
    </row>
    <row r="1154" spans="1:8" ht="14.25" customHeight="1">
      <c r="A1154" s="1829" t="s">
        <v>227</v>
      </c>
      <c r="B1154" s="1830"/>
      <c r="C1154" s="1830"/>
      <c r="D1154" s="1830"/>
      <c r="E1154" s="1830"/>
      <c r="F1154" s="1828"/>
      <c r="G1154" s="65">
        <f>ROUND(SUM(G1151:G1153),2)</f>
        <v>7</v>
      </c>
      <c r="H1154" s="59"/>
    </row>
    <row r="1155" spans="1:8" ht="14.25" customHeight="1">
      <c r="A1155" s="1831"/>
      <c r="B1155" s="1830"/>
      <c r="C1155" s="1830"/>
      <c r="D1155" s="1830"/>
      <c r="E1155" s="1830"/>
      <c r="F1155" s="1830"/>
      <c r="G1155" s="1828"/>
      <c r="H1155" s="59"/>
    </row>
    <row r="1156" spans="1:8" ht="14.25" customHeight="1">
      <c r="A1156" s="66" t="s">
        <v>918</v>
      </c>
      <c r="B1156" s="1832" t="s">
        <v>1152</v>
      </c>
      <c r="C1156" s="1830"/>
      <c r="D1156" s="1828"/>
      <c r="E1156" s="1833" t="s">
        <v>218</v>
      </c>
      <c r="F1156" s="1834"/>
      <c r="G1156" s="70" t="s">
        <v>228</v>
      </c>
      <c r="H1156" s="59"/>
    </row>
    <row r="1157" spans="1:8" ht="31.5" customHeight="1">
      <c r="A1157" s="66" t="s">
        <v>1153</v>
      </c>
      <c r="B1157" s="1835" t="s">
        <v>1154</v>
      </c>
      <c r="C1157" s="1621"/>
      <c r="D1157" s="1621"/>
      <c r="E1157" s="1621"/>
      <c r="F1157" s="1621"/>
      <c r="G1157" s="1622"/>
      <c r="H1157" s="59"/>
    </row>
    <row r="1158" spans="1:8" ht="14.25" customHeight="1">
      <c r="A1158" s="1836" t="s">
        <v>220</v>
      </c>
      <c r="B1158" s="1830"/>
      <c r="C1158" s="1830"/>
      <c r="D1158" s="1830"/>
      <c r="E1158" s="1830"/>
      <c r="F1158" s="1830"/>
      <c r="G1158" s="1828"/>
      <c r="H1158" s="59"/>
    </row>
    <row r="1159" spans="1:8" ht="14.25" customHeight="1">
      <c r="A1159" s="1829" t="s">
        <v>221</v>
      </c>
      <c r="B1159" s="1828"/>
      <c r="C1159" s="63" t="s">
        <v>222</v>
      </c>
      <c r="D1159" s="63" t="s">
        <v>252</v>
      </c>
      <c r="E1159" s="63" t="s">
        <v>224</v>
      </c>
      <c r="F1159" s="63" t="s">
        <v>225</v>
      </c>
      <c r="G1159" s="63" t="s">
        <v>226</v>
      </c>
      <c r="H1159" s="59"/>
    </row>
    <row r="1160" spans="1:8" ht="14.25" customHeight="1">
      <c r="A1160" s="1827" t="s">
        <v>1155</v>
      </c>
      <c r="B1160" s="1828"/>
      <c r="C1160" s="64">
        <v>70.76548245153856</v>
      </c>
      <c r="D1160" s="64">
        <v>12.45</v>
      </c>
      <c r="E1160" s="64"/>
      <c r="F1160" s="64">
        <v>2</v>
      </c>
      <c r="G1160" s="64">
        <f>+F1160*D1160*C1160</f>
        <v>1762.06051304331</v>
      </c>
      <c r="H1160" s="59"/>
    </row>
    <row r="1161" spans="1:8" ht="14.25" customHeight="1">
      <c r="A1161" s="1827"/>
      <c r="B1161" s="1828"/>
      <c r="C1161" s="64"/>
      <c r="D1161" s="64"/>
      <c r="E1161" s="64"/>
      <c r="F1161" s="64"/>
      <c r="G1161" s="64">
        <f>+F1161</f>
        <v>0</v>
      </c>
      <c r="H1161" s="59"/>
    </row>
    <row r="1162" spans="1:8" ht="14.25" customHeight="1">
      <c r="A1162" s="1829" t="s">
        <v>227</v>
      </c>
      <c r="B1162" s="1830"/>
      <c r="C1162" s="1830"/>
      <c r="D1162" s="1830"/>
      <c r="E1162" s="1830"/>
      <c r="F1162" s="1828"/>
      <c r="G1162" s="65">
        <f>ROUND(SUM(G1159:G1161),2)</f>
        <v>1762.06</v>
      </c>
      <c r="H1162" s="59">
        <v>1762.06</v>
      </c>
    </row>
    <row r="1163" spans="1:8" ht="14.25" customHeight="1">
      <c r="A1163" s="1831"/>
      <c r="B1163" s="1830"/>
      <c r="C1163" s="1830"/>
      <c r="D1163" s="1830"/>
      <c r="E1163" s="1830"/>
      <c r="F1163" s="1830"/>
      <c r="G1163" s="1828"/>
      <c r="H1163" s="59"/>
    </row>
    <row r="1164" spans="1:8" ht="17.25" customHeight="1">
      <c r="A1164" s="66" t="str">
        <f>+A1156</f>
        <v>CAPITULO 9:</v>
      </c>
      <c r="B1164" s="1832" t="s">
        <v>1152</v>
      </c>
      <c r="C1164" s="1830"/>
      <c r="D1164" s="1828"/>
      <c r="E1164" s="1833" t="s">
        <v>218</v>
      </c>
      <c r="F1164" s="1834"/>
      <c r="G1164" s="70" t="s">
        <v>228</v>
      </c>
      <c r="H1164" s="59"/>
    </row>
    <row r="1165" spans="1:8" ht="48.75" customHeight="1">
      <c r="A1165" s="66" t="s">
        <v>1156</v>
      </c>
      <c r="B1165" s="1835" t="s">
        <v>1157</v>
      </c>
      <c r="C1165" s="1621"/>
      <c r="D1165" s="1621"/>
      <c r="E1165" s="1621"/>
      <c r="F1165" s="1621"/>
      <c r="G1165" s="1622"/>
      <c r="H1165" s="59"/>
    </row>
    <row r="1166" spans="1:8" ht="14.25" customHeight="1">
      <c r="A1166" s="1836" t="s">
        <v>220</v>
      </c>
      <c r="B1166" s="1830"/>
      <c r="C1166" s="1830"/>
      <c r="D1166" s="1830"/>
      <c r="E1166" s="1830"/>
      <c r="F1166" s="1830"/>
      <c r="G1166" s="1828"/>
      <c r="H1166" s="59"/>
    </row>
    <row r="1167" spans="1:8" ht="14.25" customHeight="1">
      <c r="A1167" s="1829" t="s">
        <v>221</v>
      </c>
      <c r="B1167" s="1828"/>
      <c r="C1167" s="63" t="s">
        <v>222</v>
      </c>
      <c r="D1167" s="63" t="s">
        <v>252</v>
      </c>
      <c r="E1167" s="63" t="s">
        <v>224</v>
      </c>
      <c r="F1167" s="63" t="s">
        <v>225</v>
      </c>
      <c r="G1167" s="63" t="s">
        <v>226</v>
      </c>
      <c r="H1167" s="59"/>
    </row>
    <row r="1168" spans="1:8" ht="14.25" customHeight="1">
      <c r="A1168" s="1827" t="s">
        <v>1155</v>
      </c>
      <c r="B1168" s="1828"/>
      <c r="C1168" s="64">
        <v>108.43461538461537</v>
      </c>
      <c r="D1168" s="64">
        <v>6.5</v>
      </c>
      <c r="E1168" s="64"/>
      <c r="F1168" s="64">
        <v>2</v>
      </c>
      <c r="G1168" s="64">
        <f>+F1168*D1168*C1168</f>
        <v>1409.6499999999999</v>
      </c>
      <c r="H1168" s="59"/>
    </row>
    <row r="1169" spans="1:8" ht="14.25" customHeight="1">
      <c r="A1169" s="1827"/>
      <c r="B1169" s="1828"/>
      <c r="C1169" s="64"/>
      <c r="D1169" s="64"/>
      <c r="E1169" s="64"/>
      <c r="F1169" s="64"/>
      <c r="G1169" s="64">
        <f>+F1169</f>
        <v>0</v>
      </c>
      <c r="H1169" s="59"/>
    </row>
    <row r="1170" spans="1:8" ht="14.25" customHeight="1">
      <c r="A1170" s="1829" t="s">
        <v>227</v>
      </c>
      <c r="B1170" s="1830"/>
      <c r="C1170" s="1830"/>
      <c r="D1170" s="1830"/>
      <c r="E1170" s="1830"/>
      <c r="F1170" s="1828"/>
      <c r="G1170" s="65">
        <f>ROUND(SUM(G1168:G1169),2)</f>
        <v>1409.65</v>
      </c>
      <c r="H1170" s="59">
        <v>1409.65</v>
      </c>
    </row>
    <row r="1171" spans="1:8" ht="14.25" customHeight="1">
      <c r="A1171" s="1831"/>
      <c r="B1171" s="1830"/>
      <c r="C1171" s="1830"/>
      <c r="D1171" s="1830"/>
      <c r="E1171" s="1830"/>
      <c r="F1171" s="1830"/>
      <c r="G1171" s="1828"/>
      <c r="H1171" s="59"/>
    </row>
    <row r="1172" spans="1:8" ht="17.25" customHeight="1">
      <c r="A1172" s="66" t="str">
        <f>+A1164</f>
        <v>CAPITULO 9:</v>
      </c>
      <c r="B1172" s="1832" t="s">
        <v>1152</v>
      </c>
      <c r="C1172" s="1830"/>
      <c r="D1172" s="1828"/>
      <c r="E1172" s="1833" t="s">
        <v>218</v>
      </c>
      <c r="F1172" s="1834"/>
      <c r="G1172" s="70" t="s">
        <v>228</v>
      </c>
      <c r="H1172" s="59"/>
    </row>
    <row r="1173" spans="1:8" ht="53.25" customHeight="1">
      <c r="A1173" s="66" t="s">
        <v>919</v>
      </c>
      <c r="B1173" s="1835" t="s">
        <v>1158</v>
      </c>
      <c r="C1173" s="1621"/>
      <c r="D1173" s="1621"/>
      <c r="E1173" s="1621"/>
      <c r="F1173" s="1621"/>
      <c r="G1173" s="1622"/>
      <c r="H1173" s="59"/>
    </row>
    <row r="1174" spans="1:8" ht="14.25" customHeight="1">
      <c r="A1174" s="1836" t="s">
        <v>220</v>
      </c>
      <c r="B1174" s="1830"/>
      <c r="C1174" s="1830"/>
      <c r="D1174" s="1830"/>
      <c r="E1174" s="1830"/>
      <c r="F1174" s="1830"/>
      <c r="G1174" s="1828"/>
      <c r="H1174" s="59"/>
    </row>
    <row r="1175" spans="1:8" ht="14.25" customHeight="1">
      <c r="A1175" s="1829" t="s">
        <v>221</v>
      </c>
      <c r="B1175" s="1828"/>
      <c r="C1175" s="63" t="s">
        <v>222</v>
      </c>
      <c r="D1175" s="63" t="s">
        <v>252</v>
      </c>
      <c r="E1175" s="63" t="s">
        <v>224</v>
      </c>
      <c r="F1175" s="63" t="s">
        <v>225</v>
      </c>
      <c r="G1175" s="63" t="s">
        <v>226</v>
      </c>
      <c r="H1175" s="59"/>
    </row>
    <row r="1176" spans="1:8" ht="14.25" customHeight="1">
      <c r="A1176" s="1827" t="s">
        <v>1155</v>
      </c>
      <c r="B1176" s="1828"/>
      <c r="C1176" s="64">
        <v>62.650709865094257</v>
      </c>
      <c r="D1176" s="64">
        <v>4.5</v>
      </c>
      <c r="E1176" s="64"/>
      <c r="F1176" s="64">
        <v>2</v>
      </c>
      <c r="G1176" s="64">
        <f>+F1176*D1176*C1176</f>
        <v>563.85638878584837</v>
      </c>
      <c r="H1176" s="59"/>
    </row>
    <row r="1177" spans="1:8" ht="14.25" customHeight="1">
      <c r="A1177" s="1827"/>
      <c r="B1177" s="1828"/>
      <c r="C1177" s="64"/>
      <c r="D1177" s="64"/>
      <c r="E1177" s="64"/>
      <c r="F1177" s="64"/>
      <c r="G1177" s="64"/>
      <c r="H1177" s="59"/>
    </row>
    <row r="1178" spans="1:8" ht="14.25" customHeight="1">
      <c r="A1178" s="1829" t="s">
        <v>227</v>
      </c>
      <c r="B1178" s="1830"/>
      <c r="C1178" s="1830"/>
      <c r="D1178" s="1830"/>
      <c r="E1178" s="1830"/>
      <c r="F1178" s="1828"/>
      <c r="G1178" s="65">
        <f>ROUND(SUM(G1176:G1177),2)</f>
        <v>563.86</v>
      </c>
      <c r="H1178" s="59">
        <v>563.86</v>
      </c>
    </row>
    <row r="1179" spans="1:8" ht="14.25" customHeight="1">
      <c r="A1179" s="1831"/>
      <c r="B1179" s="1830"/>
      <c r="C1179" s="1830"/>
      <c r="D1179" s="1830"/>
      <c r="E1179" s="1830"/>
      <c r="F1179" s="1830"/>
      <c r="G1179" s="1828"/>
      <c r="H1179" s="59"/>
    </row>
    <row r="1180" spans="1:8" ht="17.25" customHeight="1">
      <c r="A1180" s="66" t="str">
        <f>+A1172</f>
        <v>CAPITULO 9:</v>
      </c>
      <c r="B1180" s="1832" t="s">
        <v>1152</v>
      </c>
      <c r="C1180" s="1830"/>
      <c r="D1180" s="1828"/>
      <c r="E1180" s="1833" t="s">
        <v>218</v>
      </c>
      <c r="F1180" s="1834"/>
      <c r="G1180" s="70" t="s">
        <v>120</v>
      </c>
      <c r="H1180" s="59"/>
    </row>
    <row r="1181" spans="1:8" ht="36" customHeight="1">
      <c r="A1181" s="66" t="s">
        <v>921</v>
      </c>
      <c r="B1181" s="1835" t="s">
        <v>1159</v>
      </c>
      <c r="C1181" s="1621"/>
      <c r="D1181" s="1621"/>
      <c r="E1181" s="1621"/>
      <c r="F1181" s="1621"/>
      <c r="G1181" s="1622"/>
      <c r="H1181" s="59"/>
    </row>
    <row r="1182" spans="1:8" ht="14.25" customHeight="1">
      <c r="A1182" s="1836" t="s">
        <v>220</v>
      </c>
      <c r="B1182" s="1830"/>
      <c r="C1182" s="1830"/>
      <c r="D1182" s="1830"/>
      <c r="E1182" s="1830"/>
      <c r="F1182" s="1830"/>
      <c r="G1182" s="1828"/>
      <c r="H1182" s="59"/>
    </row>
    <row r="1183" spans="1:8" ht="14.25" customHeight="1">
      <c r="A1183" s="1829" t="s">
        <v>221</v>
      </c>
      <c r="B1183" s="1828"/>
      <c r="C1183" s="63" t="s">
        <v>222</v>
      </c>
      <c r="D1183" s="63" t="s">
        <v>252</v>
      </c>
      <c r="E1183" s="63" t="s">
        <v>224</v>
      </c>
      <c r="F1183" s="63" t="s">
        <v>225</v>
      </c>
      <c r="G1183" s="63" t="s">
        <v>226</v>
      </c>
      <c r="H1183" s="59"/>
    </row>
    <row r="1184" spans="1:8" ht="14.25" customHeight="1">
      <c r="A1184" s="1827" t="s">
        <v>1155</v>
      </c>
      <c r="B1184" s="1828"/>
      <c r="C1184" s="64">
        <v>77.250277777777924</v>
      </c>
      <c r="D1184" s="64">
        <v>4.5</v>
      </c>
      <c r="E1184" s="64"/>
      <c r="F1184" s="64">
        <v>2</v>
      </c>
      <c r="G1184" s="64">
        <f>+F1184*D1184*C1184</f>
        <v>695.25250000000131</v>
      </c>
      <c r="H1184" s="59"/>
    </row>
    <row r="1185" spans="1:7" ht="14.25" customHeight="1">
      <c r="A1185" s="1827"/>
      <c r="B1185" s="1828"/>
      <c r="C1185" s="64"/>
      <c r="D1185" s="64"/>
      <c r="E1185" s="64"/>
      <c r="F1185" s="64"/>
      <c r="G1185" s="64"/>
    </row>
    <row r="1186" spans="1:7" ht="14.25" customHeight="1">
      <c r="A1186" s="1829" t="s">
        <v>227</v>
      </c>
      <c r="B1186" s="1830"/>
      <c r="C1186" s="1830"/>
      <c r="D1186" s="1830"/>
      <c r="E1186" s="1830"/>
      <c r="F1186" s="1828"/>
      <c r="G1186" s="65">
        <f>ROUND(SUM(G1184:G1185),2)</f>
        <v>695.25</v>
      </c>
    </row>
    <row r="1187" spans="1:7" ht="14.25" customHeight="1">
      <c r="A1187" s="1831"/>
      <c r="B1187" s="1830"/>
      <c r="C1187" s="1830"/>
      <c r="D1187" s="1830"/>
      <c r="E1187" s="1830"/>
      <c r="F1187" s="1830"/>
      <c r="G1187" s="1828"/>
    </row>
    <row r="1188" spans="1:7" ht="17.25" customHeight="1">
      <c r="A1188" s="66" t="str">
        <f>+A1180</f>
        <v>CAPITULO 9:</v>
      </c>
      <c r="B1188" s="1832" t="s">
        <v>1152</v>
      </c>
      <c r="C1188" s="1830"/>
      <c r="D1188" s="1828"/>
      <c r="E1188" s="1833" t="s">
        <v>218</v>
      </c>
      <c r="F1188" s="1834"/>
      <c r="G1188" s="70" t="s">
        <v>120</v>
      </c>
    </row>
    <row r="1189" spans="1:7" ht="14.25" customHeight="1">
      <c r="A1189" s="66" t="s">
        <v>922</v>
      </c>
      <c r="B1189" s="1835" t="s">
        <v>1160</v>
      </c>
      <c r="C1189" s="1621"/>
      <c r="D1189" s="1621"/>
      <c r="E1189" s="1621"/>
      <c r="F1189" s="1621"/>
      <c r="G1189" s="1622"/>
    </row>
    <row r="1190" spans="1:7" ht="14.25" customHeight="1">
      <c r="A1190" s="1836" t="s">
        <v>220</v>
      </c>
      <c r="B1190" s="1830"/>
      <c r="C1190" s="1830"/>
      <c r="D1190" s="1830"/>
      <c r="E1190" s="1830"/>
      <c r="F1190" s="1830"/>
      <c r="G1190" s="1828"/>
    </row>
    <row r="1191" spans="1:7" ht="14.25" customHeight="1">
      <c r="A1191" s="1829" t="s">
        <v>221</v>
      </c>
      <c r="B1191" s="1828"/>
      <c r="C1191" s="63" t="s">
        <v>222</v>
      </c>
      <c r="D1191" s="63" t="s">
        <v>252</v>
      </c>
      <c r="E1191" s="63" t="s">
        <v>224</v>
      </c>
      <c r="F1191" s="63" t="s">
        <v>225</v>
      </c>
      <c r="G1191" s="63" t="s">
        <v>226</v>
      </c>
    </row>
    <row r="1192" spans="1:7" ht="14.25" customHeight="1">
      <c r="A1192" s="1827" t="s">
        <v>1155</v>
      </c>
      <c r="B1192" s="1828"/>
      <c r="C1192" s="64">
        <v>36.166111111111128</v>
      </c>
      <c r="D1192" s="64">
        <v>4.5</v>
      </c>
      <c r="E1192" s="64"/>
      <c r="F1192" s="64">
        <v>2</v>
      </c>
      <c r="G1192" s="64">
        <f>+F1192*D1192*C1192</f>
        <v>325.49500000000018</v>
      </c>
    </row>
    <row r="1193" spans="1:7" ht="14.25" customHeight="1">
      <c r="A1193" s="1827"/>
      <c r="B1193" s="1828"/>
      <c r="C1193" s="64"/>
      <c r="D1193" s="64"/>
      <c r="E1193" s="64"/>
      <c r="F1193" s="64"/>
      <c r="G1193" s="64"/>
    </row>
    <row r="1194" spans="1:7" ht="14.25" customHeight="1">
      <c r="A1194" s="1829" t="s">
        <v>227</v>
      </c>
      <c r="B1194" s="1830"/>
      <c r="C1194" s="1830"/>
      <c r="D1194" s="1830"/>
      <c r="E1194" s="1830"/>
      <c r="F1194" s="1828"/>
      <c r="G1194" s="65">
        <f>ROUND(SUM(G1192:G1193),2)</f>
        <v>325.5</v>
      </c>
    </row>
    <row r="1195" spans="1:7" ht="14.25" customHeight="1">
      <c r="A1195" s="1831"/>
      <c r="B1195" s="1830"/>
      <c r="C1195" s="1830"/>
      <c r="D1195" s="1830"/>
      <c r="E1195" s="1830"/>
      <c r="F1195" s="1830"/>
      <c r="G1195" s="1828"/>
    </row>
    <row r="1196" spans="1:7" ht="17.25" customHeight="1">
      <c r="A1196" s="66" t="str">
        <f>+A1188</f>
        <v>CAPITULO 9:</v>
      </c>
      <c r="B1196" s="1832" t="s">
        <v>1152</v>
      </c>
      <c r="C1196" s="1830"/>
      <c r="D1196" s="1828"/>
      <c r="E1196" s="1833" t="s">
        <v>218</v>
      </c>
      <c r="F1196" s="1834"/>
      <c r="G1196" s="70" t="s">
        <v>228</v>
      </c>
    </row>
    <row r="1197" spans="1:7" ht="14.25" customHeight="1">
      <c r="A1197" s="66" t="s">
        <v>924</v>
      </c>
      <c r="B1197" s="1835" t="s">
        <v>1161</v>
      </c>
      <c r="C1197" s="1621"/>
      <c r="D1197" s="1621"/>
      <c r="E1197" s="1621"/>
      <c r="F1197" s="1621"/>
      <c r="G1197" s="1622"/>
    </row>
    <row r="1198" spans="1:7" ht="14.25" customHeight="1">
      <c r="A1198" s="1836" t="s">
        <v>220</v>
      </c>
      <c r="B1198" s="1830"/>
      <c r="C1198" s="1830"/>
      <c r="D1198" s="1830"/>
      <c r="E1198" s="1830"/>
      <c r="F1198" s="1830"/>
      <c r="G1198" s="1828"/>
    </row>
    <row r="1199" spans="1:7" ht="14.25" customHeight="1">
      <c r="A1199" s="1829" t="s">
        <v>221</v>
      </c>
      <c r="B1199" s="1828"/>
      <c r="C1199" s="63" t="s">
        <v>222</v>
      </c>
      <c r="D1199" s="63" t="s">
        <v>252</v>
      </c>
      <c r="E1199" s="63" t="s">
        <v>224</v>
      </c>
      <c r="F1199" s="63" t="s">
        <v>225</v>
      </c>
      <c r="G1199" s="63" t="s">
        <v>226</v>
      </c>
    </row>
    <row r="1200" spans="1:7" ht="14.25" customHeight="1">
      <c r="A1200" s="1827" t="s">
        <v>1155</v>
      </c>
      <c r="B1200" s="1828"/>
      <c r="C1200" s="64">
        <v>39.048306451612859</v>
      </c>
      <c r="D1200" s="64">
        <v>15.5</v>
      </c>
      <c r="E1200" s="64"/>
      <c r="F1200" s="64">
        <v>1</v>
      </c>
      <c r="G1200" s="64">
        <f>+F1200*D1200*C1200</f>
        <v>605.24874999999929</v>
      </c>
    </row>
    <row r="1201" spans="1:7" ht="14.25" customHeight="1">
      <c r="A1201" s="1827"/>
      <c r="B1201" s="1828"/>
      <c r="C1201" s="64"/>
      <c r="D1201" s="64"/>
      <c r="E1201" s="64"/>
      <c r="F1201" s="64"/>
      <c r="G1201" s="64"/>
    </row>
    <row r="1202" spans="1:7" ht="14.25" customHeight="1">
      <c r="A1202" s="1829" t="s">
        <v>227</v>
      </c>
      <c r="B1202" s="1830"/>
      <c r="C1202" s="1830"/>
      <c r="D1202" s="1830"/>
      <c r="E1202" s="1830"/>
      <c r="F1202" s="1828"/>
      <c r="G1202" s="65">
        <f>ROUND(SUM(G1200:G1201),2)</f>
        <v>605.25</v>
      </c>
    </row>
    <row r="1203" spans="1:7" ht="14.25" customHeight="1">
      <c r="A1203" s="1831"/>
      <c r="B1203" s="1830"/>
      <c r="C1203" s="1830"/>
      <c r="D1203" s="1830"/>
      <c r="E1203" s="1830"/>
      <c r="F1203" s="1830"/>
      <c r="G1203" s="1828"/>
    </row>
    <row r="1204" spans="1:7" ht="17.25" customHeight="1">
      <c r="A1204" s="66" t="str">
        <f>+A1196</f>
        <v>CAPITULO 9:</v>
      </c>
      <c r="B1204" s="1832" t="s">
        <v>1152</v>
      </c>
      <c r="C1204" s="1830"/>
      <c r="D1204" s="1828"/>
      <c r="E1204" s="1833" t="s">
        <v>218</v>
      </c>
      <c r="F1204" s="1834"/>
      <c r="G1204" s="70" t="s">
        <v>116</v>
      </c>
    </row>
    <row r="1205" spans="1:7" ht="14.25" customHeight="1">
      <c r="A1205" s="66" t="s">
        <v>925</v>
      </c>
      <c r="B1205" s="1835" t="s">
        <v>1162</v>
      </c>
      <c r="C1205" s="1621"/>
      <c r="D1205" s="1621"/>
      <c r="E1205" s="1621"/>
      <c r="F1205" s="1621"/>
      <c r="G1205" s="1622"/>
    </row>
    <row r="1206" spans="1:7" ht="14.25" customHeight="1">
      <c r="A1206" s="1836" t="s">
        <v>220</v>
      </c>
      <c r="B1206" s="1830"/>
      <c r="C1206" s="1830"/>
      <c r="D1206" s="1830"/>
      <c r="E1206" s="1830"/>
      <c r="F1206" s="1830"/>
      <c r="G1206" s="1828"/>
    </row>
    <row r="1207" spans="1:7" ht="14.25" customHeight="1">
      <c r="A1207" s="1829" t="s">
        <v>221</v>
      </c>
      <c r="B1207" s="1828"/>
      <c r="C1207" s="63" t="s">
        <v>222</v>
      </c>
      <c r="D1207" s="63" t="s">
        <v>252</v>
      </c>
      <c r="E1207" s="63" t="s">
        <v>224</v>
      </c>
      <c r="F1207" s="63" t="s">
        <v>225</v>
      </c>
      <c r="G1207" s="63" t="s">
        <v>226</v>
      </c>
    </row>
    <row r="1208" spans="1:7" ht="14.25" customHeight="1">
      <c r="A1208" s="1827" t="s">
        <v>1155</v>
      </c>
      <c r="B1208" s="1828"/>
      <c r="C1208" s="64">
        <v>39.054707813326239</v>
      </c>
      <c r="D1208" s="64">
        <v>15.5</v>
      </c>
      <c r="E1208" s="64">
        <v>0.1</v>
      </c>
      <c r="F1208" s="64">
        <v>1</v>
      </c>
      <c r="G1208" s="64">
        <f>+F1208*E1208*D1208*C1208</f>
        <v>60.534797110655674</v>
      </c>
    </row>
    <row r="1209" spans="1:7" ht="14.25" customHeight="1">
      <c r="A1209" s="1827"/>
      <c r="B1209" s="1828"/>
      <c r="C1209" s="64"/>
      <c r="D1209" s="64"/>
      <c r="E1209" s="64"/>
      <c r="F1209" s="64"/>
      <c r="G1209" s="64"/>
    </row>
    <row r="1210" spans="1:7" ht="14.25" customHeight="1">
      <c r="A1210" s="1829" t="s">
        <v>227</v>
      </c>
      <c r="B1210" s="1830"/>
      <c r="C1210" s="1830"/>
      <c r="D1210" s="1830"/>
      <c r="E1210" s="1830"/>
      <c r="F1210" s="1828"/>
      <c r="G1210" s="65">
        <f>ROUND(SUM(G1208:G1209),2)</f>
        <v>60.53</v>
      </c>
    </row>
    <row r="1211" spans="1:7" ht="14.25" customHeight="1">
      <c r="A1211" s="1831"/>
      <c r="B1211" s="1830"/>
      <c r="C1211" s="1830"/>
      <c r="D1211" s="1830"/>
      <c r="E1211" s="1830"/>
      <c r="F1211" s="1830"/>
      <c r="G1211" s="1828"/>
    </row>
    <row r="1212" spans="1:7" ht="17.25" customHeight="1">
      <c r="A1212" s="66" t="str">
        <f>+A1204</f>
        <v>CAPITULO 9:</v>
      </c>
      <c r="B1212" s="1832" t="s">
        <v>1152</v>
      </c>
      <c r="C1212" s="1830"/>
      <c r="D1212" s="1828"/>
      <c r="E1212" s="1833" t="s">
        <v>218</v>
      </c>
      <c r="F1212" s="1834"/>
      <c r="G1212" s="70" t="s">
        <v>228</v>
      </c>
    </row>
    <row r="1213" spans="1:7" ht="35.25" customHeight="1">
      <c r="A1213" s="66" t="s">
        <v>926</v>
      </c>
      <c r="B1213" s="1835" t="s">
        <v>1163</v>
      </c>
      <c r="C1213" s="1621"/>
      <c r="D1213" s="1621"/>
      <c r="E1213" s="1621"/>
      <c r="F1213" s="1621"/>
      <c r="G1213" s="1622"/>
    </row>
    <row r="1214" spans="1:7" ht="14.25" customHeight="1">
      <c r="A1214" s="1836" t="s">
        <v>220</v>
      </c>
      <c r="B1214" s="1830"/>
      <c r="C1214" s="1830"/>
      <c r="D1214" s="1830"/>
      <c r="E1214" s="1830"/>
      <c r="F1214" s="1830"/>
      <c r="G1214" s="1828"/>
    </row>
    <row r="1215" spans="1:7" ht="14.25" customHeight="1">
      <c r="A1215" s="1829" t="s">
        <v>221</v>
      </c>
      <c r="B1215" s="1828"/>
      <c r="C1215" s="63" t="s">
        <v>222</v>
      </c>
      <c r="D1215" s="63" t="s">
        <v>252</v>
      </c>
      <c r="E1215" s="63" t="s">
        <v>224</v>
      </c>
      <c r="F1215" s="63" t="s">
        <v>225</v>
      </c>
      <c r="G1215" s="63" t="s">
        <v>226</v>
      </c>
    </row>
    <row r="1216" spans="1:7" ht="15" customHeight="1">
      <c r="A1216" s="1827" t="s">
        <v>1155</v>
      </c>
      <c r="B1216" s="1828"/>
      <c r="C1216" s="64">
        <v>3.2660483870967667</v>
      </c>
      <c r="D1216" s="64">
        <v>15.5</v>
      </c>
      <c r="E1216" s="64"/>
      <c r="F1216" s="64">
        <v>2</v>
      </c>
      <c r="G1216" s="64">
        <f>+F1216*D1216*C1216</f>
        <v>101.24749999999977</v>
      </c>
    </row>
    <row r="1217" spans="1:7" ht="14.25" customHeight="1">
      <c r="A1217" s="1827"/>
      <c r="B1217" s="1828"/>
      <c r="C1217" s="64"/>
      <c r="D1217" s="64"/>
      <c r="E1217" s="64"/>
      <c r="F1217" s="64"/>
      <c r="G1217" s="64"/>
    </row>
    <row r="1218" spans="1:7" ht="14.25" customHeight="1">
      <c r="A1218" s="1829" t="s">
        <v>227</v>
      </c>
      <c r="B1218" s="1830"/>
      <c r="C1218" s="1830"/>
      <c r="D1218" s="1830"/>
      <c r="E1218" s="1830"/>
      <c r="F1218" s="1828"/>
      <c r="G1218" s="65">
        <f>ROUND(SUM(G1216:G1217),2)</f>
        <v>101.25</v>
      </c>
    </row>
    <row r="1219" spans="1:7" ht="14.25" customHeight="1">
      <c r="A1219" s="1831"/>
      <c r="B1219" s="1830"/>
      <c r="C1219" s="1830"/>
      <c r="D1219" s="1830"/>
      <c r="E1219" s="1830"/>
      <c r="F1219" s="1830"/>
      <c r="G1219" s="1828"/>
    </row>
    <row r="1220" spans="1:7" ht="14.25" customHeight="1">
      <c r="A1220" s="66" t="s">
        <v>914</v>
      </c>
      <c r="B1220" s="1832" t="s">
        <v>1164</v>
      </c>
      <c r="C1220" s="1830"/>
      <c r="D1220" s="1828"/>
      <c r="E1220" s="1833" t="s">
        <v>218</v>
      </c>
      <c r="F1220" s="1834"/>
      <c r="G1220" s="70" t="s">
        <v>127</v>
      </c>
    </row>
    <row r="1221" spans="1:7" ht="28.5" customHeight="1">
      <c r="A1221" s="66" t="s">
        <v>915</v>
      </c>
      <c r="B1221" s="1835" t="s">
        <v>1165</v>
      </c>
      <c r="C1221" s="1621"/>
      <c r="D1221" s="1621"/>
      <c r="E1221" s="1621"/>
      <c r="F1221" s="1621"/>
      <c r="G1221" s="1622"/>
    </row>
    <row r="1222" spans="1:7" ht="14.25" customHeight="1">
      <c r="A1222" s="1836" t="s">
        <v>220</v>
      </c>
      <c r="B1222" s="1830"/>
      <c r="C1222" s="1830"/>
      <c r="D1222" s="1830"/>
      <c r="E1222" s="1830"/>
      <c r="F1222" s="1830"/>
      <c r="G1222" s="1828"/>
    </row>
    <row r="1223" spans="1:7" ht="14.25" customHeight="1">
      <c r="A1223" s="1829" t="s">
        <v>221</v>
      </c>
      <c r="B1223" s="1828"/>
      <c r="C1223" s="63" t="s">
        <v>222</v>
      </c>
      <c r="D1223" s="63" t="s">
        <v>252</v>
      </c>
      <c r="E1223" s="63" t="s">
        <v>224</v>
      </c>
      <c r="F1223" s="63" t="s">
        <v>225</v>
      </c>
      <c r="G1223" s="63" t="s">
        <v>226</v>
      </c>
    </row>
    <row r="1224" spans="1:7" ht="14.25" customHeight="1">
      <c r="A1224" s="1827" t="s">
        <v>1166</v>
      </c>
      <c r="B1224" s="1828"/>
      <c r="C1224" s="64"/>
      <c r="D1224" s="64"/>
      <c r="E1224" s="64"/>
      <c r="F1224" s="64">
        <v>1</v>
      </c>
      <c r="G1224" s="64">
        <f t="shared" ref="G1224:G1225" si="68">+F1224</f>
        <v>1</v>
      </c>
    </row>
    <row r="1225" spans="1:7" ht="14.25" customHeight="1">
      <c r="A1225" s="1827"/>
      <c r="B1225" s="1828"/>
      <c r="C1225" s="64"/>
      <c r="D1225" s="64"/>
      <c r="E1225" s="64"/>
      <c r="F1225" s="64"/>
      <c r="G1225" s="64">
        <f t="shared" si="68"/>
        <v>0</v>
      </c>
    </row>
    <row r="1226" spans="1:7" ht="14.25" customHeight="1">
      <c r="A1226" s="1829" t="s">
        <v>227</v>
      </c>
      <c r="B1226" s="1830"/>
      <c r="C1226" s="1830"/>
      <c r="D1226" s="1830"/>
      <c r="E1226" s="1830"/>
      <c r="F1226" s="1828"/>
      <c r="G1226" s="65">
        <f>ROUND(SUM(G1224:G1225),2)</f>
        <v>1</v>
      </c>
    </row>
    <row r="1227" spans="1:7" ht="14.25" hidden="1" customHeight="1">
      <c r="A1227" s="1831"/>
      <c r="B1227" s="1830"/>
      <c r="C1227" s="1830"/>
      <c r="D1227" s="1830"/>
      <c r="E1227" s="1830"/>
      <c r="F1227" s="1830"/>
      <c r="G1227" s="1828"/>
    </row>
    <row r="1228" spans="1:7" ht="14.25" hidden="1" customHeight="1">
      <c r="A1228" s="66" t="str">
        <f>+A1220</f>
        <v>CAPITULO 10:</v>
      </c>
      <c r="B1228" s="1832" t="s">
        <v>260</v>
      </c>
      <c r="C1228" s="1830"/>
      <c r="D1228" s="1828"/>
      <c r="E1228" s="1833" t="s">
        <v>218</v>
      </c>
      <c r="F1228" s="1834"/>
      <c r="G1228" s="70" t="e">
        <f>+#REF!</f>
        <v>#REF!</v>
      </c>
    </row>
    <row r="1229" spans="1:7" ht="14.25" hidden="1" customHeight="1">
      <c r="A1229" s="66" t="s">
        <v>908</v>
      </c>
      <c r="B1229" s="1835" t="e">
        <f>+#REF!</f>
        <v>#REF!</v>
      </c>
      <c r="C1229" s="1621"/>
      <c r="D1229" s="1621"/>
      <c r="E1229" s="1621"/>
      <c r="F1229" s="1621"/>
      <c r="G1229" s="1622"/>
    </row>
    <row r="1230" spans="1:7" ht="14.25" hidden="1" customHeight="1">
      <c r="A1230" s="1836" t="s">
        <v>220</v>
      </c>
      <c r="B1230" s="1830"/>
      <c r="C1230" s="1830"/>
      <c r="D1230" s="1830"/>
      <c r="E1230" s="1830"/>
      <c r="F1230" s="1830"/>
      <c r="G1230" s="1828"/>
    </row>
    <row r="1231" spans="1:7" ht="14.25" hidden="1" customHeight="1">
      <c r="A1231" s="1829" t="s">
        <v>221</v>
      </c>
      <c r="B1231" s="1828"/>
      <c r="C1231" s="63" t="s">
        <v>222</v>
      </c>
      <c r="D1231" s="63" t="s">
        <v>252</v>
      </c>
      <c r="E1231" s="63" t="s">
        <v>224</v>
      </c>
      <c r="F1231" s="63" t="s">
        <v>225</v>
      </c>
      <c r="G1231" s="63" t="s">
        <v>226</v>
      </c>
    </row>
    <row r="1232" spans="1:7" ht="14.25" hidden="1" customHeight="1">
      <c r="A1232" s="1827" t="s">
        <v>906</v>
      </c>
      <c r="B1232" s="1828"/>
      <c r="C1232" s="64"/>
      <c r="D1232" s="64"/>
      <c r="E1232" s="64"/>
      <c r="F1232" s="64">
        <v>1</v>
      </c>
      <c r="G1232" s="64">
        <f t="shared" ref="G1232:G1233" si="69">+F1232</f>
        <v>1</v>
      </c>
    </row>
    <row r="1233" spans="1:7" ht="14.25" hidden="1" customHeight="1">
      <c r="A1233" s="1827"/>
      <c r="B1233" s="1828"/>
      <c r="C1233" s="64"/>
      <c r="D1233" s="64"/>
      <c r="E1233" s="64"/>
      <c r="F1233" s="64"/>
      <c r="G1233" s="64">
        <f t="shared" si="69"/>
        <v>0</v>
      </c>
    </row>
    <row r="1234" spans="1:7" ht="14.25" hidden="1" customHeight="1">
      <c r="A1234" s="1829" t="s">
        <v>227</v>
      </c>
      <c r="B1234" s="1830"/>
      <c r="C1234" s="1830"/>
      <c r="D1234" s="1830"/>
      <c r="E1234" s="1830"/>
      <c r="F1234" s="1828"/>
      <c r="G1234" s="191">
        <f>SUM(G1232:G1233)</f>
        <v>1</v>
      </c>
    </row>
    <row r="1235" spans="1:7" ht="14.25" hidden="1" customHeight="1">
      <c r="A1235" s="1831"/>
      <c r="B1235" s="1830"/>
      <c r="C1235" s="1830"/>
      <c r="D1235" s="1830"/>
      <c r="E1235" s="1830"/>
      <c r="F1235" s="1830"/>
      <c r="G1235" s="1828"/>
    </row>
    <row r="1236" spans="1:7" ht="14.25" hidden="1" customHeight="1">
      <c r="A1236" s="66" t="str">
        <f>+A1228</f>
        <v>CAPITULO 10:</v>
      </c>
      <c r="B1236" s="1832" t="s">
        <v>260</v>
      </c>
      <c r="C1236" s="1830"/>
      <c r="D1236" s="1828"/>
      <c r="E1236" s="1833" t="s">
        <v>218</v>
      </c>
      <c r="F1236" s="1834"/>
      <c r="G1236" s="70" t="s">
        <v>899</v>
      </c>
    </row>
    <row r="1237" spans="1:7" ht="14.25" hidden="1" customHeight="1">
      <c r="A1237" s="66" t="s">
        <v>909</v>
      </c>
      <c r="B1237" s="1835" t="e">
        <f>+#REF!</f>
        <v>#REF!</v>
      </c>
      <c r="C1237" s="1621"/>
      <c r="D1237" s="1621"/>
      <c r="E1237" s="1621"/>
      <c r="F1237" s="1621"/>
      <c r="G1237" s="1622"/>
    </row>
    <row r="1238" spans="1:7" ht="14.25" hidden="1" customHeight="1">
      <c r="A1238" s="1836" t="s">
        <v>220</v>
      </c>
      <c r="B1238" s="1830"/>
      <c r="C1238" s="1830"/>
      <c r="D1238" s="1830"/>
      <c r="E1238" s="1830"/>
      <c r="F1238" s="1830"/>
      <c r="G1238" s="1828"/>
    </row>
    <row r="1239" spans="1:7" ht="14.25" hidden="1" customHeight="1">
      <c r="A1239" s="1829" t="s">
        <v>221</v>
      </c>
      <c r="B1239" s="1828"/>
      <c r="C1239" s="63" t="s">
        <v>222</v>
      </c>
      <c r="D1239" s="63" t="s">
        <v>252</v>
      </c>
      <c r="E1239" s="63" t="s">
        <v>224</v>
      </c>
      <c r="F1239" s="63" t="s">
        <v>225</v>
      </c>
      <c r="G1239" s="63" t="s">
        <v>226</v>
      </c>
    </row>
    <row r="1240" spans="1:7" ht="14.25" hidden="1" customHeight="1">
      <c r="A1240" s="1827" t="s">
        <v>906</v>
      </c>
      <c r="B1240" s="1828"/>
      <c r="C1240" s="64"/>
      <c r="D1240" s="64"/>
      <c r="E1240" s="64"/>
      <c r="F1240" s="64">
        <v>45</v>
      </c>
      <c r="G1240" s="64">
        <f t="shared" ref="G1240:G1241" si="70">+F1240</f>
        <v>45</v>
      </c>
    </row>
    <row r="1241" spans="1:7" ht="14.25" hidden="1" customHeight="1">
      <c r="A1241" s="1827"/>
      <c r="B1241" s="1828"/>
      <c r="C1241" s="64"/>
      <c r="D1241" s="64"/>
      <c r="E1241" s="64"/>
      <c r="F1241" s="64"/>
      <c r="G1241" s="64">
        <f t="shared" si="70"/>
        <v>0</v>
      </c>
    </row>
    <row r="1242" spans="1:7" ht="14.25" hidden="1" customHeight="1">
      <c r="A1242" s="1829" t="s">
        <v>227</v>
      </c>
      <c r="B1242" s="1830"/>
      <c r="C1242" s="1830"/>
      <c r="D1242" s="1830"/>
      <c r="E1242" s="1830"/>
      <c r="F1242" s="1828"/>
      <c r="G1242" s="191">
        <f>SUM(G1240:G1241)</f>
        <v>45</v>
      </c>
    </row>
    <row r="1243" spans="1:7" ht="14.25" hidden="1" customHeight="1">
      <c r="A1243" s="1831"/>
      <c r="B1243" s="1830"/>
      <c r="C1243" s="1830"/>
      <c r="D1243" s="1830"/>
      <c r="E1243" s="1830"/>
      <c r="F1243" s="1830"/>
      <c r="G1243" s="1828"/>
    </row>
    <row r="1244" spans="1:7" ht="14.25" hidden="1" customHeight="1">
      <c r="A1244" s="66" t="str">
        <f>+A1236</f>
        <v>CAPITULO 10:</v>
      </c>
      <c r="B1244" s="1832" t="s">
        <v>260</v>
      </c>
      <c r="C1244" s="1830"/>
      <c r="D1244" s="1828"/>
      <c r="E1244" s="1833" t="s">
        <v>218</v>
      </c>
      <c r="F1244" s="1834"/>
      <c r="G1244" s="70" t="s">
        <v>910</v>
      </c>
    </row>
    <row r="1245" spans="1:7" ht="14.25" hidden="1" customHeight="1">
      <c r="A1245" s="66" t="s">
        <v>911</v>
      </c>
      <c r="B1245" s="1835" t="e">
        <f>+#REF!</f>
        <v>#REF!</v>
      </c>
      <c r="C1245" s="1621"/>
      <c r="D1245" s="1621"/>
      <c r="E1245" s="1621"/>
      <c r="F1245" s="1621"/>
      <c r="G1245" s="1622"/>
    </row>
    <row r="1246" spans="1:7" ht="14.25" hidden="1" customHeight="1">
      <c r="A1246" s="1836" t="s">
        <v>220</v>
      </c>
      <c r="B1246" s="1830"/>
      <c r="C1246" s="1830"/>
      <c r="D1246" s="1830"/>
      <c r="E1246" s="1830"/>
      <c r="F1246" s="1830"/>
      <c r="G1246" s="1828"/>
    </row>
    <row r="1247" spans="1:7" ht="14.25" hidden="1" customHeight="1">
      <c r="A1247" s="1829" t="s">
        <v>221</v>
      </c>
      <c r="B1247" s="1828"/>
      <c r="C1247" s="63" t="s">
        <v>222</v>
      </c>
      <c r="D1247" s="63" t="s">
        <v>252</v>
      </c>
      <c r="E1247" s="63" t="s">
        <v>224</v>
      </c>
      <c r="F1247" s="63" t="s">
        <v>225</v>
      </c>
      <c r="G1247" s="63" t="s">
        <v>226</v>
      </c>
    </row>
    <row r="1248" spans="1:7" ht="14.25" hidden="1" customHeight="1">
      <c r="A1248" s="1827" t="s">
        <v>906</v>
      </c>
      <c r="B1248" s="1828"/>
      <c r="C1248" s="64"/>
      <c r="D1248" s="64"/>
      <c r="E1248" s="64"/>
      <c r="F1248" s="64">
        <v>1</v>
      </c>
      <c r="G1248" s="64">
        <f t="shared" ref="G1248:G1249" si="71">+F1248</f>
        <v>1</v>
      </c>
    </row>
    <row r="1249" spans="1:7" ht="14.25" hidden="1" customHeight="1">
      <c r="A1249" s="1827"/>
      <c r="B1249" s="1828"/>
      <c r="C1249" s="64"/>
      <c r="D1249" s="64"/>
      <c r="E1249" s="64"/>
      <c r="F1249" s="64"/>
      <c r="G1249" s="64">
        <f t="shared" si="71"/>
        <v>0</v>
      </c>
    </row>
    <row r="1250" spans="1:7" ht="14.25" hidden="1" customHeight="1">
      <c r="A1250" s="1829" t="s">
        <v>227</v>
      </c>
      <c r="B1250" s="1830"/>
      <c r="C1250" s="1830"/>
      <c r="D1250" s="1830"/>
      <c r="E1250" s="1830"/>
      <c r="F1250" s="1828"/>
      <c r="G1250" s="191">
        <f>SUM(G1248:G1249)</f>
        <v>1</v>
      </c>
    </row>
    <row r="1251" spans="1:7" ht="14.25" hidden="1" customHeight="1">
      <c r="A1251" s="1831"/>
      <c r="B1251" s="1830"/>
      <c r="C1251" s="1830"/>
      <c r="D1251" s="1830"/>
      <c r="E1251" s="1830"/>
      <c r="F1251" s="1830"/>
      <c r="G1251" s="1828"/>
    </row>
    <row r="1252" spans="1:7" ht="14.25" hidden="1" customHeight="1">
      <c r="A1252" s="66" t="str">
        <f>+A1244</f>
        <v>CAPITULO 10:</v>
      </c>
      <c r="B1252" s="1832" t="s">
        <v>260</v>
      </c>
      <c r="C1252" s="1830"/>
      <c r="D1252" s="1828"/>
      <c r="E1252" s="1833" t="s">
        <v>218</v>
      </c>
      <c r="F1252" s="1834"/>
      <c r="G1252" s="70" t="e">
        <f>+#REF!</f>
        <v>#REF!</v>
      </c>
    </row>
    <row r="1253" spans="1:7" ht="14.25" hidden="1" customHeight="1">
      <c r="A1253" s="66" t="s">
        <v>912</v>
      </c>
      <c r="B1253" s="1835" t="e">
        <f>+#REF!</f>
        <v>#REF!</v>
      </c>
      <c r="C1253" s="1621"/>
      <c r="D1253" s="1621"/>
      <c r="E1253" s="1621"/>
      <c r="F1253" s="1621"/>
      <c r="G1253" s="1622"/>
    </row>
    <row r="1254" spans="1:7" ht="14.25" hidden="1" customHeight="1">
      <c r="A1254" s="1836" t="s">
        <v>220</v>
      </c>
      <c r="B1254" s="1830"/>
      <c r="C1254" s="1830"/>
      <c r="D1254" s="1830"/>
      <c r="E1254" s="1830"/>
      <c r="F1254" s="1830"/>
      <c r="G1254" s="1828"/>
    </row>
    <row r="1255" spans="1:7" ht="14.25" hidden="1" customHeight="1">
      <c r="A1255" s="1829" t="s">
        <v>221</v>
      </c>
      <c r="B1255" s="1828"/>
      <c r="C1255" s="63" t="s">
        <v>222</v>
      </c>
      <c r="D1255" s="63" t="s">
        <v>252</v>
      </c>
      <c r="E1255" s="63" t="s">
        <v>224</v>
      </c>
      <c r="F1255" s="63" t="s">
        <v>225</v>
      </c>
      <c r="G1255" s="63" t="s">
        <v>226</v>
      </c>
    </row>
    <row r="1256" spans="1:7" ht="14.25" hidden="1" customHeight="1">
      <c r="A1256" s="1827" t="s">
        <v>906</v>
      </c>
      <c r="B1256" s="1828"/>
      <c r="C1256" s="64"/>
      <c r="D1256" s="64"/>
      <c r="E1256" s="64"/>
      <c r="F1256" s="64">
        <v>1</v>
      </c>
      <c r="G1256" s="64">
        <f t="shared" ref="G1256:G1257" si="72">+F1256</f>
        <v>1</v>
      </c>
    </row>
    <row r="1257" spans="1:7" ht="14.25" hidden="1" customHeight="1">
      <c r="A1257" s="1827"/>
      <c r="B1257" s="1828"/>
      <c r="C1257" s="64"/>
      <c r="D1257" s="64"/>
      <c r="E1257" s="64"/>
      <c r="F1257" s="64"/>
      <c r="G1257" s="64">
        <f t="shared" si="72"/>
        <v>0</v>
      </c>
    </row>
    <row r="1258" spans="1:7" ht="14.25" hidden="1" customHeight="1">
      <c r="A1258" s="1829" t="s">
        <v>227</v>
      </c>
      <c r="B1258" s="1830"/>
      <c r="C1258" s="1830"/>
      <c r="D1258" s="1830"/>
      <c r="E1258" s="1830"/>
      <c r="F1258" s="1828"/>
      <c r="G1258" s="191">
        <f>SUM(G1256:G1257)</f>
        <v>1</v>
      </c>
    </row>
    <row r="1259" spans="1:7" ht="14.25" hidden="1" customHeight="1">
      <c r="A1259" s="1831"/>
      <c r="B1259" s="1830"/>
      <c r="C1259" s="1830"/>
      <c r="D1259" s="1830"/>
      <c r="E1259" s="1830"/>
      <c r="F1259" s="1830"/>
      <c r="G1259" s="1828"/>
    </row>
    <row r="1260" spans="1:7" ht="14.25" hidden="1" customHeight="1">
      <c r="A1260" s="66" t="str">
        <f>+A1252</f>
        <v>CAPITULO 10:</v>
      </c>
      <c r="B1260" s="1832" t="s">
        <v>260</v>
      </c>
      <c r="C1260" s="1830"/>
      <c r="D1260" s="1828"/>
      <c r="E1260" s="1833" t="s">
        <v>218</v>
      </c>
      <c r="F1260" s="1834"/>
      <c r="G1260" s="70" t="e">
        <f>+#REF!</f>
        <v>#REF!</v>
      </c>
    </row>
    <row r="1261" spans="1:7" ht="14.25" hidden="1" customHeight="1">
      <c r="A1261" s="66" t="s">
        <v>913</v>
      </c>
      <c r="B1261" s="1835" t="e">
        <f>+#REF!</f>
        <v>#REF!</v>
      </c>
      <c r="C1261" s="1621"/>
      <c r="D1261" s="1621"/>
      <c r="E1261" s="1621"/>
      <c r="F1261" s="1621"/>
      <c r="G1261" s="1622"/>
    </row>
    <row r="1262" spans="1:7" ht="14.25" hidden="1" customHeight="1">
      <c r="A1262" s="1836" t="s">
        <v>220</v>
      </c>
      <c r="B1262" s="1830"/>
      <c r="C1262" s="1830"/>
      <c r="D1262" s="1830"/>
      <c r="E1262" s="1830"/>
      <c r="F1262" s="1830"/>
      <c r="G1262" s="1828"/>
    </row>
    <row r="1263" spans="1:7" ht="14.25" hidden="1" customHeight="1">
      <c r="A1263" s="1829" t="s">
        <v>221</v>
      </c>
      <c r="B1263" s="1828"/>
      <c r="C1263" s="63" t="s">
        <v>222</v>
      </c>
      <c r="D1263" s="63" t="s">
        <v>252</v>
      </c>
      <c r="E1263" s="63" t="s">
        <v>224</v>
      </c>
      <c r="F1263" s="63" t="s">
        <v>225</v>
      </c>
      <c r="G1263" s="63" t="s">
        <v>226</v>
      </c>
    </row>
    <row r="1264" spans="1:7" ht="14.25" hidden="1" customHeight="1">
      <c r="A1264" s="1827" t="s">
        <v>906</v>
      </c>
      <c r="B1264" s="1828"/>
      <c r="C1264" s="64"/>
      <c r="D1264" s="64"/>
      <c r="E1264" s="64"/>
      <c r="F1264" s="64">
        <v>12</v>
      </c>
      <c r="G1264" s="64">
        <f t="shared" ref="G1264:G1265" si="73">+F1264</f>
        <v>12</v>
      </c>
    </row>
    <row r="1265" spans="1:7" ht="14.25" hidden="1" customHeight="1">
      <c r="A1265" s="1827"/>
      <c r="B1265" s="1828"/>
      <c r="C1265" s="64"/>
      <c r="D1265" s="64"/>
      <c r="E1265" s="64"/>
      <c r="F1265" s="64"/>
      <c r="G1265" s="64">
        <f t="shared" si="73"/>
        <v>0</v>
      </c>
    </row>
    <row r="1266" spans="1:7" ht="14.25" hidden="1" customHeight="1">
      <c r="A1266" s="1829" t="s">
        <v>227</v>
      </c>
      <c r="B1266" s="1830"/>
      <c r="C1266" s="1830"/>
      <c r="D1266" s="1830"/>
      <c r="E1266" s="1830"/>
      <c r="F1266" s="1828"/>
      <c r="G1266" s="191">
        <f>SUM(G1264:G1265)</f>
        <v>12</v>
      </c>
    </row>
    <row r="1267" spans="1:7" ht="14.25" hidden="1" customHeight="1">
      <c r="A1267" s="1831"/>
      <c r="B1267" s="1830"/>
      <c r="C1267" s="1830"/>
      <c r="D1267" s="1830"/>
      <c r="E1267" s="1830"/>
      <c r="F1267" s="1830"/>
      <c r="G1267" s="1828"/>
    </row>
    <row r="1268" spans="1:7" ht="14.25" hidden="1" customHeight="1">
      <c r="A1268" s="66" t="s">
        <v>914</v>
      </c>
      <c r="B1268" s="1832" t="e">
        <f>+#REF!</f>
        <v>#REF!</v>
      </c>
      <c r="C1268" s="1830"/>
      <c r="D1268" s="1828"/>
      <c r="E1268" s="1833" t="s">
        <v>218</v>
      </c>
      <c r="F1268" s="1834"/>
      <c r="G1268" s="70" t="e">
        <f>+#REF!</f>
        <v>#REF!</v>
      </c>
    </row>
    <row r="1269" spans="1:7" ht="27" hidden="1" customHeight="1">
      <c r="A1269" s="66" t="s">
        <v>915</v>
      </c>
      <c r="B1269" s="1863" t="e">
        <f>+#REF!</f>
        <v>#REF!</v>
      </c>
      <c r="C1269" s="1621"/>
      <c r="D1269" s="1621"/>
      <c r="E1269" s="1621"/>
      <c r="F1269" s="1621"/>
      <c r="G1269" s="1622"/>
    </row>
    <row r="1270" spans="1:7" ht="14.25" hidden="1" customHeight="1">
      <c r="A1270" s="1836" t="s">
        <v>220</v>
      </c>
      <c r="B1270" s="1830"/>
      <c r="C1270" s="1830"/>
      <c r="D1270" s="1830"/>
      <c r="E1270" s="1830"/>
      <c r="F1270" s="1830"/>
      <c r="G1270" s="1828"/>
    </row>
    <row r="1271" spans="1:7" ht="14.25" hidden="1" customHeight="1">
      <c r="A1271" s="1829" t="s">
        <v>221</v>
      </c>
      <c r="B1271" s="1828"/>
      <c r="C1271" s="63" t="s">
        <v>222</v>
      </c>
      <c r="D1271" s="63" t="s">
        <v>252</v>
      </c>
      <c r="E1271" s="63" t="s">
        <v>224</v>
      </c>
      <c r="F1271" s="63" t="s">
        <v>225</v>
      </c>
      <c r="G1271" s="63" t="s">
        <v>226</v>
      </c>
    </row>
    <row r="1272" spans="1:7" ht="14.25" hidden="1" customHeight="1">
      <c r="A1272" s="1827" t="s">
        <v>916</v>
      </c>
      <c r="B1272" s="1828"/>
      <c r="C1272" s="64">
        <v>1</v>
      </c>
      <c r="D1272" s="64">
        <v>1</v>
      </c>
      <c r="E1272" s="64"/>
      <c r="F1272" s="64"/>
      <c r="G1272" s="64">
        <f>++ROUND(D1272*C1272,2)</f>
        <v>1</v>
      </c>
    </row>
    <row r="1273" spans="1:7" ht="14.25" hidden="1" customHeight="1">
      <c r="A1273" s="1827"/>
      <c r="B1273" s="1828"/>
      <c r="C1273" s="64"/>
      <c r="D1273" s="64"/>
      <c r="E1273" s="64"/>
      <c r="F1273" s="64"/>
      <c r="G1273" s="64">
        <f>+F1273</f>
        <v>0</v>
      </c>
    </row>
    <row r="1274" spans="1:7" ht="14.25" hidden="1" customHeight="1">
      <c r="A1274" s="1829" t="s">
        <v>227</v>
      </c>
      <c r="B1274" s="1830"/>
      <c r="C1274" s="1830"/>
      <c r="D1274" s="1830"/>
      <c r="E1274" s="1830"/>
      <c r="F1274" s="1828"/>
      <c r="G1274" s="65">
        <f>SUM(G1272:G1273)</f>
        <v>1</v>
      </c>
    </row>
    <row r="1275" spans="1:7" ht="14.25" hidden="1" customHeight="1">
      <c r="A1275" s="1831"/>
      <c r="B1275" s="1830"/>
      <c r="C1275" s="1830"/>
      <c r="D1275" s="1830"/>
      <c r="E1275" s="1830"/>
      <c r="F1275" s="1830"/>
      <c r="G1275" s="1828"/>
    </row>
    <row r="1276" spans="1:7" ht="25.5" hidden="1" customHeight="1">
      <c r="A1276" s="66" t="s">
        <v>914</v>
      </c>
      <c r="B1276" s="1832" t="e">
        <f>+B1268</f>
        <v>#REF!</v>
      </c>
      <c r="C1276" s="1830"/>
      <c r="D1276" s="1828"/>
      <c r="E1276" s="1833" t="s">
        <v>218</v>
      </c>
      <c r="F1276" s="1834"/>
      <c r="G1276" s="70" t="e">
        <f>+#REF!</f>
        <v>#REF!</v>
      </c>
    </row>
    <row r="1277" spans="1:7" ht="27" hidden="1" customHeight="1">
      <c r="A1277" s="66" t="s">
        <v>917</v>
      </c>
      <c r="B1277" s="1863" t="e">
        <f>+#REF!</f>
        <v>#REF!</v>
      </c>
      <c r="C1277" s="1621"/>
      <c r="D1277" s="1621"/>
      <c r="E1277" s="1621"/>
      <c r="F1277" s="1621"/>
      <c r="G1277" s="1622"/>
    </row>
    <row r="1278" spans="1:7" ht="14.25" hidden="1" customHeight="1">
      <c r="A1278" s="1836" t="s">
        <v>220</v>
      </c>
      <c r="B1278" s="1830"/>
      <c r="C1278" s="1830"/>
      <c r="D1278" s="1830"/>
      <c r="E1278" s="1830"/>
      <c r="F1278" s="1830"/>
      <c r="G1278" s="1828"/>
    </row>
    <row r="1279" spans="1:7" ht="14.25" hidden="1" customHeight="1">
      <c r="A1279" s="1829" t="s">
        <v>221</v>
      </c>
      <c r="B1279" s="1828"/>
      <c r="C1279" s="63" t="s">
        <v>222</v>
      </c>
      <c r="D1279" s="63" t="s">
        <v>252</v>
      </c>
      <c r="E1279" s="63" t="s">
        <v>224</v>
      </c>
      <c r="F1279" s="63" t="s">
        <v>225</v>
      </c>
      <c r="G1279" s="63" t="s">
        <v>226</v>
      </c>
    </row>
    <row r="1280" spans="1:7" ht="14.25" hidden="1" customHeight="1">
      <c r="A1280" s="1827" t="s">
        <v>916</v>
      </c>
      <c r="B1280" s="1828"/>
      <c r="C1280" s="64">
        <f t="shared" ref="C1280:D1280" si="74">+C1272</f>
        <v>1</v>
      </c>
      <c r="D1280" s="64">
        <f t="shared" si="74"/>
        <v>1</v>
      </c>
      <c r="E1280" s="64">
        <v>1</v>
      </c>
      <c r="F1280" s="64"/>
      <c r="G1280" s="64">
        <f>+E1280*D1280*C1280</f>
        <v>1</v>
      </c>
    </row>
    <row r="1281" spans="1:7" ht="14.25" hidden="1" customHeight="1">
      <c r="A1281" s="1827"/>
      <c r="B1281" s="1828"/>
      <c r="C1281" s="64"/>
      <c r="D1281" s="64"/>
      <c r="E1281" s="64"/>
      <c r="F1281" s="64"/>
      <c r="G1281" s="64">
        <f>+F1281</f>
        <v>0</v>
      </c>
    </row>
    <row r="1282" spans="1:7" ht="14.25" hidden="1" customHeight="1">
      <c r="A1282" s="1829" t="s">
        <v>227</v>
      </c>
      <c r="B1282" s="1830"/>
      <c r="C1282" s="1830"/>
      <c r="D1282" s="1830"/>
      <c r="E1282" s="1830"/>
      <c r="F1282" s="1828"/>
      <c r="G1282" s="65">
        <f>SUM(G1280:G1281)</f>
        <v>1</v>
      </c>
    </row>
    <row r="1283" spans="1:7" ht="14.25" hidden="1" customHeight="1">
      <c r="A1283" s="1831"/>
      <c r="B1283" s="1830"/>
      <c r="C1283" s="1830"/>
      <c r="D1283" s="1830"/>
      <c r="E1283" s="1830"/>
      <c r="F1283" s="1830"/>
      <c r="G1283" s="1828"/>
    </row>
    <row r="1284" spans="1:7" ht="14.25" hidden="1" customHeight="1">
      <c r="A1284" s="66" t="s">
        <v>918</v>
      </c>
      <c r="B1284" s="1832" t="e">
        <f>+B1268</f>
        <v>#REF!</v>
      </c>
      <c r="C1284" s="1830"/>
      <c r="D1284" s="1828"/>
      <c r="E1284" s="1833" t="s">
        <v>218</v>
      </c>
      <c r="F1284" s="1834"/>
      <c r="G1284" s="70" t="s">
        <v>228</v>
      </c>
    </row>
    <row r="1285" spans="1:7" ht="61.5" hidden="1" customHeight="1">
      <c r="A1285" s="66" t="s">
        <v>919</v>
      </c>
      <c r="B1285" s="1863" t="e">
        <f>+#REF!</f>
        <v>#REF!</v>
      </c>
      <c r="C1285" s="1621"/>
      <c r="D1285" s="1621"/>
      <c r="E1285" s="1621"/>
      <c r="F1285" s="1621"/>
      <c r="G1285" s="1622"/>
    </row>
    <row r="1286" spans="1:7" ht="14.25" hidden="1" customHeight="1">
      <c r="A1286" s="1836" t="s">
        <v>220</v>
      </c>
      <c r="B1286" s="1830"/>
      <c r="C1286" s="1830"/>
      <c r="D1286" s="1830"/>
      <c r="E1286" s="1830"/>
      <c r="F1286" s="1830"/>
      <c r="G1286" s="1828"/>
    </row>
    <row r="1287" spans="1:7" ht="14.25" hidden="1" customHeight="1">
      <c r="A1287" s="1829" t="s">
        <v>221</v>
      </c>
      <c r="B1287" s="1828"/>
      <c r="C1287" s="63" t="s">
        <v>222</v>
      </c>
      <c r="D1287" s="63" t="s">
        <v>252</v>
      </c>
      <c r="E1287" s="63" t="s">
        <v>224</v>
      </c>
      <c r="F1287" s="63" t="s">
        <v>225</v>
      </c>
      <c r="G1287" s="63" t="s">
        <v>226</v>
      </c>
    </row>
    <row r="1288" spans="1:7" ht="14.25" hidden="1" customHeight="1">
      <c r="A1288" s="1827" t="s">
        <v>920</v>
      </c>
      <c r="B1288" s="1828"/>
      <c r="C1288" s="64">
        <f>+C1272</f>
        <v>1</v>
      </c>
      <c r="D1288" s="64">
        <v>88.19</v>
      </c>
      <c r="E1288" s="64"/>
      <c r="F1288" s="64"/>
      <c r="G1288" s="64">
        <f>+C1288*D1288</f>
        <v>88.19</v>
      </c>
    </row>
    <row r="1289" spans="1:7" ht="14.25" hidden="1" customHeight="1">
      <c r="A1289" s="1827"/>
      <c r="B1289" s="1828"/>
      <c r="C1289" s="64"/>
      <c r="D1289" s="64"/>
      <c r="E1289" s="64"/>
      <c r="F1289" s="64"/>
      <c r="G1289" s="64">
        <f>+F1289</f>
        <v>0</v>
      </c>
    </row>
    <row r="1290" spans="1:7" ht="14.25" hidden="1" customHeight="1">
      <c r="A1290" s="1829" t="s">
        <v>227</v>
      </c>
      <c r="B1290" s="1830"/>
      <c r="C1290" s="1830"/>
      <c r="D1290" s="1830"/>
      <c r="E1290" s="1830"/>
      <c r="F1290" s="1828"/>
      <c r="G1290" s="65">
        <f>SUM(G1288:G1289)</f>
        <v>88.19</v>
      </c>
    </row>
    <row r="1291" spans="1:7" ht="14.25" hidden="1" customHeight="1">
      <c r="A1291" s="1831"/>
      <c r="B1291" s="1830"/>
      <c r="C1291" s="1830"/>
      <c r="D1291" s="1830"/>
      <c r="E1291" s="1830"/>
      <c r="F1291" s="1830"/>
      <c r="G1291" s="1828"/>
    </row>
    <row r="1292" spans="1:7" ht="14.25" hidden="1" customHeight="1">
      <c r="A1292" s="66" t="s">
        <v>918</v>
      </c>
      <c r="B1292" s="1832" t="e">
        <f>+B1276</f>
        <v>#REF!</v>
      </c>
      <c r="C1292" s="1830"/>
      <c r="D1292" s="1828"/>
      <c r="E1292" s="1833" t="s">
        <v>218</v>
      </c>
      <c r="F1292" s="1834"/>
      <c r="G1292" s="70" t="s">
        <v>910</v>
      </c>
    </row>
    <row r="1293" spans="1:7" ht="78" hidden="1" customHeight="1">
      <c r="A1293" s="66" t="s">
        <v>921</v>
      </c>
      <c r="B1293" s="1863" t="e">
        <f>+#REF!</f>
        <v>#REF!</v>
      </c>
      <c r="C1293" s="1621"/>
      <c r="D1293" s="1621"/>
      <c r="E1293" s="1621"/>
      <c r="F1293" s="1621"/>
      <c r="G1293" s="1622"/>
    </row>
    <row r="1294" spans="1:7" ht="14.25" hidden="1" customHeight="1">
      <c r="A1294" s="1836" t="s">
        <v>220</v>
      </c>
      <c r="B1294" s="1830"/>
      <c r="C1294" s="1830"/>
      <c r="D1294" s="1830"/>
      <c r="E1294" s="1830"/>
      <c r="F1294" s="1830"/>
      <c r="G1294" s="1828"/>
    </row>
    <row r="1295" spans="1:7" ht="14.25" hidden="1" customHeight="1">
      <c r="A1295" s="1829" t="s">
        <v>221</v>
      </c>
      <c r="B1295" s="1828"/>
      <c r="C1295" s="63" t="s">
        <v>222</v>
      </c>
      <c r="D1295" s="63" t="s">
        <v>252</v>
      </c>
      <c r="E1295" s="63" t="s">
        <v>224</v>
      </c>
      <c r="F1295" s="63" t="s">
        <v>225</v>
      </c>
      <c r="G1295" s="63" t="s">
        <v>226</v>
      </c>
    </row>
    <row r="1296" spans="1:7" ht="14.25" hidden="1" customHeight="1">
      <c r="A1296" s="1827" t="s">
        <v>920</v>
      </c>
      <c r="B1296" s="1828"/>
      <c r="C1296" s="64"/>
      <c r="D1296" s="64"/>
      <c r="E1296" s="64"/>
      <c r="F1296" s="64">
        <v>6</v>
      </c>
      <c r="G1296" s="64">
        <f t="shared" ref="G1296:G1297" si="75">+F1296</f>
        <v>6</v>
      </c>
    </row>
    <row r="1297" spans="1:7" ht="14.25" hidden="1" customHeight="1">
      <c r="A1297" s="1827"/>
      <c r="B1297" s="1828"/>
      <c r="C1297" s="64"/>
      <c r="D1297" s="64"/>
      <c r="E1297" s="64"/>
      <c r="F1297" s="64"/>
      <c r="G1297" s="64">
        <f t="shared" si="75"/>
        <v>0</v>
      </c>
    </row>
    <row r="1298" spans="1:7" ht="14.25" hidden="1" customHeight="1">
      <c r="A1298" s="1829" t="s">
        <v>227</v>
      </c>
      <c r="B1298" s="1830"/>
      <c r="C1298" s="1830"/>
      <c r="D1298" s="1830"/>
      <c r="E1298" s="1830"/>
      <c r="F1298" s="1828"/>
      <c r="G1298" s="191">
        <f>SUM(G1296:G1297)</f>
        <v>6</v>
      </c>
    </row>
    <row r="1299" spans="1:7" ht="14.25" hidden="1" customHeight="1">
      <c r="A1299" s="1831"/>
      <c r="B1299" s="1830"/>
      <c r="C1299" s="1830"/>
      <c r="D1299" s="1830"/>
      <c r="E1299" s="1830"/>
      <c r="F1299" s="1830"/>
      <c r="G1299" s="1828"/>
    </row>
    <row r="1300" spans="1:7" ht="14.25" hidden="1" customHeight="1">
      <c r="A1300" s="66" t="s">
        <v>918</v>
      </c>
      <c r="B1300" s="1832" t="e">
        <f>+B1284</f>
        <v>#REF!</v>
      </c>
      <c r="C1300" s="1830"/>
      <c r="D1300" s="1828"/>
      <c r="E1300" s="1833" t="s">
        <v>218</v>
      </c>
      <c r="F1300" s="1834"/>
      <c r="G1300" s="70" t="e">
        <f>+#REF!</f>
        <v>#REF!</v>
      </c>
    </row>
    <row r="1301" spans="1:7" ht="92.25" hidden="1" customHeight="1">
      <c r="A1301" s="66" t="s">
        <v>922</v>
      </c>
      <c r="B1301" s="1863" t="e">
        <f>+#REF!</f>
        <v>#REF!</v>
      </c>
      <c r="C1301" s="1621"/>
      <c r="D1301" s="1621"/>
      <c r="E1301" s="1621"/>
      <c r="F1301" s="1621"/>
      <c r="G1301" s="1622"/>
    </row>
    <row r="1302" spans="1:7" ht="14.25" hidden="1" customHeight="1">
      <c r="A1302" s="1836" t="s">
        <v>220</v>
      </c>
      <c r="B1302" s="1830"/>
      <c r="C1302" s="1830"/>
      <c r="D1302" s="1830"/>
      <c r="E1302" s="1830"/>
      <c r="F1302" s="1830"/>
      <c r="G1302" s="1828"/>
    </row>
    <row r="1303" spans="1:7" ht="14.25" hidden="1" customHeight="1">
      <c r="A1303" s="1829" t="s">
        <v>221</v>
      </c>
      <c r="B1303" s="1828"/>
      <c r="C1303" s="63" t="s">
        <v>222</v>
      </c>
      <c r="D1303" s="63" t="s">
        <v>252</v>
      </c>
      <c r="E1303" s="63" t="s">
        <v>224</v>
      </c>
      <c r="F1303" s="63" t="s">
        <v>225</v>
      </c>
      <c r="G1303" s="63" t="s">
        <v>226</v>
      </c>
    </row>
    <row r="1304" spans="1:7" ht="14.25" hidden="1" customHeight="1">
      <c r="A1304" s="1827" t="s">
        <v>923</v>
      </c>
      <c r="B1304" s="1828"/>
      <c r="C1304" s="64">
        <v>112</v>
      </c>
      <c r="D1304" s="64">
        <v>74.22</v>
      </c>
      <c r="E1304" s="64">
        <v>0.1</v>
      </c>
      <c r="F1304" s="64"/>
      <c r="G1304" s="64">
        <f>+ROUND(E1304*D1304*C1304,2)</f>
        <v>831.26</v>
      </c>
    </row>
    <row r="1305" spans="1:7" ht="14.25" hidden="1" customHeight="1">
      <c r="A1305" s="1827"/>
      <c r="B1305" s="1828"/>
      <c r="C1305" s="64"/>
      <c r="D1305" s="64"/>
      <c r="E1305" s="64"/>
      <c r="F1305" s="64"/>
      <c r="G1305" s="64">
        <f>+F1305</f>
        <v>0</v>
      </c>
    </row>
    <row r="1306" spans="1:7" ht="14.25" hidden="1" customHeight="1">
      <c r="A1306" s="1829" t="s">
        <v>227</v>
      </c>
      <c r="B1306" s="1830"/>
      <c r="C1306" s="1830"/>
      <c r="D1306" s="1830"/>
      <c r="E1306" s="1830"/>
      <c r="F1306" s="1828"/>
      <c r="G1306" s="191">
        <f>SUM(G1304:G1305)</f>
        <v>831.26</v>
      </c>
    </row>
    <row r="1307" spans="1:7" ht="14.25" hidden="1" customHeight="1">
      <c r="A1307" s="1831"/>
      <c r="B1307" s="1830"/>
      <c r="C1307" s="1830"/>
      <c r="D1307" s="1830"/>
      <c r="E1307" s="1830"/>
      <c r="F1307" s="1830"/>
      <c r="G1307" s="1828"/>
    </row>
    <row r="1308" spans="1:7" ht="14.25" hidden="1" customHeight="1">
      <c r="A1308" s="66" t="s">
        <v>918</v>
      </c>
      <c r="B1308" s="1832" t="e">
        <f>+B1292</f>
        <v>#REF!</v>
      </c>
      <c r="C1308" s="1830"/>
      <c r="D1308" s="1828"/>
      <c r="E1308" s="1833" t="s">
        <v>218</v>
      </c>
      <c r="F1308" s="1834"/>
      <c r="G1308" s="70" t="s">
        <v>228</v>
      </c>
    </row>
    <row r="1309" spans="1:7" ht="57.75" hidden="1" customHeight="1">
      <c r="A1309" s="66" t="s">
        <v>924</v>
      </c>
      <c r="B1309" s="1864" t="e">
        <f>+#REF!</f>
        <v>#REF!</v>
      </c>
      <c r="C1309" s="1621"/>
      <c r="D1309" s="1621"/>
      <c r="E1309" s="1621"/>
      <c r="F1309" s="1621"/>
      <c r="G1309" s="1622"/>
    </row>
    <row r="1310" spans="1:7" ht="14.25" hidden="1" customHeight="1">
      <c r="A1310" s="1836" t="s">
        <v>220</v>
      </c>
      <c r="B1310" s="1830"/>
      <c r="C1310" s="1830"/>
      <c r="D1310" s="1830"/>
      <c r="E1310" s="1830"/>
      <c r="F1310" s="1830"/>
      <c r="G1310" s="1828"/>
    </row>
    <row r="1311" spans="1:7" ht="14.25" hidden="1" customHeight="1">
      <c r="A1311" s="1829" t="s">
        <v>221</v>
      </c>
      <c r="B1311" s="1828"/>
      <c r="C1311" s="63" t="s">
        <v>222</v>
      </c>
      <c r="D1311" s="63" t="s">
        <v>252</v>
      </c>
      <c r="E1311" s="63" t="s">
        <v>224</v>
      </c>
      <c r="F1311" s="63" t="s">
        <v>225</v>
      </c>
      <c r="G1311" s="63" t="s">
        <v>226</v>
      </c>
    </row>
    <row r="1312" spans="1:7" ht="14.25" hidden="1" customHeight="1">
      <c r="A1312" s="1827" t="s">
        <v>923</v>
      </c>
      <c r="B1312" s="1828"/>
      <c r="C1312" s="64">
        <v>112</v>
      </c>
      <c r="D1312" s="64">
        <v>74.22</v>
      </c>
      <c r="E1312" s="64"/>
      <c r="F1312" s="64"/>
      <c r="G1312" s="64">
        <f>+ROUND(D1312*C1312,2)</f>
        <v>8312.64</v>
      </c>
    </row>
    <row r="1313" spans="1:7" ht="14.25" hidden="1" customHeight="1">
      <c r="A1313" s="1827"/>
      <c r="B1313" s="1828"/>
      <c r="C1313" s="64"/>
      <c r="D1313" s="64"/>
      <c r="E1313" s="64"/>
      <c r="F1313" s="64"/>
      <c r="G1313" s="64">
        <f>+F1313</f>
        <v>0</v>
      </c>
    </row>
    <row r="1314" spans="1:7" ht="14.25" hidden="1" customHeight="1">
      <c r="A1314" s="1829" t="s">
        <v>227</v>
      </c>
      <c r="B1314" s="1830"/>
      <c r="C1314" s="1830"/>
      <c r="D1314" s="1830"/>
      <c r="E1314" s="1830"/>
      <c r="F1314" s="1828"/>
      <c r="G1314" s="65">
        <f>SUM(G1312:G1313)</f>
        <v>8312.64</v>
      </c>
    </row>
    <row r="1315" spans="1:7" ht="14.25" hidden="1" customHeight="1">
      <c r="A1315" s="1829"/>
      <c r="B1315" s="1830"/>
      <c r="C1315" s="1830"/>
      <c r="D1315" s="1830"/>
      <c r="E1315" s="1830"/>
      <c r="F1315" s="1830"/>
      <c r="G1315" s="1828"/>
    </row>
    <row r="1316" spans="1:7" ht="14.25" hidden="1" customHeight="1">
      <c r="A1316" s="66" t="s">
        <v>918</v>
      </c>
      <c r="B1316" s="1832" t="e">
        <f>+B1300</f>
        <v>#REF!</v>
      </c>
      <c r="C1316" s="1830"/>
      <c r="D1316" s="1828"/>
      <c r="E1316" s="1833" t="s">
        <v>218</v>
      </c>
      <c r="F1316" s="1834"/>
      <c r="G1316" s="70" t="e">
        <f>+#REF!</f>
        <v>#REF!</v>
      </c>
    </row>
    <row r="1317" spans="1:7" ht="103.5" hidden="1" customHeight="1">
      <c r="A1317" s="66" t="s">
        <v>925</v>
      </c>
      <c r="B1317" s="1863" t="e">
        <f>+#REF!</f>
        <v>#REF!</v>
      </c>
      <c r="C1317" s="1621"/>
      <c r="D1317" s="1621"/>
      <c r="E1317" s="1621"/>
      <c r="F1317" s="1621"/>
      <c r="G1317" s="1622"/>
    </row>
    <row r="1318" spans="1:7" ht="14.25" hidden="1" customHeight="1">
      <c r="A1318" s="1836" t="s">
        <v>220</v>
      </c>
      <c r="B1318" s="1830"/>
      <c r="C1318" s="1830"/>
      <c r="D1318" s="1830"/>
      <c r="E1318" s="1830"/>
      <c r="F1318" s="1830"/>
      <c r="G1318" s="1828"/>
    </row>
    <row r="1319" spans="1:7" ht="14.25" hidden="1" customHeight="1">
      <c r="A1319" s="1829" t="s">
        <v>221</v>
      </c>
      <c r="B1319" s="1828"/>
      <c r="C1319" s="63" t="s">
        <v>222</v>
      </c>
      <c r="D1319" s="63" t="s">
        <v>252</v>
      </c>
      <c r="E1319" s="63" t="s">
        <v>224</v>
      </c>
      <c r="F1319" s="63" t="s">
        <v>225</v>
      </c>
      <c r="G1319" s="63" t="s">
        <v>226</v>
      </c>
    </row>
    <row r="1320" spans="1:7" ht="14.25" hidden="1" customHeight="1">
      <c r="A1320" s="1827" t="s">
        <v>923</v>
      </c>
      <c r="B1320" s="1828"/>
      <c r="C1320" s="64">
        <v>112</v>
      </c>
      <c r="D1320" s="64">
        <v>74.22</v>
      </c>
      <c r="E1320" s="64"/>
      <c r="F1320" s="64"/>
      <c r="G1320" s="64">
        <f>+ROUND(D1320*C1320,2)</f>
        <v>8312.64</v>
      </c>
    </row>
    <row r="1321" spans="1:7" ht="14.25" hidden="1" customHeight="1">
      <c r="A1321" s="1827"/>
      <c r="B1321" s="1828"/>
      <c r="C1321" s="64"/>
      <c r="D1321" s="64"/>
      <c r="E1321" s="64"/>
      <c r="F1321" s="64"/>
      <c r="G1321" s="64">
        <f>+F1321</f>
        <v>0</v>
      </c>
    </row>
    <row r="1322" spans="1:7" ht="14.25" hidden="1" customHeight="1">
      <c r="A1322" s="1829" t="s">
        <v>227</v>
      </c>
      <c r="B1322" s="1830"/>
      <c r="C1322" s="1830"/>
      <c r="D1322" s="1830"/>
      <c r="E1322" s="1830"/>
      <c r="F1322" s="1828"/>
      <c r="G1322" s="65">
        <f>SUM(G1320:G1321)</f>
        <v>8312.64</v>
      </c>
    </row>
    <row r="1323" spans="1:7" ht="14.25" hidden="1" customHeight="1">
      <c r="A1323" s="1831"/>
      <c r="B1323" s="1830"/>
      <c r="C1323" s="1830"/>
      <c r="D1323" s="1830"/>
      <c r="E1323" s="1830"/>
      <c r="F1323" s="1830"/>
      <c r="G1323" s="1828"/>
    </row>
    <row r="1324" spans="1:7" ht="28.5" hidden="1" customHeight="1">
      <c r="A1324" s="66" t="s">
        <v>918</v>
      </c>
      <c r="B1324" s="1832" t="e">
        <f>+B1316</f>
        <v>#REF!</v>
      </c>
      <c r="C1324" s="1830"/>
      <c r="D1324" s="1828"/>
      <c r="E1324" s="1833" t="s">
        <v>218</v>
      </c>
      <c r="F1324" s="1834"/>
      <c r="G1324" s="70" t="e">
        <f>+#REF!</f>
        <v>#REF!</v>
      </c>
    </row>
    <row r="1325" spans="1:7" ht="14.25" hidden="1" customHeight="1">
      <c r="A1325" s="66" t="s">
        <v>926</v>
      </c>
      <c r="B1325" s="1835" t="e">
        <f>+#REF!</f>
        <v>#REF!</v>
      </c>
      <c r="C1325" s="1621"/>
      <c r="D1325" s="1621"/>
      <c r="E1325" s="1621"/>
      <c r="F1325" s="1621"/>
      <c r="G1325" s="1622"/>
    </row>
    <row r="1326" spans="1:7" ht="14.25" hidden="1" customHeight="1">
      <c r="A1326" s="1836" t="s">
        <v>220</v>
      </c>
      <c r="B1326" s="1830"/>
      <c r="C1326" s="1830"/>
      <c r="D1326" s="1830"/>
      <c r="E1326" s="1830"/>
      <c r="F1326" s="1830"/>
      <c r="G1326" s="1828"/>
    </row>
    <row r="1327" spans="1:7" ht="14.25" hidden="1" customHeight="1">
      <c r="A1327" s="1829" t="s">
        <v>221</v>
      </c>
      <c r="B1327" s="1828"/>
      <c r="C1327" s="63" t="s">
        <v>222</v>
      </c>
      <c r="D1327" s="63" t="s">
        <v>252</v>
      </c>
      <c r="E1327" s="63" t="s">
        <v>224</v>
      </c>
      <c r="F1327" s="63" t="s">
        <v>225</v>
      </c>
      <c r="G1327" s="63" t="s">
        <v>226</v>
      </c>
    </row>
    <row r="1328" spans="1:7" ht="14.25" hidden="1" customHeight="1">
      <c r="A1328" s="1827" t="s">
        <v>923</v>
      </c>
      <c r="B1328" s="1828"/>
      <c r="C1328" s="64"/>
      <c r="D1328" s="64"/>
      <c r="E1328" s="64"/>
      <c r="F1328" s="64">
        <v>24</v>
      </c>
      <c r="G1328" s="64">
        <f t="shared" ref="G1328:G1329" si="76">+F1328</f>
        <v>24</v>
      </c>
    </row>
    <row r="1329" spans="1:7" ht="14.25" hidden="1" customHeight="1">
      <c r="A1329" s="1827"/>
      <c r="B1329" s="1828"/>
      <c r="C1329" s="64"/>
      <c r="D1329" s="64"/>
      <c r="E1329" s="64"/>
      <c r="F1329" s="64"/>
      <c r="G1329" s="64">
        <f t="shared" si="76"/>
        <v>0</v>
      </c>
    </row>
    <row r="1330" spans="1:7" ht="14.25" hidden="1" customHeight="1">
      <c r="A1330" s="1829" t="s">
        <v>227</v>
      </c>
      <c r="B1330" s="1830"/>
      <c r="C1330" s="1830"/>
      <c r="D1330" s="1830"/>
      <c r="E1330" s="1830"/>
      <c r="F1330" s="1828"/>
      <c r="G1330" s="191">
        <f>SUM(G1328:G1329)</f>
        <v>24</v>
      </c>
    </row>
    <row r="1331" spans="1:7" ht="14.25" hidden="1" customHeight="1">
      <c r="A1331" s="1831"/>
      <c r="B1331" s="1830"/>
      <c r="C1331" s="1830"/>
      <c r="D1331" s="1830"/>
      <c r="E1331" s="1830"/>
      <c r="F1331" s="1830"/>
      <c r="G1331" s="1828"/>
    </row>
    <row r="1332" spans="1:7" ht="28.5" hidden="1" customHeight="1">
      <c r="A1332" s="66" t="s">
        <v>918</v>
      </c>
      <c r="B1332" s="1832" t="e">
        <f>+B1324</f>
        <v>#REF!</v>
      </c>
      <c r="C1332" s="1830"/>
      <c r="D1332" s="1828"/>
      <c r="E1332" s="1833" t="s">
        <v>218</v>
      </c>
      <c r="F1332" s="1834"/>
      <c r="G1332" s="70" t="e">
        <f>+#REF!</f>
        <v>#REF!</v>
      </c>
    </row>
    <row r="1333" spans="1:7" ht="27" hidden="1" customHeight="1">
      <c r="A1333" s="66" t="s">
        <v>927</v>
      </c>
      <c r="B1333" s="1835" t="e">
        <f>+#REF!</f>
        <v>#REF!</v>
      </c>
      <c r="C1333" s="1621"/>
      <c r="D1333" s="1621"/>
      <c r="E1333" s="1621"/>
      <c r="F1333" s="1621"/>
      <c r="G1333" s="1622"/>
    </row>
    <row r="1334" spans="1:7" ht="14.25" hidden="1" customHeight="1">
      <c r="A1334" s="1836" t="s">
        <v>220</v>
      </c>
      <c r="B1334" s="1830"/>
      <c r="C1334" s="1830"/>
      <c r="D1334" s="1830"/>
      <c r="E1334" s="1830"/>
      <c r="F1334" s="1830"/>
      <c r="G1334" s="1828"/>
    </row>
    <row r="1335" spans="1:7" ht="14.25" hidden="1" customHeight="1">
      <c r="A1335" s="1829" t="s">
        <v>221</v>
      </c>
      <c r="B1335" s="1828"/>
      <c r="C1335" s="63" t="s">
        <v>222</v>
      </c>
      <c r="D1335" s="63" t="s">
        <v>252</v>
      </c>
      <c r="E1335" s="63" t="s">
        <v>224</v>
      </c>
      <c r="F1335" s="63" t="s">
        <v>225</v>
      </c>
      <c r="G1335" s="63" t="s">
        <v>226</v>
      </c>
    </row>
    <row r="1336" spans="1:7" ht="14.25" hidden="1" customHeight="1">
      <c r="A1336" s="1827" t="s">
        <v>923</v>
      </c>
      <c r="B1336" s="1828"/>
      <c r="C1336" s="64"/>
      <c r="D1336" s="64"/>
      <c r="E1336" s="64"/>
      <c r="F1336" s="64">
        <v>7</v>
      </c>
      <c r="G1336" s="64">
        <f t="shared" ref="G1336:G1337" si="77">+F1336</f>
        <v>7</v>
      </c>
    </row>
    <row r="1337" spans="1:7" ht="14.25" hidden="1" customHeight="1">
      <c r="A1337" s="1827"/>
      <c r="B1337" s="1828"/>
      <c r="C1337" s="64"/>
      <c r="D1337" s="64"/>
      <c r="E1337" s="64"/>
      <c r="F1337" s="64"/>
      <c r="G1337" s="64">
        <f t="shared" si="77"/>
        <v>0</v>
      </c>
    </row>
    <row r="1338" spans="1:7" ht="14.25" hidden="1" customHeight="1">
      <c r="A1338" s="1829" t="s">
        <v>227</v>
      </c>
      <c r="B1338" s="1830"/>
      <c r="C1338" s="1830"/>
      <c r="D1338" s="1830"/>
      <c r="E1338" s="1830"/>
      <c r="F1338" s="1828"/>
      <c r="G1338" s="191">
        <f>SUM(G1336:G1337)</f>
        <v>7</v>
      </c>
    </row>
    <row r="1339" spans="1:7" ht="14.25" hidden="1" customHeight="1">
      <c r="A1339" s="1831"/>
      <c r="B1339" s="1830"/>
      <c r="C1339" s="1830"/>
      <c r="D1339" s="1830"/>
      <c r="E1339" s="1830"/>
      <c r="F1339" s="1830"/>
      <c r="G1339" s="1828"/>
    </row>
    <row r="1340" spans="1:7" ht="14.25" hidden="1" customHeight="1">
      <c r="A1340" s="66" t="s">
        <v>918</v>
      </c>
      <c r="B1340" s="1832" t="e">
        <f>+B1324</f>
        <v>#REF!</v>
      </c>
      <c r="C1340" s="1830"/>
      <c r="D1340" s="1828"/>
      <c r="E1340" s="1833" t="s">
        <v>218</v>
      </c>
      <c r="F1340" s="1834"/>
      <c r="G1340" s="70" t="e">
        <f>+#REF!</f>
        <v>#REF!</v>
      </c>
    </row>
    <row r="1341" spans="1:7" ht="14.25" hidden="1" customHeight="1">
      <c r="A1341" s="66" t="s">
        <v>928</v>
      </c>
      <c r="B1341" s="1835" t="e">
        <f>+#REF!</f>
        <v>#REF!</v>
      </c>
      <c r="C1341" s="1621"/>
      <c r="D1341" s="1621"/>
      <c r="E1341" s="1621"/>
      <c r="F1341" s="1621"/>
      <c r="G1341" s="1622"/>
    </row>
    <row r="1342" spans="1:7" ht="14.25" hidden="1" customHeight="1">
      <c r="A1342" s="1836" t="s">
        <v>220</v>
      </c>
      <c r="B1342" s="1830"/>
      <c r="C1342" s="1830"/>
      <c r="D1342" s="1830"/>
      <c r="E1342" s="1830"/>
      <c r="F1342" s="1830"/>
      <c r="G1342" s="1828"/>
    </row>
    <row r="1343" spans="1:7" ht="14.25" hidden="1" customHeight="1">
      <c r="A1343" s="1829" t="s">
        <v>221</v>
      </c>
      <c r="B1343" s="1828"/>
      <c r="C1343" s="63" t="s">
        <v>222</v>
      </c>
      <c r="D1343" s="63" t="s">
        <v>252</v>
      </c>
      <c r="E1343" s="63" t="s">
        <v>224</v>
      </c>
      <c r="F1343" s="63" t="s">
        <v>225</v>
      </c>
      <c r="G1343" s="63" t="s">
        <v>226</v>
      </c>
    </row>
    <row r="1344" spans="1:7" ht="14.25" hidden="1" customHeight="1">
      <c r="A1344" s="1827" t="s">
        <v>923</v>
      </c>
      <c r="B1344" s="1828"/>
      <c r="C1344" s="64"/>
      <c r="D1344" s="64"/>
      <c r="E1344" s="64"/>
      <c r="F1344" s="64">
        <v>483.16</v>
      </c>
      <c r="G1344" s="64">
        <f t="shared" ref="G1344:G1345" si="78">+F1344</f>
        <v>483.16</v>
      </c>
    </row>
    <row r="1345" spans="1:7" ht="14.25" hidden="1" customHeight="1">
      <c r="A1345" s="1827"/>
      <c r="B1345" s="1828"/>
      <c r="C1345" s="64"/>
      <c r="D1345" s="64"/>
      <c r="E1345" s="64"/>
      <c r="F1345" s="64"/>
      <c r="G1345" s="64">
        <f t="shared" si="78"/>
        <v>0</v>
      </c>
    </row>
    <row r="1346" spans="1:7" ht="14.25" hidden="1" customHeight="1">
      <c r="A1346" s="1829" t="s">
        <v>227</v>
      </c>
      <c r="B1346" s="1830"/>
      <c r="C1346" s="1830"/>
      <c r="D1346" s="1830"/>
      <c r="E1346" s="1830"/>
      <c r="F1346" s="1828"/>
      <c r="G1346" s="191">
        <f>SUM(G1344:G1345)</f>
        <v>483.16</v>
      </c>
    </row>
    <row r="1347" spans="1:7" ht="14.25" hidden="1" customHeight="1">
      <c r="A1347" s="1831"/>
      <c r="B1347" s="1830"/>
      <c r="C1347" s="1830"/>
      <c r="D1347" s="1830"/>
      <c r="E1347" s="1830"/>
      <c r="F1347" s="1830"/>
      <c r="G1347" s="1828"/>
    </row>
    <row r="1348" spans="1:7" ht="14.25" hidden="1" customHeight="1">
      <c r="A1348" s="66" t="s">
        <v>918</v>
      </c>
      <c r="B1348" s="1832" t="e">
        <f>+B1340</f>
        <v>#REF!</v>
      </c>
      <c r="C1348" s="1830"/>
      <c r="D1348" s="1828"/>
      <c r="E1348" s="1833" t="s">
        <v>218</v>
      </c>
      <c r="F1348" s="1834"/>
      <c r="G1348" s="70" t="e">
        <f>+#REF!</f>
        <v>#REF!</v>
      </c>
    </row>
    <row r="1349" spans="1:7" ht="14.25" hidden="1" customHeight="1">
      <c r="A1349" s="66" t="s">
        <v>929</v>
      </c>
      <c r="B1349" s="1835" t="e">
        <f>+#REF!</f>
        <v>#REF!</v>
      </c>
      <c r="C1349" s="1621"/>
      <c r="D1349" s="1621"/>
      <c r="E1349" s="1621"/>
      <c r="F1349" s="1621"/>
      <c r="G1349" s="1622"/>
    </row>
    <row r="1350" spans="1:7" ht="14.25" hidden="1" customHeight="1">
      <c r="A1350" s="1836" t="s">
        <v>220</v>
      </c>
      <c r="B1350" s="1830"/>
      <c r="C1350" s="1830"/>
      <c r="D1350" s="1830"/>
      <c r="E1350" s="1830"/>
      <c r="F1350" s="1830"/>
      <c r="G1350" s="1828"/>
    </row>
    <row r="1351" spans="1:7" ht="14.25" hidden="1" customHeight="1">
      <c r="A1351" s="1829" t="s">
        <v>221</v>
      </c>
      <c r="B1351" s="1828"/>
      <c r="C1351" s="63" t="s">
        <v>222</v>
      </c>
      <c r="D1351" s="63" t="s">
        <v>252</v>
      </c>
      <c r="E1351" s="63" t="s">
        <v>224</v>
      </c>
      <c r="F1351" s="63" t="s">
        <v>225</v>
      </c>
      <c r="G1351" s="63" t="s">
        <v>226</v>
      </c>
    </row>
    <row r="1352" spans="1:7" ht="14.25" hidden="1" customHeight="1">
      <c r="A1352" s="1827" t="s">
        <v>923</v>
      </c>
      <c r="B1352" s="1828"/>
      <c r="C1352" s="64"/>
      <c r="D1352" s="64"/>
      <c r="E1352" s="64"/>
      <c r="F1352" s="64">
        <v>31.91</v>
      </c>
      <c r="G1352" s="64">
        <f t="shared" ref="G1352:G1353" si="79">+F1352</f>
        <v>31.91</v>
      </c>
    </row>
    <row r="1353" spans="1:7" ht="14.25" hidden="1" customHeight="1">
      <c r="A1353" s="1827"/>
      <c r="B1353" s="1828"/>
      <c r="C1353" s="64"/>
      <c r="D1353" s="64"/>
      <c r="E1353" s="64"/>
      <c r="F1353" s="64"/>
      <c r="G1353" s="64">
        <f t="shared" si="79"/>
        <v>0</v>
      </c>
    </row>
    <row r="1354" spans="1:7" ht="14.25" hidden="1" customHeight="1">
      <c r="A1354" s="1829" t="s">
        <v>227</v>
      </c>
      <c r="B1354" s="1830"/>
      <c r="C1354" s="1830"/>
      <c r="D1354" s="1830"/>
      <c r="E1354" s="1830"/>
      <c r="F1354" s="1828"/>
      <c r="G1354" s="191">
        <f>SUM(G1352:G1353)</f>
        <v>31.91</v>
      </c>
    </row>
    <row r="1355" spans="1:7" ht="14.25" hidden="1" customHeight="1">
      <c r="A1355" s="1831"/>
      <c r="B1355" s="1830"/>
      <c r="C1355" s="1830"/>
      <c r="D1355" s="1830"/>
      <c r="E1355" s="1830"/>
      <c r="F1355" s="1830"/>
      <c r="G1355" s="1828"/>
    </row>
    <row r="1356" spans="1:7" ht="14.25" hidden="1" customHeight="1">
      <c r="A1356" s="1831"/>
      <c r="B1356" s="1830"/>
      <c r="C1356" s="1830"/>
      <c r="D1356" s="1830"/>
      <c r="E1356" s="1830"/>
      <c r="F1356" s="1830"/>
      <c r="G1356" s="1828"/>
    </row>
    <row r="1357" spans="1:7" ht="14.25" hidden="1" customHeight="1">
      <c r="A1357" s="66" t="s">
        <v>918</v>
      </c>
      <c r="B1357" s="1832" t="e">
        <f>+B1348</f>
        <v>#REF!</v>
      </c>
      <c r="C1357" s="1830"/>
      <c r="D1357" s="1828"/>
      <c r="E1357" s="1833" t="s">
        <v>218</v>
      </c>
      <c r="F1357" s="1834"/>
      <c r="G1357" s="70" t="e">
        <f>+#REF!</f>
        <v>#REF!</v>
      </c>
    </row>
    <row r="1358" spans="1:7" ht="48" hidden="1" customHeight="1">
      <c r="A1358" s="66" t="s">
        <v>930</v>
      </c>
      <c r="B1358" s="1863" t="e">
        <f>+#REF!</f>
        <v>#REF!</v>
      </c>
      <c r="C1358" s="1621"/>
      <c r="D1358" s="1621"/>
      <c r="E1358" s="1621"/>
      <c r="F1358" s="1621"/>
      <c r="G1358" s="1622"/>
    </row>
    <row r="1359" spans="1:7" ht="14.25" hidden="1" customHeight="1">
      <c r="A1359" s="1836" t="s">
        <v>220</v>
      </c>
      <c r="B1359" s="1830"/>
      <c r="C1359" s="1830"/>
      <c r="D1359" s="1830"/>
      <c r="E1359" s="1830"/>
      <c r="F1359" s="1830"/>
      <c r="G1359" s="1828"/>
    </row>
    <row r="1360" spans="1:7" ht="14.25" hidden="1" customHeight="1">
      <c r="A1360" s="1829" t="s">
        <v>221</v>
      </c>
      <c r="B1360" s="1828"/>
      <c r="C1360" s="63" t="s">
        <v>222</v>
      </c>
      <c r="D1360" s="63" t="s">
        <v>252</v>
      </c>
      <c r="E1360" s="63" t="s">
        <v>224</v>
      </c>
      <c r="F1360" s="63" t="s">
        <v>225</v>
      </c>
      <c r="G1360" s="63" t="s">
        <v>226</v>
      </c>
    </row>
    <row r="1361" spans="1:7" ht="14.25" hidden="1" customHeight="1">
      <c r="A1361" s="1827" t="s">
        <v>923</v>
      </c>
      <c r="B1361" s="1828"/>
      <c r="C1361" s="64"/>
      <c r="D1361" s="64"/>
      <c r="E1361" s="64"/>
      <c r="F1361" s="64">
        <v>1</v>
      </c>
      <c r="G1361" s="64">
        <f t="shared" ref="G1361:G1362" si="80">+F1361</f>
        <v>1</v>
      </c>
    </row>
    <row r="1362" spans="1:7" ht="14.25" hidden="1" customHeight="1">
      <c r="A1362" s="1827"/>
      <c r="B1362" s="1828"/>
      <c r="C1362" s="64"/>
      <c r="D1362" s="64"/>
      <c r="E1362" s="64"/>
      <c r="F1362" s="64"/>
      <c r="G1362" s="64">
        <f t="shared" si="80"/>
        <v>0</v>
      </c>
    </row>
    <row r="1363" spans="1:7" ht="14.25" hidden="1" customHeight="1">
      <c r="A1363" s="1829" t="s">
        <v>227</v>
      </c>
      <c r="B1363" s="1830"/>
      <c r="C1363" s="1830"/>
      <c r="D1363" s="1830"/>
      <c r="E1363" s="1830"/>
      <c r="F1363" s="1828"/>
      <c r="G1363" s="191">
        <f>SUM(G1361:G1362)</f>
        <v>1</v>
      </c>
    </row>
    <row r="1364" spans="1:7" ht="14.25" hidden="1" customHeight="1">
      <c r="A1364" s="1831"/>
      <c r="B1364" s="1830"/>
      <c r="C1364" s="1830"/>
      <c r="D1364" s="1830"/>
      <c r="E1364" s="1830"/>
      <c r="F1364" s="1830"/>
      <c r="G1364" s="1828"/>
    </row>
    <row r="1365" spans="1:7" ht="14.25" hidden="1" customHeight="1">
      <c r="A1365" s="66" t="s">
        <v>918</v>
      </c>
      <c r="B1365" s="1832" t="e">
        <f>+B1357</f>
        <v>#REF!</v>
      </c>
      <c r="C1365" s="1830"/>
      <c r="D1365" s="1828"/>
      <c r="E1365" s="1833" t="s">
        <v>218</v>
      </c>
      <c r="F1365" s="1834"/>
      <c r="G1365" s="70" t="e">
        <f>+#REF!</f>
        <v>#REF!</v>
      </c>
    </row>
    <row r="1366" spans="1:7" ht="32.25" hidden="1" customHeight="1">
      <c r="A1366" s="66" t="s">
        <v>931</v>
      </c>
      <c r="B1366" s="1863" t="e">
        <f>+#REF!</f>
        <v>#REF!</v>
      </c>
      <c r="C1366" s="1621"/>
      <c r="D1366" s="1621"/>
      <c r="E1366" s="1621"/>
      <c r="F1366" s="1621"/>
      <c r="G1366" s="1622"/>
    </row>
    <row r="1367" spans="1:7" ht="14.25" hidden="1" customHeight="1">
      <c r="A1367" s="1836" t="s">
        <v>220</v>
      </c>
      <c r="B1367" s="1830"/>
      <c r="C1367" s="1830"/>
      <c r="D1367" s="1830"/>
      <c r="E1367" s="1830"/>
      <c r="F1367" s="1830"/>
      <c r="G1367" s="1828"/>
    </row>
    <row r="1368" spans="1:7" ht="14.25" hidden="1" customHeight="1">
      <c r="A1368" s="1829" t="s">
        <v>221</v>
      </c>
      <c r="B1368" s="1828"/>
      <c r="C1368" s="63" t="s">
        <v>222</v>
      </c>
      <c r="D1368" s="63" t="s">
        <v>252</v>
      </c>
      <c r="E1368" s="63" t="s">
        <v>224</v>
      </c>
      <c r="F1368" s="63" t="s">
        <v>225</v>
      </c>
      <c r="G1368" s="63" t="s">
        <v>226</v>
      </c>
    </row>
    <row r="1369" spans="1:7" ht="14.25" hidden="1" customHeight="1">
      <c r="A1369" s="1827" t="s">
        <v>923</v>
      </c>
      <c r="B1369" s="1828"/>
      <c r="C1369" s="64"/>
      <c r="D1369" s="64"/>
      <c r="E1369" s="64"/>
      <c r="F1369" s="64">
        <v>1</v>
      </c>
      <c r="G1369" s="64">
        <f t="shared" ref="G1369:G1370" si="81">+F1369</f>
        <v>1</v>
      </c>
    </row>
    <row r="1370" spans="1:7" ht="14.25" hidden="1" customHeight="1">
      <c r="A1370" s="1827"/>
      <c r="B1370" s="1828"/>
      <c r="C1370" s="64"/>
      <c r="D1370" s="64"/>
      <c r="E1370" s="64"/>
      <c r="F1370" s="64"/>
      <c r="G1370" s="64">
        <f t="shared" si="81"/>
        <v>0</v>
      </c>
    </row>
    <row r="1371" spans="1:7" ht="14.25" hidden="1" customHeight="1">
      <c r="A1371" s="1829" t="s">
        <v>227</v>
      </c>
      <c r="B1371" s="1830"/>
      <c r="C1371" s="1830"/>
      <c r="D1371" s="1830"/>
      <c r="E1371" s="1830"/>
      <c r="F1371" s="1828"/>
      <c r="G1371" s="191">
        <f>SUM(G1369:G1370)</f>
        <v>1</v>
      </c>
    </row>
    <row r="1372" spans="1:7" ht="14.25" hidden="1" customHeight="1">
      <c r="A1372" s="1831"/>
      <c r="B1372" s="1830"/>
      <c r="C1372" s="1830"/>
      <c r="D1372" s="1830"/>
      <c r="E1372" s="1830"/>
      <c r="F1372" s="1830"/>
      <c r="G1372" s="1828"/>
    </row>
    <row r="1373" spans="1:7" ht="14.25" hidden="1" customHeight="1">
      <c r="A1373" s="66" t="s">
        <v>918</v>
      </c>
      <c r="B1373" s="1832" t="e">
        <f>+B1365</f>
        <v>#REF!</v>
      </c>
      <c r="C1373" s="1830"/>
      <c r="D1373" s="1828"/>
      <c r="E1373" s="1833" t="s">
        <v>218</v>
      </c>
      <c r="F1373" s="1834"/>
      <c r="G1373" s="70" t="e">
        <f>+#REF!</f>
        <v>#REF!</v>
      </c>
    </row>
    <row r="1374" spans="1:7" ht="28.5" hidden="1" customHeight="1">
      <c r="A1374" s="66" t="s">
        <v>932</v>
      </c>
      <c r="B1374" s="1863" t="e">
        <f>+#REF!</f>
        <v>#REF!</v>
      </c>
      <c r="C1374" s="1621"/>
      <c r="D1374" s="1621"/>
      <c r="E1374" s="1621"/>
      <c r="F1374" s="1621"/>
      <c r="G1374" s="1622"/>
    </row>
    <row r="1375" spans="1:7" ht="14.25" hidden="1" customHeight="1">
      <c r="A1375" s="1836" t="s">
        <v>220</v>
      </c>
      <c r="B1375" s="1830"/>
      <c r="C1375" s="1830"/>
      <c r="D1375" s="1830"/>
      <c r="E1375" s="1830"/>
      <c r="F1375" s="1830"/>
      <c r="G1375" s="1828"/>
    </row>
    <row r="1376" spans="1:7" ht="14.25" hidden="1" customHeight="1">
      <c r="A1376" s="1829" t="s">
        <v>221</v>
      </c>
      <c r="B1376" s="1828"/>
      <c r="C1376" s="63" t="s">
        <v>222</v>
      </c>
      <c r="D1376" s="63" t="s">
        <v>252</v>
      </c>
      <c r="E1376" s="63" t="s">
        <v>224</v>
      </c>
      <c r="F1376" s="63" t="s">
        <v>225</v>
      </c>
      <c r="G1376" s="63" t="s">
        <v>226</v>
      </c>
    </row>
    <row r="1377" spans="1:7" ht="14.25" hidden="1" customHeight="1">
      <c r="A1377" s="1827" t="s">
        <v>923</v>
      </c>
      <c r="B1377" s="1828"/>
      <c r="C1377" s="64">
        <f>+(C1272*2)+(D1272*2)</f>
        <v>4</v>
      </c>
      <c r="D1377" s="64"/>
      <c r="E1377" s="64"/>
      <c r="F1377" s="64">
        <f>+C1377</f>
        <v>4</v>
      </c>
      <c r="G1377" s="64">
        <f t="shared" ref="G1377:G1378" si="82">+F1377</f>
        <v>4</v>
      </c>
    </row>
    <row r="1378" spans="1:7" ht="14.25" hidden="1" customHeight="1">
      <c r="A1378" s="1827"/>
      <c r="B1378" s="1828"/>
      <c r="C1378" s="64"/>
      <c r="D1378" s="64"/>
      <c r="E1378" s="64"/>
      <c r="F1378" s="64"/>
      <c r="G1378" s="64">
        <f t="shared" si="82"/>
        <v>0</v>
      </c>
    </row>
    <row r="1379" spans="1:7" ht="14.25" hidden="1" customHeight="1">
      <c r="A1379" s="1829" t="s">
        <v>227</v>
      </c>
      <c r="B1379" s="1830"/>
      <c r="C1379" s="1830"/>
      <c r="D1379" s="1830"/>
      <c r="E1379" s="1830"/>
      <c r="F1379" s="1828"/>
      <c r="G1379" s="65">
        <f>SUM(G1377:G1378)</f>
        <v>4</v>
      </c>
    </row>
    <row r="1380" spans="1:7" ht="14.25" hidden="1" customHeight="1">
      <c r="A1380" s="1831"/>
      <c r="B1380" s="1830"/>
      <c r="C1380" s="1830"/>
      <c r="D1380" s="1830"/>
      <c r="E1380" s="1830"/>
      <c r="F1380" s="1830"/>
      <c r="G1380" s="1828"/>
    </row>
    <row r="1381" spans="1:7" ht="14.25" hidden="1" customHeight="1">
      <c r="A1381" s="66" t="s">
        <v>918</v>
      </c>
      <c r="B1381" s="1832" t="e">
        <f>+B1373</f>
        <v>#REF!</v>
      </c>
      <c r="C1381" s="1830"/>
      <c r="D1381" s="1828"/>
      <c r="E1381" s="1833" t="s">
        <v>218</v>
      </c>
      <c r="F1381" s="1834"/>
      <c r="G1381" s="70" t="e">
        <f>+#REF!</f>
        <v>#REF!</v>
      </c>
    </row>
    <row r="1382" spans="1:7" ht="26.25" hidden="1" customHeight="1">
      <c r="A1382" s="66" t="s">
        <v>933</v>
      </c>
      <c r="B1382" s="1835" t="e">
        <f>+#REF!</f>
        <v>#REF!</v>
      </c>
      <c r="C1382" s="1621"/>
      <c r="D1382" s="1621"/>
      <c r="E1382" s="1621"/>
      <c r="F1382" s="1621"/>
      <c r="G1382" s="1622"/>
    </row>
    <row r="1383" spans="1:7" ht="14.25" hidden="1" customHeight="1">
      <c r="A1383" s="1836" t="s">
        <v>220</v>
      </c>
      <c r="B1383" s="1830"/>
      <c r="C1383" s="1830"/>
      <c r="D1383" s="1830"/>
      <c r="E1383" s="1830"/>
      <c r="F1383" s="1830"/>
      <c r="G1383" s="1828"/>
    </row>
    <row r="1384" spans="1:7" ht="14.25" hidden="1" customHeight="1">
      <c r="A1384" s="1829" t="s">
        <v>221</v>
      </c>
      <c r="B1384" s="1828"/>
      <c r="C1384" s="63" t="s">
        <v>222</v>
      </c>
      <c r="D1384" s="63" t="s">
        <v>252</v>
      </c>
      <c r="E1384" s="63" t="s">
        <v>224</v>
      </c>
      <c r="F1384" s="63" t="s">
        <v>225</v>
      </c>
      <c r="G1384" s="63" t="s">
        <v>226</v>
      </c>
    </row>
    <row r="1385" spans="1:7" ht="14.25" hidden="1" customHeight="1">
      <c r="A1385" s="1827" t="s">
        <v>923</v>
      </c>
      <c r="B1385" s="1828"/>
      <c r="C1385" s="64">
        <f>48.04+52.26+42.28</f>
        <v>142.57999999999998</v>
      </c>
      <c r="D1385" s="64"/>
      <c r="E1385" s="64"/>
      <c r="F1385" s="64"/>
      <c r="G1385" s="64">
        <f>+C1385</f>
        <v>142.57999999999998</v>
      </c>
    </row>
    <row r="1386" spans="1:7" ht="14.25" hidden="1" customHeight="1">
      <c r="A1386" s="1827"/>
      <c r="B1386" s="1828"/>
      <c r="C1386" s="64"/>
      <c r="D1386" s="64"/>
      <c r="E1386" s="64"/>
      <c r="F1386" s="64"/>
      <c r="G1386" s="64">
        <f>+F1386</f>
        <v>0</v>
      </c>
    </row>
    <row r="1387" spans="1:7" ht="14.25" hidden="1" customHeight="1">
      <c r="A1387" s="1829" t="s">
        <v>227</v>
      </c>
      <c r="B1387" s="1830"/>
      <c r="C1387" s="1830"/>
      <c r="D1387" s="1830"/>
      <c r="E1387" s="1830"/>
      <c r="F1387" s="1828"/>
      <c r="G1387" s="191">
        <f>SUM(G1385:G1386)</f>
        <v>142.57999999999998</v>
      </c>
    </row>
    <row r="1388" spans="1:7" ht="14.25" hidden="1" customHeight="1">
      <c r="A1388" s="1831"/>
      <c r="B1388" s="1830"/>
      <c r="C1388" s="1830"/>
      <c r="D1388" s="1830"/>
      <c r="E1388" s="1830"/>
      <c r="F1388" s="1830"/>
      <c r="G1388" s="1828"/>
    </row>
    <row r="1389" spans="1:7" ht="14.25" hidden="1" customHeight="1">
      <c r="A1389" s="66" t="s">
        <v>918</v>
      </c>
      <c r="B1389" s="1832" t="e">
        <f>+B1373</f>
        <v>#REF!</v>
      </c>
      <c r="C1389" s="1830"/>
      <c r="D1389" s="1828"/>
      <c r="E1389" s="1833" t="s">
        <v>218</v>
      </c>
      <c r="F1389" s="1834"/>
      <c r="G1389" s="70" t="e">
        <f>+#REF!</f>
        <v>#REF!</v>
      </c>
    </row>
    <row r="1390" spans="1:7" ht="32.25" hidden="1" customHeight="1">
      <c r="A1390" s="66" t="s">
        <v>934</v>
      </c>
      <c r="B1390" s="1863" t="e">
        <f>+#REF!</f>
        <v>#REF!</v>
      </c>
      <c r="C1390" s="1621"/>
      <c r="D1390" s="1621"/>
      <c r="E1390" s="1621"/>
      <c r="F1390" s="1621"/>
      <c r="G1390" s="1622"/>
    </row>
    <row r="1391" spans="1:7" ht="14.25" hidden="1" customHeight="1">
      <c r="A1391" s="1836" t="s">
        <v>220</v>
      </c>
      <c r="B1391" s="1830"/>
      <c r="C1391" s="1830"/>
      <c r="D1391" s="1830"/>
      <c r="E1391" s="1830"/>
      <c r="F1391" s="1830"/>
      <c r="G1391" s="1828"/>
    </row>
    <row r="1392" spans="1:7" ht="14.25" hidden="1" customHeight="1">
      <c r="A1392" s="1829" t="s">
        <v>221</v>
      </c>
      <c r="B1392" s="1828"/>
      <c r="C1392" s="63" t="s">
        <v>222</v>
      </c>
      <c r="D1392" s="63" t="s">
        <v>252</v>
      </c>
      <c r="E1392" s="63" t="s">
        <v>224</v>
      </c>
      <c r="F1392" s="63" t="s">
        <v>225</v>
      </c>
      <c r="G1392" s="63" t="s">
        <v>226</v>
      </c>
    </row>
    <row r="1393" spans="1:7" ht="14.25" hidden="1" customHeight="1">
      <c r="A1393" s="1827" t="s">
        <v>923</v>
      </c>
      <c r="B1393" s="1828"/>
      <c r="C1393" s="64">
        <f>8.11+9.34+28.07+38.06+32.3+22.32+12.34</f>
        <v>150.54</v>
      </c>
      <c r="D1393" s="64"/>
      <c r="E1393" s="64"/>
      <c r="F1393" s="64"/>
      <c r="G1393" s="64">
        <f>+C1393</f>
        <v>150.54</v>
      </c>
    </row>
    <row r="1394" spans="1:7" ht="14.25" hidden="1" customHeight="1">
      <c r="A1394" s="1827"/>
      <c r="B1394" s="1828"/>
      <c r="C1394" s="64"/>
      <c r="D1394" s="64"/>
      <c r="E1394" s="64"/>
      <c r="F1394" s="64"/>
      <c r="G1394" s="64">
        <f>+F1394</f>
        <v>0</v>
      </c>
    </row>
    <row r="1395" spans="1:7" ht="14.25" hidden="1" customHeight="1">
      <c r="A1395" s="1829" t="s">
        <v>227</v>
      </c>
      <c r="B1395" s="1830"/>
      <c r="C1395" s="1830"/>
      <c r="D1395" s="1830"/>
      <c r="E1395" s="1830"/>
      <c r="F1395" s="1828"/>
      <c r="G1395" s="65">
        <f>SUM(G1393:G1394)</f>
        <v>150.54</v>
      </c>
    </row>
    <row r="1396" spans="1:7" ht="14.25" hidden="1" customHeight="1">
      <c r="A1396" s="1831"/>
      <c r="B1396" s="1830"/>
      <c r="C1396" s="1830"/>
      <c r="D1396" s="1830"/>
      <c r="E1396" s="1830"/>
      <c r="F1396" s="1830"/>
      <c r="G1396" s="1828"/>
    </row>
    <row r="1397" spans="1:7" ht="14.25" hidden="1" customHeight="1">
      <c r="A1397" s="66" t="s">
        <v>918</v>
      </c>
      <c r="B1397" s="1832" t="e">
        <f>+B1381</f>
        <v>#REF!</v>
      </c>
      <c r="C1397" s="1830"/>
      <c r="D1397" s="1828"/>
      <c r="E1397" s="1833" t="s">
        <v>218</v>
      </c>
      <c r="F1397" s="1834"/>
      <c r="G1397" s="70" t="e">
        <f>+#REF!</f>
        <v>#REF!</v>
      </c>
    </row>
    <row r="1398" spans="1:7" ht="30" hidden="1" customHeight="1">
      <c r="A1398" s="66" t="s">
        <v>935</v>
      </c>
      <c r="B1398" s="1863" t="e">
        <f>+#REF!</f>
        <v>#REF!</v>
      </c>
      <c r="C1398" s="1621"/>
      <c r="D1398" s="1621"/>
      <c r="E1398" s="1621"/>
      <c r="F1398" s="1621"/>
      <c r="G1398" s="1622"/>
    </row>
    <row r="1399" spans="1:7" ht="14.25" hidden="1" customHeight="1">
      <c r="A1399" s="1836" t="s">
        <v>220</v>
      </c>
      <c r="B1399" s="1830"/>
      <c r="C1399" s="1830"/>
      <c r="D1399" s="1830"/>
      <c r="E1399" s="1830"/>
      <c r="F1399" s="1830"/>
      <c r="G1399" s="1828"/>
    </row>
    <row r="1400" spans="1:7" ht="14.25" hidden="1" customHeight="1">
      <c r="A1400" s="1829" t="s">
        <v>221</v>
      </c>
      <c r="B1400" s="1828"/>
      <c r="C1400" s="63" t="s">
        <v>222</v>
      </c>
      <c r="D1400" s="63" t="s">
        <v>252</v>
      </c>
      <c r="E1400" s="63" t="s">
        <v>224</v>
      </c>
      <c r="F1400" s="63" t="s">
        <v>225</v>
      </c>
      <c r="G1400" s="63" t="s">
        <v>226</v>
      </c>
    </row>
    <row r="1401" spans="1:7" ht="14.25" hidden="1" customHeight="1">
      <c r="A1401" s="1827" t="s">
        <v>923</v>
      </c>
      <c r="B1401" s="1828"/>
      <c r="C1401" s="64">
        <f>+(C1272)</f>
        <v>1</v>
      </c>
      <c r="D1401" s="64"/>
      <c r="E1401" s="64"/>
      <c r="F1401" s="64">
        <f>+C1401</f>
        <v>1</v>
      </c>
      <c r="G1401" s="64">
        <f t="shared" ref="G1401:G1402" si="83">+F1401</f>
        <v>1</v>
      </c>
    </row>
    <row r="1402" spans="1:7" ht="14.25" hidden="1" customHeight="1">
      <c r="A1402" s="1827"/>
      <c r="B1402" s="1828"/>
      <c r="C1402" s="64"/>
      <c r="D1402" s="64"/>
      <c r="E1402" s="64"/>
      <c r="F1402" s="64"/>
      <c r="G1402" s="64">
        <f t="shared" si="83"/>
        <v>0</v>
      </c>
    </row>
    <row r="1403" spans="1:7" ht="14.25" hidden="1" customHeight="1">
      <c r="A1403" s="1829" t="s">
        <v>227</v>
      </c>
      <c r="B1403" s="1830"/>
      <c r="C1403" s="1830"/>
      <c r="D1403" s="1830"/>
      <c r="E1403" s="1830"/>
      <c r="F1403" s="1828"/>
      <c r="G1403" s="65">
        <f>SUM(G1401:G1402)</f>
        <v>1</v>
      </c>
    </row>
    <row r="1404" spans="1:7" ht="14.25" hidden="1" customHeight="1">
      <c r="A1404" s="1831"/>
      <c r="B1404" s="1830"/>
      <c r="C1404" s="1830"/>
      <c r="D1404" s="1830"/>
      <c r="E1404" s="1830"/>
      <c r="F1404" s="1830"/>
      <c r="G1404" s="1828"/>
    </row>
    <row r="1405" spans="1:7" ht="14.25" hidden="1" customHeight="1">
      <c r="A1405" s="66" t="s">
        <v>918</v>
      </c>
      <c r="B1405" s="1832" t="e">
        <f>+B1397</f>
        <v>#REF!</v>
      </c>
      <c r="C1405" s="1830"/>
      <c r="D1405" s="1828"/>
      <c r="E1405" s="1833" t="s">
        <v>218</v>
      </c>
      <c r="F1405" s="1834"/>
      <c r="G1405" s="70" t="e">
        <f>+#REF!</f>
        <v>#REF!</v>
      </c>
    </row>
    <row r="1406" spans="1:7" ht="34.5" hidden="1" customHeight="1">
      <c r="A1406" s="66" t="s">
        <v>936</v>
      </c>
      <c r="B1406" s="1835" t="e">
        <f>+#REF!</f>
        <v>#REF!</v>
      </c>
      <c r="C1406" s="1621"/>
      <c r="D1406" s="1621"/>
      <c r="E1406" s="1621"/>
      <c r="F1406" s="1621"/>
      <c r="G1406" s="1622"/>
    </row>
    <row r="1407" spans="1:7" ht="14.25" hidden="1" customHeight="1">
      <c r="A1407" s="1836" t="s">
        <v>220</v>
      </c>
      <c r="B1407" s="1830"/>
      <c r="C1407" s="1830"/>
      <c r="D1407" s="1830"/>
      <c r="E1407" s="1830"/>
      <c r="F1407" s="1830"/>
      <c r="G1407" s="1828"/>
    </row>
    <row r="1408" spans="1:7" ht="14.25" hidden="1" customHeight="1">
      <c r="A1408" s="1829" t="s">
        <v>221</v>
      </c>
      <c r="B1408" s="1828"/>
      <c r="C1408" s="63" t="s">
        <v>222</v>
      </c>
      <c r="D1408" s="63" t="s">
        <v>252</v>
      </c>
      <c r="E1408" s="63" t="s">
        <v>224</v>
      </c>
      <c r="F1408" s="63" t="s">
        <v>225</v>
      </c>
      <c r="G1408" s="63" t="s">
        <v>226</v>
      </c>
    </row>
    <row r="1409" spans="1:7" ht="14.25" hidden="1" customHeight="1">
      <c r="A1409" s="1827" t="s">
        <v>923</v>
      </c>
      <c r="B1409" s="1828"/>
      <c r="C1409" s="64"/>
      <c r="D1409" s="64"/>
      <c r="E1409" s="64"/>
      <c r="F1409" s="64">
        <v>2</v>
      </c>
      <c r="G1409" s="64">
        <f t="shared" ref="G1409:G1410" si="84">+F1409</f>
        <v>2</v>
      </c>
    </row>
    <row r="1410" spans="1:7" ht="14.25" hidden="1" customHeight="1">
      <c r="A1410" s="1827"/>
      <c r="B1410" s="1828"/>
      <c r="C1410" s="64"/>
      <c r="D1410" s="64"/>
      <c r="E1410" s="64"/>
      <c r="F1410" s="64"/>
      <c r="G1410" s="64">
        <f t="shared" si="84"/>
        <v>0</v>
      </c>
    </row>
    <row r="1411" spans="1:7" ht="14.25" hidden="1" customHeight="1">
      <c r="A1411" s="1829" t="s">
        <v>227</v>
      </c>
      <c r="B1411" s="1830"/>
      <c r="C1411" s="1830"/>
      <c r="D1411" s="1830"/>
      <c r="E1411" s="1830"/>
      <c r="F1411" s="1828"/>
      <c r="G1411" s="65">
        <f>SUM(G1409:G1410)</f>
        <v>2</v>
      </c>
    </row>
    <row r="1412" spans="1:7" ht="14.25" hidden="1" customHeight="1">
      <c r="A1412" s="1831"/>
      <c r="B1412" s="1830"/>
      <c r="C1412" s="1830"/>
      <c r="D1412" s="1830"/>
      <c r="E1412" s="1830"/>
      <c r="F1412" s="1830"/>
      <c r="G1412" s="1828"/>
    </row>
    <row r="1413" spans="1:7" ht="14.25" hidden="1" customHeight="1">
      <c r="A1413" s="66" t="s">
        <v>918</v>
      </c>
      <c r="B1413" s="1832" t="e">
        <f>+B1405</f>
        <v>#REF!</v>
      </c>
      <c r="C1413" s="1830"/>
      <c r="D1413" s="1828"/>
      <c r="E1413" s="1833" t="s">
        <v>218</v>
      </c>
      <c r="F1413" s="1834"/>
      <c r="G1413" s="70" t="e">
        <f>+#REF!</f>
        <v>#REF!</v>
      </c>
    </row>
    <row r="1414" spans="1:7" ht="36.75" hidden="1" customHeight="1">
      <c r="A1414" s="66" t="s">
        <v>937</v>
      </c>
      <c r="B1414" s="1835" t="e">
        <f>+#REF!</f>
        <v>#REF!</v>
      </c>
      <c r="C1414" s="1621"/>
      <c r="D1414" s="1621"/>
      <c r="E1414" s="1621"/>
      <c r="F1414" s="1621"/>
      <c r="G1414" s="1622"/>
    </row>
    <row r="1415" spans="1:7" ht="14.25" hidden="1" customHeight="1">
      <c r="A1415" s="1836" t="s">
        <v>220</v>
      </c>
      <c r="B1415" s="1830"/>
      <c r="C1415" s="1830"/>
      <c r="D1415" s="1830"/>
      <c r="E1415" s="1830"/>
      <c r="F1415" s="1830"/>
      <c r="G1415" s="1828"/>
    </row>
    <row r="1416" spans="1:7" ht="14.25" hidden="1" customHeight="1">
      <c r="A1416" s="1829" t="s">
        <v>221</v>
      </c>
      <c r="B1416" s="1828"/>
      <c r="C1416" s="63" t="s">
        <v>222</v>
      </c>
      <c r="D1416" s="63" t="s">
        <v>252</v>
      </c>
      <c r="E1416" s="63" t="s">
        <v>224</v>
      </c>
      <c r="F1416" s="63" t="s">
        <v>225</v>
      </c>
      <c r="G1416" s="63" t="s">
        <v>226</v>
      </c>
    </row>
    <row r="1417" spans="1:7" ht="14.25" hidden="1" customHeight="1">
      <c r="A1417" s="1827" t="s">
        <v>938</v>
      </c>
      <c r="B1417" s="1828"/>
      <c r="C1417" s="64">
        <f>+$G$1290</f>
        <v>88.19</v>
      </c>
      <c r="D1417" s="64"/>
      <c r="E1417" s="64"/>
      <c r="F1417" s="64">
        <f>-$G$1322</f>
        <v>-8312.64</v>
      </c>
      <c r="G1417" s="64">
        <f>+C1417+F1417</f>
        <v>-8224.4499999999989</v>
      </c>
    </row>
    <row r="1418" spans="1:7" ht="14.25" hidden="1" customHeight="1">
      <c r="A1418" s="1827"/>
      <c r="B1418" s="1828"/>
      <c r="C1418" s="64"/>
      <c r="D1418" s="64"/>
      <c r="E1418" s="64"/>
      <c r="F1418" s="64"/>
      <c r="G1418" s="64">
        <f>+F1418</f>
        <v>0</v>
      </c>
    </row>
    <row r="1419" spans="1:7" ht="14.25" hidden="1" customHeight="1">
      <c r="A1419" s="1829" t="s">
        <v>227</v>
      </c>
      <c r="B1419" s="1830"/>
      <c r="C1419" s="1830"/>
      <c r="D1419" s="1830"/>
      <c r="E1419" s="1830"/>
      <c r="F1419" s="1828"/>
      <c r="G1419" s="65">
        <f>SUM(G1417:G1418)</f>
        <v>-8224.4499999999989</v>
      </c>
    </row>
    <row r="1420" spans="1:7" ht="14.25" hidden="1" customHeight="1">
      <c r="A1420" s="1831"/>
      <c r="B1420" s="1830"/>
      <c r="C1420" s="1830"/>
      <c r="D1420" s="1830"/>
      <c r="E1420" s="1830"/>
      <c r="F1420" s="1830"/>
      <c r="G1420" s="1828"/>
    </row>
    <row r="1421" spans="1:7" ht="14.25" hidden="1" customHeight="1">
      <c r="A1421" s="66" t="s">
        <v>918</v>
      </c>
      <c r="B1421" s="1832" t="e">
        <f>+B1413</f>
        <v>#REF!</v>
      </c>
      <c r="C1421" s="1830"/>
      <c r="D1421" s="1828"/>
      <c r="E1421" s="1833" t="s">
        <v>218</v>
      </c>
      <c r="F1421" s="1834"/>
      <c r="G1421" s="70" t="e">
        <f>+#REF!</f>
        <v>#REF!</v>
      </c>
    </row>
    <row r="1422" spans="1:7" ht="33" hidden="1" customHeight="1">
      <c r="A1422" s="66" t="s">
        <v>939</v>
      </c>
      <c r="B1422" s="1835" t="e">
        <f>+#REF!</f>
        <v>#REF!</v>
      </c>
      <c r="C1422" s="1621"/>
      <c r="D1422" s="1621"/>
      <c r="E1422" s="1621"/>
      <c r="F1422" s="1621"/>
      <c r="G1422" s="1622"/>
    </row>
    <row r="1423" spans="1:7" ht="14.25" hidden="1" customHeight="1">
      <c r="A1423" s="1836" t="s">
        <v>220</v>
      </c>
      <c r="B1423" s="1830"/>
      <c r="C1423" s="1830"/>
      <c r="D1423" s="1830"/>
      <c r="E1423" s="1830"/>
      <c r="F1423" s="1830"/>
      <c r="G1423" s="1828"/>
    </row>
    <row r="1424" spans="1:7" ht="14.25" hidden="1" customHeight="1">
      <c r="A1424" s="1829" t="s">
        <v>221</v>
      </c>
      <c r="B1424" s="1828"/>
      <c r="C1424" s="63" t="s">
        <v>222</v>
      </c>
      <c r="D1424" s="63" t="s">
        <v>252</v>
      </c>
      <c r="E1424" s="63" t="s">
        <v>224</v>
      </c>
      <c r="F1424" s="63" t="s">
        <v>225</v>
      </c>
      <c r="G1424" s="63" t="s">
        <v>226</v>
      </c>
    </row>
    <row r="1425" spans="1:7" ht="14.25" hidden="1" customHeight="1">
      <c r="A1425" s="1827" t="s">
        <v>938</v>
      </c>
      <c r="B1425" s="1828"/>
      <c r="C1425" s="64">
        <f>+$G$1290</f>
        <v>88.19</v>
      </c>
      <c r="D1425" s="64"/>
      <c r="E1425" s="64"/>
      <c r="F1425" s="64">
        <f>-$G$1322</f>
        <v>-8312.64</v>
      </c>
      <c r="G1425" s="64">
        <f>+C1425+F1425</f>
        <v>-8224.4499999999989</v>
      </c>
    </row>
    <row r="1426" spans="1:7" ht="14.25" hidden="1" customHeight="1">
      <c r="A1426" s="1827"/>
      <c r="B1426" s="1828"/>
      <c r="C1426" s="64"/>
      <c r="D1426" s="64"/>
      <c r="E1426" s="64"/>
      <c r="F1426" s="64"/>
      <c r="G1426" s="64">
        <f>+F1426</f>
        <v>0</v>
      </c>
    </row>
    <row r="1427" spans="1:7" ht="14.25" hidden="1" customHeight="1">
      <c r="A1427" s="1829" t="s">
        <v>227</v>
      </c>
      <c r="B1427" s="1830"/>
      <c r="C1427" s="1830"/>
      <c r="D1427" s="1830"/>
      <c r="E1427" s="1830"/>
      <c r="F1427" s="1828"/>
      <c r="G1427" s="65">
        <f>SUM(G1425:G1426)</f>
        <v>-8224.4499999999989</v>
      </c>
    </row>
    <row r="1428" spans="1:7" ht="14.25" hidden="1" customHeight="1">
      <c r="A1428" s="1831"/>
      <c r="B1428" s="1830"/>
      <c r="C1428" s="1830"/>
      <c r="D1428" s="1830"/>
      <c r="E1428" s="1830"/>
      <c r="F1428" s="1830"/>
      <c r="G1428" s="1828"/>
    </row>
    <row r="1429" spans="1:7" ht="14.25" hidden="1" customHeight="1">
      <c r="A1429" s="66" t="s">
        <v>918</v>
      </c>
      <c r="B1429" s="1832" t="e">
        <f>+B1421</f>
        <v>#REF!</v>
      </c>
      <c r="C1429" s="1830"/>
      <c r="D1429" s="1828"/>
      <c r="E1429" s="1833" t="s">
        <v>218</v>
      </c>
      <c r="F1429" s="1834"/>
      <c r="G1429" s="70" t="e">
        <f>+#REF!</f>
        <v>#REF!</v>
      </c>
    </row>
    <row r="1430" spans="1:7" ht="33" hidden="1" customHeight="1">
      <c r="A1430" s="66" t="s">
        <v>940</v>
      </c>
      <c r="B1430" s="1835" t="e">
        <f>+#REF!</f>
        <v>#REF!</v>
      </c>
      <c r="C1430" s="1621"/>
      <c r="D1430" s="1621"/>
      <c r="E1430" s="1621"/>
      <c r="F1430" s="1621"/>
      <c r="G1430" s="1622"/>
    </row>
    <row r="1431" spans="1:7" ht="14.25" hidden="1" customHeight="1">
      <c r="A1431" s="1836" t="s">
        <v>220</v>
      </c>
      <c r="B1431" s="1830"/>
      <c r="C1431" s="1830"/>
      <c r="D1431" s="1830"/>
      <c r="E1431" s="1830"/>
      <c r="F1431" s="1830"/>
      <c r="G1431" s="1828"/>
    </row>
    <row r="1432" spans="1:7" ht="14.25" hidden="1" customHeight="1">
      <c r="A1432" s="1829" t="s">
        <v>221</v>
      </c>
      <c r="B1432" s="1828"/>
      <c r="C1432" s="63" t="s">
        <v>222</v>
      </c>
      <c r="D1432" s="63" t="s">
        <v>252</v>
      </c>
      <c r="E1432" s="63" t="s">
        <v>224</v>
      </c>
      <c r="F1432" s="63" t="s">
        <v>225</v>
      </c>
      <c r="G1432" s="63" t="s">
        <v>226</v>
      </c>
    </row>
    <row r="1433" spans="1:7" ht="14.25" hidden="1" customHeight="1">
      <c r="A1433" s="1827" t="s">
        <v>938</v>
      </c>
      <c r="B1433" s="1828"/>
      <c r="C1433" s="64"/>
      <c r="D1433" s="64"/>
      <c r="E1433" s="64"/>
      <c r="F1433" s="64">
        <v>2</v>
      </c>
      <c r="G1433" s="64">
        <f>+C1433+F1433</f>
        <v>2</v>
      </c>
    </row>
    <row r="1434" spans="1:7" ht="14.25" hidden="1" customHeight="1">
      <c r="A1434" s="1827"/>
      <c r="B1434" s="1828"/>
      <c r="C1434" s="64"/>
      <c r="D1434" s="64"/>
      <c r="E1434" s="64"/>
      <c r="F1434" s="64"/>
      <c r="G1434" s="64">
        <f>+F1434</f>
        <v>0</v>
      </c>
    </row>
    <row r="1435" spans="1:7" ht="14.25" hidden="1" customHeight="1">
      <c r="A1435" s="1829" t="s">
        <v>227</v>
      </c>
      <c r="B1435" s="1830"/>
      <c r="C1435" s="1830"/>
      <c r="D1435" s="1830"/>
      <c r="E1435" s="1830"/>
      <c r="F1435" s="1828"/>
      <c r="G1435" s="65">
        <f>SUM(G1433:G1434)</f>
        <v>2</v>
      </c>
    </row>
    <row r="1436" spans="1:7" ht="14.25" hidden="1" customHeight="1">
      <c r="A1436" s="1831"/>
      <c r="B1436" s="1830"/>
      <c r="C1436" s="1830"/>
      <c r="D1436" s="1830"/>
      <c r="E1436" s="1830"/>
      <c r="F1436" s="1830"/>
      <c r="G1436" s="1828"/>
    </row>
    <row r="1437" spans="1:7" ht="14.25" hidden="1" customHeight="1">
      <c r="A1437" s="66" t="s">
        <v>918</v>
      </c>
      <c r="B1437" s="1832" t="e">
        <f>+B1429</f>
        <v>#REF!</v>
      </c>
      <c r="C1437" s="1830"/>
      <c r="D1437" s="1828"/>
      <c r="E1437" s="1833" t="s">
        <v>218</v>
      </c>
      <c r="F1437" s="1834"/>
      <c r="G1437" s="70" t="e">
        <f>+#REF!</f>
        <v>#REF!</v>
      </c>
    </row>
    <row r="1438" spans="1:7" ht="33" hidden="1" customHeight="1">
      <c r="A1438" s="66" t="s">
        <v>941</v>
      </c>
      <c r="B1438" s="1835" t="e">
        <f>+#REF!</f>
        <v>#REF!</v>
      </c>
      <c r="C1438" s="1621"/>
      <c r="D1438" s="1621"/>
      <c r="E1438" s="1621"/>
      <c r="F1438" s="1621"/>
      <c r="G1438" s="1622"/>
    </row>
    <row r="1439" spans="1:7" ht="14.25" hidden="1" customHeight="1">
      <c r="A1439" s="1836" t="s">
        <v>220</v>
      </c>
      <c r="B1439" s="1830"/>
      <c r="C1439" s="1830"/>
      <c r="D1439" s="1830"/>
      <c r="E1439" s="1830"/>
      <c r="F1439" s="1830"/>
      <c r="G1439" s="1828"/>
    </row>
    <row r="1440" spans="1:7" ht="14.25" hidden="1" customHeight="1">
      <c r="A1440" s="1829" t="s">
        <v>221</v>
      </c>
      <c r="B1440" s="1828"/>
      <c r="C1440" s="63" t="s">
        <v>222</v>
      </c>
      <c r="D1440" s="63" t="s">
        <v>252</v>
      </c>
      <c r="E1440" s="63" t="s">
        <v>224</v>
      </c>
      <c r="F1440" s="63" t="s">
        <v>225</v>
      </c>
      <c r="G1440" s="63" t="s">
        <v>226</v>
      </c>
    </row>
    <row r="1441" spans="1:7" ht="14.25" hidden="1" customHeight="1">
      <c r="A1441" s="1827" t="s">
        <v>938</v>
      </c>
      <c r="B1441" s="1828"/>
      <c r="C1441" s="64"/>
      <c r="D1441" s="64"/>
      <c r="E1441" s="64"/>
      <c r="F1441" s="64">
        <v>2</v>
      </c>
      <c r="G1441" s="64">
        <f>+C1441+F1441</f>
        <v>2</v>
      </c>
    </row>
    <row r="1442" spans="1:7" ht="14.25" hidden="1" customHeight="1">
      <c r="A1442" s="1827"/>
      <c r="B1442" s="1828"/>
      <c r="C1442" s="64"/>
      <c r="D1442" s="64"/>
      <c r="E1442" s="64"/>
      <c r="F1442" s="64"/>
      <c r="G1442" s="64">
        <f>+F1442</f>
        <v>0</v>
      </c>
    </row>
    <row r="1443" spans="1:7" ht="14.25" hidden="1" customHeight="1">
      <c r="A1443" s="1829" t="s">
        <v>227</v>
      </c>
      <c r="B1443" s="1830"/>
      <c r="C1443" s="1830"/>
      <c r="D1443" s="1830"/>
      <c r="E1443" s="1830"/>
      <c r="F1443" s="1828"/>
      <c r="G1443" s="65">
        <f>SUM(G1441:G1442)</f>
        <v>2</v>
      </c>
    </row>
    <row r="1444" spans="1:7" ht="14.25" hidden="1" customHeight="1">
      <c r="A1444" s="59"/>
      <c r="B1444" s="59"/>
      <c r="C1444" s="59"/>
      <c r="D1444" s="59"/>
      <c r="E1444" s="59"/>
      <c r="F1444" s="59"/>
      <c r="G1444" s="59"/>
    </row>
    <row r="1445" spans="1:7" ht="14.25" customHeight="1">
      <c r="A1445" s="59"/>
      <c r="B1445" s="59"/>
      <c r="C1445" s="59"/>
      <c r="D1445" s="59"/>
      <c r="E1445" s="59"/>
      <c r="F1445" s="59"/>
      <c r="G1445" s="59"/>
    </row>
    <row r="1446" spans="1:7" ht="70.5" customHeight="1">
      <c r="A1446" s="59"/>
      <c r="B1446" s="59"/>
      <c r="C1446" s="59"/>
      <c r="D1446" s="59"/>
      <c r="E1446" s="59"/>
      <c r="F1446" s="59"/>
      <c r="G1446" s="59"/>
    </row>
    <row r="1447" spans="1:7" ht="14.25" customHeight="1">
      <c r="A1447" s="59"/>
      <c r="B1447" s="59"/>
      <c r="C1447" s="59"/>
      <c r="D1447" s="59"/>
      <c r="E1447" s="59"/>
      <c r="F1447" s="59"/>
      <c r="G1447" s="59"/>
    </row>
    <row r="1448" spans="1:7" ht="14.25" customHeight="1">
      <c r="A1448" s="168" t="s">
        <v>558</v>
      </c>
      <c r="B1448" s="59"/>
      <c r="C1448" s="59"/>
      <c r="D1448" s="59"/>
      <c r="E1448" s="59"/>
      <c r="F1448" s="59"/>
      <c r="G1448" s="59"/>
    </row>
    <row r="1449" spans="1:7" ht="14.25" customHeight="1">
      <c r="A1449" s="76" t="s">
        <v>559</v>
      </c>
      <c r="B1449" s="59"/>
      <c r="C1449" s="59"/>
      <c r="D1449" s="59"/>
      <c r="E1449" s="59"/>
      <c r="F1449" s="59"/>
      <c r="G1449" s="59"/>
    </row>
    <row r="1450" spans="1:7" ht="14.25" customHeight="1">
      <c r="A1450" s="76" t="s">
        <v>560</v>
      </c>
      <c r="B1450" s="59"/>
      <c r="C1450" s="59"/>
      <c r="D1450" s="59"/>
      <c r="E1450" s="59"/>
      <c r="F1450" s="59"/>
      <c r="G1450" s="59"/>
    </row>
  </sheetData>
  <mergeCells count="1595">
    <mergeCell ref="B1308:D1308"/>
    <mergeCell ref="E1308:F1308"/>
    <mergeCell ref="B1309:G1309"/>
    <mergeCell ref="A1310:G1310"/>
    <mergeCell ref="A1311:B1311"/>
    <mergeCell ref="A1312:B1312"/>
    <mergeCell ref="A1313:B1313"/>
    <mergeCell ref="A1314:F1314"/>
    <mergeCell ref="A1315:G1315"/>
    <mergeCell ref="B1316:D1316"/>
    <mergeCell ref="E1316:F1316"/>
    <mergeCell ref="B1317:G1317"/>
    <mergeCell ref="A1318:G1318"/>
    <mergeCell ref="A1319:B1319"/>
    <mergeCell ref="A1270:G1270"/>
    <mergeCell ref="A1271:B1271"/>
    <mergeCell ref="A1272:B1272"/>
    <mergeCell ref="A1273:B1273"/>
    <mergeCell ref="A1274:F1274"/>
    <mergeCell ref="A1275:G1275"/>
    <mergeCell ref="E1276:F1276"/>
    <mergeCell ref="B1276:D1276"/>
    <mergeCell ref="B1277:G1277"/>
    <mergeCell ref="A1278:G1278"/>
    <mergeCell ref="A1279:B1279"/>
    <mergeCell ref="A1280:B1280"/>
    <mergeCell ref="A1281:B1281"/>
    <mergeCell ref="A1282:F1282"/>
    <mergeCell ref="A1283:G1283"/>
    <mergeCell ref="B1284:D1284"/>
    <mergeCell ref="E1284:F1284"/>
    <mergeCell ref="B1285:G1285"/>
    <mergeCell ref="A1286:G1286"/>
    <mergeCell ref="A1287:B1287"/>
    <mergeCell ref="A1288:B1288"/>
    <mergeCell ref="A1289:B1289"/>
    <mergeCell ref="A1290:F1290"/>
    <mergeCell ref="A1291:G1291"/>
    <mergeCell ref="B1292:D1292"/>
    <mergeCell ref="E1292:F1292"/>
    <mergeCell ref="B1293:G1293"/>
    <mergeCell ref="A1294:G1294"/>
    <mergeCell ref="A1295:B1295"/>
    <mergeCell ref="A1296:B1296"/>
    <mergeCell ref="A1297:B1297"/>
    <mergeCell ref="A1298:F1298"/>
    <mergeCell ref="A1299:G1299"/>
    <mergeCell ref="B1300:D1300"/>
    <mergeCell ref="E1300:F1300"/>
    <mergeCell ref="B1301:G1301"/>
    <mergeCell ref="A1302:G1302"/>
    <mergeCell ref="A1303:B1303"/>
    <mergeCell ref="A1304:B1304"/>
    <mergeCell ref="A1305:B1305"/>
    <mergeCell ref="A1306:F1306"/>
    <mergeCell ref="A1307:G1307"/>
    <mergeCell ref="A1320:B1320"/>
    <mergeCell ref="A1321:B1321"/>
    <mergeCell ref="A1322:F1322"/>
    <mergeCell ref="A1323:G1323"/>
    <mergeCell ref="B1324:D1324"/>
    <mergeCell ref="E1324:F1324"/>
    <mergeCell ref="B1325:G1325"/>
    <mergeCell ref="A1376:B1376"/>
    <mergeCell ref="A1377:B1377"/>
    <mergeCell ref="A1378:B1378"/>
    <mergeCell ref="B1341:G1341"/>
    <mergeCell ref="A1342:G1342"/>
    <mergeCell ref="A1343:B1343"/>
    <mergeCell ref="A1344:B1344"/>
    <mergeCell ref="A1345:B1345"/>
    <mergeCell ref="A1346:F1346"/>
    <mergeCell ref="A1347:G1347"/>
    <mergeCell ref="B1348:D1348"/>
    <mergeCell ref="E1348:F1348"/>
    <mergeCell ref="B1349:G1349"/>
    <mergeCell ref="A1350:G1350"/>
    <mergeCell ref="A1351:B1351"/>
    <mergeCell ref="A1352:B1352"/>
    <mergeCell ref="A1353:B1353"/>
    <mergeCell ref="A1354:F1354"/>
    <mergeCell ref="A1399:G1399"/>
    <mergeCell ref="A1400:B1400"/>
    <mergeCell ref="A1407:G1407"/>
    <mergeCell ref="A1408:B1408"/>
    <mergeCell ref="A1409:B1409"/>
    <mergeCell ref="A1410:B1410"/>
    <mergeCell ref="A1411:F1411"/>
    <mergeCell ref="A1412:G1412"/>
    <mergeCell ref="E1413:F1413"/>
    <mergeCell ref="B1413:D1413"/>
    <mergeCell ref="B1414:G1414"/>
    <mergeCell ref="A1379:F1379"/>
    <mergeCell ref="A1380:G1380"/>
    <mergeCell ref="B1381:D1381"/>
    <mergeCell ref="E1381:F1381"/>
    <mergeCell ref="B1382:G1382"/>
    <mergeCell ref="A1383:G1383"/>
    <mergeCell ref="A1384:B1384"/>
    <mergeCell ref="A1385:B1385"/>
    <mergeCell ref="A1386:B1386"/>
    <mergeCell ref="A1387:F1387"/>
    <mergeCell ref="A1388:G1388"/>
    <mergeCell ref="B1389:D1389"/>
    <mergeCell ref="E1389:F1389"/>
    <mergeCell ref="B1390:G1390"/>
    <mergeCell ref="A1391:G1391"/>
    <mergeCell ref="A1392:B1392"/>
    <mergeCell ref="A1393:B1393"/>
    <mergeCell ref="A1415:G1415"/>
    <mergeCell ref="A1416:B1416"/>
    <mergeCell ref="A1417:B1417"/>
    <mergeCell ref="A1418:B1418"/>
    <mergeCell ref="A1419:F1419"/>
    <mergeCell ref="A1420:G1420"/>
    <mergeCell ref="B1421:D1421"/>
    <mergeCell ref="E1421:F1421"/>
    <mergeCell ref="B1422:G1422"/>
    <mergeCell ref="A1423:G1423"/>
    <mergeCell ref="A1424:B1424"/>
    <mergeCell ref="A1425:B1425"/>
    <mergeCell ref="A1426:B1426"/>
    <mergeCell ref="A1427:F1427"/>
    <mergeCell ref="A1428:G1428"/>
    <mergeCell ref="B1429:D1429"/>
    <mergeCell ref="E1429:F1429"/>
    <mergeCell ref="B1430:G1430"/>
    <mergeCell ref="A1431:G1431"/>
    <mergeCell ref="B1438:G1438"/>
    <mergeCell ref="A1439:G1439"/>
    <mergeCell ref="A1440:B1440"/>
    <mergeCell ref="A1441:B1441"/>
    <mergeCell ref="A1442:B1442"/>
    <mergeCell ref="A1443:F1443"/>
    <mergeCell ref="A1432:B1432"/>
    <mergeCell ref="A1433:B1433"/>
    <mergeCell ref="A1434:B1434"/>
    <mergeCell ref="A1435:F1435"/>
    <mergeCell ref="A1436:G1436"/>
    <mergeCell ref="B1437:D1437"/>
    <mergeCell ref="E1437:F1437"/>
    <mergeCell ref="A1326:G1326"/>
    <mergeCell ref="A1327:B1327"/>
    <mergeCell ref="A1328:B1328"/>
    <mergeCell ref="A1329:B1329"/>
    <mergeCell ref="A1330:F1330"/>
    <mergeCell ref="A1331:G1331"/>
    <mergeCell ref="E1332:F1332"/>
    <mergeCell ref="B1332:D1332"/>
    <mergeCell ref="B1333:G1333"/>
    <mergeCell ref="A1334:G1334"/>
    <mergeCell ref="A1335:B1335"/>
    <mergeCell ref="A1336:B1336"/>
    <mergeCell ref="A1337:B1337"/>
    <mergeCell ref="A1338:F1338"/>
    <mergeCell ref="A1339:G1339"/>
    <mergeCell ref="B1340:D1340"/>
    <mergeCell ref="E1340:F1340"/>
    <mergeCell ref="A1355:G1355"/>
    <mergeCell ref="A1356:G1356"/>
    <mergeCell ref="E1357:F1357"/>
    <mergeCell ref="B1357:D1357"/>
    <mergeCell ref="B1358:G1358"/>
    <mergeCell ref="A1359:G1359"/>
    <mergeCell ref="A1360:B1360"/>
    <mergeCell ref="A1361:B1361"/>
    <mergeCell ref="A1362:B1362"/>
    <mergeCell ref="A1363:F1363"/>
    <mergeCell ref="A1401:B1401"/>
    <mergeCell ref="A1402:B1402"/>
    <mergeCell ref="A1403:F1403"/>
    <mergeCell ref="A1404:G1404"/>
    <mergeCell ref="B1405:D1405"/>
    <mergeCell ref="E1405:F1405"/>
    <mergeCell ref="B1406:G1406"/>
    <mergeCell ref="A1368:B1368"/>
    <mergeCell ref="A1369:B1369"/>
    <mergeCell ref="A1370:B1370"/>
    <mergeCell ref="A1371:F1371"/>
    <mergeCell ref="A1372:G1372"/>
    <mergeCell ref="B1373:D1373"/>
    <mergeCell ref="E1373:F1373"/>
    <mergeCell ref="B1374:G1374"/>
    <mergeCell ref="A1375:G1375"/>
    <mergeCell ref="A1394:B1394"/>
    <mergeCell ref="A1395:F1395"/>
    <mergeCell ref="A1396:G1396"/>
    <mergeCell ref="B1397:D1397"/>
    <mergeCell ref="E1397:F1397"/>
    <mergeCell ref="B1398:G1398"/>
    <mergeCell ref="B1028:D1028"/>
    <mergeCell ref="E1028:F1028"/>
    <mergeCell ref="B1029:G1029"/>
    <mergeCell ref="A1030:G1030"/>
    <mergeCell ref="A1031:B1031"/>
    <mergeCell ref="A1032:B1032"/>
    <mergeCell ref="A1033:B1033"/>
    <mergeCell ref="A1034:F1034"/>
    <mergeCell ref="A1035:G1035"/>
    <mergeCell ref="B1036:D1036"/>
    <mergeCell ref="E1036:F1036"/>
    <mergeCell ref="B1037:G1037"/>
    <mergeCell ref="A1038:G1038"/>
    <mergeCell ref="A1039:B1039"/>
    <mergeCell ref="A990:G990"/>
    <mergeCell ref="A991:B991"/>
    <mergeCell ref="A992:B992"/>
    <mergeCell ref="A993:B993"/>
    <mergeCell ref="A994:F994"/>
    <mergeCell ref="A995:G995"/>
    <mergeCell ref="E996:F996"/>
    <mergeCell ref="B996:D996"/>
    <mergeCell ref="B997:G997"/>
    <mergeCell ref="A998:G998"/>
    <mergeCell ref="A999:B999"/>
    <mergeCell ref="A1000:B1000"/>
    <mergeCell ref="A1001:B1001"/>
    <mergeCell ref="A1002:F1002"/>
    <mergeCell ref="A1003:G1003"/>
    <mergeCell ref="B1004:D1004"/>
    <mergeCell ref="E1004:F1004"/>
    <mergeCell ref="B1005:G1005"/>
    <mergeCell ref="A1006:G1006"/>
    <mergeCell ref="A1007:B1007"/>
    <mergeCell ref="A1008:B1008"/>
    <mergeCell ref="A1009:B1009"/>
    <mergeCell ref="A1010:F1010"/>
    <mergeCell ref="A1011:G1011"/>
    <mergeCell ref="B1012:D1012"/>
    <mergeCell ref="E1012:F1012"/>
    <mergeCell ref="B1013:G1013"/>
    <mergeCell ref="A1014:G1014"/>
    <mergeCell ref="A1015:B1015"/>
    <mergeCell ref="A1016:B1016"/>
    <mergeCell ref="A1017:B1017"/>
    <mergeCell ref="A1018:F1018"/>
    <mergeCell ref="A1019:G1019"/>
    <mergeCell ref="B1020:D1020"/>
    <mergeCell ref="E1020:F1020"/>
    <mergeCell ref="B1021:G1021"/>
    <mergeCell ref="A1022:G1022"/>
    <mergeCell ref="A1023:B1023"/>
    <mergeCell ref="A1024:B1024"/>
    <mergeCell ref="A1025:B1025"/>
    <mergeCell ref="A1026:F1026"/>
    <mergeCell ref="A1027:G1027"/>
    <mergeCell ref="A1040:B1040"/>
    <mergeCell ref="A1041:B1041"/>
    <mergeCell ref="A1042:F1042"/>
    <mergeCell ref="A1043:G1043"/>
    <mergeCell ref="B1044:D1044"/>
    <mergeCell ref="E1044:F1044"/>
    <mergeCell ref="B1045:G1045"/>
    <mergeCell ref="B1084:D1084"/>
    <mergeCell ref="E1084:F1084"/>
    <mergeCell ref="B1085:G1085"/>
    <mergeCell ref="A1065:B1065"/>
    <mergeCell ref="A1066:F1066"/>
    <mergeCell ref="A1067:G1067"/>
    <mergeCell ref="B1068:D1068"/>
    <mergeCell ref="E1068:F1068"/>
    <mergeCell ref="B1069:G1069"/>
    <mergeCell ref="A1070:G1070"/>
    <mergeCell ref="A1071:B1071"/>
    <mergeCell ref="A1072:B1072"/>
    <mergeCell ref="A1073:B1073"/>
    <mergeCell ref="A1074:F1074"/>
    <mergeCell ref="A1075:G1075"/>
    <mergeCell ref="B1076:D1076"/>
    <mergeCell ref="E1076:F1076"/>
    <mergeCell ref="B1077:G1077"/>
    <mergeCell ref="A1086:G1086"/>
    <mergeCell ref="A1087:B1087"/>
    <mergeCell ref="A1088:B1088"/>
    <mergeCell ref="A1089:B1089"/>
    <mergeCell ref="A1090:F1090"/>
    <mergeCell ref="A1091:G1091"/>
    <mergeCell ref="B1092:D1092"/>
    <mergeCell ref="E1092:F1092"/>
    <mergeCell ref="B1093:G1093"/>
    <mergeCell ref="A1094:G1094"/>
    <mergeCell ref="A1095:B1095"/>
    <mergeCell ref="A1046:G1046"/>
    <mergeCell ref="A1047:B1047"/>
    <mergeCell ref="A1048:B1048"/>
    <mergeCell ref="A1049:B1049"/>
    <mergeCell ref="A1050:F1050"/>
    <mergeCell ref="A1051:G1051"/>
    <mergeCell ref="E1052:F1052"/>
    <mergeCell ref="B1052:D1052"/>
    <mergeCell ref="B1053:G1053"/>
    <mergeCell ref="A1054:G1054"/>
    <mergeCell ref="A1055:B1055"/>
    <mergeCell ref="A1056:B1056"/>
    <mergeCell ref="A1057:B1057"/>
    <mergeCell ref="A1058:F1058"/>
    <mergeCell ref="A1059:G1059"/>
    <mergeCell ref="B1060:D1060"/>
    <mergeCell ref="E1060:F1060"/>
    <mergeCell ref="B1061:G1061"/>
    <mergeCell ref="A1062:G1062"/>
    <mergeCell ref="A1063:B1063"/>
    <mergeCell ref="A1064:B1064"/>
    <mergeCell ref="A1078:G1078"/>
    <mergeCell ref="A1079:B1079"/>
    <mergeCell ref="A1080:B1080"/>
    <mergeCell ref="A1081:B1081"/>
    <mergeCell ref="A1082:F1082"/>
    <mergeCell ref="A1083:G1083"/>
    <mergeCell ref="A1096:B1096"/>
    <mergeCell ref="A1097:B1097"/>
    <mergeCell ref="A1098:F1098"/>
    <mergeCell ref="A1099:G1099"/>
    <mergeCell ref="B1100:D1100"/>
    <mergeCell ref="E1100:F1100"/>
    <mergeCell ref="B1101:G1101"/>
    <mergeCell ref="B1140:D1140"/>
    <mergeCell ref="E1140:F1140"/>
    <mergeCell ref="B1141:G1141"/>
    <mergeCell ref="A1142:G1142"/>
    <mergeCell ref="A1122:F1122"/>
    <mergeCell ref="A1123:G1123"/>
    <mergeCell ref="B1124:D1124"/>
    <mergeCell ref="E1124:F1124"/>
    <mergeCell ref="B1125:G1125"/>
    <mergeCell ref="A1126:G1126"/>
    <mergeCell ref="A1127:B1127"/>
    <mergeCell ref="A1128:B1128"/>
    <mergeCell ref="A1129:B1129"/>
    <mergeCell ref="A1130:F1130"/>
    <mergeCell ref="A1131:G1131"/>
    <mergeCell ref="B1132:D1132"/>
    <mergeCell ref="E1132:F1132"/>
    <mergeCell ref="B1133:G1133"/>
    <mergeCell ref="A1134:G1134"/>
    <mergeCell ref="A1143:B1143"/>
    <mergeCell ref="A1144:B1144"/>
    <mergeCell ref="A1145:B1145"/>
    <mergeCell ref="A1146:F1146"/>
    <mergeCell ref="A1147:G1147"/>
    <mergeCell ref="B1148:D1148"/>
    <mergeCell ref="E1148:F1148"/>
    <mergeCell ref="B1149:G1149"/>
    <mergeCell ref="A1150:G1150"/>
    <mergeCell ref="A1151:B1151"/>
    <mergeCell ref="A1102:G1102"/>
    <mergeCell ref="A1103:B1103"/>
    <mergeCell ref="A1104:B1104"/>
    <mergeCell ref="A1105:B1105"/>
    <mergeCell ref="A1106:F1106"/>
    <mergeCell ref="A1107:G1107"/>
    <mergeCell ref="E1108:F1108"/>
    <mergeCell ref="B1108:D1108"/>
    <mergeCell ref="B1109:G1109"/>
    <mergeCell ref="A1110:G1110"/>
    <mergeCell ref="A1111:B1111"/>
    <mergeCell ref="A1112:B1112"/>
    <mergeCell ref="A1113:B1113"/>
    <mergeCell ref="A1114:F1114"/>
    <mergeCell ref="A1115:G1115"/>
    <mergeCell ref="B1116:D1116"/>
    <mergeCell ref="E1116:F1116"/>
    <mergeCell ref="B1117:G1117"/>
    <mergeCell ref="A1118:G1118"/>
    <mergeCell ref="A1119:B1119"/>
    <mergeCell ref="A1120:B1120"/>
    <mergeCell ref="A1121:B1121"/>
    <mergeCell ref="A1135:B1135"/>
    <mergeCell ref="A1136:B1136"/>
    <mergeCell ref="A1137:B1137"/>
    <mergeCell ref="A1138:F1138"/>
    <mergeCell ref="A1139:G1139"/>
    <mergeCell ref="A1152:B1152"/>
    <mergeCell ref="A1153:B1153"/>
    <mergeCell ref="A1154:F1154"/>
    <mergeCell ref="A1155:G1155"/>
    <mergeCell ref="B1156:D1156"/>
    <mergeCell ref="E1156:F1156"/>
    <mergeCell ref="B1157:G1157"/>
    <mergeCell ref="A1364:G1364"/>
    <mergeCell ref="B1365:D1365"/>
    <mergeCell ref="E1365:F1365"/>
    <mergeCell ref="B1366:G1366"/>
    <mergeCell ref="A1367:G1367"/>
    <mergeCell ref="B1205:G1205"/>
    <mergeCell ref="A1206:G1206"/>
    <mergeCell ref="A1207:B1207"/>
    <mergeCell ref="A1171:G1171"/>
    <mergeCell ref="B1172:D1172"/>
    <mergeCell ref="E1172:F1172"/>
    <mergeCell ref="B1173:G1173"/>
    <mergeCell ref="A1174:G1174"/>
    <mergeCell ref="A1175:B1175"/>
    <mergeCell ref="A1176:B1176"/>
    <mergeCell ref="A1177:B1177"/>
    <mergeCell ref="A1178:F1178"/>
    <mergeCell ref="A1179:G1179"/>
    <mergeCell ref="B1180:D1180"/>
    <mergeCell ref="E1180:F1180"/>
    <mergeCell ref="A2:A5"/>
    <mergeCell ref="B2:D2"/>
    <mergeCell ref="E2:G3"/>
    <mergeCell ref="B3:D4"/>
    <mergeCell ref="E4:G4"/>
    <mergeCell ref="E5:G5"/>
    <mergeCell ref="A6:G6"/>
    <mergeCell ref="B5:D5"/>
    <mergeCell ref="B7:D7"/>
    <mergeCell ref="E7:F7"/>
    <mergeCell ref="B8:G8"/>
    <mergeCell ref="A9:G9"/>
    <mergeCell ref="A10:B10"/>
    <mergeCell ref="A11:B11"/>
    <mergeCell ref="A12:B12"/>
    <mergeCell ref="A13:F13"/>
    <mergeCell ref="A14:G14"/>
    <mergeCell ref="A15:G15"/>
    <mergeCell ref="B16:D16"/>
    <mergeCell ref="E16:F16"/>
    <mergeCell ref="B17:G17"/>
    <mergeCell ref="A18:G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F35"/>
    <mergeCell ref="A36:G36"/>
    <mergeCell ref="B37:D37"/>
    <mergeCell ref="E37:F37"/>
    <mergeCell ref="B38:G38"/>
    <mergeCell ref="A39:G39"/>
    <mergeCell ref="A40:B40"/>
    <mergeCell ref="A41:B41"/>
    <mergeCell ref="A42:B42"/>
    <mergeCell ref="A43:B43"/>
    <mergeCell ref="A44:B44"/>
    <mergeCell ref="A84:B84"/>
    <mergeCell ref="A85:B85"/>
    <mergeCell ref="A64:G64"/>
    <mergeCell ref="B65:D65"/>
    <mergeCell ref="E65:F65"/>
    <mergeCell ref="B66:G66"/>
    <mergeCell ref="A67:G67"/>
    <mergeCell ref="A68:B68"/>
    <mergeCell ref="A69:B69"/>
    <mergeCell ref="A70:B70"/>
    <mergeCell ref="A71:B71"/>
    <mergeCell ref="A72:B72"/>
    <mergeCell ref="A73:B73"/>
    <mergeCell ref="A74:B74"/>
    <mergeCell ref="A75:B75"/>
    <mergeCell ref="A76:B76"/>
    <mergeCell ref="A77:F77"/>
    <mergeCell ref="A86:B86"/>
    <mergeCell ref="A87:B87"/>
    <mergeCell ref="A88:B88"/>
    <mergeCell ref="A89:F89"/>
    <mergeCell ref="A90:G90"/>
    <mergeCell ref="B91:D91"/>
    <mergeCell ref="E91:F91"/>
    <mergeCell ref="B92:G92"/>
    <mergeCell ref="A93:G93"/>
    <mergeCell ref="A94:B94"/>
    <mergeCell ref="A95:B95"/>
    <mergeCell ref="A96:B96"/>
    <mergeCell ref="A45:B45"/>
    <mergeCell ref="A46:B46"/>
    <mergeCell ref="A47:B47"/>
    <mergeCell ref="A48:B48"/>
    <mergeCell ref="A49:F49"/>
    <mergeCell ref="A50:G50"/>
    <mergeCell ref="E51:F51"/>
    <mergeCell ref="B51:D51"/>
    <mergeCell ref="B52:G52"/>
    <mergeCell ref="A53:G53"/>
    <mergeCell ref="A54:B54"/>
    <mergeCell ref="A55:B55"/>
    <mergeCell ref="A56:B56"/>
    <mergeCell ref="A57:B57"/>
    <mergeCell ref="A58:B58"/>
    <mergeCell ref="A59:B59"/>
    <mergeCell ref="A60:B60"/>
    <mergeCell ref="A61:B61"/>
    <mergeCell ref="A62:B62"/>
    <mergeCell ref="A63:F63"/>
    <mergeCell ref="A78:G78"/>
    <mergeCell ref="B79:D79"/>
    <mergeCell ref="E79:F79"/>
    <mergeCell ref="B80:G80"/>
    <mergeCell ref="A81:G81"/>
    <mergeCell ref="A82:B82"/>
    <mergeCell ref="A83:B83"/>
    <mergeCell ref="A97:B97"/>
    <mergeCell ref="A98:F98"/>
    <mergeCell ref="A99:G99"/>
    <mergeCell ref="B100:D100"/>
    <mergeCell ref="E100:F100"/>
    <mergeCell ref="B101:G101"/>
    <mergeCell ref="A102:G102"/>
    <mergeCell ref="A143:B143"/>
    <mergeCell ref="A144:B144"/>
    <mergeCell ref="A145:B145"/>
    <mergeCell ref="A123:G123"/>
    <mergeCell ref="A124:B124"/>
    <mergeCell ref="A125:B125"/>
    <mergeCell ref="A126:B126"/>
    <mergeCell ref="A127:B127"/>
    <mergeCell ref="A128:B128"/>
    <mergeCell ref="A129:B129"/>
    <mergeCell ref="A130:F130"/>
    <mergeCell ref="A131:G131"/>
    <mergeCell ref="B132:D132"/>
    <mergeCell ref="E132:F132"/>
    <mergeCell ref="B133:G133"/>
    <mergeCell ref="A134:G134"/>
    <mergeCell ref="A135:B135"/>
    <mergeCell ref="A136:B136"/>
    <mergeCell ref="A146:B146"/>
    <mergeCell ref="A147:B147"/>
    <mergeCell ref="A148:F148"/>
    <mergeCell ref="A149:G149"/>
    <mergeCell ref="B150:D150"/>
    <mergeCell ref="E150:F150"/>
    <mergeCell ref="B151:G151"/>
    <mergeCell ref="A152:G152"/>
    <mergeCell ref="A153:B153"/>
    <mergeCell ref="A154:B154"/>
    <mergeCell ref="A155:B155"/>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F119"/>
    <mergeCell ref="A120:G120"/>
    <mergeCell ref="B121:D121"/>
    <mergeCell ref="E121:F121"/>
    <mergeCell ref="B122:G122"/>
    <mergeCell ref="A137:B137"/>
    <mergeCell ref="A138:B138"/>
    <mergeCell ref="A139:B139"/>
    <mergeCell ref="A140:B140"/>
    <mergeCell ref="A141:B141"/>
    <mergeCell ref="A142:B142"/>
    <mergeCell ref="A157:F157"/>
    <mergeCell ref="A158:G158"/>
    <mergeCell ref="B159:D159"/>
    <mergeCell ref="E159:F159"/>
    <mergeCell ref="B160:G160"/>
    <mergeCell ref="A161:G161"/>
    <mergeCell ref="A162:B162"/>
    <mergeCell ref="A204:B204"/>
    <mergeCell ref="A205:F205"/>
    <mergeCell ref="A206:G206"/>
    <mergeCell ref="B207:D207"/>
    <mergeCell ref="E207:F207"/>
    <mergeCell ref="A185:B185"/>
    <mergeCell ref="A186:B186"/>
    <mergeCell ref="A187:B187"/>
    <mergeCell ref="A188:B188"/>
    <mergeCell ref="A189:B189"/>
    <mergeCell ref="A190:B190"/>
    <mergeCell ref="A191:B191"/>
    <mergeCell ref="A192:B192"/>
    <mergeCell ref="A193:B193"/>
    <mergeCell ref="A194:B194"/>
    <mergeCell ref="A195:B195"/>
    <mergeCell ref="A196:B196"/>
    <mergeCell ref="A197:B197"/>
    <mergeCell ref="A198:B198"/>
    <mergeCell ref="B208:G208"/>
    <mergeCell ref="A209:G209"/>
    <mergeCell ref="A210:B210"/>
    <mergeCell ref="A211:B211"/>
    <mergeCell ref="A212:B212"/>
    <mergeCell ref="A213:B213"/>
    <mergeCell ref="A214:B214"/>
    <mergeCell ref="A215:F215"/>
    <mergeCell ref="A216:G216"/>
    <mergeCell ref="A163:B163"/>
    <mergeCell ref="A164:B164"/>
    <mergeCell ref="A165:B165"/>
    <mergeCell ref="A166:B166"/>
    <mergeCell ref="A167:B167"/>
    <mergeCell ref="A168:B168"/>
    <mergeCell ref="A169:B169"/>
    <mergeCell ref="A170:B170"/>
    <mergeCell ref="A171:B171"/>
    <mergeCell ref="A172:B172"/>
    <mergeCell ref="A173:B173"/>
    <mergeCell ref="A174:B174"/>
    <mergeCell ref="A175:B175"/>
    <mergeCell ref="A176:B176"/>
    <mergeCell ref="A177:B177"/>
    <mergeCell ref="A178:F178"/>
    <mergeCell ref="A179:G179"/>
    <mergeCell ref="B180:D180"/>
    <mergeCell ref="E180:F180"/>
    <mergeCell ref="B181:G181"/>
    <mergeCell ref="A182:G182"/>
    <mergeCell ref="A183:B183"/>
    <mergeCell ref="A184:B184"/>
    <mergeCell ref="A199:B199"/>
    <mergeCell ref="A200:B200"/>
    <mergeCell ref="A201:B201"/>
    <mergeCell ref="A202:B202"/>
    <mergeCell ref="A203:B203"/>
    <mergeCell ref="B217:D217"/>
    <mergeCell ref="E217:F217"/>
    <mergeCell ref="B218:G218"/>
    <mergeCell ref="A219:G219"/>
    <mergeCell ref="A220:B220"/>
    <mergeCell ref="A221:B221"/>
    <mergeCell ref="A222:B222"/>
    <mergeCell ref="A261:B261"/>
    <mergeCell ref="A262:B262"/>
    <mergeCell ref="A263:B263"/>
    <mergeCell ref="A264:B264"/>
    <mergeCell ref="A265:B265"/>
    <mergeCell ref="A245:G245"/>
    <mergeCell ref="B246:D246"/>
    <mergeCell ref="E246:F246"/>
    <mergeCell ref="B247:G247"/>
    <mergeCell ref="A248:G248"/>
    <mergeCell ref="A249:B249"/>
    <mergeCell ref="A250:B250"/>
    <mergeCell ref="A251:B251"/>
    <mergeCell ref="A252:B252"/>
    <mergeCell ref="A253:B253"/>
    <mergeCell ref="A254:B254"/>
    <mergeCell ref="A255:B255"/>
    <mergeCell ref="A256:F256"/>
    <mergeCell ref="A257:G257"/>
    <mergeCell ref="B258:D258"/>
    <mergeCell ref="A299:G299"/>
    <mergeCell ref="B300:D300"/>
    <mergeCell ref="A266:B266"/>
    <mergeCell ref="A267:F267"/>
    <mergeCell ref="A268:G268"/>
    <mergeCell ref="A269:G269"/>
    <mergeCell ref="B270:D270"/>
    <mergeCell ref="E270:F270"/>
    <mergeCell ref="B271:G271"/>
    <mergeCell ref="A272:G272"/>
    <mergeCell ref="A273:B273"/>
    <mergeCell ref="A274:B274"/>
    <mergeCell ref="A275:B275"/>
    <mergeCell ref="A276:B276"/>
    <mergeCell ref="A277:B277"/>
    <mergeCell ref="A278:B278"/>
    <mergeCell ref="A279:F279"/>
    <mergeCell ref="A280:G280"/>
    <mergeCell ref="B281:D281"/>
    <mergeCell ref="E281:F281"/>
    <mergeCell ref="E338:F338"/>
    <mergeCell ref="A303:F303"/>
    <mergeCell ref="A304:G304"/>
    <mergeCell ref="B305:D305"/>
    <mergeCell ref="E305:F305"/>
    <mergeCell ref="B306:G306"/>
    <mergeCell ref="A307:G307"/>
    <mergeCell ref="B308:D308"/>
    <mergeCell ref="A312:F312"/>
    <mergeCell ref="A313:G313"/>
    <mergeCell ref="B314:D314"/>
    <mergeCell ref="E314:F314"/>
    <mergeCell ref="B315:G315"/>
    <mergeCell ref="A316:G316"/>
    <mergeCell ref="B317:D317"/>
    <mergeCell ref="A320:F320"/>
    <mergeCell ref="A321:G321"/>
    <mergeCell ref="B322:D322"/>
    <mergeCell ref="E322:F322"/>
    <mergeCell ref="B238:G238"/>
    <mergeCell ref="A239:G239"/>
    <mergeCell ref="A240:B240"/>
    <mergeCell ref="A241:B241"/>
    <mergeCell ref="A242:B242"/>
    <mergeCell ref="A243:B243"/>
    <mergeCell ref="A244:F244"/>
    <mergeCell ref="B323:G323"/>
    <mergeCell ref="A324:G324"/>
    <mergeCell ref="A325:B325"/>
    <mergeCell ref="A326:B326"/>
    <mergeCell ref="A327:B327"/>
    <mergeCell ref="A328:F328"/>
    <mergeCell ref="A329:G329"/>
    <mergeCell ref="B330:D330"/>
    <mergeCell ref="E330:F330"/>
    <mergeCell ref="B331:G331"/>
    <mergeCell ref="B282:G282"/>
    <mergeCell ref="A283:G283"/>
    <mergeCell ref="B284:D284"/>
    <mergeCell ref="A287:F287"/>
    <mergeCell ref="A288:G288"/>
    <mergeCell ref="B289:D289"/>
    <mergeCell ref="E289:F289"/>
    <mergeCell ref="B290:G290"/>
    <mergeCell ref="A291:G291"/>
    <mergeCell ref="B292:D292"/>
    <mergeCell ref="A295:F295"/>
    <mergeCell ref="A296:G296"/>
    <mergeCell ref="B297:D297"/>
    <mergeCell ref="E297:F297"/>
    <mergeCell ref="B298:G298"/>
    <mergeCell ref="A223:B223"/>
    <mergeCell ref="A224:B224"/>
    <mergeCell ref="A225:F225"/>
    <mergeCell ref="A226:G226"/>
    <mergeCell ref="B227:D227"/>
    <mergeCell ref="E227:F227"/>
    <mergeCell ref="B228:G228"/>
    <mergeCell ref="A229:G229"/>
    <mergeCell ref="A230:B230"/>
    <mergeCell ref="A231:B231"/>
    <mergeCell ref="A232:B232"/>
    <mergeCell ref="A233:B233"/>
    <mergeCell ref="A234:B234"/>
    <mergeCell ref="A235:F235"/>
    <mergeCell ref="A236:G236"/>
    <mergeCell ref="B237:D237"/>
    <mergeCell ref="E237:F237"/>
    <mergeCell ref="E258:F258"/>
    <mergeCell ref="B259:G259"/>
    <mergeCell ref="A260:G260"/>
    <mergeCell ref="A347:B347"/>
    <mergeCell ref="A348:B348"/>
    <mergeCell ref="A349:B349"/>
    <mergeCell ref="A350:B350"/>
    <mergeCell ref="A351:B351"/>
    <mergeCell ref="A352:B352"/>
    <mergeCell ref="A353:B353"/>
    <mergeCell ref="A354:B354"/>
    <mergeCell ref="A355:B355"/>
    <mergeCell ref="A356:B356"/>
    <mergeCell ref="A357:B357"/>
    <mergeCell ref="A358:B358"/>
    <mergeCell ref="A359:B359"/>
    <mergeCell ref="A360:B360"/>
    <mergeCell ref="B339:G339"/>
    <mergeCell ref="A340:G340"/>
    <mergeCell ref="A341:B341"/>
    <mergeCell ref="A342:B342"/>
    <mergeCell ref="A343:B343"/>
    <mergeCell ref="A344:B344"/>
    <mergeCell ref="A345:B345"/>
    <mergeCell ref="A346:B346"/>
    <mergeCell ref="A332:G332"/>
    <mergeCell ref="A333:B333"/>
    <mergeCell ref="A334:B334"/>
    <mergeCell ref="A335:B335"/>
    <mergeCell ref="A336:F336"/>
    <mergeCell ref="A337:G337"/>
    <mergeCell ref="B338:D338"/>
    <mergeCell ref="A361:B361"/>
    <mergeCell ref="A362:B362"/>
    <mergeCell ref="A363:B363"/>
    <mergeCell ref="A364:B364"/>
    <mergeCell ref="A365:B365"/>
    <mergeCell ref="A366:B366"/>
    <mergeCell ref="A367:B367"/>
    <mergeCell ref="A368:B368"/>
    <mergeCell ref="A369:B369"/>
    <mergeCell ref="A370:B370"/>
    <mergeCell ref="A371:B371"/>
    <mergeCell ref="A372:B372"/>
    <mergeCell ref="A373:F373"/>
    <mergeCell ref="A374:G374"/>
    <mergeCell ref="B375:D375"/>
    <mergeCell ref="E375:F375"/>
    <mergeCell ref="B376:G376"/>
    <mergeCell ref="A377:G377"/>
    <mergeCell ref="A378:B378"/>
    <mergeCell ref="A379:B379"/>
    <mergeCell ref="A380:B380"/>
    <mergeCell ref="A381:F381"/>
    <mergeCell ref="A382:G382"/>
    <mergeCell ref="B383:D383"/>
    <mergeCell ref="E383:F383"/>
    <mergeCell ref="B384:G384"/>
    <mergeCell ref="A385:G385"/>
    <mergeCell ref="A386:B386"/>
    <mergeCell ref="A387:B387"/>
    <mergeCell ref="A388:B388"/>
    <mergeCell ref="A389:F389"/>
    <mergeCell ref="A390:G390"/>
    <mergeCell ref="B391:D391"/>
    <mergeCell ref="E391:F391"/>
    <mergeCell ref="B392:G392"/>
    <mergeCell ref="A393:G393"/>
    <mergeCell ref="A394:B394"/>
    <mergeCell ref="A395:B395"/>
    <mergeCell ref="A396:B396"/>
    <mergeCell ref="A397:B397"/>
    <mergeCell ref="A398:F398"/>
    <mergeCell ref="A399:G399"/>
    <mergeCell ref="B400:D400"/>
    <mergeCell ref="E400:F400"/>
    <mergeCell ref="B401:G401"/>
    <mergeCell ref="A402:G402"/>
    <mergeCell ref="A403:B403"/>
    <mergeCell ref="A404:B404"/>
    <mergeCell ref="A405:B405"/>
    <mergeCell ref="A406:F406"/>
    <mergeCell ref="A407:G407"/>
    <mergeCell ref="B408:D408"/>
    <mergeCell ref="E408:F408"/>
    <mergeCell ref="B409:G409"/>
    <mergeCell ref="A410:G410"/>
    <mergeCell ref="A411:B411"/>
    <mergeCell ref="A412:B412"/>
    <mergeCell ref="A413:B413"/>
    <mergeCell ref="A414:F414"/>
    <mergeCell ref="A415:G415"/>
    <mergeCell ref="B416:D416"/>
    <mergeCell ref="E416:F416"/>
    <mergeCell ref="B417:G417"/>
    <mergeCell ref="A418:G418"/>
    <mergeCell ref="A419:B419"/>
    <mergeCell ref="A420:B420"/>
    <mergeCell ref="A421:B421"/>
    <mergeCell ref="A422:F422"/>
    <mergeCell ref="A423:G423"/>
    <mergeCell ref="E424:F424"/>
    <mergeCell ref="B424:D424"/>
    <mergeCell ref="B425:G425"/>
    <mergeCell ref="A426:G426"/>
    <mergeCell ref="A427:B427"/>
    <mergeCell ref="A428:B428"/>
    <mergeCell ref="A429:B429"/>
    <mergeCell ref="A430:F430"/>
    <mergeCell ref="A431:G431"/>
    <mergeCell ref="B432:D432"/>
    <mergeCell ref="E432:F432"/>
    <mergeCell ref="B433:G433"/>
    <mergeCell ref="A434:G434"/>
    <mergeCell ref="A435:B435"/>
    <mergeCell ref="A436:B436"/>
    <mergeCell ref="A437:B437"/>
    <mergeCell ref="B481:D481"/>
    <mergeCell ref="E481:F481"/>
    <mergeCell ref="B482:G482"/>
    <mergeCell ref="A483:G483"/>
    <mergeCell ref="A484:B484"/>
    <mergeCell ref="A485:B485"/>
    <mergeCell ref="A486:B486"/>
    <mergeCell ref="A487:B487"/>
    <mergeCell ref="A488:F488"/>
    <mergeCell ref="A489:G489"/>
    <mergeCell ref="B490:D490"/>
    <mergeCell ref="E490:F490"/>
    <mergeCell ref="E457:F457"/>
    <mergeCell ref="B458:G458"/>
    <mergeCell ref="A459:G459"/>
    <mergeCell ref="A460:B460"/>
    <mergeCell ref="A461:B461"/>
    <mergeCell ref="A462:B462"/>
    <mergeCell ref="A463:F463"/>
    <mergeCell ref="A464:G464"/>
    <mergeCell ref="B465:D465"/>
    <mergeCell ref="E465:F465"/>
    <mergeCell ref="B466:G466"/>
    <mergeCell ref="A467:G467"/>
    <mergeCell ref="A468:B468"/>
    <mergeCell ref="A469:B469"/>
    <mergeCell ref="A471:F471"/>
    <mergeCell ref="A472:G472"/>
    <mergeCell ref="B473:D473"/>
    <mergeCell ref="E473:F473"/>
    <mergeCell ref="B474:G474"/>
    <mergeCell ref="A475:G475"/>
    <mergeCell ref="A476:B476"/>
    <mergeCell ref="A477:B477"/>
    <mergeCell ref="A478:B478"/>
    <mergeCell ref="A479:F479"/>
    <mergeCell ref="A480:G480"/>
    <mergeCell ref="A438:F438"/>
    <mergeCell ref="A439:G439"/>
    <mergeCell ref="B440:D440"/>
    <mergeCell ref="E440:F440"/>
    <mergeCell ref="B441:G441"/>
    <mergeCell ref="A442:G442"/>
    <mergeCell ref="A443:B443"/>
    <mergeCell ref="A444:B444"/>
    <mergeCell ref="A445:B445"/>
    <mergeCell ref="A446:B446"/>
    <mergeCell ref="A447:F447"/>
    <mergeCell ref="A448:G448"/>
    <mergeCell ref="E449:F449"/>
    <mergeCell ref="B449:D449"/>
    <mergeCell ref="B450:G450"/>
    <mergeCell ref="A451:G451"/>
    <mergeCell ref="A452:B452"/>
    <mergeCell ref="A453:B453"/>
    <mergeCell ref="A454:B454"/>
    <mergeCell ref="A455:F455"/>
    <mergeCell ref="A456:G456"/>
    <mergeCell ref="B457:D457"/>
    <mergeCell ref="A470:B470"/>
    <mergeCell ref="A506:F506"/>
    <mergeCell ref="A507:G507"/>
    <mergeCell ref="B508:D508"/>
    <mergeCell ref="E508:F508"/>
    <mergeCell ref="B509:G509"/>
    <mergeCell ref="B491:G491"/>
    <mergeCell ref="A492:G492"/>
    <mergeCell ref="A493:B493"/>
    <mergeCell ref="A494:B494"/>
    <mergeCell ref="A495:B495"/>
    <mergeCell ref="A496:B496"/>
    <mergeCell ref="A497:F497"/>
    <mergeCell ref="A498:G498"/>
    <mergeCell ref="E499:F499"/>
    <mergeCell ref="B499:D499"/>
    <mergeCell ref="B500:G500"/>
    <mergeCell ref="A501:G501"/>
    <mergeCell ref="A502:B502"/>
    <mergeCell ref="A503:B503"/>
    <mergeCell ref="A504:B504"/>
    <mergeCell ref="A505:B505"/>
    <mergeCell ref="A510:G510"/>
    <mergeCell ref="A511:B511"/>
    <mergeCell ref="B549:D549"/>
    <mergeCell ref="B550:G550"/>
    <mergeCell ref="A551:G551"/>
    <mergeCell ref="A552:B552"/>
    <mergeCell ref="A553:B553"/>
    <mergeCell ref="A554:B554"/>
    <mergeCell ref="A555:B555"/>
    <mergeCell ref="A556:F556"/>
    <mergeCell ref="A557:G557"/>
    <mergeCell ref="B558:D558"/>
    <mergeCell ref="E558:F558"/>
    <mergeCell ref="B559:G559"/>
    <mergeCell ref="A560:G560"/>
    <mergeCell ref="A561:B561"/>
    <mergeCell ref="A512:B512"/>
    <mergeCell ref="A513:B513"/>
    <mergeCell ref="A514:B514"/>
    <mergeCell ref="A515:F515"/>
    <mergeCell ref="A516:G516"/>
    <mergeCell ref="B517:D517"/>
    <mergeCell ref="E517:F517"/>
    <mergeCell ref="B518:G518"/>
    <mergeCell ref="A519:G519"/>
    <mergeCell ref="A520:B520"/>
    <mergeCell ref="A521:B521"/>
    <mergeCell ref="A522:B522"/>
    <mergeCell ref="A523:F523"/>
    <mergeCell ref="A524:G524"/>
    <mergeCell ref="B525:D525"/>
    <mergeCell ref="E525:F525"/>
    <mergeCell ref="B586:G586"/>
    <mergeCell ref="A587:G587"/>
    <mergeCell ref="A588:B588"/>
    <mergeCell ref="A589:B589"/>
    <mergeCell ref="A590:B590"/>
    <mergeCell ref="A591:B591"/>
    <mergeCell ref="A592:F592"/>
    <mergeCell ref="A593:G593"/>
    <mergeCell ref="B594:D594"/>
    <mergeCell ref="E594:F594"/>
    <mergeCell ref="B595:G595"/>
    <mergeCell ref="A596:G596"/>
    <mergeCell ref="A597:B597"/>
    <mergeCell ref="A598:B598"/>
    <mergeCell ref="B526:G526"/>
    <mergeCell ref="A527:G527"/>
    <mergeCell ref="A528:B528"/>
    <mergeCell ref="A529:B529"/>
    <mergeCell ref="A530:B530"/>
    <mergeCell ref="A531:F531"/>
    <mergeCell ref="A532:G532"/>
    <mergeCell ref="B533:D533"/>
    <mergeCell ref="E533:F533"/>
    <mergeCell ref="B534:G534"/>
    <mergeCell ref="A535:G535"/>
    <mergeCell ref="A536:B536"/>
    <mergeCell ref="A537:B537"/>
    <mergeCell ref="A538:B538"/>
    <mergeCell ref="A539:B539"/>
    <mergeCell ref="A540:F540"/>
    <mergeCell ref="A541:G541"/>
    <mergeCell ref="A584:G584"/>
    <mergeCell ref="B585:D585"/>
    <mergeCell ref="B542:D542"/>
    <mergeCell ref="E542:F542"/>
    <mergeCell ref="B543:G543"/>
    <mergeCell ref="A544:G544"/>
    <mergeCell ref="A545:B545"/>
    <mergeCell ref="A546:B546"/>
    <mergeCell ref="A547:F547"/>
    <mergeCell ref="A548:G548"/>
    <mergeCell ref="E549:F549"/>
    <mergeCell ref="A562:B562"/>
    <mergeCell ref="A563:B563"/>
    <mergeCell ref="A564:B564"/>
    <mergeCell ref="A565:F565"/>
    <mergeCell ref="A566:G566"/>
    <mergeCell ref="B567:D567"/>
    <mergeCell ref="E567:F567"/>
    <mergeCell ref="E585:F585"/>
    <mergeCell ref="B568:G568"/>
    <mergeCell ref="A569:G569"/>
    <mergeCell ref="A570:B570"/>
    <mergeCell ref="A571:B571"/>
    <mergeCell ref="A572:B572"/>
    <mergeCell ref="A573:B573"/>
    <mergeCell ref="A574:F574"/>
    <mergeCell ref="A575:G575"/>
    <mergeCell ref="B576:D576"/>
    <mergeCell ref="E576:F576"/>
    <mergeCell ref="B577:G577"/>
    <mergeCell ref="A578:G578"/>
    <mergeCell ref="A579:B579"/>
    <mergeCell ref="A580:B580"/>
    <mergeCell ref="A626:B626"/>
    <mergeCell ref="A627:B627"/>
    <mergeCell ref="A628:F628"/>
    <mergeCell ref="A629:G629"/>
    <mergeCell ref="B630:D630"/>
    <mergeCell ref="E630:F630"/>
    <mergeCell ref="B631:G631"/>
    <mergeCell ref="A632:G632"/>
    <mergeCell ref="A633:B633"/>
    <mergeCell ref="A634:B634"/>
    <mergeCell ref="A635:B635"/>
    <mergeCell ref="A636:B636"/>
    <mergeCell ref="A637:F637"/>
    <mergeCell ref="A581:B581"/>
    <mergeCell ref="A582:B582"/>
    <mergeCell ref="A583:F583"/>
    <mergeCell ref="A644:B644"/>
    <mergeCell ref="A607:B607"/>
    <mergeCell ref="A608:B608"/>
    <mergeCell ref="A609:B609"/>
    <mergeCell ref="A610:F610"/>
    <mergeCell ref="A611:G611"/>
    <mergeCell ref="E612:F612"/>
    <mergeCell ref="B612:D612"/>
    <mergeCell ref="B613:G613"/>
    <mergeCell ref="A614:G614"/>
    <mergeCell ref="A615:B615"/>
    <mergeCell ref="A616:B616"/>
    <mergeCell ref="A617:B617"/>
    <mergeCell ref="A618:B618"/>
    <mergeCell ref="B640:G640"/>
    <mergeCell ref="A641:G641"/>
    <mergeCell ref="A599:B599"/>
    <mergeCell ref="A600:B600"/>
    <mergeCell ref="A601:F601"/>
    <mergeCell ref="A602:G602"/>
    <mergeCell ref="B603:D603"/>
    <mergeCell ref="E603:F603"/>
    <mergeCell ref="B604:G604"/>
    <mergeCell ref="A605:G605"/>
    <mergeCell ref="A619:F619"/>
    <mergeCell ref="A620:G620"/>
    <mergeCell ref="B621:D621"/>
    <mergeCell ref="E621:F621"/>
    <mergeCell ref="B622:G622"/>
    <mergeCell ref="A623:G623"/>
    <mergeCell ref="A624:B624"/>
    <mergeCell ref="A606:B606"/>
    <mergeCell ref="A625:B625"/>
    <mergeCell ref="A638:G638"/>
    <mergeCell ref="B639:D639"/>
    <mergeCell ref="E639:F639"/>
    <mergeCell ref="B657:D657"/>
    <mergeCell ref="E657:F657"/>
    <mergeCell ref="B658:G658"/>
    <mergeCell ref="A659:G659"/>
    <mergeCell ref="A660:B660"/>
    <mergeCell ref="A661:B661"/>
    <mergeCell ref="A662:F662"/>
    <mergeCell ref="A675:B675"/>
    <mergeCell ref="A676:B676"/>
    <mergeCell ref="A677:B677"/>
    <mergeCell ref="A678:F678"/>
    <mergeCell ref="A679:G679"/>
    <mergeCell ref="B680:D680"/>
    <mergeCell ref="E680:F680"/>
    <mergeCell ref="A642:B642"/>
    <mergeCell ref="A643:B643"/>
    <mergeCell ref="A645:B645"/>
    <mergeCell ref="A646:F646"/>
    <mergeCell ref="A647:G647"/>
    <mergeCell ref="B648:D648"/>
    <mergeCell ref="E648:F648"/>
    <mergeCell ref="B649:G649"/>
    <mergeCell ref="A650:G650"/>
    <mergeCell ref="A651:B651"/>
    <mergeCell ref="A652:B652"/>
    <mergeCell ref="A653:B653"/>
    <mergeCell ref="A654:B654"/>
    <mergeCell ref="A655:F655"/>
    <mergeCell ref="A656:G656"/>
    <mergeCell ref="B681:G681"/>
    <mergeCell ref="A682:G682"/>
    <mergeCell ref="A683:B683"/>
    <mergeCell ref="B665:G665"/>
    <mergeCell ref="A666:G666"/>
    <mergeCell ref="A667:B667"/>
    <mergeCell ref="A668:B668"/>
    <mergeCell ref="A669:B669"/>
    <mergeCell ref="A670:F670"/>
    <mergeCell ref="A671:G671"/>
    <mergeCell ref="B672:D672"/>
    <mergeCell ref="E672:F672"/>
    <mergeCell ref="B673:G673"/>
    <mergeCell ref="A674:G674"/>
    <mergeCell ref="A663:G663"/>
    <mergeCell ref="B664:D664"/>
    <mergeCell ref="E664:F664"/>
    <mergeCell ref="A684:B684"/>
    <mergeCell ref="A685:F685"/>
    <mergeCell ref="A686:G686"/>
    <mergeCell ref="E687:F687"/>
    <mergeCell ref="B687:D687"/>
    <mergeCell ref="B688:G688"/>
    <mergeCell ref="A689:G689"/>
    <mergeCell ref="A690:B690"/>
    <mergeCell ref="A691:B691"/>
    <mergeCell ref="A692:F692"/>
    <mergeCell ref="A693:G693"/>
    <mergeCell ref="B694:D694"/>
    <mergeCell ref="E694:F694"/>
    <mergeCell ref="B695:G695"/>
    <mergeCell ref="A696:G696"/>
    <mergeCell ref="A697:B697"/>
    <mergeCell ref="A698:B698"/>
    <mergeCell ref="A699:F699"/>
    <mergeCell ref="A700:G700"/>
    <mergeCell ref="B701:D701"/>
    <mergeCell ref="E701:F701"/>
    <mergeCell ref="B702:G702"/>
    <mergeCell ref="A703:G703"/>
    <mergeCell ref="A704:B704"/>
    <mergeCell ref="A705:B705"/>
    <mergeCell ref="A706:F706"/>
    <mergeCell ref="A707:G707"/>
    <mergeCell ref="B708:D708"/>
    <mergeCell ref="E708:F708"/>
    <mergeCell ref="B709:G709"/>
    <mergeCell ref="A710:G710"/>
    <mergeCell ref="A711:B711"/>
    <mergeCell ref="A712:B712"/>
    <mergeCell ref="A713:F713"/>
    <mergeCell ref="A714:G714"/>
    <mergeCell ref="B715:D715"/>
    <mergeCell ref="E715:F715"/>
    <mergeCell ref="B716:G716"/>
    <mergeCell ref="A717:G717"/>
    <mergeCell ref="A718:B718"/>
    <mergeCell ref="A719:B719"/>
    <mergeCell ref="A720:F720"/>
    <mergeCell ref="A721:G721"/>
    <mergeCell ref="B722:D722"/>
    <mergeCell ref="E722:F722"/>
    <mergeCell ref="B723:G723"/>
    <mergeCell ref="A724:G724"/>
    <mergeCell ref="A725:B725"/>
    <mergeCell ref="A726:B726"/>
    <mergeCell ref="A727:F727"/>
    <mergeCell ref="A728:G728"/>
    <mergeCell ref="B729:D729"/>
    <mergeCell ref="E729:F729"/>
    <mergeCell ref="B730:G730"/>
    <mergeCell ref="A731:G731"/>
    <mergeCell ref="A732:B732"/>
    <mergeCell ref="A733:B733"/>
    <mergeCell ref="A734:F734"/>
    <mergeCell ref="A735:G735"/>
    <mergeCell ref="E736:F736"/>
    <mergeCell ref="B736:D736"/>
    <mergeCell ref="B737:G737"/>
    <mergeCell ref="A738:G738"/>
    <mergeCell ref="A739:B739"/>
    <mergeCell ref="A740:B740"/>
    <mergeCell ref="A741:F741"/>
    <mergeCell ref="A742:G742"/>
    <mergeCell ref="B743:D743"/>
    <mergeCell ref="E743:F743"/>
    <mergeCell ref="B744:G744"/>
    <mergeCell ref="A745:G745"/>
    <mergeCell ref="A746:B746"/>
    <mergeCell ref="A747:B747"/>
    <mergeCell ref="A748:F748"/>
    <mergeCell ref="A749:G749"/>
    <mergeCell ref="B750:D750"/>
    <mergeCell ref="E750:F750"/>
    <mergeCell ref="B751:G751"/>
    <mergeCell ref="A752:G752"/>
    <mergeCell ref="A753:B753"/>
    <mergeCell ref="A754:B754"/>
    <mergeCell ref="A755:F755"/>
    <mergeCell ref="A756:G756"/>
    <mergeCell ref="B757:D757"/>
    <mergeCell ref="E757:F757"/>
    <mergeCell ref="B758:G758"/>
    <mergeCell ref="A759:G759"/>
    <mergeCell ref="A760:B760"/>
    <mergeCell ref="A761:B761"/>
    <mergeCell ref="A762:F762"/>
    <mergeCell ref="A763:G763"/>
    <mergeCell ref="B764:D764"/>
    <mergeCell ref="E764:F764"/>
    <mergeCell ref="B765:G765"/>
    <mergeCell ref="A766:G766"/>
    <mergeCell ref="A767:B767"/>
    <mergeCell ref="A768:B768"/>
    <mergeCell ref="A769:F769"/>
    <mergeCell ref="A770:G770"/>
    <mergeCell ref="B771:D771"/>
    <mergeCell ref="E771:F771"/>
    <mergeCell ref="B772:G772"/>
    <mergeCell ref="A773:G773"/>
    <mergeCell ref="A774:B774"/>
    <mergeCell ref="A775:B775"/>
    <mergeCell ref="A776:B776"/>
    <mergeCell ref="A777:F777"/>
    <mergeCell ref="A778:G778"/>
    <mergeCell ref="E779:F779"/>
    <mergeCell ref="B779:D779"/>
    <mergeCell ref="B780:G780"/>
    <mergeCell ref="A781:G781"/>
    <mergeCell ref="A782:B782"/>
    <mergeCell ref="A783:B783"/>
    <mergeCell ref="A784:B784"/>
    <mergeCell ref="A785:F785"/>
    <mergeCell ref="A786:G786"/>
    <mergeCell ref="B787:D787"/>
    <mergeCell ref="E787:F787"/>
    <mergeCell ref="B788:G788"/>
    <mergeCell ref="A789:G789"/>
    <mergeCell ref="A790:B790"/>
    <mergeCell ref="A791:B791"/>
    <mergeCell ref="A792:F792"/>
    <mergeCell ref="A793:G793"/>
    <mergeCell ref="B794:D794"/>
    <mergeCell ref="E794:F794"/>
    <mergeCell ref="B795:G795"/>
    <mergeCell ref="A796:G796"/>
    <mergeCell ref="A797:B797"/>
    <mergeCell ref="A798:B798"/>
    <mergeCell ref="A799:F799"/>
    <mergeCell ref="A800:G800"/>
    <mergeCell ref="B801:D801"/>
    <mergeCell ref="E801:F801"/>
    <mergeCell ref="B802:G802"/>
    <mergeCell ref="A803:G803"/>
    <mergeCell ref="A804:B804"/>
    <mergeCell ref="A805:B805"/>
    <mergeCell ref="A806:F806"/>
    <mergeCell ref="A807:G807"/>
    <mergeCell ref="B808:D808"/>
    <mergeCell ref="E808:F808"/>
    <mergeCell ref="B809:G809"/>
    <mergeCell ref="B847:G847"/>
    <mergeCell ref="A848:G848"/>
    <mergeCell ref="A849:B849"/>
    <mergeCell ref="A850:B850"/>
    <mergeCell ref="A851:F851"/>
    <mergeCell ref="A852:G852"/>
    <mergeCell ref="E853:F853"/>
    <mergeCell ref="B853:D853"/>
    <mergeCell ref="B854:G854"/>
    <mergeCell ref="A855:G855"/>
    <mergeCell ref="A835:B835"/>
    <mergeCell ref="A836:B836"/>
    <mergeCell ref="A837:F837"/>
    <mergeCell ref="A838:G838"/>
    <mergeCell ref="B839:D839"/>
    <mergeCell ref="E839:F839"/>
    <mergeCell ref="B840:G840"/>
    <mergeCell ref="A841:G841"/>
    <mergeCell ref="A842:B842"/>
    <mergeCell ref="A843:B843"/>
    <mergeCell ref="A844:F844"/>
    <mergeCell ref="A845:G845"/>
    <mergeCell ref="B846:D846"/>
    <mergeCell ref="E846:F846"/>
    <mergeCell ref="A856:B856"/>
    <mergeCell ref="A857:B857"/>
    <mergeCell ref="A858:F858"/>
    <mergeCell ref="A859:G859"/>
    <mergeCell ref="A810:G810"/>
    <mergeCell ref="A811:B811"/>
    <mergeCell ref="A812:B812"/>
    <mergeCell ref="A813:B813"/>
    <mergeCell ref="A814:F814"/>
    <mergeCell ref="A815:G815"/>
    <mergeCell ref="E816:F816"/>
    <mergeCell ref="B816:D816"/>
    <mergeCell ref="B817:G817"/>
    <mergeCell ref="A818:G818"/>
    <mergeCell ref="A819:B819"/>
    <mergeCell ref="A820:B820"/>
    <mergeCell ref="A821:F821"/>
    <mergeCell ref="A822:G822"/>
    <mergeCell ref="B823:D823"/>
    <mergeCell ref="E823:F823"/>
    <mergeCell ref="B824:G824"/>
    <mergeCell ref="A825:G825"/>
    <mergeCell ref="A826:B826"/>
    <mergeCell ref="A827:B827"/>
    <mergeCell ref="A828:B828"/>
    <mergeCell ref="A829:F829"/>
    <mergeCell ref="A830:G830"/>
    <mergeCell ref="B831:D831"/>
    <mergeCell ref="E831:F831"/>
    <mergeCell ref="B832:G832"/>
    <mergeCell ref="A833:G833"/>
    <mergeCell ref="A834:B834"/>
    <mergeCell ref="B860:D860"/>
    <mergeCell ref="E860:F860"/>
    <mergeCell ref="B861:G861"/>
    <mergeCell ref="A862:G862"/>
    <mergeCell ref="A863:B863"/>
    <mergeCell ref="A864:B864"/>
    <mergeCell ref="A865:F865"/>
    <mergeCell ref="B902:D902"/>
    <mergeCell ref="B903:G903"/>
    <mergeCell ref="A904:G904"/>
    <mergeCell ref="A905:B905"/>
    <mergeCell ref="A906:B906"/>
    <mergeCell ref="A907:F907"/>
    <mergeCell ref="A908:G908"/>
    <mergeCell ref="B909:D909"/>
    <mergeCell ref="E909:F909"/>
    <mergeCell ref="B910:G910"/>
    <mergeCell ref="A893:F893"/>
    <mergeCell ref="A894:G894"/>
    <mergeCell ref="B895:D895"/>
    <mergeCell ref="E895:F895"/>
    <mergeCell ref="B896:G896"/>
    <mergeCell ref="A897:G897"/>
    <mergeCell ref="A898:B898"/>
    <mergeCell ref="A899:B899"/>
    <mergeCell ref="A900:F900"/>
    <mergeCell ref="A901:G901"/>
    <mergeCell ref="E902:F902"/>
    <mergeCell ref="A911:G911"/>
    <mergeCell ref="A912:B912"/>
    <mergeCell ref="A913:B913"/>
    <mergeCell ref="A914:F914"/>
    <mergeCell ref="A916:G916"/>
    <mergeCell ref="B917:D917"/>
    <mergeCell ref="E917:F917"/>
    <mergeCell ref="B918:G918"/>
    <mergeCell ref="A919:G919"/>
    <mergeCell ref="A920:B920"/>
    <mergeCell ref="A921:B921"/>
    <mergeCell ref="A922:B922"/>
    <mergeCell ref="A923:F923"/>
    <mergeCell ref="B924:D924"/>
    <mergeCell ref="E924:F924"/>
    <mergeCell ref="B925:G925"/>
    <mergeCell ref="A926:G926"/>
    <mergeCell ref="A927:B927"/>
    <mergeCell ref="A866:G866"/>
    <mergeCell ref="B867:D867"/>
    <mergeCell ref="E867:F867"/>
    <mergeCell ref="B868:G868"/>
    <mergeCell ref="A869:G869"/>
    <mergeCell ref="A870:B870"/>
    <mergeCell ref="A871:B871"/>
    <mergeCell ref="A872:F872"/>
    <mergeCell ref="A873:G873"/>
    <mergeCell ref="B874:D874"/>
    <mergeCell ref="E874:F874"/>
    <mergeCell ref="B875:G875"/>
    <mergeCell ref="A876:G876"/>
    <mergeCell ref="A877:B877"/>
    <mergeCell ref="A878:B878"/>
    <mergeCell ref="A879:F879"/>
    <mergeCell ref="A880:G880"/>
    <mergeCell ref="B881:D881"/>
    <mergeCell ref="E881:F881"/>
    <mergeCell ref="B882:G882"/>
    <mergeCell ref="A883:G883"/>
    <mergeCell ref="A884:B884"/>
    <mergeCell ref="A885:B885"/>
    <mergeCell ref="A886:F886"/>
    <mergeCell ref="A887:G887"/>
    <mergeCell ref="B888:D888"/>
    <mergeCell ref="E888:F888"/>
    <mergeCell ref="B889:G889"/>
    <mergeCell ref="A890:G890"/>
    <mergeCell ref="A891:B891"/>
    <mergeCell ref="A892:B892"/>
    <mergeCell ref="A928:B928"/>
    <mergeCell ref="A929:B929"/>
    <mergeCell ref="A930:F930"/>
    <mergeCell ref="A931:G931"/>
    <mergeCell ref="B932:D932"/>
    <mergeCell ref="E932:F932"/>
    <mergeCell ref="B933:G933"/>
    <mergeCell ref="B972:D972"/>
    <mergeCell ref="E972:F972"/>
    <mergeCell ref="B973:G973"/>
    <mergeCell ref="A974:G974"/>
    <mergeCell ref="A975:B975"/>
    <mergeCell ref="A976:B976"/>
    <mergeCell ref="A977:B977"/>
    <mergeCell ref="A978:F978"/>
    <mergeCell ref="A979:G979"/>
    <mergeCell ref="B980:D980"/>
    <mergeCell ref="E980:F980"/>
    <mergeCell ref="A960:B960"/>
    <mergeCell ref="A961:B961"/>
    <mergeCell ref="A962:F962"/>
    <mergeCell ref="A963:G963"/>
    <mergeCell ref="B964:D964"/>
    <mergeCell ref="E964:F964"/>
    <mergeCell ref="B965:G965"/>
    <mergeCell ref="A966:G966"/>
    <mergeCell ref="A967:B967"/>
    <mergeCell ref="A968:B968"/>
    <mergeCell ref="A969:B969"/>
    <mergeCell ref="A970:F970"/>
    <mergeCell ref="A971:G971"/>
    <mergeCell ref="B981:G981"/>
    <mergeCell ref="A982:G982"/>
    <mergeCell ref="A983:B983"/>
    <mergeCell ref="A934:G934"/>
    <mergeCell ref="A935:B935"/>
    <mergeCell ref="A936:B936"/>
    <mergeCell ref="A937:B937"/>
    <mergeCell ref="A938:F938"/>
    <mergeCell ref="A939:G939"/>
    <mergeCell ref="E940:F940"/>
    <mergeCell ref="B940:D940"/>
    <mergeCell ref="B941:G941"/>
    <mergeCell ref="A942:G942"/>
    <mergeCell ref="A943:B943"/>
    <mergeCell ref="A944:B944"/>
    <mergeCell ref="A945:B945"/>
    <mergeCell ref="A946:F946"/>
    <mergeCell ref="A947:G947"/>
    <mergeCell ref="B948:D948"/>
    <mergeCell ref="E948:F948"/>
    <mergeCell ref="B949:G949"/>
    <mergeCell ref="A950:G950"/>
    <mergeCell ref="A951:B951"/>
    <mergeCell ref="A952:B952"/>
    <mergeCell ref="A953:B953"/>
    <mergeCell ref="A954:F954"/>
    <mergeCell ref="A955:G955"/>
    <mergeCell ref="B956:D956"/>
    <mergeCell ref="E956:F956"/>
    <mergeCell ref="B957:G957"/>
    <mergeCell ref="A958:G958"/>
    <mergeCell ref="A959:B959"/>
    <mergeCell ref="A984:B984"/>
    <mergeCell ref="A985:B985"/>
    <mergeCell ref="A986:F986"/>
    <mergeCell ref="A987:G987"/>
    <mergeCell ref="B988:D988"/>
    <mergeCell ref="E988:F988"/>
    <mergeCell ref="B989:G989"/>
    <mergeCell ref="B1196:D1196"/>
    <mergeCell ref="E1196:F1196"/>
    <mergeCell ref="B1197:G1197"/>
    <mergeCell ref="A1198:G1198"/>
    <mergeCell ref="A1199:B1199"/>
    <mergeCell ref="A1200:B1200"/>
    <mergeCell ref="A1201:B1201"/>
    <mergeCell ref="A1202:F1202"/>
    <mergeCell ref="A1203:G1203"/>
    <mergeCell ref="B1204:D1204"/>
    <mergeCell ref="E1204:F1204"/>
    <mergeCell ref="A1158:G1158"/>
    <mergeCell ref="A1159:B1159"/>
    <mergeCell ref="A1160:B1160"/>
    <mergeCell ref="A1161:B1161"/>
    <mergeCell ref="A1162:F1162"/>
    <mergeCell ref="A1163:G1163"/>
    <mergeCell ref="E1164:F1164"/>
    <mergeCell ref="B1164:D1164"/>
    <mergeCell ref="B1165:G1165"/>
    <mergeCell ref="A1166:G1166"/>
    <mergeCell ref="A1167:B1167"/>
    <mergeCell ref="A1168:B1168"/>
    <mergeCell ref="A1169:B1169"/>
    <mergeCell ref="A1170:F1170"/>
    <mergeCell ref="B1181:G1181"/>
    <mergeCell ref="A1182:G1182"/>
    <mergeCell ref="A1183:B1183"/>
    <mergeCell ref="A1184:B1184"/>
    <mergeCell ref="A1185:B1185"/>
    <mergeCell ref="A1186:F1186"/>
    <mergeCell ref="A1187:G1187"/>
    <mergeCell ref="B1188:D1188"/>
    <mergeCell ref="E1188:F1188"/>
    <mergeCell ref="B1189:G1189"/>
    <mergeCell ref="A1190:G1190"/>
    <mergeCell ref="A1191:B1191"/>
    <mergeCell ref="A1192:B1192"/>
    <mergeCell ref="A1193:B1193"/>
    <mergeCell ref="A1194:F1194"/>
    <mergeCell ref="A1195:G1195"/>
    <mergeCell ref="A1208:B1208"/>
    <mergeCell ref="A1255:B1255"/>
    <mergeCell ref="A1256:B1256"/>
    <mergeCell ref="A1257:B1257"/>
    <mergeCell ref="A1258:F1258"/>
    <mergeCell ref="A1259:G1259"/>
    <mergeCell ref="B1260:D1260"/>
    <mergeCell ref="E1260:F1260"/>
    <mergeCell ref="A1240:B1240"/>
    <mergeCell ref="A1241:B1241"/>
    <mergeCell ref="A1242:F1242"/>
    <mergeCell ref="A1243:G1243"/>
    <mergeCell ref="B1244:D1244"/>
    <mergeCell ref="E1244:F1244"/>
    <mergeCell ref="B1245:G1245"/>
    <mergeCell ref="A1246:G1246"/>
    <mergeCell ref="A1247:B1247"/>
    <mergeCell ref="A1248:B1248"/>
    <mergeCell ref="A1249:B1249"/>
    <mergeCell ref="A1250:F1250"/>
    <mergeCell ref="A1251:G1251"/>
    <mergeCell ref="A1234:F1234"/>
    <mergeCell ref="A1235:G1235"/>
    <mergeCell ref="B1236:D1236"/>
    <mergeCell ref="E1236:F1236"/>
    <mergeCell ref="B1237:G1237"/>
    <mergeCell ref="A1238:G1238"/>
    <mergeCell ref="A1239:B1239"/>
    <mergeCell ref="A1209:B1209"/>
    <mergeCell ref="A1210:F1210"/>
    <mergeCell ref="A1211:G1211"/>
    <mergeCell ref="B1212:D1212"/>
    <mergeCell ref="E1212:F1212"/>
    <mergeCell ref="B1213:G1213"/>
    <mergeCell ref="B1252:D1252"/>
    <mergeCell ref="E1252:F1252"/>
    <mergeCell ref="B1253:G1253"/>
    <mergeCell ref="A1254:G1254"/>
    <mergeCell ref="A1264:B1264"/>
    <mergeCell ref="A1265:B1265"/>
    <mergeCell ref="A1266:F1266"/>
    <mergeCell ref="A1267:G1267"/>
    <mergeCell ref="B1268:D1268"/>
    <mergeCell ref="E1268:F1268"/>
    <mergeCell ref="B1269:G1269"/>
    <mergeCell ref="B1261:G1261"/>
    <mergeCell ref="A1262:G1262"/>
    <mergeCell ref="A1263:B1263"/>
    <mergeCell ref="A1214:G1214"/>
    <mergeCell ref="A1215:B1215"/>
    <mergeCell ref="A1216:B1216"/>
    <mergeCell ref="A1217:B1217"/>
    <mergeCell ref="A1218:F1218"/>
    <mergeCell ref="A1219:G1219"/>
    <mergeCell ref="E1220:F1220"/>
    <mergeCell ref="B1220:D1220"/>
    <mergeCell ref="B1221:G1221"/>
    <mergeCell ref="A1222:G1222"/>
    <mergeCell ref="A1223:B1223"/>
    <mergeCell ref="A1224:B1224"/>
    <mergeCell ref="A1225:B1225"/>
    <mergeCell ref="A1226:F1226"/>
    <mergeCell ref="A1227:G1227"/>
    <mergeCell ref="B1228:D1228"/>
    <mergeCell ref="E1228:F1228"/>
    <mergeCell ref="B1229:G1229"/>
    <mergeCell ref="A1230:G1230"/>
    <mergeCell ref="A1231:B1231"/>
    <mergeCell ref="A1232:B1232"/>
    <mergeCell ref="A1233:B1233"/>
  </mergeCells>
  <printOptions horizontalCentered="1"/>
  <pageMargins left="0.70866141732283472" right="0.70866141732283472" top="0.74803149606299213" bottom="0.74803149606299213" header="0" footer="0"/>
  <pageSetup orientation="portrait"/>
  <rowBreaks count="20" manualBreakCount="20">
    <brk id="962" man="1"/>
    <brk id="130" man="1"/>
    <brk id="1122" man="1"/>
    <brk id="806" man="1"/>
    <brk id="678" man="1"/>
    <brk id="1002" man="1"/>
    <brk id="1162" man="1"/>
    <brk id="523" man="1"/>
    <brk id="844" man="1"/>
    <brk id="720" man="1"/>
    <brk id="1042" man="1"/>
    <brk id="565" man="1"/>
    <brk id="886" man="1"/>
    <brk id="601" man="1"/>
    <brk id="89" man="1"/>
    <brk id="762" man="1"/>
    <brk id="1082" man="1"/>
    <brk id="923" man="1"/>
    <brk id="637" man="1"/>
    <brk id="479" man="1"/>
  </rowBreaks>
  <colBreaks count="1" manualBreakCount="1">
    <brk id="7" man="1"/>
  </colBreaks>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38"/>
  <sheetViews>
    <sheetView workbookViewId="0"/>
  </sheetViews>
  <sheetFormatPr baseColWidth="10" defaultColWidth="14.44140625" defaultRowHeight="15" customHeight="1"/>
  <cols>
    <col min="1" max="1" width="20.6640625" customWidth="1"/>
    <col min="2" max="11" width="9.6640625" customWidth="1"/>
    <col min="12" max="26" width="8.88671875" customWidth="1"/>
  </cols>
  <sheetData>
    <row r="1" spans="1:11" ht="14.25" customHeight="1">
      <c r="A1" s="1880" t="s">
        <v>1167</v>
      </c>
      <c r="B1" s="1605"/>
      <c r="C1" s="1605"/>
      <c r="D1" s="1605"/>
      <c r="E1" s="1605"/>
      <c r="F1" s="1605"/>
      <c r="G1" s="1605"/>
      <c r="H1" s="1605"/>
      <c r="I1" s="1605"/>
      <c r="J1" s="1605"/>
      <c r="K1" s="1605"/>
    </row>
    <row r="2" spans="1:11" ht="14.25" customHeight="1">
      <c r="A2" s="1881" t="s">
        <v>1168</v>
      </c>
      <c r="B2" s="1605"/>
      <c r="C2" s="1605"/>
      <c r="D2" s="1605"/>
      <c r="E2" s="1605"/>
      <c r="F2" s="1605"/>
      <c r="G2" s="1605"/>
      <c r="H2" s="1605"/>
      <c r="I2" s="1605"/>
      <c r="J2" s="1605"/>
      <c r="K2" s="1605"/>
    </row>
    <row r="3" spans="1:11" ht="15.75" customHeight="1">
      <c r="A3" s="1882" t="s">
        <v>1169</v>
      </c>
      <c r="B3" s="1877" t="s">
        <v>1170</v>
      </c>
      <c r="C3" s="1877" t="s">
        <v>1171</v>
      </c>
      <c r="D3" s="1883" t="s">
        <v>1172</v>
      </c>
      <c r="E3" s="1884"/>
      <c r="F3" s="1885"/>
      <c r="G3" s="1877" t="s">
        <v>1173</v>
      </c>
      <c r="H3" s="1877" t="s">
        <v>1174</v>
      </c>
      <c r="I3" s="1877" t="s">
        <v>1175</v>
      </c>
      <c r="J3" s="1877" t="s">
        <v>1176</v>
      </c>
      <c r="K3" s="1878" t="s">
        <v>1177</v>
      </c>
    </row>
    <row r="4" spans="1:11" ht="14.25" customHeight="1">
      <c r="A4" s="1874"/>
      <c r="B4" s="1870"/>
      <c r="C4" s="1870"/>
      <c r="D4" s="200" t="s">
        <v>1178</v>
      </c>
      <c r="E4" s="200" t="s">
        <v>1179</v>
      </c>
      <c r="F4" s="200" t="s">
        <v>1180</v>
      </c>
      <c r="G4" s="1870"/>
      <c r="H4" s="1870"/>
      <c r="I4" s="1870"/>
      <c r="J4" s="1870"/>
      <c r="K4" s="1879"/>
    </row>
    <row r="5" spans="1:11" ht="14.25" customHeight="1">
      <c r="A5" s="201"/>
      <c r="B5" s="201"/>
      <c r="C5" s="201"/>
      <c r="D5" s="201"/>
      <c r="E5" s="201"/>
      <c r="F5" s="201"/>
      <c r="G5" s="201"/>
      <c r="H5" s="201"/>
      <c r="I5" s="201"/>
      <c r="J5" s="201"/>
      <c r="K5" s="201"/>
    </row>
    <row r="6" spans="1:11" ht="14.25" customHeight="1">
      <c r="A6" s="202" t="s">
        <v>1181</v>
      </c>
      <c r="B6" s="203" t="s">
        <v>1182</v>
      </c>
      <c r="C6" s="203">
        <v>12</v>
      </c>
      <c r="D6" s="203">
        <v>0.2</v>
      </c>
      <c r="E6" s="203">
        <v>1.95</v>
      </c>
      <c r="F6" s="204">
        <v>0.2</v>
      </c>
      <c r="G6" s="204">
        <v>22</v>
      </c>
      <c r="H6" s="204">
        <v>4</v>
      </c>
      <c r="I6" s="205">
        <f>D6+E6+F6</f>
        <v>2.35</v>
      </c>
      <c r="J6" s="204">
        <f>$C$6*G6</f>
        <v>264</v>
      </c>
      <c r="K6" s="206">
        <f>J6*I6*POWER(H6,2)/16</f>
        <v>620.4</v>
      </c>
    </row>
    <row r="7" spans="1:11" ht="14.25" customHeight="1">
      <c r="A7" s="207"/>
      <c r="B7" s="207"/>
      <c r="C7" s="207"/>
      <c r="D7" s="207"/>
      <c r="E7" s="207"/>
      <c r="F7" s="207"/>
      <c r="G7" s="207"/>
      <c r="H7" s="207"/>
      <c r="I7" s="207"/>
      <c r="J7" s="207"/>
      <c r="K7" s="207"/>
    </row>
    <row r="8" spans="1:11" ht="14.25" customHeight="1">
      <c r="A8" s="1872" t="s">
        <v>685</v>
      </c>
      <c r="B8" s="1868" t="s">
        <v>1183</v>
      </c>
      <c r="C8" s="1868">
        <v>4</v>
      </c>
      <c r="D8" s="209">
        <v>0.25</v>
      </c>
      <c r="E8" s="209">
        <v>6.15</v>
      </c>
      <c r="F8" s="210">
        <v>0.25</v>
      </c>
      <c r="G8" s="210">
        <v>8</v>
      </c>
      <c r="H8" s="210">
        <v>5</v>
      </c>
      <c r="I8" s="211">
        <f>D8+E8+F8</f>
        <v>6.65</v>
      </c>
      <c r="J8" s="210">
        <f t="shared" ref="J8:J9" si="0">$C$8*G8</f>
        <v>32</v>
      </c>
      <c r="K8" s="212">
        <f t="shared" ref="K8:K9" si="1">J8*I8*POWER(H8,2)/16</f>
        <v>332.5</v>
      </c>
    </row>
    <row r="9" spans="1:11" ht="14.25" customHeight="1">
      <c r="A9" s="1873"/>
      <c r="B9" s="1876"/>
      <c r="C9" s="1876"/>
      <c r="D9" s="213">
        <v>0.32</v>
      </c>
      <c r="E9" s="213">
        <v>0.32</v>
      </c>
      <c r="F9" s="214">
        <v>0.08</v>
      </c>
      <c r="G9" s="214">
        <v>63</v>
      </c>
      <c r="H9" s="214">
        <v>3</v>
      </c>
      <c r="I9" s="215">
        <f>(D9+E9+F9)*2</f>
        <v>1.44</v>
      </c>
      <c r="J9" s="214">
        <f t="shared" si="0"/>
        <v>252</v>
      </c>
      <c r="K9" s="216">
        <f t="shared" si="1"/>
        <v>204.12</v>
      </c>
    </row>
    <row r="10" spans="1:11" ht="14.25" customHeight="1">
      <c r="A10" s="1873"/>
      <c r="B10" s="217"/>
      <c r="C10" s="217"/>
      <c r="D10" s="217"/>
      <c r="E10" s="217"/>
      <c r="F10" s="217"/>
      <c r="G10" s="217"/>
      <c r="H10" s="217"/>
      <c r="I10" s="217"/>
      <c r="J10" s="217"/>
      <c r="K10" s="218"/>
    </row>
    <row r="11" spans="1:11" ht="14.25" customHeight="1">
      <c r="A11" s="1873"/>
      <c r="B11" s="1875" t="s">
        <v>1184</v>
      </c>
      <c r="C11" s="1875">
        <v>8</v>
      </c>
      <c r="D11" s="213">
        <v>0.3</v>
      </c>
      <c r="E11" s="213">
        <v>6.15</v>
      </c>
      <c r="F11" s="214">
        <v>0.3</v>
      </c>
      <c r="G11" s="214">
        <v>10</v>
      </c>
      <c r="H11" s="214">
        <v>6</v>
      </c>
      <c r="I11" s="215">
        <f>D11+E11+F11</f>
        <v>6.75</v>
      </c>
      <c r="J11" s="214">
        <f t="shared" ref="J11:J13" si="2">$C$11*G11</f>
        <v>80</v>
      </c>
      <c r="K11" s="216">
        <f t="shared" ref="K11:K13" si="3">J11*I11*POWER(H11,2)/16</f>
        <v>1215</v>
      </c>
    </row>
    <row r="12" spans="1:11" ht="14.25" customHeight="1">
      <c r="A12" s="1873"/>
      <c r="B12" s="1869"/>
      <c r="C12" s="1869"/>
      <c r="D12" s="213">
        <v>0.32</v>
      </c>
      <c r="E12" s="213">
        <v>0.47</v>
      </c>
      <c r="F12" s="214">
        <v>0.08</v>
      </c>
      <c r="G12" s="214">
        <v>59</v>
      </c>
      <c r="H12" s="214">
        <v>3</v>
      </c>
      <c r="I12" s="215">
        <f>(D12+E12+F12)*2</f>
        <v>1.74</v>
      </c>
      <c r="J12" s="214">
        <f t="shared" si="2"/>
        <v>472</v>
      </c>
      <c r="K12" s="216">
        <f t="shared" si="3"/>
        <v>461.96999999999997</v>
      </c>
    </row>
    <row r="13" spans="1:11" ht="14.25" customHeight="1">
      <c r="A13" s="1874"/>
      <c r="B13" s="1870"/>
      <c r="C13" s="1870"/>
      <c r="D13" s="220">
        <v>0.1</v>
      </c>
      <c r="E13" s="220">
        <v>0.32</v>
      </c>
      <c r="F13" s="221">
        <v>0.1</v>
      </c>
      <c r="G13" s="221">
        <v>118</v>
      </c>
      <c r="H13" s="221">
        <v>3</v>
      </c>
      <c r="I13" s="222">
        <f>D13+E13+F13</f>
        <v>0.52</v>
      </c>
      <c r="J13" s="221">
        <f t="shared" si="2"/>
        <v>944</v>
      </c>
      <c r="K13" s="223">
        <f t="shared" si="3"/>
        <v>276.12</v>
      </c>
    </row>
    <row r="14" spans="1:11" ht="14.25" customHeight="1">
      <c r="A14" s="207"/>
      <c r="B14" s="207"/>
      <c r="C14" s="207"/>
      <c r="D14" s="207"/>
      <c r="E14" s="207"/>
      <c r="F14" s="207"/>
      <c r="G14" s="224"/>
      <c r="H14" s="207"/>
      <c r="I14" s="207"/>
      <c r="J14" s="207"/>
      <c r="K14" s="207"/>
    </row>
    <row r="15" spans="1:11" ht="15.75" customHeight="1">
      <c r="A15" s="1872" t="s">
        <v>1185</v>
      </c>
      <c r="B15" s="1868" t="s">
        <v>1186</v>
      </c>
      <c r="C15" s="1868">
        <v>2</v>
      </c>
      <c r="D15" s="209">
        <v>0.2</v>
      </c>
      <c r="E15" s="209">
        <v>11.8</v>
      </c>
      <c r="F15" s="210"/>
      <c r="G15" s="210">
        <v>8</v>
      </c>
      <c r="H15" s="210">
        <v>4</v>
      </c>
      <c r="I15" s="211">
        <f t="shared" ref="I15:I17" si="4">D15+E15+F15</f>
        <v>12</v>
      </c>
      <c r="J15" s="210">
        <f t="shared" ref="J15:J18" si="5">$C$15*G15</f>
        <v>16</v>
      </c>
      <c r="K15" s="212">
        <f t="shared" ref="K15:K18" si="6">J15*I15*POWER(H15,2)/16</f>
        <v>192</v>
      </c>
    </row>
    <row r="16" spans="1:11" ht="14.25" customHeight="1">
      <c r="A16" s="1873"/>
      <c r="B16" s="1869"/>
      <c r="C16" s="1869"/>
      <c r="D16" s="213">
        <v>0.2</v>
      </c>
      <c r="E16" s="213">
        <v>6.65</v>
      </c>
      <c r="F16" s="214"/>
      <c r="G16" s="214">
        <v>8</v>
      </c>
      <c r="H16" s="214">
        <v>4</v>
      </c>
      <c r="I16" s="215">
        <f t="shared" si="4"/>
        <v>6.8500000000000005</v>
      </c>
      <c r="J16" s="214">
        <f t="shared" si="5"/>
        <v>16</v>
      </c>
      <c r="K16" s="216">
        <f t="shared" si="6"/>
        <v>109.60000000000001</v>
      </c>
    </row>
    <row r="17" spans="1:11" ht="14.25" customHeight="1">
      <c r="A17" s="1873"/>
      <c r="B17" s="1869"/>
      <c r="C17" s="1869"/>
      <c r="D17" s="213"/>
      <c r="E17" s="213">
        <v>12</v>
      </c>
      <c r="F17" s="214"/>
      <c r="G17" s="214">
        <v>12</v>
      </c>
      <c r="H17" s="214">
        <v>4</v>
      </c>
      <c r="I17" s="215">
        <f t="shared" si="4"/>
        <v>12</v>
      </c>
      <c r="J17" s="214">
        <f t="shared" si="5"/>
        <v>24</v>
      </c>
      <c r="K17" s="216">
        <f t="shared" si="6"/>
        <v>288</v>
      </c>
    </row>
    <row r="18" spans="1:11" ht="14.25" customHeight="1">
      <c r="A18" s="1873"/>
      <c r="B18" s="1876"/>
      <c r="C18" s="1876"/>
      <c r="D18" s="213">
        <v>0.22</v>
      </c>
      <c r="E18" s="213">
        <v>0.32</v>
      </c>
      <c r="F18" s="214">
        <v>0.1</v>
      </c>
      <c r="G18" s="214">
        <v>207</v>
      </c>
      <c r="H18" s="214">
        <v>3</v>
      </c>
      <c r="I18" s="215">
        <f>(D18+E18+F18)*2</f>
        <v>1.28</v>
      </c>
      <c r="J18" s="214">
        <f t="shared" si="5"/>
        <v>414</v>
      </c>
      <c r="K18" s="216">
        <f t="shared" si="6"/>
        <v>298.08</v>
      </c>
    </row>
    <row r="19" spans="1:11" ht="14.25" customHeight="1">
      <c r="A19" s="1873"/>
      <c r="B19" s="217"/>
      <c r="C19" s="217"/>
      <c r="D19" s="217"/>
      <c r="E19" s="217"/>
      <c r="F19" s="217"/>
      <c r="G19" s="217"/>
      <c r="H19" s="217"/>
      <c r="I19" s="217"/>
      <c r="J19" s="217"/>
      <c r="K19" s="218"/>
    </row>
    <row r="20" spans="1:11" ht="14.25" customHeight="1">
      <c r="A20" s="1873"/>
      <c r="B20" s="1875" t="s">
        <v>1187</v>
      </c>
      <c r="C20" s="1875">
        <v>2</v>
      </c>
      <c r="D20" s="213">
        <v>0.2</v>
      </c>
      <c r="E20" s="213">
        <v>10.3</v>
      </c>
      <c r="F20" s="214"/>
      <c r="G20" s="214">
        <v>4</v>
      </c>
      <c r="H20" s="214">
        <v>4</v>
      </c>
      <c r="I20" s="215">
        <f t="shared" ref="I20:I24" si="7">D20+E20+F20</f>
        <v>10.5</v>
      </c>
      <c r="J20" s="214">
        <f t="shared" ref="J20:J25" si="8">$C$20*G20</f>
        <v>8</v>
      </c>
      <c r="K20" s="216">
        <f t="shared" ref="K20:K25" si="9">J20*I20*POWER(H20,2)/16</f>
        <v>84</v>
      </c>
    </row>
    <row r="21" spans="1:11" ht="14.25" customHeight="1">
      <c r="A21" s="1873"/>
      <c r="B21" s="1869"/>
      <c r="C21" s="1869"/>
      <c r="D21" s="213">
        <v>0.2</v>
      </c>
      <c r="E21" s="213">
        <v>7.3</v>
      </c>
      <c r="F21" s="214"/>
      <c r="G21" s="214">
        <v>4</v>
      </c>
      <c r="H21" s="214">
        <v>4</v>
      </c>
      <c r="I21" s="215">
        <f t="shared" si="7"/>
        <v>7.5</v>
      </c>
      <c r="J21" s="214">
        <f t="shared" si="8"/>
        <v>8</v>
      </c>
      <c r="K21" s="216">
        <f t="shared" si="9"/>
        <v>60</v>
      </c>
    </row>
    <row r="22" spans="1:11" ht="14.25" customHeight="1">
      <c r="A22" s="1873"/>
      <c r="B22" s="1869"/>
      <c r="C22" s="1869"/>
      <c r="D22" s="213">
        <v>0.2</v>
      </c>
      <c r="E22" s="213">
        <v>4.8</v>
      </c>
      <c r="F22" s="214"/>
      <c r="G22" s="214">
        <v>8</v>
      </c>
      <c r="H22" s="214">
        <v>4</v>
      </c>
      <c r="I22" s="215">
        <f t="shared" si="7"/>
        <v>5</v>
      </c>
      <c r="J22" s="214">
        <f t="shared" si="8"/>
        <v>16</v>
      </c>
      <c r="K22" s="216">
        <f t="shared" si="9"/>
        <v>80</v>
      </c>
    </row>
    <row r="23" spans="1:11" ht="14.25" customHeight="1">
      <c r="A23" s="1873"/>
      <c r="B23" s="1869"/>
      <c r="C23" s="1869"/>
      <c r="D23" s="213"/>
      <c r="E23" s="213">
        <v>9.3000000000000007</v>
      </c>
      <c r="F23" s="214"/>
      <c r="G23" s="214">
        <v>12</v>
      </c>
      <c r="H23" s="214">
        <v>4</v>
      </c>
      <c r="I23" s="215">
        <f t="shared" si="7"/>
        <v>9.3000000000000007</v>
      </c>
      <c r="J23" s="214">
        <f t="shared" si="8"/>
        <v>24</v>
      </c>
      <c r="K23" s="216">
        <f t="shared" si="9"/>
        <v>223.20000000000002</v>
      </c>
    </row>
    <row r="24" spans="1:11" ht="14.25" customHeight="1">
      <c r="A24" s="1873"/>
      <c r="B24" s="1869"/>
      <c r="C24" s="1869"/>
      <c r="D24" s="219"/>
      <c r="E24" s="219">
        <v>9.1999999999999993</v>
      </c>
      <c r="F24" s="225"/>
      <c r="G24" s="225">
        <v>16</v>
      </c>
      <c r="H24" s="225">
        <v>4</v>
      </c>
      <c r="I24" s="226">
        <f t="shared" si="7"/>
        <v>9.1999999999999993</v>
      </c>
      <c r="J24" s="225">
        <f t="shared" si="8"/>
        <v>32</v>
      </c>
      <c r="K24" s="227">
        <f t="shared" si="9"/>
        <v>294.39999999999998</v>
      </c>
    </row>
    <row r="25" spans="1:11" ht="14.25" customHeight="1">
      <c r="A25" s="1874"/>
      <c r="B25" s="1870"/>
      <c r="C25" s="1870"/>
      <c r="D25" s="220">
        <v>0.22</v>
      </c>
      <c r="E25" s="220">
        <v>0.32</v>
      </c>
      <c r="F25" s="221">
        <v>0.1</v>
      </c>
      <c r="G25" s="221">
        <v>245</v>
      </c>
      <c r="H25" s="221">
        <v>3</v>
      </c>
      <c r="I25" s="222">
        <f>(D25+E25+F25)*2</f>
        <v>1.28</v>
      </c>
      <c r="J25" s="221">
        <f t="shared" si="8"/>
        <v>490</v>
      </c>
      <c r="K25" s="223">
        <f t="shared" si="9"/>
        <v>352.8</v>
      </c>
    </row>
    <row r="26" spans="1:11" ht="14.25" customHeight="1">
      <c r="A26" s="207"/>
      <c r="B26" s="207"/>
      <c r="C26" s="207"/>
      <c r="D26" s="207"/>
      <c r="E26" s="207"/>
      <c r="F26" s="207"/>
      <c r="G26" s="207"/>
      <c r="H26" s="207"/>
      <c r="I26" s="224"/>
      <c r="J26" s="207"/>
      <c r="K26" s="207"/>
    </row>
    <row r="27" spans="1:11" ht="14.25" customHeight="1">
      <c r="A27" s="1872" t="s">
        <v>1188</v>
      </c>
      <c r="B27" s="1868" t="s">
        <v>1189</v>
      </c>
      <c r="C27" s="1868">
        <v>2</v>
      </c>
      <c r="D27" s="209">
        <v>0.25</v>
      </c>
      <c r="E27" s="209">
        <v>4.8499999999999996</v>
      </c>
      <c r="F27" s="210"/>
      <c r="G27" s="210">
        <v>10</v>
      </c>
      <c r="H27" s="210">
        <v>5</v>
      </c>
      <c r="I27" s="211">
        <f t="shared" ref="I27:I32" si="10">D27+E27+F27</f>
        <v>5.0999999999999996</v>
      </c>
      <c r="J27" s="210">
        <f t="shared" ref="J27:J33" si="11">$C$27*G27</f>
        <v>20</v>
      </c>
      <c r="K27" s="212">
        <f t="shared" ref="K27:K33" si="12">J27*I27*POWER(H27,2)/16</f>
        <v>159.375</v>
      </c>
    </row>
    <row r="28" spans="1:11" ht="14.25" customHeight="1">
      <c r="A28" s="1873"/>
      <c r="B28" s="1869"/>
      <c r="C28" s="1869"/>
      <c r="D28" s="213"/>
      <c r="E28" s="213">
        <v>9.5</v>
      </c>
      <c r="F28" s="214"/>
      <c r="G28" s="214">
        <v>20</v>
      </c>
      <c r="H28" s="214">
        <v>5</v>
      </c>
      <c r="I28" s="215">
        <f t="shared" si="10"/>
        <v>9.5</v>
      </c>
      <c r="J28" s="214">
        <f t="shared" si="11"/>
        <v>40</v>
      </c>
      <c r="K28" s="216">
        <f t="shared" si="12"/>
        <v>593.75</v>
      </c>
    </row>
    <row r="29" spans="1:11" ht="14.25" customHeight="1">
      <c r="A29" s="1873"/>
      <c r="B29" s="1869"/>
      <c r="C29" s="1869"/>
      <c r="D29" s="213">
        <v>0.2</v>
      </c>
      <c r="E29" s="213">
        <v>10.3</v>
      </c>
      <c r="F29" s="214"/>
      <c r="G29" s="214">
        <v>4</v>
      </c>
      <c r="H29" s="214">
        <v>4</v>
      </c>
      <c r="I29" s="215">
        <f t="shared" si="10"/>
        <v>10.5</v>
      </c>
      <c r="J29" s="214">
        <f t="shared" si="11"/>
        <v>8</v>
      </c>
      <c r="K29" s="216">
        <f t="shared" si="12"/>
        <v>84</v>
      </c>
    </row>
    <row r="30" spans="1:11" ht="14.25" customHeight="1">
      <c r="A30" s="1873"/>
      <c r="B30" s="1869"/>
      <c r="C30" s="1869"/>
      <c r="D30" s="213">
        <v>0.2</v>
      </c>
      <c r="E30" s="213">
        <v>7.3</v>
      </c>
      <c r="F30" s="214"/>
      <c r="G30" s="214">
        <v>4</v>
      </c>
      <c r="H30" s="214">
        <v>4</v>
      </c>
      <c r="I30" s="215">
        <f t="shared" si="10"/>
        <v>7.5</v>
      </c>
      <c r="J30" s="214">
        <f t="shared" si="11"/>
        <v>8</v>
      </c>
      <c r="K30" s="216">
        <f t="shared" si="12"/>
        <v>60</v>
      </c>
    </row>
    <row r="31" spans="1:11" ht="14.25" customHeight="1">
      <c r="A31" s="1873"/>
      <c r="B31" s="1869"/>
      <c r="C31" s="1869"/>
      <c r="D31" s="213"/>
      <c r="E31" s="213">
        <v>9.3000000000000007</v>
      </c>
      <c r="F31" s="214"/>
      <c r="G31" s="214">
        <v>12</v>
      </c>
      <c r="H31" s="214">
        <v>4</v>
      </c>
      <c r="I31" s="215">
        <f t="shared" si="10"/>
        <v>9.3000000000000007</v>
      </c>
      <c r="J31" s="214">
        <f t="shared" si="11"/>
        <v>24</v>
      </c>
      <c r="K31" s="216">
        <f t="shared" si="12"/>
        <v>223.20000000000002</v>
      </c>
    </row>
    <row r="32" spans="1:11" ht="14.25" customHeight="1">
      <c r="A32" s="1873"/>
      <c r="B32" s="1869"/>
      <c r="C32" s="1869"/>
      <c r="D32" s="219"/>
      <c r="E32" s="219">
        <v>6</v>
      </c>
      <c r="F32" s="225"/>
      <c r="G32" s="214">
        <v>4</v>
      </c>
      <c r="H32" s="214">
        <v>4</v>
      </c>
      <c r="I32" s="215">
        <f t="shared" si="10"/>
        <v>6</v>
      </c>
      <c r="J32" s="214">
        <f t="shared" si="11"/>
        <v>8</v>
      </c>
      <c r="K32" s="216">
        <f t="shared" si="12"/>
        <v>48</v>
      </c>
    </row>
    <row r="33" spans="1:11" ht="14.25" customHeight="1">
      <c r="A33" s="1874"/>
      <c r="B33" s="1870"/>
      <c r="C33" s="1870"/>
      <c r="D33" s="220">
        <v>0.32</v>
      </c>
      <c r="E33" s="220">
        <v>0.32</v>
      </c>
      <c r="F33" s="221">
        <v>0.1</v>
      </c>
      <c r="G33" s="221">
        <v>390</v>
      </c>
      <c r="H33" s="221">
        <v>3</v>
      </c>
      <c r="I33" s="222">
        <f>(D33+E33+F33)*2</f>
        <v>1.48</v>
      </c>
      <c r="J33" s="221">
        <f t="shared" si="11"/>
        <v>780</v>
      </c>
      <c r="K33" s="223">
        <f t="shared" si="12"/>
        <v>649.35</v>
      </c>
    </row>
    <row r="34" spans="1:11" ht="14.25" customHeight="1">
      <c r="A34" s="207"/>
      <c r="B34" s="207"/>
      <c r="C34" s="207"/>
      <c r="D34" s="207"/>
      <c r="E34" s="207"/>
      <c r="F34" s="207"/>
      <c r="G34" s="207"/>
      <c r="H34" s="207"/>
      <c r="I34" s="207"/>
      <c r="J34" s="207"/>
      <c r="K34" s="207"/>
    </row>
    <row r="35" spans="1:11" ht="14.25" customHeight="1">
      <c r="A35" s="1872" t="s">
        <v>1190</v>
      </c>
      <c r="B35" s="1868" t="s">
        <v>1189</v>
      </c>
      <c r="C35" s="1868">
        <f>41.8*2</f>
        <v>83.6</v>
      </c>
      <c r="D35" s="209">
        <v>0.04</v>
      </c>
      <c r="E35" s="209">
        <v>0.6</v>
      </c>
      <c r="F35" s="210"/>
      <c r="G35" s="210">
        <v>5</v>
      </c>
      <c r="H35" s="210">
        <v>3</v>
      </c>
      <c r="I35" s="211">
        <f>D35+E35+F35</f>
        <v>0.64</v>
      </c>
      <c r="J35" s="210">
        <f t="shared" ref="J35:J37" si="13">$C$35*G35</f>
        <v>418</v>
      </c>
      <c r="K35" s="212">
        <f t="shared" ref="K35:K37" si="14">J35*I35*POWER(H35,2)/16</f>
        <v>150.47999999999999</v>
      </c>
    </row>
    <row r="36" spans="1:11" ht="14.25" customHeight="1">
      <c r="A36" s="1873"/>
      <c r="B36" s="1869"/>
      <c r="C36" s="1869"/>
      <c r="D36" s="213">
        <v>7.0000000000000007E-2</v>
      </c>
      <c r="E36" s="213">
        <f>0.75+0.035</f>
        <v>0.78500000000000003</v>
      </c>
      <c r="F36" s="214">
        <v>7.0000000000000007E-2</v>
      </c>
      <c r="G36" s="214">
        <v>5</v>
      </c>
      <c r="H36" s="214">
        <v>3</v>
      </c>
      <c r="I36" s="215">
        <f>(D36+E36+F36)*2</f>
        <v>1.85</v>
      </c>
      <c r="J36" s="214">
        <f t="shared" si="13"/>
        <v>418</v>
      </c>
      <c r="K36" s="216">
        <f t="shared" si="14"/>
        <v>434.98125000000005</v>
      </c>
    </row>
    <row r="37" spans="1:11" ht="14.25" customHeight="1">
      <c r="A37" s="1874"/>
      <c r="B37" s="1870"/>
      <c r="C37" s="1870"/>
      <c r="D37" s="220"/>
      <c r="E37" s="220">
        <v>1.2</v>
      </c>
      <c r="F37" s="221"/>
      <c r="G37" s="221">
        <v>8</v>
      </c>
      <c r="H37" s="221">
        <v>3</v>
      </c>
      <c r="I37" s="226">
        <f>D37+E37+F37</f>
        <v>1.2</v>
      </c>
      <c r="J37" s="225">
        <f t="shared" si="13"/>
        <v>668.8</v>
      </c>
      <c r="K37" s="227">
        <f t="shared" si="14"/>
        <v>451.43999999999994</v>
      </c>
    </row>
    <row r="38" spans="1:11" ht="14.25" customHeight="1">
      <c r="A38" s="207"/>
      <c r="B38" s="224"/>
      <c r="C38" s="224"/>
      <c r="D38" s="224"/>
      <c r="E38" s="224"/>
      <c r="F38" s="228"/>
      <c r="G38" s="228"/>
      <c r="H38" s="228"/>
      <c r="I38" s="1871" t="s">
        <v>1191</v>
      </c>
      <c r="J38" s="1601"/>
      <c r="K38" s="229">
        <f>SUM(K6:K37)</f>
        <v>7946.7662499999979</v>
      </c>
    </row>
  </sheetData>
  <mergeCells count="28">
    <mergeCell ref="J3:J4"/>
    <mergeCell ref="K3:K4"/>
    <mergeCell ref="A1:K1"/>
    <mergeCell ref="A2:K2"/>
    <mergeCell ref="A3:A4"/>
    <mergeCell ref="B3:B4"/>
    <mergeCell ref="C3:C4"/>
    <mergeCell ref="D3:F3"/>
    <mergeCell ref="G3:G4"/>
    <mergeCell ref="B11:B13"/>
    <mergeCell ref="B15:B18"/>
    <mergeCell ref="H3:H4"/>
    <mergeCell ref="I3:I4"/>
    <mergeCell ref="A8:A13"/>
    <mergeCell ref="B8:B9"/>
    <mergeCell ref="C8:C9"/>
    <mergeCell ref="C11:C13"/>
    <mergeCell ref="C15:C18"/>
    <mergeCell ref="B35:B37"/>
    <mergeCell ref="C35:C37"/>
    <mergeCell ref="I38:J38"/>
    <mergeCell ref="A15:A25"/>
    <mergeCell ref="B20:B25"/>
    <mergeCell ref="C20:C25"/>
    <mergeCell ref="A27:A33"/>
    <mergeCell ref="B27:B33"/>
    <mergeCell ref="C27:C33"/>
    <mergeCell ref="A35:A37"/>
  </mergeCells>
  <pageMargins left="0.7" right="0.7" top="0.75" bottom="0.75" header="0" footer="0"/>
  <pageSetup scale="68"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M58"/>
  <sheetViews>
    <sheetView topLeftCell="A38" workbookViewId="0">
      <selection activeCell="E57" sqref="E57"/>
    </sheetView>
  </sheetViews>
  <sheetFormatPr baseColWidth="10" defaultColWidth="14.44140625" defaultRowHeight="15" customHeight="1"/>
  <cols>
    <col min="1" max="1" width="20.6640625" customWidth="1"/>
    <col min="2" max="10" width="9.6640625" customWidth="1"/>
    <col min="11" max="11" width="12" bestFit="1" customWidth="1"/>
    <col min="12" max="26" width="8.88671875" customWidth="1"/>
  </cols>
  <sheetData>
    <row r="1" spans="1:13" ht="22.8">
      <c r="A1" s="1897" t="s">
        <v>1200</v>
      </c>
      <c r="B1" s="1898"/>
      <c r="C1" s="1898"/>
      <c r="D1" s="1898"/>
      <c r="E1" s="1898"/>
      <c r="F1" s="1898"/>
      <c r="G1" s="1898"/>
      <c r="H1" s="1898"/>
      <c r="I1" s="1898"/>
      <c r="J1" s="1898"/>
      <c r="K1" s="1899"/>
      <c r="M1" s="1311" t="s">
        <v>4419</v>
      </c>
    </row>
    <row r="2" spans="1:13" ht="14.25" customHeight="1">
      <c r="A2" s="1900" t="e">
        <f>#REF!</f>
        <v>#REF!</v>
      </c>
      <c r="B2" s="1901"/>
      <c r="C2" s="1901"/>
      <c r="D2" s="1901"/>
      <c r="E2" s="1901"/>
      <c r="F2" s="1901"/>
      <c r="G2" s="1901"/>
      <c r="H2" s="1901"/>
      <c r="I2" s="1901"/>
      <c r="J2" s="1901"/>
      <c r="K2" s="1902"/>
    </row>
    <row r="3" spans="1:13" ht="14.25" customHeight="1">
      <c r="A3" s="1903"/>
      <c r="B3" s="1904"/>
      <c r="C3" s="1904"/>
      <c r="D3" s="1904"/>
      <c r="E3" s="1904"/>
      <c r="F3" s="1904"/>
      <c r="G3" s="1904"/>
      <c r="H3" s="1904"/>
      <c r="I3" s="1904"/>
      <c r="J3" s="1904"/>
      <c r="K3" s="1905"/>
    </row>
    <row r="4" spans="1:13" ht="15.75" customHeight="1">
      <c r="A4" s="1906" t="s">
        <v>1169</v>
      </c>
      <c r="B4" s="1907" t="s">
        <v>1170</v>
      </c>
      <c r="C4" s="1907" t="s">
        <v>1171</v>
      </c>
      <c r="D4" s="1908" t="s">
        <v>1172</v>
      </c>
      <c r="E4" s="1909"/>
      <c r="F4" s="1910"/>
      <c r="G4" s="1907" t="s">
        <v>1173</v>
      </c>
      <c r="H4" s="1907" t="s">
        <v>1174</v>
      </c>
      <c r="I4" s="1907" t="s">
        <v>1175</v>
      </c>
      <c r="J4" s="1907" t="s">
        <v>1176</v>
      </c>
      <c r="K4" s="1911" t="s">
        <v>1177</v>
      </c>
    </row>
    <row r="5" spans="1:13" ht="21" thickBot="1">
      <c r="A5" s="1874"/>
      <c r="B5" s="1870"/>
      <c r="C5" s="1870"/>
      <c r="D5" s="200" t="s">
        <v>1178</v>
      </c>
      <c r="E5" s="200" t="s">
        <v>1179</v>
      </c>
      <c r="F5" s="200" t="s">
        <v>1180</v>
      </c>
      <c r="G5" s="1870"/>
      <c r="H5" s="1870"/>
      <c r="I5" s="1870"/>
      <c r="J5" s="1870"/>
      <c r="K5" s="1879"/>
    </row>
    <row r="6" spans="1:13" ht="14.25" customHeight="1" thickTop="1" thickBot="1">
      <c r="A6" s="259"/>
      <c r="B6" s="259"/>
      <c r="C6" s="259"/>
      <c r="D6" s="259"/>
      <c r="E6" s="259"/>
      <c r="F6" s="259"/>
      <c r="G6" s="259"/>
      <c r="H6" s="259"/>
      <c r="I6" s="259"/>
      <c r="J6" s="259"/>
      <c r="K6" s="259"/>
    </row>
    <row r="7" spans="1:13" ht="15" customHeight="1" thickTop="1">
      <c r="A7" s="1868" t="s">
        <v>1201</v>
      </c>
      <c r="B7" s="1912" t="s">
        <v>1202</v>
      </c>
      <c r="C7" s="209">
        <v>1</v>
      </c>
      <c r="D7" s="209">
        <v>0</v>
      </c>
      <c r="E7" s="209">
        <v>2.9</v>
      </c>
      <c r="F7" s="210">
        <v>0</v>
      </c>
      <c r="G7" s="210">
        <f t="shared" ref="G7:G12" si="0">ROUNDUP(13.2/0.25,0)+1</f>
        <v>54</v>
      </c>
      <c r="H7" s="210">
        <v>4</v>
      </c>
      <c r="I7" s="211">
        <f t="shared" ref="I7:I12" si="1">D7+E7+F7</f>
        <v>2.9</v>
      </c>
      <c r="J7" s="210">
        <f>$C$7*G7</f>
        <v>54</v>
      </c>
      <c r="K7" s="211">
        <f t="shared" ref="K7:K12" si="2">J7*I7*POWER(H7,2)/16</f>
        <v>156.6</v>
      </c>
    </row>
    <row r="8" spans="1:13" ht="14.25" customHeight="1">
      <c r="A8" s="1869"/>
      <c r="B8" s="1869"/>
      <c r="C8" s="213">
        <v>3</v>
      </c>
      <c r="D8" s="213">
        <v>0</v>
      </c>
      <c r="E8" s="213">
        <v>6</v>
      </c>
      <c r="F8" s="214">
        <v>0</v>
      </c>
      <c r="G8" s="214">
        <f t="shared" si="0"/>
        <v>54</v>
      </c>
      <c r="H8" s="214">
        <v>4</v>
      </c>
      <c r="I8" s="260">
        <f t="shared" si="1"/>
        <v>6</v>
      </c>
      <c r="J8" s="261">
        <f>$C$8*G8</f>
        <v>162</v>
      </c>
      <c r="K8" s="260">
        <f t="shared" si="2"/>
        <v>972</v>
      </c>
    </row>
    <row r="9" spans="1:13" ht="14.25" customHeight="1">
      <c r="A9" s="1869"/>
      <c r="B9" s="1869"/>
      <c r="C9" s="213">
        <v>1</v>
      </c>
      <c r="D9" s="213">
        <v>0</v>
      </c>
      <c r="E9" s="213">
        <v>5.9</v>
      </c>
      <c r="F9" s="214">
        <v>0</v>
      </c>
      <c r="G9" s="214">
        <f t="shared" si="0"/>
        <v>54</v>
      </c>
      <c r="H9" s="214">
        <v>4</v>
      </c>
      <c r="I9" s="260">
        <f t="shared" si="1"/>
        <v>5.9</v>
      </c>
      <c r="J9" s="261">
        <f>$C$9*G9</f>
        <v>54</v>
      </c>
      <c r="K9" s="260">
        <f t="shared" si="2"/>
        <v>318.60000000000002</v>
      </c>
    </row>
    <row r="10" spans="1:13" ht="14.25" customHeight="1" thickBot="1">
      <c r="A10" s="1869"/>
      <c r="B10" s="1870"/>
      <c r="C10" s="220">
        <v>1</v>
      </c>
      <c r="D10" s="220">
        <v>0</v>
      </c>
      <c r="E10" s="220">
        <v>2.7</v>
      </c>
      <c r="F10" s="221">
        <v>0</v>
      </c>
      <c r="G10" s="221">
        <f t="shared" si="0"/>
        <v>54</v>
      </c>
      <c r="H10" s="221">
        <v>4</v>
      </c>
      <c r="I10" s="222">
        <f t="shared" si="1"/>
        <v>2.7</v>
      </c>
      <c r="J10" s="221">
        <f>$C$10*G10</f>
        <v>54</v>
      </c>
      <c r="K10" s="222">
        <f t="shared" si="2"/>
        <v>145.80000000000001</v>
      </c>
    </row>
    <row r="11" spans="1:13" ht="15" customHeight="1" thickTop="1">
      <c r="A11" s="1869"/>
      <c r="B11" s="1912" t="s">
        <v>1203</v>
      </c>
      <c r="C11" s="262">
        <v>2</v>
      </c>
      <c r="D11" s="262">
        <v>0</v>
      </c>
      <c r="E11" s="262">
        <v>2.9</v>
      </c>
      <c r="F11" s="261">
        <v>0</v>
      </c>
      <c r="G11" s="261">
        <f t="shared" si="0"/>
        <v>54</v>
      </c>
      <c r="H11" s="261">
        <v>4</v>
      </c>
      <c r="I11" s="260">
        <f t="shared" si="1"/>
        <v>2.9</v>
      </c>
      <c r="J11" s="261">
        <f>$C$11*G11</f>
        <v>108</v>
      </c>
      <c r="K11" s="260">
        <f t="shared" si="2"/>
        <v>313.2</v>
      </c>
    </row>
    <row r="12" spans="1:13" ht="14.25" customHeight="1" thickBot="1">
      <c r="A12" s="1870"/>
      <c r="B12" s="1870"/>
      <c r="C12" s="220">
        <v>4</v>
      </c>
      <c r="D12" s="220">
        <v>0</v>
      </c>
      <c r="E12" s="220">
        <v>6</v>
      </c>
      <c r="F12" s="221">
        <v>0</v>
      </c>
      <c r="G12" s="221">
        <f t="shared" si="0"/>
        <v>54</v>
      </c>
      <c r="H12" s="221">
        <v>4</v>
      </c>
      <c r="I12" s="263">
        <f t="shared" si="1"/>
        <v>6</v>
      </c>
      <c r="J12" s="264">
        <f>$C$12*G12</f>
        <v>216</v>
      </c>
      <c r="K12" s="263">
        <f t="shared" si="2"/>
        <v>1296</v>
      </c>
    </row>
    <row r="13" spans="1:13" ht="14.25" customHeight="1" thickTop="1" thickBot="1">
      <c r="A13" s="207"/>
      <c r="B13" s="207"/>
      <c r="C13" s="207"/>
      <c r="D13" s="207"/>
      <c r="E13" s="207"/>
      <c r="F13" s="207"/>
      <c r="G13" s="265"/>
      <c r="H13" s="207"/>
      <c r="I13" s="207"/>
      <c r="J13" s="207"/>
      <c r="K13" s="207"/>
    </row>
    <row r="14" spans="1:13" ht="14.25" customHeight="1" thickTop="1">
      <c r="A14" s="1875" t="s">
        <v>1204</v>
      </c>
      <c r="B14" s="1886" t="s">
        <v>1205</v>
      </c>
      <c r="C14" s="209">
        <v>3</v>
      </c>
      <c r="D14" s="209">
        <v>0</v>
      </c>
      <c r="E14" s="209">
        <v>3.6</v>
      </c>
      <c r="F14" s="210">
        <v>0</v>
      </c>
      <c r="G14" s="261">
        <f t="shared" ref="G14:G17" si="3">ROUNDUP(12.8/0.15,0)+1</f>
        <v>87</v>
      </c>
      <c r="H14" s="210">
        <v>4</v>
      </c>
      <c r="I14" s="211">
        <f>D14+E14+F14</f>
        <v>3.6</v>
      </c>
      <c r="J14" s="210">
        <f>$C$14*G14</f>
        <v>261</v>
      </c>
      <c r="K14" s="212">
        <f t="shared" ref="K14:K17" si="4">J14*I14*POWER(H14,2)/16</f>
        <v>939.6</v>
      </c>
    </row>
    <row r="15" spans="1:13" ht="14.25" customHeight="1">
      <c r="A15" s="1869"/>
      <c r="B15" s="1887"/>
      <c r="C15" s="213">
        <v>3</v>
      </c>
      <c r="D15" s="213">
        <v>0</v>
      </c>
      <c r="E15" s="213">
        <v>3.7</v>
      </c>
      <c r="F15" s="214">
        <v>0</v>
      </c>
      <c r="G15" s="214">
        <f t="shared" si="3"/>
        <v>87</v>
      </c>
      <c r="H15" s="214">
        <v>5</v>
      </c>
      <c r="I15" s="215">
        <f>(D15+E15+F15)</f>
        <v>3.7</v>
      </c>
      <c r="J15" s="214">
        <f>$C$15*G15</f>
        <v>261</v>
      </c>
      <c r="K15" s="216">
        <f t="shared" si="4"/>
        <v>1508.90625</v>
      </c>
    </row>
    <row r="16" spans="1:13" ht="14.25" customHeight="1">
      <c r="A16" s="1869"/>
      <c r="B16" s="1887"/>
      <c r="C16" s="213">
        <v>1</v>
      </c>
      <c r="D16" s="213">
        <v>0</v>
      </c>
      <c r="E16" s="213">
        <v>3.8</v>
      </c>
      <c r="F16" s="213">
        <v>0</v>
      </c>
      <c r="G16" s="214">
        <f t="shared" si="3"/>
        <v>87</v>
      </c>
      <c r="H16" s="213">
        <v>4</v>
      </c>
      <c r="I16" s="215">
        <f>(D16+E16+F16)</f>
        <v>3.8</v>
      </c>
      <c r="J16" s="214">
        <f>$C$16*G16</f>
        <v>87</v>
      </c>
      <c r="K16" s="216">
        <f t="shared" si="4"/>
        <v>330.59999999999997</v>
      </c>
    </row>
    <row r="17" spans="1:11" ht="14.25" customHeight="1">
      <c r="A17" s="1869"/>
      <c r="B17" s="1888"/>
      <c r="C17" s="213">
        <v>1</v>
      </c>
      <c r="D17" s="213">
        <v>0</v>
      </c>
      <c r="E17" s="213">
        <v>3.9</v>
      </c>
      <c r="F17" s="214">
        <v>0</v>
      </c>
      <c r="G17" s="214">
        <f t="shared" si="3"/>
        <v>87</v>
      </c>
      <c r="H17" s="214">
        <v>5</v>
      </c>
      <c r="I17" s="215">
        <f>D17+E17+F17</f>
        <v>3.9</v>
      </c>
      <c r="J17" s="214">
        <f>$C$17*G17</f>
        <v>87</v>
      </c>
      <c r="K17" s="216">
        <f t="shared" si="4"/>
        <v>530.15625</v>
      </c>
    </row>
    <row r="18" spans="1:11" ht="14.25" customHeight="1">
      <c r="A18" s="1869"/>
      <c r="B18" s="224"/>
      <c r="C18" s="224"/>
      <c r="D18" s="224"/>
      <c r="E18" s="224"/>
      <c r="F18" s="228"/>
      <c r="G18" s="228"/>
      <c r="H18" s="228"/>
      <c r="I18" s="266" t="s">
        <v>1206</v>
      </c>
      <c r="J18" s="228"/>
      <c r="K18" s="266"/>
    </row>
    <row r="19" spans="1:11" ht="14.25" customHeight="1">
      <c r="A19" s="1869"/>
      <c r="B19" s="1889" t="s">
        <v>1207</v>
      </c>
      <c r="C19" s="213">
        <v>4</v>
      </c>
      <c r="D19" s="213">
        <v>0</v>
      </c>
      <c r="E19" s="213">
        <v>2.2999999999999998</v>
      </c>
      <c r="F19" s="214">
        <v>0</v>
      </c>
      <c r="G19" s="214">
        <f t="shared" ref="G19:G20" si="5">ROUNDUP(3.2/0.25,0)+1</f>
        <v>14</v>
      </c>
      <c r="H19" s="214">
        <v>4</v>
      </c>
      <c r="I19" s="215">
        <f>D19+E19+F19</f>
        <v>2.2999999999999998</v>
      </c>
      <c r="J19" s="214">
        <f>$C$19*G19</f>
        <v>56</v>
      </c>
      <c r="K19" s="215">
        <f t="shared" ref="K19:K21" si="6">J19*I19*POWER(H19,2)/16</f>
        <v>128.79999999999998</v>
      </c>
    </row>
    <row r="20" spans="1:11" ht="14.25" customHeight="1">
      <c r="A20" s="1869"/>
      <c r="B20" s="1869"/>
      <c r="C20" s="213">
        <v>4</v>
      </c>
      <c r="D20" s="213">
        <v>0</v>
      </c>
      <c r="E20" s="213">
        <v>0.4</v>
      </c>
      <c r="F20" s="214">
        <v>0</v>
      </c>
      <c r="G20" s="214">
        <f t="shared" si="5"/>
        <v>14</v>
      </c>
      <c r="H20" s="214">
        <v>4</v>
      </c>
      <c r="I20" s="215">
        <f>D20+E20+F20</f>
        <v>0.4</v>
      </c>
      <c r="J20" s="214">
        <f>$C$20*G20</f>
        <v>56</v>
      </c>
      <c r="K20" s="215">
        <f t="shared" si="6"/>
        <v>22.400000000000002</v>
      </c>
    </row>
    <row r="21" spans="1:11" ht="14.25" customHeight="1" thickBot="1">
      <c r="A21" s="1870"/>
      <c r="B21" s="1870"/>
      <c r="C21" s="220">
        <v>4</v>
      </c>
      <c r="D21" s="220">
        <v>0</v>
      </c>
      <c r="E21" s="220">
        <v>1.5</v>
      </c>
      <c r="F21" s="221">
        <v>0</v>
      </c>
      <c r="G21" s="221">
        <f>ROUNDUP(12.8/0.3,0)+1</f>
        <v>44</v>
      </c>
      <c r="H21" s="221">
        <v>4</v>
      </c>
      <c r="I21" s="263">
        <f>D21+E21+F21</f>
        <v>1.5</v>
      </c>
      <c r="J21" s="264">
        <f>$C$21*G21</f>
        <v>176</v>
      </c>
      <c r="K21" s="263">
        <f t="shared" si="6"/>
        <v>264</v>
      </c>
    </row>
    <row r="22" spans="1:11" ht="14.25" customHeight="1" thickTop="1" thickBot="1">
      <c r="A22" s="265"/>
      <c r="B22" s="267"/>
      <c r="C22" s="265"/>
      <c r="D22" s="265"/>
      <c r="E22" s="265"/>
      <c r="F22" s="265"/>
      <c r="G22" s="268"/>
      <c r="H22" s="265"/>
      <c r="I22" s="265"/>
      <c r="J22" s="265"/>
      <c r="K22" s="265"/>
    </row>
    <row r="23" spans="1:11" ht="15.75" customHeight="1" thickTop="1">
      <c r="A23" s="1894" t="s">
        <v>1208</v>
      </c>
      <c r="B23" s="1891" t="s">
        <v>1209</v>
      </c>
      <c r="C23" s="1894">
        <v>1</v>
      </c>
      <c r="D23" s="262"/>
      <c r="E23" s="262">
        <v>3.4</v>
      </c>
      <c r="F23" s="261"/>
      <c r="G23" s="261">
        <f t="shared" ref="G23:G26" si="7">ROUNDUP(2/0.25,0)+1</f>
        <v>9</v>
      </c>
      <c r="H23" s="261">
        <v>4</v>
      </c>
      <c r="I23" s="260">
        <f>D23+E23+F23</f>
        <v>3.4</v>
      </c>
      <c r="J23" s="261">
        <f>$C$23*G23</f>
        <v>9</v>
      </c>
      <c r="K23" s="270">
        <f t="shared" ref="K23:K28" si="8">J23*I23*POWER(H23,2)/16</f>
        <v>30.599999999999998</v>
      </c>
    </row>
    <row r="24" spans="1:11" ht="14.25" customHeight="1">
      <c r="A24" s="1869"/>
      <c r="B24" s="1887"/>
      <c r="C24" s="1869"/>
      <c r="D24" s="213"/>
      <c r="E24" s="213">
        <v>3.35</v>
      </c>
      <c r="F24" s="214"/>
      <c r="G24" s="214">
        <f t="shared" si="7"/>
        <v>9</v>
      </c>
      <c r="H24" s="214">
        <v>4</v>
      </c>
      <c r="I24" s="215">
        <f>D24+E24+F24</f>
        <v>3.35</v>
      </c>
      <c r="J24" s="214">
        <f t="shared" ref="J24:J28" si="9">$C$23*G24</f>
        <v>9</v>
      </c>
      <c r="K24" s="216">
        <f t="shared" si="8"/>
        <v>30.150000000000002</v>
      </c>
    </row>
    <row r="25" spans="1:11" ht="14.25" customHeight="1">
      <c r="A25" s="1869"/>
      <c r="B25" s="1887"/>
      <c r="C25" s="1869"/>
      <c r="D25" s="213"/>
      <c r="E25" s="213">
        <v>4.2</v>
      </c>
      <c r="F25" s="214"/>
      <c r="G25" s="214">
        <f t="shared" si="7"/>
        <v>9</v>
      </c>
      <c r="H25" s="214">
        <v>4</v>
      </c>
      <c r="I25" s="215">
        <f>D25+E25+F25</f>
        <v>4.2</v>
      </c>
      <c r="J25" s="214">
        <f t="shared" si="9"/>
        <v>9</v>
      </c>
      <c r="K25" s="216">
        <f t="shared" si="8"/>
        <v>37.800000000000004</v>
      </c>
    </row>
    <row r="26" spans="1:11" ht="14.25" customHeight="1">
      <c r="A26" s="1869"/>
      <c r="B26" s="1887"/>
      <c r="C26" s="1869"/>
      <c r="D26" s="213"/>
      <c r="E26" s="213">
        <v>3.9</v>
      </c>
      <c r="F26" s="214"/>
      <c r="G26" s="214">
        <f t="shared" si="7"/>
        <v>9</v>
      </c>
      <c r="H26" s="214">
        <v>4</v>
      </c>
      <c r="I26" s="215">
        <f>D26+E26+F26</f>
        <v>3.9</v>
      </c>
      <c r="J26" s="214">
        <f t="shared" si="9"/>
        <v>9</v>
      </c>
      <c r="K26" s="216">
        <f t="shared" si="8"/>
        <v>35.1</v>
      </c>
    </row>
    <row r="27" spans="1:11" ht="14.25" customHeight="1">
      <c r="A27" s="1869"/>
      <c r="B27" s="1887"/>
      <c r="C27" s="1869"/>
      <c r="D27" s="213"/>
      <c r="E27" s="213">
        <v>6</v>
      </c>
      <c r="F27" s="214"/>
      <c r="G27" s="214">
        <f t="shared" ref="G27:G28" si="10">ROUNDUP(1.6/0.25,0)+1</f>
        <v>8</v>
      </c>
      <c r="H27" s="214">
        <v>4</v>
      </c>
      <c r="I27" s="215">
        <f>ROUNDUP(1.1/0.2,0)+1</f>
        <v>7</v>
      </c>
      <c r="J27" s="214">
        <f t="shared" si="9"/>
        <v>8</v>
      </c>
      <c r="K27" s="216">
        <f t="shared" si="8"/>
        <v>56</v>
      </c>
    </row>
    <row r="28" spans="1:11" ht="14.25" customHeight="1">
      <c r="A28" s="1869"/>
      <c r="B28" s="1888"/>
      <c r="C28" s="1876"/>
      <c r="D28" s="213"/>
      <c r="E28" s="213">
        <v>5.3</v>
      </c>
      <c r="F28" s="214"/>
      <c r="G28" s="214">
        <f t="shared" si="10"/>
        <v>8</v>
      </c>
      <c r="H28" s="214">
        <v>4</v>
      </c>
      <c r="I28" s="215">
        <f>(D28+E28+F28)</f>
        <v>5.3</v>
      </c>
      <c r="J28" s="214">
        <f t="shared" si="9"/>
        <v>8</v>
      </c>
      <c r="K28" s="216">
        <f t="shared" si="8"/>
        <v>42.4</v>
      </c>
    </row>
    <row r="29" spans="1:11" ht="14.25" customHeight="1">
      <c r="A29" s="1869"/>
      <c r="B29" s="271"/>
      <c r="C29" s="217"/>
      <c r="D29" s="217"/>
      <c r="E29" s="217"/>
      <c r="F29" s="217"/>
      <c r="G29" s="217"/>
      <c r="H29" s="217"/>
      <c r="I29" s="217"/>
      <c r="J29" s="217"/>
      <c r="K29" s="218"/>
    </row>
    <row r="30" spans="1:11" ht="14.25" customHeight="1">
      <c r="A30" s="1869"/>
      <c r="B30" s="1892" t="s">
        <v>1210</v>
      </c>
      <c r="C30" s="1875">
        <v>1</v>
      </c>
      <c r="D30" s="213"/>
      <c r="E30" s="213">
        <v>6.3</v>
      </c>
      <c r="F30" s="214"/>
      <c r="G30" s="214">
        <f>ROUNDUP(2/0.25,0)+1</f>
        <v>9</v>
      </c>
      <c r="H30" s="214">
        <v>4</v>
      </c>
      <c r="I30" s="215">
        <f>D30+E30+F30</f>
        <v>6.3</v>
      </c>
      <c r="J30" s="214">
        <f t="shared" ref="J30:J31" si="11">$C$30*G30</f>
        <v>9</v>
      </c>
      <c r="K30" s="216">
        <f t="shared" ref="K30:K31" si="12">J30*I30*POWER(H30,2)/16</f>
        <v>56.699999999999996</v>
      </c>
    </row>
    <row r="31" spans="1:11" ht="14.25" customHeight="1" thickBot="1">
      <c r="A31" s="1870"/>
      <c r="B31" s="1893"/>
      <c r="C31" s="1870"/>
      <c r="D31" s="220"/>
      <c r="E31" s="220">
        <v>6</v>
      </c>
      <c r="F31" s="221"/>
      <c r="G31" s="221">
        <f>ROUNDUP(3.45/0.2,0)+1</f>
        <v>19</v>
      </c>
      <c r="H31" s="221">
        <v>4</v>
      </c>
      <c r="I31" s="222">
        <f>D31+E31+F31</f>
        <v>6</v>
      </c>
      <c r="J31" s="221">
        <f t="shared" si="11"/>
        <v>19</v>
      </c>
      <c r="K31" s="223">
        <f t="shared" si="12"/>
        <v>114</v>
      </c>
    </row>
    <row r="33" spans="1:11" ht="14.25" customHeight="1">
      <c r="A33" s="1894" t="s">
        <v>1211</v>
      </c>
      <c r="B33" s="1891" t="s">
        <v>1202</v>
      </c>
      <c r="C33" s="262">
        <v>1</v>
      </c>
      <c r="D33" s="262"/>
      <c r="E33" s="262">
        <v>2.2999999999999998</v>
      </c>
      <c r="F33" s="261"/>
      <c r="G33" s="261">
        <f t="shared" ref="G33:G36" si="13">ROUNDUP(10.8/0.2,0)+1</f>
        <v>55</v>
      </c>
      <c r="H33" s="261">
        <v>4</v>
      </c>
      <c r="I33" s="260">
        <f t="shared" ref="I33:I42" si="14">D33+E33+F33</f>
        <v>2.2999999999999998</v>
      </c>
      <c r="J33" s="261">
        <f>$C$33*G33</f>
        <v>55</v>
      </c>
      <c r="K33" s="260">
        <f t="shared" ref="K33:K42" si="15">J33*I33*POWER(H33,2)/16</f>
        <v>126.49999999999999</v>
      </c>
    </row>
    <row r="34" spans="1:11" ht="14.25" customHeight="1">
      <c r="A34" s="1869"/>
      <c r="B34" s="1887"/>
      <c r="C34" s="213">
        <v>3</v>
      </c>
      <c r="D34" s="213"/>
      <c r="E34" s="213">
        <v>6</v>
      </c>
      <c r="F34" s="214"/>
      <c r="G34" s="214">
        <f t="shared" si="13"/>
        <v>55</v>
      </c>
      <c r="H34" s="214">
        <v>4</v>
      </c>
      <c r="I34" s="215">
        <f t="shared" si="14"/>
        <v>6</v>
      </c>
      <c r="J34" s="214">
        <f>$C$34*G34</f>
        <v>165</v>
      </c>
      <c r="K34" s="215">
        <f t="shared" si="15"/>
        <v>990</v>
      </c>
    </row>
    <row r="35" spans="1:11" ht="14.25" customHeight="1">
      <c r="A35" s="1869"/>
      <c r="B35" s="1887"/>
      <c r="C35" s="213">
        <v>1</v>
      </c>
      <c r="D35" s="213"/>
      <c r="E35" s="213">
        <v>5.3</v>
      </c>
      <c r="F35" s="214"/>
      <c r="G35" s="214">
        <f t="shared" si="13"/>
        <v>55</v>
      </c>
      <c r="H35" s="214">
        <v>4</v>
      </c>
      <c r="I35" s="215">
        <f t="shared" si="14"/>
        <v>5.3</v>
      </c>
      <c r="J35" s="214">
        <f>$C$35*G35</f>
        <v>55</v>
      </c>
      <c r="K35" s="215">
        <f t="shared" si="15"/>
        <v>291.5</v>
      </c>
    </row>
    <row r="36" spans="1:11" ht="14.25" customHeight="1">
      <c r="A36" s="1869"/>
      <c r="B36" s="1887"/>
      <c r="C36" s="213">
        <v>1</v>
      </c>
      <c r="D36" s="213"/>
      <c r="E36" s="213">
        <v>3</v>
      </c>
      <c r="F36" s="214"/>
      <c r="G36" s="214">
        <f t="shared" si="13"/>
        <v>55</v>
      </c>
      <c r="H36" s="214">
        <v>4</v>
      </c>
      <c r="I36" s="215">
        <f t="shared" si="14"/>
        <v>3</v>
      </c>
      <c r="J36" s="214">
        <f>$C$36*G36</f>
        <v>55</v>
      </c>
      <c r="K36" s="215">
        <f t="shared" si="15"/>
        <v>165</v>
      </c>
    </row>
    <row r="37" spans="1:11" ht="14.25" customHeight="1">
      <c r="A37" s="1869"/>
      <c r="B37" s="1887"/>
      <c r="C37" s="213">
        <v>2</v>
      </c>
      <c r="D37" s="213"/>
      <c r="E37" s="213">
        <v>3</v>
      </c>
      <c r="F37" s="214"/>
      <c r="G37" s="214">
        <f t="shared" ref="G37:G38" si="16">ROUNDUP(2/0.2,0)+1</f>
        <v>11</v>
      </c>
      <c r="H37" s="214">
        <v>4</v>
      </c>
      <c r="I37" s="215">
        <f t="shared" si="14"/>
        <v>3</v>
      </c>
      <c r="J37" s="214">
        <f>$C$37*G37</f>
        <v>22</v>
      </c>
      <c r="K37" s="215">
        <f t="shared" si="15"/>
        <v>66</v>
      </c>
    </row>
    <row r="38" spans="1:11" ht="14.25" customHeight="1">
      <c r="A38" s="1869"/>
      <c r="B38" s="1888"/>
      <c r="C38" s="213">
        <v>4</v>
      </c>
      <c r="D38" s="213"/>
      <c r="E38" s="213">
        <v>6</v>
      </c>
      <c r="F38" s="214"/>
      <c r="G38" s="214">
        <f t="shared" si="16"/>
        <v>11</v>
      </c>
      <c r="H38" s="214">
        <v>4</v>
      </c>
      <c r="I38" s="215">
        <f t="shared" si="14"/>
        <v>6</v>
      </c>
      <c r="J38" s="214">
        <f>$C$38*G38</f>
        <v>44</v>
      </c>
      <c r="K38" s="215">
        <f t="shared" si="15"/>
        <v>264</v>
      </c>
    </row>
    <row r="39" spans="1:11" ht="14.25" customHeight="1">
      <c r="A39" s="1869"/>
      <c r="B39" s="1889" t="s">
        <v>1203</v>
      </c>
      <c r="C39" s="213">
        <v>1</v>
      </c>
      <c r="D39" s="213"/>
      <c r="E39" s="213">
        <v>2.2999999999999998</v>
      </c>
      <c r="F39" s="214"/>
      <c r="G39" s="214">
        <f t="shared" ref="G39:G42" si="17">ROUNDUP(12.8/0.2,0)+1</f>
        <v>65</v>
      </c>
      <c r="H39" s="214">
        <v>4</v>
      </c>
      <c r="I39" s="215">
        <f t="shared" si="14"/>
        <v>2.2999999999999998</v>
      </c>
      <c r="J39" s="214">
        <f>$C$39*G39</f>
        <v>65</v>
      </c>
      <c r="K39" s="215">
        <f t="shared" si="15"/>
        <v>149.5</v>
      </c>
    </row>
    <row r="40" spans="1:11" ht="14.25" customHeight="1">
      <c r="A40" s="1869"/>
      <c r="B40" s="1869"/>
      <c r="C40" s="213">
        <v>3</v>
      </c>
      <c r="D40" s="213"/>
      <c r="E40" s="213">
        <v>6</v>
      </c>
      <c r="F40" s="214"/>
      <c r="G40" s="214">
        <f t="shared" si="17"/>
        <v>65</v>
      </c>
      <c r="H40" s="214">
        <v>4</v>
      </c>
      <c r="I40" s="215">
        <f t="shared" si="14"/>
        <v>6</v>
      </c>
      <c r="J40" s="214">
        <f>$C$40*G40</f>
        <v>195</v>
      </c>
      <c r="K40" s="215">
        <f t="shared" si="15"/>
        <v>1170</v>
      </c>
    </row>
    <row r="41" spans="1:11" ht="14.25" customHeight="1">
      <c r="A41" s="1869"/>
      <c r="B41" s="1869"/>
      <c r="C41" s="213">
        <v>1</v>
      </c>
      <c r="D41" s="213"/>
      <c r="E41" s="213">
        <v>5.3</v>
      </c>
      <c r="F41" s="214"/>
      <c r="G41" s="214">
        <f t="shared" si="17"/>
        <v>65</v>
      </c>
      <c r="H41" s="214">
        <v>4</v>
      </c>
      <c r="I41" s="215">
        <f t="shared" si="14"/>
        <v>5.3</v>
      </c>
      <c r="J41" s="214">
        <f>$C$41*G41</f>
        <v>65</v>
      </c>
      <c r="K41" s="215">
        <f t="shared" si="15"/>
        <v>344.5</v>
      </c>
    </row>
    <row r="42" spans="1:11" ht="14.25" customHeight="1" thickBot="1">
      <c r="A42" s="1870"/>
      <c r="B42" s="1870"/>
      <c r="C42" s="220">
        <v>1</v>
      </c>
      <c r="D42" s="220"/>
      <c r="E42" s="220">
        <v>3</v>
      </c>
      <c r="F42" s="221"/>
      <c r="G42" s="221">
        <f t="shared" si="17"/>
        <v>65</v>
      </c>
      <c r="H42" s="221">
        <v>4</v>
      </c>
      <c r="I42" s="222">
        <f t="shared" si="14"/>
        <v>3</v>
      </c>
      <c r="J42" s="221">
        <f>$C$42*G42</f>
        <v>65</v>
      </c>
      <c r="K42" s="222">
        <f t="shared" si="15"/>
        <v>195</v>
      </c>
    </row>
    <row r="43" spans="1:11" ht="14.25" customHeight="1" thickTop="1" thickBot="1">
      <c r="A43" s="207"/>
      <c r="B43" s="207"/>
      <c r="C43" s="207"/>
      <c r="D43" s="207"/>
      <c r="E43" s="207"/>
      <c r="F43" s="207"/>
      <c r="G43" s="207"/>
      <c r="H43" s="207"/>
      <c r="I43" s="207"/>
      <c r="J43" s="207"/>
      <c r="K43" s="207"/>
    </row>
    <row r="44" spans="1:11" ht="14.25" customHeight="1" thickTop="1">
      <c r="A44" s="1872" t="s">
        <v>1212</v>
      </c>
      <c r="B44" s="208" t="s">
        <v>1213</v>
      </c>
      <c r="C44" s="208">
        <v>1</v>
      </c>
      <c r="D44" s="209"/>
      <c r="E44" s="209">
        <v>3.4</v>
      </c>
      <c r="F44" s="210"/>
      <c r="G44" s="210">
        <v>12</v>
      </c>
      <c r="H44" s="210">
        <v>5</v>
      </c>
      <c r="I44" s="211">
        <f>D44+E44+F44</f>
        <v>3.4</v>
      </c>
      <c r="J44" s="210">
        <f>$C$44*G44</f>
        <v>12</v>
      </c>
      <c r="K44" s="212">
        <f t="shared" ref="K44:K46" si="18">J44*I44*POWER(H44,2)/16</f>
        <v>63.749999999999993</v>
      </c>
    </row>
    <row r="45" spans="1:11" ht="14.25" customHeight="1">
      <c r="A45" s="1873"/>
      <c r="B45" s="269" t="s">
        <v>1214</v>
      </c>
      <c r="C45" s="269">
        <v>1</v>
      </c>
      <c r="D45" s="213"/>
      <c r="E45" s="213">
        <v>1.48</v>
      </c>
      <c r="F45" s="214"/>
      <c r="G45" s="214">
        <v>35</v>
      </c>
      <c r="H45" s="214">
        <v>3</v>
      </c>
      <c r="I45" s="215">
        <f>(D45+E45+F45)</f>
        <v>1.48</v>
      </c>
      <c r="J45" s="214">
        <f>$C$45*G45</f>
        <v>35</v>
      </c>
      <c r="K45" s="216">
        <f t="shared" si="18"/>
        <v>29.137499999999999</v>
      </c>
    </row>
    <row r="46" spans="1:11" ht="14.25" customHeight="1" thickBot="1">
      <c r="A46" s="1874"/>
      <c r="B46" s="272" t="s">
        <v>1215</v>
      </c>
      <c r="C46" s="272">
        <v>1</v>
      </c>
      <c r="D46" s="220"/>
      <c r="E46" s="220">
        <v>1.1200000000000001</v>
      </c>
      <c r="F46" s="221"/>
      <c r="G46" s="221">
        <v>35</v>
      </c>
      <c r="H46" s="221">
        <v>3</v>
      </c>
      <c r="I46" s="222">
        <f>(D46+E46+F46)</f>
        <v>1.1200000000000001</v>
      </c>
      <c r="J46" s="221">
        <f>$C$46*G46</f>
        <v>35</v>
      </c>
      <c r="K46" s="223">
        <f t="shared" si="18"/>
        <v>22.05</v>
      </c>
    </row>
    <row r="47" spans="1:11" ht="14.25" customHeight="1" thickTop="1" thickBot="1">
      <c r="A47" s="224"/>
      <c r="B47" s="224"/>
      <c r="C47" s="224"/>
      <c r="D47" s="224"/>
      <c r="E47" s="224"/>
      <c r="F47" s="228"/>
      <c r="G47" s="228"/>
      <c r="H47" s="228"/>
      <c r="I47" s="266"/>
      <c r="J47" s="228"/>
      <c r="K47" s="266"/>
    </row>
    <row r="48" spans="1:11" ht="14.25" customHeight="1" thickTop="1">
      <c r="A48" s="1872" t="s">
        <v>1216</v>
      </c>
      <c r="B48" s="1868" t="s">
        <v>1217</v>
      </c>
      <c r="C48" s="208">
        <v>4</v>
      </c>
      <c r="D48" s="209"/>
      <c r="E48" s="209">
        <v>5.0999999999999996</v>
      </c>
      <c r="F48" s="210"/>
      <c r="G48" s="210">
        <v>3</v>
      </c>
      <c r="H48" s="273">
        <v>5</v>
      </c>
      <c r="I48" s="274">
        <f>D48+E48+F48</f>
        <v>5.0999999999999996</v>
      </c>
      <c r="J48" s="273">
        <f>$C$48*G48</f>
        <v>12</v>
      </c>
      <c r="K48" s="275">
        <f t="shared" ref="K48:K51" si="19">J48*I48*POWER(H48,2)/16</f>
        <v>95.625</v>
      </c>
    </row>
    <row r="49" spans="1:11" ht="14.25" customHeight="1">
      <c r="A49" s="1873"/>
      <c r="B49" s="1869"/>
      <c r="C49" s="269">
        <v>2</v>
      </c>
      <c r="D49" s="262"/>
      <c r="E49" s="262">
        <v>4.5</v>
      </c>
      <c r="F49" s="261"/>
      <c r="G49" s="261">
        <v>3</v>
      </c>
      <c r="H49" s="214">
        <v>5</v>
      </c>
      <c r="I49" s="215">
        <f>D49+E49+F49</f>
        <v>4.5</v>
      </c>
      <c r="J49" s="214">
        <f>$C$49*G49</f>
        <v>6</v>
      </c>
      <c r="K49" s="215">
        <f t="shared" si="19"/>
        <v>42.1875</v>
      </c>
    </row>
    <row r="50" spans="1:11" ht="14.25" customHeight="1">
      <c r="A50" s="1873"/>
      <c r="B50" s="1869"/>
      <c r="C50" s="269">
        <v>4</v>
      </c>
      <c r="D50" s="262"/>
      <c r="E50" s="262">
        <v>5.85</v>
      </c>
      <c r="F50" s="261"/>
      <c r="G50" s="261">
        <v>3</v>
      </c>
      <c r="H50" s="214">
        <v>5</v>
      </c>
      <c r="I50" s="215">
        <f>D50+E50+F50</f>
        <v>5.85</v>
      </c>
      <c r="J50" s="214">
        <f>$C$50*G50</f>
        <v>12</v>
      </c>
      <c r="K50" s="215">
        <f t="shared" si="19"/>
        <v>109.68749999999999</v>
      </c>
    </row>
    <row r="51" spans="1:11" ht="14.25" customHeight="1">
      <c r="A51" s="1873"/>
      <c r="B51" s="1869"/>
      <c r="C51" s="269">
        <v>2</v>
      </c>
      <c r="D51" s="262"/>
      <c r="E51" s="262">
        <v>3</v>
      </c>
      <c r="F51" s="261"/>
      <c r="G51" s="261">
        <v>3</v>
      </c>
      <c r="H51" s="214">
        <v>5</v>
      </c>
      <c r="I51" s="215">
        <f>D51+E51+F51</f>
        <v>3</v>
      </c>
      <c r="J51" s="214">
        <f>$C$51*G51</f>
        <v>6</v>
      </c>
      <c r="K51" s="215">
        <f t="shared" si="19"/>
        <v>28.125</v>
      </c>
    </row>
    <row r="52" spans="1:11" ht="14.25" customHeight="1" thickBot="1">
      <c r="A52" s="1874"/>
      <c r="B52" s="272" t="s">
        <v>1214</v>
      </c>
      <c r="C52" s="272">
        <v>2</v>
      </c>
      <c r="D52" s="220"/>
      <c r="E52" s="220">
        <f>(0.22*2+0.27*2)+0.08+0.08</f>
        <v>1.1400000000000001</v>
      </c>
      <c r="F52" s="221"/>
      <c r="G52" s="221">
        <f>10+26+34+34+26+10</f>
        <v>140</v>
      </c>
      <c r="H52" s="221">
        <v>3</v>
      </c>
      <c r="I52" s="222">
        <f>E52</f>
        <v>1.1400000000000001</v>
      </c>
      <c r="J52" s="221">
        <f>$C$52*G52</f>
        <v>280</v>
      </c>
      <c r="K52" s="222">
        <f>J52*I52*POWER(H52,2)/16</f>
        <v>179.55</v>
      </c>
    </row>
    <row r="53" spans="1:11" ht="14.25" customHeight="1" thickTop="1" thickBot="1">
      <c r="A53" s="207"/>
      <c r="B53" s="224"/>
      <c r="C53" s="224"/>
      <c r="D53" s="224"/>
      <c r="E53" s="224"/>
      <c r="F53" s="228"/>
      <c r="G53" s="228"/>
      <c r="H53" s="228"/>
      <c r="I53" s="1896" t="s">
        <v>1191</v>
      </c>
      <c r="J53" s="1817"/>
      <c r="K53" s="1312">
        <f>SUM(K7:K52)</f>
        <v>11661.525</v>
      </c>
    </row>
    <row r="54" spans="1:11" ht="14.25" customHeight="1">
      <c r="A54" s="72" t="s">
        <v>271</v>
      </c>
    </row>
    <row r="55" spans="1:11" ht="14.25" customHeight="1"/>
    <row r="56" spans="1:11" ht="14.25" customHeight="1"/>
    <row r="57" spans="1:11" ht="15" customHeight="1">
      <c r="A57" s="1895" t="s">
        <v>273</v>
      </c>
      <c r="B57" s="1605"/>
      <c r="C57" s="1605"/>
      <c r="D57" s="276"/>
    </row>
    <row r="58" spans="1:11" ht="14.25" customHeight="1">
      <c r="A58" s="1890" t="s">
        <v>275</v>
      </c>
      <c r="B58" s="1605"/>
      <c r="C58" s="1605"/>
      <c r="D58" s="74"/>
    </row>
  </sheetData>
  <mergeCells count="31">
    <mergeCell ref="I53:J53"/>
    <mergeCell ref="A1:K1"/>
    <mergeCell ref="A2:K3"/>
    <mergeCell ref="A4:A5"/>
    <mergeCell ref="C4:C5"/>
    <mergeCell ref="D4:F4"/>
    <mergeCell ref="G4:G5"/>
    <mergeCell ref="H4:H5"/>
    <mergeCell ref="I4:I5"/>
    <mergeCell ref="J4:J5"/>
    <mergeCell ref="K4:K5"/>
    <mergeCell ref="A7:A12"/>
    <mergeCell ref="B11:B12"/>
    <mergeCell ref="B4:B5"/>
    <mergeCell ref="B7:B10"/>
    <mergeCell ref="A14:A21"/>
    <mergeCell ref="B14:B17"/>
    <mergeCell ref="B19:B21"/>
    <mergeCell ref="A58:C58"/>
    <mergeCell ref="B23:B28"/>
    <mergeCell ref="B30:B31"/>
    <mergeCell ref="A33:A42"/>
    <mergeCell ref="B33:B38"/>
    <mergeCell ref="B39:B42"/>
    <mergeCell ref="A44:A46"/>
    <mergeCell ref="B48:B51"/>
    <mergeCell ref="A23:A31"/>
    <mergeCell ref="C23:C28"/>
    <mergeCell ref="C30:C31"/>
    <mergeCell ref="A48:A52"/>
    <mergeCell ref="A57:C57"/>
  </mergeCells>
  <pageMargins left="0.7" right="0.7" top="0.75" bottom="0.75" header="0" footer="0"/>
  <pageSetup scale="76" orientation="portrait"/>
  <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48"/>
  <sheetViews>
    <sheetView workbookViewId="0"/>
  </sheetViews>
  <sheetFormatPr baseColWidth="10" defaultColWidth="14.44140625" defaultRowHeight="15" customHeight="1"/>
  <cols>
    <col min="1" max="1" width="29.44140625" customWidth="1"/>
    <col min="2" max="2" width="61.109375" customWidth="1"/>
    <col min="3" max="3" width="9.5546875" customWidth="1"/>
    <col min="4" max="5" width="11" customWidth="1"/>
    <col min="6" max="6" width="14.33203125" customWidth="1"/>
    <col min="7" max="7" width="17.6640625" customWidth="1"/>
    <col min="8" max="26" width="25.44140625" customWidth="1"/>
  </cols>
  <sheetData>
    <row r="1" spans="1:7" ht="14.25" customHeight="1">
      <c r="A1" s="1926" t="e">
        <f ca="1">+_xlfn.SINGLE(#REF!)</f>
        <v>#NAME?</v>
      </c>
      <c r="B1" s="1616"/>
      <c r="C1" s="1616"/>
      <c r="D1" s="1616"/>
      <c r="E1" s="1616"/>
      <c r="F1" s="1616"/>
      <c r="G1" s="1624"/>
    </row>
    <row r="2" spans="1:7" ht="14.25" customHeight="1">
      <c r="A2" s="1927" t="e">
        <f ca="1">+_xlfn.SINGLE(#REF!)</f>
        <v>#NAME?</v>
      </c>
      <c r="B2" s="1605"/>
      <c r="C2" s="1605"/>
      <c r="D2" s="1605"/>
      <c r="E2" s="1605"/>
      <c r="F2" s="1605"/>
      <c r="G2" s="1606"/>
    </row>
    <row r="3" spans="1:7" ht="6.75" customHeight="1">
      <c r="A3" s="1928"/>
      <c r="B3" s="1605"/>
      <c r="C3" s="1605"/>
      <c r="D3" s="1605"/>
      <c r="E3" s="1605"/>
      <c r="F3" s="1605"/>
      <c r="G3" s="1606"/>
    </row>
    <row r="4" spans="1:7" ht="16.5" customHeight="1">
      <c r="A4" s="282" t="s">
        <v>1227</v>
      </c>
      <c r="B4" s="1921" t="s">
        <v>1228</v>
      </c>
      <c r="C4" s="1605"/>
      <c r="D4" s="1605"/>
      <c r="E4" s="1605"/>
      <c r="F4" s="1605"/>
      <c r="G4" s="284"/>
    </row>
    <row r="5" spans="1:7" ht="6" customHeight="1">
      <c r="A5" s="282"/>
      <c r="B5" s="1921"/>
      <c r="C5" s="1605"/>
      <c r="D5" s="1605"/>
      <c r="E5" s="1605"/>
      <c r="F5" s="1605"/>
      <c r="G5" s="285"/>
    </row>
    <row r="6" spans="1:7" ht="14.25" customHeight="1">
      <c r="A6" s="282" t="s">
        <v>1229</v>
      </c>
      <c r="B6" s="1921" t="s">
        <v>1230</v>
      </c>
      <c r="C6" s="1605"/>
      <c r="D6" s="1605"/>
      <c r="E6" s="1605"/>
      <c r="F6" s="1605"/>
      <c r="G6" s="285"/>
    </row>
    <row r="7" spans="1:7" ht="15" customHeight="1">
      <c r="A7" s="282" t="s">
        <v>1231</v>
      </c>
      <c r="B7" s="1922" t="s">
        <v>1232</v>
      </c>
      <c r="C7" s="1605"/>
      <c r="D7" s="1605"/>
      <c r="E7" s="1605"/>
      <c r="F7" s="1605"/>
      <c r="G7" s="1606"/>
    </row>
    <row r="8" spans="1:7" ht="14.25" customHeight="1">
      <c r="A8" s="282" t="s">
        <v>1233</v>
      </c>
      <c r="B8" s="1915">
        <v>10</v>
      </c>
      <c r="C8" s="1605"/>
      <c r="D8" s="1605"/>
      <c r="E8" s="1605"/>
      <c r="F8" s="1605"/>
      <c r="G8" s="286"/>
    </row>
    <row r="9" spans="1:7" ht="14.25" customHeight="1">
      <c r="A9" s="282" t="s">
        <v>1234</v>
      </c>
      <c r="B9" s="1915">
        <v>4</v>
      </c>
      <c r="C9" s="1605"/>
      <c r="D9" s="1605"/>
      <c r="E9" s="1605"/>
      <c r="F9" s="1605"/>
      <c r="G9" s="286"/>
    </row>
    <row r="10" spans="1:7" ht="14.25" customHeight="1">
      <c r="A10" s="282" t="s">
        <v>1235</v>
      </c>
      <c r="B10" s="287">
        <v>35</v>
      </c>
      <c r="C10" s="287"/>
      <c r="D10" s="287"/>
      <c r="E10" s="287"/>
      <c r="F10" s="288"/>
      <c r="G10" s="289"/>
    </row>
    <row r="11" spans="1:7" ht="6" customHeight="1">
      <c r="A11" s="282"/>
      <c r="B11" s="283"/>
      <c r="C11" s="283"/>
      <c r="D11" s="283"/>
      <c r="E11" s="283"/>
      <c r="F11" s="283"/>
      <c r="G11" s="286"/>
    </row>
    <row r="12" spans="1:7" ht="14.25" customHeight="1">
      <c r="A12" s="282" t="s">
        <v>1236</v>
      </c>
      <c r="B12" s="287" t="s">
        <v>1237</v>
      </c>
      <c r="C12" s="287"/>
      <c r="D12" s="287"/>
      <c r="E12" s="287"/>
      <c r="F12" s="287"/>
      <c r="G12" s="286"/>
    </row>
    <row r="13" spans="1:7" ht="14.25" customHeight="1">
      <c r="A13" s="290" t="s">
        <v>1238</v>
      </c>
      <c r="B13" s="291" t="s">
        <v>1239</v>
      </c>
      <c r="C13" s="292"/>
      <c r="D13" s="292"/>
      <c r="E13" s="292"/>
      <c r="F13" s="292"/>
      <c r="G13" s="293"/>
    </row>
    <row r="14" spans="1:7" ht="14.25" customHeight="1">
      <c r="A14" s="1916" t="s">
        <v>1240</v>
      </c>
      <c r="B14" s="1601"/>
      <c r="C14" s="1601"/>
      <c r="D14" s="1601"/>
      <c r="E14" s="1601"/>
      <c r="F14" s="1601"/>
      <c r="G14" s="1602"/>
    </row>
    <row r="15" spans="1:7" ht="14.25" customHeight="1">
      <c r="A15" s="294" t="s">
        <v>1241</v>
      </c>
      <c r="B15" s="294" t="s">
        <v>1242</v>
      </c>
      <c r="C15" s="294" t="s">
        <v>1219</v>
      </c>
      <c r="D15" s="294" t="s">
        <v>1243</v>
      </c>
      <c r="E15" s="294" t="s">
        <v>1244</v>
      </c>
      <c r="F15" s="295" t="s">
        <v>1245</v>
      </c>
      <c r="G15" s="294" t="s">
        <v>1246</v>
      </c>
    </row>
    <row r="16" spans="1:7" ht="14.25" customHeight="1">
      <c r="A16" s="296" t="s">
        <v>1247</v>
      </c>
      <c r="B16" s="297" t="s">
        <v>1248</v>
      </c>
      <c r="C16" s="298" t="s">
        <v>1249</v>
      </c>
      <c r="D16" s="299">
        <f>+B8</f>
        <v>10</v>
      </c>
      <c r="E16" s="300">
        <f>+B10</f>
        <v>35</v>
      </c>
      <c r="F16" s="301">
        <v>13350</v>
      </c>
      <c r="G16" s="302">
        <f t="shared" ref="G16:G22" si="0">+E16*F16*D16</f>
        <v>4672500</v>
      </c>
    </row>
    <row r="17" spans="1:7" ht="14.25" customHeight="1">
      <c r="A17" s="303" t="s">
        <v>1250</v>
      </c>
      <c r="B17" s="304" t="s">
        <v>1251</v>
      </c>
      <c r="C17" s="305" t="s">
        <v>1249</v>
      </c>
      <c r="D17" s="306">
        <f>+B8</f>
        <v>10</v>
      </c>
      <c r="E17" s="306">
        <f>+B9</f>
        <v>4</v>
      </c>
      <c r="F17" s="307">
        <v>29695.833333333328</v>
      </c>
      <c r="G17" s="308">
        <f t="shared" si="0"/>
        <v>1187833.333333333</v>
      </c>
    </row>
    <row r="18" spans="1:7" ht="14.25" customHeight="1">
      <c r="A18" s="303" t="s">
        <v>1252</v>
      </c>
      <c r="B18" s="304" t="s">
        <v>1253</v>
      </c>
      <c r="C18" s="305" t="s">
        <v>1249</v>
      </c>
      <c r="D18" s="306">
        <f>+B8</f>
        <v>10</v>
      </c>
      <c r="E18" s="305">
        <v>15</v>
      </c>
      <c r="F18" s="307">
        <v>30475</v>
      </c>
      <c r="G18" s="308">
        <f t="shared" si="0"/>
        <v>4571250</v>
      </c>
    </row>
    <row r="19" spans="1:7" ht="14.25" customHeight="1">
      <c r="A19" s="303" t="s">
        <v>1254</v>
      </c>
      <c r="B19" s="309" t="s">
        <v>1255</v>
      </c>
      <c r="C19" s="305" t="s">
        <v>1249</v>
      </c>
      <c r="D19" s="306">
        <f>+D17</f>
        <v>10</v>
      </c>
      <c r="E19" s="306">
        <v>15</v>
      </c>
      <c r="F19" s="307">
        <v>19433.333333333332</v>
      </c>
      <c r="G19" s="308">
        <f t="shared" si="0"/>
        <v>2915000</v>
      </c>
    </row>
    <row r="20" spans="1:7" ht="14.25" customHeight="1">
      <c r="A20" s="303" t="s">
        <v>1256</v>
      </c>
      <c r="B20" s="304" t="s">
        <v>1257</v>
      </c>
      <c r="C20" s="305" t="s">
        <v>1249</v>
      </c>
      <c r="D20" s="306">
        <f>+B8</f>
        <v>10</v>
      </c>
      <c r="E20" s="306">
        <f>+B9</f>
        <v>4</v>
      </c>
      <c r="F20" s="307">
        <v>5833.3333333333321</v>
      </c>
      <c r="G20" s="308">
        <f t="shared" si="0"/>
        <v>233333.33333333328</v>
      </c>
    </row>
    <row r="21" spans="1:7" ht="14.25" customHeight="1">
      <c r="A21" s="303" t="s">
        <v>1258</v>
      </c>
      <c r="B21" s="309" t="s">
        <v>1259</v>
      </c>
      <c r="C21" s="305" t="s">
        <v>127</v>
      </c>
      <c r="D21" s="305">
        <v>1</v>
      </c>
      <c r="E21" s="310">
        <f>B10</f>
        <v>35</v>
      </c>
      <c r="F21" s="307">
        <v>75000</v>
      </c>
      <c r="G21" s="308">
        <f t="shared" si="0"/>
        <v>2625000</v>
      </c>
    </row>
    <row r="22" spans="1:7" ht="14.25" customHeight="1">
      <c r="A22" s="303" t="s">
        <v>1260</v>
      </c>
      <c r="B22" s="309" t="s">
        <v>1261</v>
      </c>
      <c r="C22" s="305" t="s">
        <v>127</v>
      </c>
      <c r="D22" s="305">
        <v>1</v>
      </c>
      <c r="E22" s="310">
        <f>+E18</f>
        <v>15</v>
      </c>
      <c r="F22" s="307">
        <v>92500</v>
      </c>
      <c r="G22" s="308">
        <f t="shared" si="0"/>
        <v>1387500</v>
      </c>
    </row>
    <row r="23" spans="1:7" ht="6.75" customHeight="1">
      <c r="A23" s="311"/>
      <c r="B23" s="312"/>
      <c r="C23" s="313"/>
      <c r="D23" s="313"/>
      <c r="E23" s="313"/>
      <c r="F23" s="314"/>
      <c r="G23" s="315"/>
    </row>
    <row r="24" spans="1:7" ht="14.25" customHeight="1">
      <c r="A24" s="316"/>
      <c r="B24" s="317"/>
      <c r="C24" s="1917" t="s">
        <v>1262</v>
      </c>
      <c r="D24" s="1601"/>
      <c r="E24" s="1601"/>
      <c r="F24" s="1602"/>
      <c r="G24" s="318">
        <f>SUM(G16:G23)</f>
        <v>17592416.666666664</v>
      </c>
    </row>
    <row r="25" spans="1:7" ht="14.25" customHeight="1">
      <c r="A25" s="1918"/>
      <c r="B25" s="1608"/>
      <c r="C25" s="1608"/>
      <c r="D25" s="1608"/>
      <c r="E25" s="1608"/>
      <c r="F25" s="1608"/>
      <c r="G25" s="1919"/>
    </row>
    <row r="26" spans="1:7" ht="14.25" customHeight="1">
      <c r="A26" s="1916" t="s">
        <v>1263</v>
      </c>
      <c r="B26" s="1601"/>
      <c r="C26" s="1601"/>
      <c r="D26" s="1601"/>
      <c r="E26" s="1601"/>
      <c r="F26" s="1601"/>
      <c r="G26" s="1602"/>
    </row>
    <row r="27" spans="1:7" ht="14.25" customHeight="1">
      <c r="A27" s="294" t="s">
        <v>1264</v>
      </c>
      <c r="B27" s="294" t="s">
        <v>1242</v>
      </c>
      <c r="C27" s="294" t="s">
        <v>1265</v>
      </c>
      <c r="D27" s="294" t="s">
        <v>1243</v>
      </c>
      <c r="E27" s="294" t="s">
        <v>1244</v>
      </c>
      <c r="F27" s="319" t="s">
        <v>1245</v>
      </c>
      <c r="G27" s="294" t="s">
        <v>1246</v>
      </c>
    </row>
    <row r="28" spans="1:7" ht="14.25" customHeight="1">
      <c r="A28" s="296" t="s">
        <v>1266</v>
      </c>
      <c r="B28" s="320" t="s">
        <v>1267</v>
      </c>
      <c r="C28" s="298" t="s">
        <v>1249</v>
      </c>
      <c r="D28" s="321">
        <f>+B8</f>
        <v>10</v>
      </c>
      <c r="E28" s="299">
        <f>+B9</f>
        <v>4</v>
      </c>
      <c r="F28" s="322">
        <v>34550</v>
      </c>
      <c r="G28" s="323">
        <f>D28*E28*F28</f>
        <v>1382000</v>
      </c>
    </row>
    <row r="29" spans="1:7" ht="14.25" customHeight="1">
      <c r="A29" s="324" t="s">
        <v>1268</v>
      </c>
      <c r="B29" s="304" t="s">
        <v>1269</v>
      </c>
      <c r="C29" s="305" t="s">
        <v>1249</v>
      </c>
      <c r="D29" s="310">
        <f>+B8</f>
        <v>10</v>
      </c>
      <c r="E29" s="306">
        <f>+B9</f>
        <v>4</v>
      </c>
      <c r="F29" s="325">
        <v>42450</v>
      </c>
      <c r="G29" s="326">
        <f>+E29*F29*D29</f>
        <v>1698000</v>
      </c>
    </row>
    <row r="30" spans="1:7" ht="14.25" customHeight="1">
      <c r="A30" s="324" t="s">
        <v>1270</v>
      </c>
      <c r="B30" s="304" t="s">
        <v>1271</v>
      </c>
      <c r="C30" s="305" t="s">
        <v>1249</v>
      </c>
      <c r="D30" s="310">
        <f>+B8</f>
        <v>10</v>
      </c>
      <c r="E30" s="306">
        <f>+B9</f>
        <v>4</v>
      </c>
      <c r="F30" s="325">
        <v>12400</v>
      </c>
      <c r="G30" s="326">
        <f>+D30*E30*F30</f>
        <v>496000</v>
      </c>
    </row>
    <row r="31" spans="1:7" ht="14.25" customHeight="1">
      <c r="A31" s="324" t="s">
        <v>1272</v>
      </c>
      <c r="B31" s="327" t="s">
        <v>1273</v>
      </c>
      <c r="C31" s="305" t="s">
        <v>1249</v>
      </c>
      <c r="D31" s="310">
        <f>+B8</f>
        <v>10</v>
      </c>
      <c r="E31" s="306">
        <v>4</v>
      </c>
      <c r="F31" s="325">
        <v>15000</v>
      </c>
      <c r="G31" s="326">
        <f t="shared" ref="G31:G33" si="1">F31*E31*D31</f>
        <v>600000</v>
      </c>
    </row>
    <row r="32" spans="1:7" ht="14.25" customHeight="1">
      <c r="A32" s="324" t="s">
        <v>1274</v>
      </c>
      <c r="B32" s="304" t="s">
        <v>1275</v>
      </c>
      <c r="C32" s="305" t="s">
        <v>1249</v>
      </c>
      <c r="D32" s="310">
        <f>+B8</f>
        <v>10</v>
      </c>
      <c r="E32" s="306">
        <v>4</v>
      </c>
      <c r="F32" s="325">
        <v>12500</v>
      </c>
      <c r="G32" s="326">
        <f t="shared" si="1"/>
        <v>500000</v>
      </c>
    </row>
    <row r="33" spans="1:8" ht="14.25" customHeight="1">
      <c r="A33" s="324" t="s">
        <v>1276</v>
      </c>
      <c r="B33" s="304" t="s">
        <v>1277</v>
      </c>
      <c r="C33" s="305" t="s">
        <v>1249</v>
      </c>
      <c r="D33" s="310">
        <f t="shared" ref="D33:E33" si="2">+D32</f>
        <v>10</v>
      </c>
      <c r="E33" s="306">
        <f t="shared" si="2"/>
        <v>4</v>
      </c>
      <c r="F33" s="325">
        <v>320000</v>
      </c>
      <c r="G33" s="326">
        <f t="shared" si="1"/>
        <v>12800000</v>
      </c>
      <c r="H33" s="59"/>
    </row>
    <row r="34" spans="1:8" ht="14.25" hidden="1" customHeight="1">
      <c r="A34" s="324" t="s">
        <v>1278</v>
      </c>
      <c r="B34" s="304" t="s">
        <v>1279</v>
      </c>
      <c r="C34" s="305" t="s">
        <v>1249</v>
      </c>
      <c r="D34" s="310">
        <v>1</v>
      </c>
      <c r="E34" s="306">
        <v>0</v>
      </c>
      <c r="F34" s="325">
        <v>140000</v>
      </c>
      <c r="G34" s="326">
        <f>+E34*F34*D34</f>
        <v>0</v>
      </c>
      <c r="H34" s="59"/>
    </row>
    <row r="35" spans="1:8" ht="14.25" hidden="1" customHeight="1">
      <c r="A35" s="303" t="s">
        <v>1280</v>
      </c>
      <c r="B35" s="304" t="s">
        <v>1281</v>
      </c>
      <c r="C35" s="305" t="s">
        <v>1249</v>
      </c>
      <c r="D35" s="310">
        <f>+B8</f>
        <v>10</v>
      </c>
      <c r="E35" s="306">
        <v>0</v>
      </c>
      <c r="F35" s="325">
        <v>185000</v>
      </c>
      <c r="G35" s="328">
        <f t="shared" ref="G35:G37" si="3">D35*E35*F35</f>
        <v>0</v>
      </c>
      <c r="H35" s="59"/>
    </row>
    <row r="36" spans="1:8" ht="14.25" customHeight="1">
      <c r="A36" s="303" t="s">
        <v>1282</v>
      </c>
      <c r="B36" s="304" t="s">
        <v>1283</v>
      </c>
      <c r="C36" s="305" t="s">
        <v>1249</v>
      </c>
      <c r="D36" s="310">
        <f>+B8</f>
        <v>10</v>
      </c>
      <c r="E36" s="306">
        <f>+E33</f>
        <v>4</v>
      </c>
      <c r="F36" s="325">
        <v>125000</v>
      </c>
      <c r="G36" s="328">
        <f t="shared" si="3"/>
        <v>5000000</v>
      </c>
      <c r="H36" s="59"/>
    </row>
    <row r="37" spans="1:8" ht="14.25" customHeight="1">
      <c r="A37" s="329" t="s">
        <v>1284</v>
      </c>
      <c r="B37" s="330" t="s">
        <v>1285</v>
      </c>
      <c r="C37" s="331" t="s">
        <v>1249</v>
      </c>
      <c r="D37" s="332">
        <f>+B8</f>
        <v>10</v>
      </c>
      <c r="E37" s="333">
        <v>1</v>
      </c>
      <c r="F37" s="334">
        <v>1370005.1333333345</v>
      </c>
      <c r="G37" s="335">
        <f t="shared" si="3"/>
        <v>13700051.333333345</v>
      </c>
      <c r="H37" s="59"/>
    </row>
    <row r="38" spans="1:8" ht="14.25" customHeight="1">
      <c r="A38" s="1920" t="s">
        <v>1286</v>
      </c>
      <c r="B38" s="1601"/>
      <c r="C38" s="1601"/>
      <c r="D38" s="1601"/>
      <c r="E38" s="1601"/>
      <c r="F38" s="1602"/>
      <c r="G38" s="336">
        <f>SUM(G28:G37)</f>
        <v>36176051.333333343</v>
      </c>
      <c r="H38" s="59"/>
    </row>
    <row r="39" spans="1:8" ht="14.25" customHeight="1">
      <c r="A39" s="1923"/>
      <c r="B39" s="1605"/>
      <c r="C39" s="1605"/>
      <c r="D39" s="1605"/>
      <c r="E39" s="1605"/>
      <c r="F39" s="1605"/>
      <c r="G39" s="1606"/>
      <c r="H39" s="59"/>
    </row>
    <row r="40" spans="1:8" ht="14.25" customHeight="1">
      <c r="A40" s="1924" t="s">
        <v>1287</v>
      </c>
      <c r="B40" s="1610"/>
      <c r="C40" s="1610"/>
      <c r="D40" s="1610"/>
      <c r="E40" s="1610"/>
      <c r="F40" s="1925"/>
      <c r="G40" s="337">
        <f>G24+G38</f>
        <v>53768468.000000007</v>
      </c>
      <c r="H40" s="59">
        <v>53768467.74397736</v>
      </c>
    </row>
    <row r="41" spans="1:8" ht="14.25" customHeight="1">
      <c r="A41" s="1923"/>
      <c r="B41" s="1605"/>
      <c r="C41" s="1605"/>
      <c r="D41" s="1605"/>
      <c r="E41" s="1605"/>
      <c r="F41" s="1605"/>
      <c r="G41" s="1606"/>
      <c r="H41" s="59"/>
    </row>
    <row r="42" spans="1:8" ht="14.25" customHeight="1">
      <c r="A42" s="1913" t="s">
        <v>1288</v>
      </c>
      <c r="B42" s="1601"/>
      <c r="C42" s="1601"/>
      <c r="D42" s="1914" t="e">
        <f>+#REF!</f>
        <v>#REF!</v>
      </c>
      <c r="E42" s="1602"/>
      <c r="F42" s="338" t="s">
        <v>1220</v>
      </c>
      <c r="G42" s="339" t="e">
        <f>G40/D42</f>
        <v>#REF!</v>
      </c>
      <c r="H42" s="59"/>
    </row>
    <row r="43" spans="1:8" ht="14.25" customHeight="1">
      <c r="A43" s="59"/>
      <c r="B43" s="59"/>
      <c r="C43" s="59"/>
      <c r="D43" s="59"/>
      <c r="E43" s="59"/>
      <c r="F43" s="59"/>
      <c r="G43" s="59"/>
      <c r="H43" s="59"/>
    </row>
    <row r="44" spans="1:8" ht="14.25" customHeight="1">
      <c r="A44" s="59"/>
      <c r="B44" s="59"/>
      <c r="C44" s="59"/>
      <c r="D44" s="59"/>
      <c r="E44" s="59"/>
      <c r="F44" s="59"/>
      <c r="G44" s="59"/>
      <c r="H44" s="59"/>
    </row>
    <row r="45" spans="1:8" ht="14.25" customHeight="1">
      <c r="A45" s="59"/>
      <c r="B45" s="59"/>
      <c r="C45" s="59"/>
      <c r="D45" s="59"/>
      <c r="E45" s="59"/>
      <c r="F45" s="59"/>
      <c r="G45" s="59"/>
      <c r="H45" s="59"/>
    </row>
    <row r="46" spans="1:8" ht="14.25" customHeight="1">
      <c r="A46" s="168" t="s">
        <v>558</v>
      </c>
      <c r="B46" s="59"/>
      <c r="C46" s="176" t="s">
        <v>1289</v>
      </c>
      <c r="D46" s="59"/>
      <c r="E46" s="59"/>
      <c r="F46" s="59"/>
      <c r="G46" s="59"/>
      <c r="H46" s="59"/>
    </row>
    <row r="47" spans="1:8" ht="14.25" customHeight="1">
      <c r="A47" s="76" t="s">
        <v>559</v>
      </c>
      <c r="B47" s="59"/>
      <c r="C47" s="59"/>
      <c r="D47" s="59"/>
      <c r="E47" s="59"/>
      <c r="F47" s="59"/>
      <c r="G47" s="59"/>
      <c r="H47" s="59"/>
    </row>
    <row r="48" spans="1:8" ht="14.25" customHeight="1">
      <c r="A48" s="76" t="s">
        <v>560</v>
      </c>
      <c r="B48" s="59"/>
      <c r="C48" s="59"/>
      <c r="D48" s="59"/>
      <c r="E48" s="59"/>
      <c r="F48" s="59"/>
      <c r="G48" s="59"/>
      <c r="H48" s="59"/>
    </row>
  </sheetData>
  <mergeCells count="19">
    <mergeCell ref="A1:G1"/>
    <mergeCell ref="A2:G2"/>
    <mergeCell ref="A3:G3"/>
    <mergeCell ref="B4:F4"/>
    <mergeCell ref="B5:F5"/>
    <mergeCell ref="B6:F6"/>
    <mergeCell ref="B7:G7"/>
    <mergeCell ref="A39:G39"/>
    <mergeCell ref="A40:F40"/>
    <mergeCell ref="A41:G41"/>
    <mergeCell ref="A42:C42"/>
    <mergeCell ref="D42:E42"/>
    <mergeCell ref="B8:F8"/>
    <mergeCell ref="B9:F9"/>
    <mergeCell ref="A14:G14"/>
    <mergeCell ref="C24:F24"/>
    <mergeCell ref="A25:G25"/>
    <mergeCell ref="A26:G26"/>
    <mergeCell ref="A38:F38"/>
  </mergeCells>
  <printOptions horizontalCentered="1"/>
  <pageMargins left="0.55118110236220474" right="0.27" top="0.8" bottom="0.59055118110236227" header="0" footer="0"/>
  <pageSetup orientation="portrait"/>
  <colBreaks count="1" manualBreakCount="1">
    <brk id="7" man="1"/>
  </colBreaks>
  <legacy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J38"/>
  <sheetViews>
    <sheetView workbookViewId="0"/>
  </sheetViews>
  <sheetFormatPr baseColWidth="10" defaultColWidth="14.44140625" defaultRowHeight="15" customHeight="1"/>
  <cols>
    <col min="1" max="1" width="7.6640625" customWidth="1"/>
    <col min="2" max="2" width="35.6640625" customWidth="1"/>
    <col min="3" max="3" width="8.44140625" customWidth="1"/>
    <col min="4" max="4" width="6.5546875" customWidth="1"/>
    <col min="5" max="5" width="13.33203125" customWidth="1"/>
    <col min="6" max="6" width="12" customWidth="1"/>
    <col min="7" max="7" width="7.44140625" customWidth="1"/>
    <col min="8" max="8" width="13.33203125" customWidth="1"/>
    <col min="9" max="10" width="11.44140625" customWidth="1"/>
    <col min="11" max="26" width="8.88671875" customWidth="1"/>
  </cols>
  <sheetData>
    <row r="1" spans="1:8" ht="14.25" customHeight="1">
      <c r="A1" s="1946" t="e">
        <f>+#REF!</f>
        <v>#REF!</v>
      </c>
      <c r="B1" s="1605"/>
      <c r="C1" s="1605"/>
      <c r="D1" s="1605"/>
      <c r="E1" s="1605"/>
      <c r="F1" s="1605"/>
      <c r="G1" s="1605"/>
      <c r="H1" s="1605"/>
    </row>
    <row r="2" spans="1:8" ht="16.5" customHeight="1">
      <c r="A2" s="1947" t="e">
        <f>+#REF!</f>
        <v>#REF!</v>
      </c>
      <c r="B2" s="1605"/>
      <c r="C2" s="1605"/>
      <c r="D2" s="1605"/>
      <c r="E2" s="1605"/>
      <c r="F2" s="1605"/>
      <c r="G2" s="1605"/>
      <c r="H2" s="1605"/>
    </row>
    <row r="3" spans="1:8" ht="30" customHeight="1">
      <c r="A3" s="1948" t="e">
        <f>+#REF!</f>
        <v>#REF!</v>
      </c>
      <c r="B3" s="1605"/>
      <c r="C3" s="1605"/>
      <c r="D3" s="1605"/>
      <c r="E3" s="1605"/>
      <c r="F3" s="1605"/>
      <c r="G3" s="1605"/>
      <c r="H3" s="1605"/>
    </row>
    <row r="4" spans="1:8" ht="9" customHeight="1">
      <c r="A4" s="1949"/>
      <c r="B4" s="1605"/>
      <c r="C4" s="1605"/>
      <c r="D4" s="1605"/>
      <c r="E4" s="1605"/>
      <c r="F4" s="1605"/>
      <c r="G4" s="1605"/>
      <c r="H4" s="1605"/>
    </row>
    <row r="5" spans="1:8" ht="14.25" customHeight="1">
      <c r="A5" s="1950" t="s">
        <v>1290</v>
      </c>
      <c r="B5" s="1817"/>
      <c r="C5" s="1817"/>
      <c r="D5" s="1817"/>
      <c r="E5" s="1817"/>
      <c r="F5" s="1817"/>
      <c r="G5" s="1817"/>
      <c r="H5" s="1817"/>
    </row>
    <row r="6" spans="1:8" ht="14.25" customHeight="1">
      <c r="A6" s="1936" t="s">
        <v>1241</v>
      </c>
      <c r="B6" s="1938" t="s">
        <v>1291</v>
      </c>
      <c r="C6" s="1938" t="s">
        <v>1219</v>
      </c>
      <c r="D6" s="1938" t="s">
        <v>1244</v>
      </c>
      <c r="E6" s="1938" t="s">
        <v>1292</v>
      </c>
      <c r="F6" s="1938" t="s">
        <v>1293</v>
      </c>
      <c r="G6" s="1939" t="s">
        <v>1294</v>
      </c>
      <c r="H6" s="1940" t="s">
        <v>1295</v>
      </c>
    </row>
    <row r="7" spans="1:8" ht="14.25" customHeight="1">
      <c r="A7" s="1937"/>
      <c r="B7" s="1876"/>
      <c r="C7" s="1876"/>
      <c r="D7" s="1876"/>
      <c r="E7" s="1876"/>
      <c r="F7" s="1876"/>
      <c r="G7" s="1876"/>
      <c r="H7" s="1941"/>
    </row>
    <row r="8" spans="1:8" ht="14.25" customHeight="1">
      <c r="A8" s="277" t="s">
        <v>1296</v>
      </c>
      <c r="B8" s="340" t="s">
        <v>1297</v>
      </c>
      <c r="C8" s="340"/>
      <c r="D8" s="340"/>
      <c r="E8" s="340"/>
      <c r="F8" s="340"/>
      <c r="G8" s="340"/>
      <c r="H8" s="341"/>
    </row>
    <row r="9" spans="1:8" ht="14.25" customHeight="1">
      <c r="A9" s="279">
        <v>1.1000000000000001</v>
      </c>
      <c r="B9" s="342" t="s">
        <v>1298</v>
      </c>
      <c r="C9" s="343" t="s">
        <v>1299</v>
      </c>
      <c r="D9" s="344">
        <v>1</v>
      </c>
      <c r="E9" s="345">
        <v>0.5</v>
      </c>
      <c r="F9" s="346" t="e">
        <f>+#REF!</f>
        <v>#REF!</v>
      </c>
      <c r="G9" s="343">
        <v>6</v>
      </c>
      <c r="H9" s="347" t="e">
        <f t="shared" ref="H9:H11" si="0">+G9*F9*D9*E9</f>
        <v>#REF!</v>
      </c>
    </row>
    <row r="10" spans="1:8" ht="14.25" customHeight="1">
      <c r="A10" s="279">
        <v>1.2</v>
      </c>
      <c r="B10" s="342" t="s">
        <v>1300</v>
      </c>
      <c r="C10" s="343" t="s">
        <v>1299</v>
      </c>
      <c r="D10" s="344">
        <v>1</v>
      </c>
      <c r="E10" s="345">
        <v>1</v>
      </c>
      <c r="F10" s="346" t="e">
        <f>+#REF!</f>
        <v>#REF!</v>
      </c>
      <c r="G10" s="343">
        <f t="shared" ref="G10:G11" si="1">+G9</f>
        <v>6</v>
      </c>
      <c r="H10" s="347" t="e">
        <f t="shared" si="0"/>
        <v>#REF!</v>
      </c>
    </row>
    <row r="11" spans="1:8" ht="14.25" customHeight="1">
      <c r="A11" s="279">
        <v>1.3</v>
      </c>
      <c r="B11" s="342" t="s">
        <v>1301</v>
      </c>
      <c r="C11" s="343" t="s">
        <v>1299</v>
      </c>
      <c r="D11" s="344">
        <v>1</v>
      </c>
      <c r="E11" s="345">
        <v>0.3</v>
      </c>
      <c r="F11" s="346" t="e">
        <f>+F9</f>
        <v>#REF!</v>
      </c>
      <c r="G11" s="343">
        <f t="shared" si="1"/>
        <v>6</v>
      </c>
      <c r="H11" s="347" t="e">
        <f t="shared" si="0"/>
        <v>#REF!</v>
      </c>
    </row>
    <row r="12" spans="1:8" ht="14.25" customHeight="1">
      <c r="A12" s="1929" t="s">
        <v>1302</v>
      </c>
      <c r="B12" s="1610"/>
      <c r="C12" s="1610"/>
      <c r="D12" s="1610"/>
      <c r="E12" s="1610"/>
      <c r="F12" s="1610"/>
      <c r="G12" s="1611"/>
      <c r="H12" s="348" t="e">
        <f>SUM(H9:H11)</f>
        <v>#REF!</v>
      </c>
    </row>
    <row r="13" spans="1:8" ht="14.25" customHeight="1">
      <c r="A13" s="1942"/>
      <c r="B13" s="1610"/>
      <c r="C13" s="1610"/>
      <c r="D13" s="1610"/>
      <c r="E13" s="1610"/>
      <c r="F13" s="1610"/>
      <c r="G13" s="1610"/>
      <c r="H13" s="1814"/>
    </row>
    <row r="14" spans="1:8" ht="14.25" customHeight="1">
      <c r="A14" s="277" t="s">
        <v>1303</v>
      </c>
      <c r="B14" s="1943" t="s">
        <v>1304</v>
      </c>
      <c r="C14" s="1610"/>
      <c r="D14" s="1610"/>
      <c r="E14" s="1610"/>
      <c r="F14" s="1610"/>
      <c r="G14" s="1610"/>
      <c r="H14" s="1814"/>
    </row>
    <row r="15" spans="1:8" ht="14.25" customHeight="1">
      <c r="A15" s="279">
        <v>2.1</v>
      </c>
      <c r="B15" s="349" t="s">
        <v>1305</v>
      </c>
      <c r="C15" s="343" t="s">
        <v>1299</v>
      </c>
      <c r="D15" s="343">
        <v>1</v>
      </c>
      <c r="E15" s="345">
        <v>0.5</v>
      </c>
      <c r="F15" s="346">
        <v>1450000</v>
      </c>
      <c r="G15" s="343">
        <f>+G11</f>
        <v>6</v>
      </c>
      <c r="H15" s="347">
        <f t="shared" ref="H15:H17" si="2">+G15*F15*D15*E15</f>
        <v>4350000</v>
      </c>
    </row>
    <row r="16" spans="1:8" ht="14.25" customHeight="1">
      <c r="A16" s="279">
        <v>2.2000000000000002</v>
      </c>
      <c r="B16" s="349" t="s">
        <v>1306</v>
      </c>
      <c r="C16" s="343" t="str">
        <f t="shared" ref="C16:C17" si="3">+C15</f>
        <v>MES</v>
      </c>
      <c r="D16" s="343">
        <v>1</v>
      </c>
      <c r="E16" s="345">
        <v>0.5</v>
      </c>
      <c r="F16" s="346">
        <v>2150000</v>
      </c>
      <c r="G16" s="343">
        <v>1</v>
      </c>
      <c r="H16" s="347">
        <f t="shared" si="2"/>
        <v>1075000</v>
      </c>
    </row>
    <row r="17" spans="1:8" ht="14.25" customHeight="1">
      <c r="A17" s="279">
        <v>2.2999999999999998</v>
      </c>
      <c r="B17" s="349" t="s">
        <v>1307</v>
      </c>
      <c r="C17" s="343" t="str">
        <f t="shared" si="3"/>
        <v>MES</v>
      </c>
      <c r="D17" s="343">
        <v>2</v>
      </c>
      <c r="E17" s="345">
        <v>0.05</v>
      </c>
      <c r="F17" s="346">
        <v>850000</v>
      </c>
      <c r="G17" s="343">
        <v>1</v>
      </c>
      <c r="H17" s="347">
        <f t="shared" si="2"/>
        <v>85000</v>
      </c>
    </row>
    <row r="18" spans="1:8" ht="14.25" customHeight="1">
      <c r="A18" s="1929" t="s">
        <v>1308</v>
      </c>
      <c r="B18" s="1610"/>
      <c r="C18" s="1610"/>
      <c r="D18" s="1610"/>
      <c r="E18" s="1610"/>
      <c r="F18" s="1610"/>
      <c r="G18" s="1611"/>
      <c r="H18" s="350">
        <f>SUM(H15:H17)</f>
        <v>5510000</v>
      </c>
    </row>
    <row r="19" spans="1:8" ht="14.25" customHeight="1">
      <c r="A19" s="1944" t="s">
        <v>1309</v>
      </c>
      <c r="B19" s="1610"/>
      <c r="C19" s="1610"/>
      <c r="D19" s="1610"/>
      <c r="E19" s="1610"/>
      <c r="F19" s="1611"/>
      <c r="G19" s="1945">
        <f>+F.M.!I46</f>
        <v>1.9433333333333334</v>
      </c>
      <c r="H19" s="1814"/>
    </row>
    <row r="20" spans="1:8" ht="14.25" customHeight="1">
      <c r="A20" s="1929" t="s">
        <v>1310</v>
      </c>
      <c r="B20" s="1610"/>
      <c r="C20" s="1610"/>
      <c r="D20" s="1610"/>
      <c r="E20" s="1610"/>
      <c r="F20" s="1610"/>
      <c r="G20" s="1611"/>
      <c r="H20" s="350" t="e">
        <f>+(H18+H12)*G19</f>
        <v>#REF!</v>
      </c>
    </row>
    <row r="21" spans="1:8" ht="6" customHeight="1">
      <c r="A21" s="1935"/>
      <c r="B21" s="1610"/>
      <c r="C21" s="1610"/>
      <c r="D21" s="1610"/>
      <c r="E21" s="1610"/>
      <c r="F21" s="1610"/>
      <c r="G21" s="1610"/>
      <c r="H21" s="1814"/>
    </row>
    <row r="22" spans="1:8" ht="14.25" customHeight="1">
      <c r="A22" s="351" t="s">
        <v>1311</v>
      </c>
      <c r="B22" s="352"/>
      <c r="C22" s="352"/>
      <c r="D22" s="352"/>
      <c r="E22" s="352"/>
      <c r="F22" s="352"/>
      <c r="G22" s="352"/>
      <c r="H22" s="353"/>
    </row>
    <row r="23" spans="1:8" ht="14.25" customHeight="1">
      <c r="A23" s="1936" t="s">
        <v>1241</v>
      </c>
      <c r="B23" s="1938" t="s">
        <v>1291</v>
      </c>
      <c r="C23" s="1938" t="s">
        <v>1219</v>
      </c>
      <c r="D23" s="1931" t="s">
        <v>1244</v>
      </c>
      <c r="E23" s="1932"/>
      <c r="F23" s="1938" t="s">
        <v>1293</v>
      </c>
      <c r="G23" s="1939" t="s">
        <v>1294</v>
      </c>
      <c r="H23" s="1940" t="s">
        <v>1295</v>
      </c>
    </row>
    <row r="24" spans="1:8" ht="14.25" customHeight="1">
      <c r="A24" s="1937"/>
      <c r="B24" s="1876"/>
      <c r="C24" s="1876"/>
      <c r="D24" s="1933"/>
      <c r="E24" s="1888"/>
      <c r="F24" s="1876"/>
      <c r="G24" s="1876"/>
      <c r="H24" s="1941"/>
    </row>
    <row r="25" spans="1:8" ht="14.25" customHeight="1">
      <c r="A25" s="279">
        <v>3.1</v>
      </c>
      <c r="B25" s="354" t="s">
        <v>1312</v>
      </c>
      <c r="C25" s="355" t="s">
        <v>127</v>
      </c>
      <c r="D25" s="1934">
        <v>10</v>
      </c>
      <c r="E25" s="1611"/>
      <c r="F25" s="355">
        <v>245000</v>
      </c>
      <c r="G25" s="343">
        <f>+G15</f>
        <v>6</v>
      </c>
      <c r="H25" s="356">
        <f t="shared" ref="H25:H29" si="4">+G25*F25*D25</f>
        <v>14700000</v>
      </c>
    </row>
    <row r="26" spans="1:8" ht="14.25" customHeight="1">
      <c r="A26" s="279">
        <v>3.2</v>
      </c>
      <c r="B26" s="342" t="s">
        <v>1313</v>
      </c>
      <c r="C26" s="355" t="s">
        <v>1299</v>
      </c>
      <c r="D26" s="1934">
        <v>1</v>
      </c>
      <c r="E26" s="1611"/>
      <c r="F26" s="355">
        <v>300000</v>
      </c>
      <c r="G26" s="343">
        <f t="shared" ref="G26:G28" si="5">+G25</f>
        <v>6</v>
      </c>
      <c r="H26" s="356">
        <f t="shared" si="4"/>
        <v>1800000</v>
      </c>
    </row>
    <row r="27" spans="1:8" ht="14.25" customHeight="1">
      <c r="A27" s="279">
        <v>3.3</v>
      </c>
      <c r="B27" s="354" t="s">
        <v>1314</v>
      </c>
      <c r="C27" s="355" t="s">
        <v>1299</v>
      </c>
      <c r="D27" s="1934">
        <v>1</v>
      </c>
      <c r="E27" s="1611"/>
      <c r="F27" s="355">
        <v>200000</v>
      </c>
      <c r="G27" s="343">
        <f t="shared" si="5"/>
        <v>6</v>
      </c>
      <c r="H27" s="356">
        <f t="shared" si="4"/>
        <v>1200000</v>
      </c>
    </row>
    <row r="28" spans="1:8" ht="14.25" customHeight="1">
      <c r="A28" s="279">
        <v>3.4</v>
      </c>
      <c r="B28" s="354" t="s">
        <v>1315</v>
      </c>
      <c r="C28" s="355" t="s">
        <v>1299</v>
      </c>
      <c r="D28" s="1934">
        <v>1</v>
      </c>
      <c r="E28" s="1611"/>
      <c r="F28" s="355">
        <v>300000</v>
      </c>
      <c r="G28" s="343">
        <f t="shared" si="5"/>
        <v>6</v>
      </c>
      <c r="H28" s="356">
        <f t="shared" si="4"/>
        <v>1800000</v>
      </c>
    </row>
    <row r="29" spans="1:8" ht="14.25" customHeight="1">
      <c r="A29" s="279">
        <v>3.5</v>
      </c>
      <c r="B29" s="354" t="s">
        <v>1316</v>
      </c>
      <c r="C29" s="355" t="s">
        <v>127</v>
      </c>
      <c r="D29" s="1934">
        <v>1</v>
      </c>
      <c r="E29" s="1611"/>
      <c r="F29" s="355">
        <v>1597593.8375350046</v>
      </c>
      <c r="G29" s="343">
        <v>1</v>
      </c>
      <c r="H29" s="356">
        <f t="shared" si="4"/>
        <v>1597593.8375350046</v>
      </c>
    </row>
    <row r="30" spans="1:8" ht="14.25" customHeight="1">
      <c r="A30" s="1929" t="s">
        <v>1317</v>
      </c>
      <c r="B30" s="1610"/>
      <c r="C30" s="1610"/>
      <c r="D30" s="1610"/>
      <c r="E30" s="1610"/>
      <c r="F30" s="1610"/>
      <c r="G30" s="1611"/>
      <c r="H30" s="348">
        <f>SUM(H25:H29)</f>
        <v>21097593.837535005</v>
      </c>
    </row>
    <row r="31" spans="1:8" ht="14.25" customHeight="1">
      <c r="A31" s="357"/>
      <c r="B31" s="358"/>
      <c r="C31" s="358"/>
      <c r="D31" s="358"/>
      <c r="E31" s="358"/>
      <c r="F31" s="358"/>
      <c r="G31" s="358"/>
      <c r="H31" s="359"/>
    </row>
    <row r="32" spans="1:8" ht="14.25" customHeight="1">
      <c r="A32" s="1929" t="s">
        <v>1318</v>
      </c>
      <c r="B32" s="1610"/>
      <c r="C32" s="1610"/>
      <c r="D32" s="1610"/>
      <c r="E32" s="1610"/>
      <c r="F32" s="1610"/>
      <c r="G32" s="1611"/>
      <c r="H32" s="348" t="e">
        <f>+H30+H20</f>
        <v>#REF!</v>
      </c>
    </row>
    <row r="33" spans="1:10" ht="14.25" customHeight="1">
      <c r="A33" s="1929" t="s">
        <v>1319</v>
      </c>
      <c r="B33" s="1610"/>
      <c r="C33" s="1610"/>
      <c r="D33" s="1610"/>
      <c r="E33" s="1610"/>
      <c r="F33" s="1610"/>
      <c r="G33" s="1611"/>
      <c r="H33" s="348" t="e">
        <f>+H32*19%</f>
        <v>#REF!</v>
      </c>
    </row>
    <row r="34" spans="1:10" ht="14.25" customHeight="1">
      <c r="A34" s="1930" t="s">
        <v>1320</v>
      </c>
      <c r="B34" s="1807"/>
      <c r="C34" s="1807"/>
      <c r="D34" s="1807"/>
      <c r="E34" s="1807"/>
      <c r="F34" s="1807"/>
      <c r="G34" s="1819"/>
      <c r="H34" s="360" t="e">
        <f>+H33+H32</f>
        <v>#REF!</v>
      </c>
      <c r="J34" s="50" t="e">
        <f>#REF!</f>
        <v>#REF!</v>
      </c>
    </row>
    <row r="35" spans="1:10" ht="14.25" customHeight="1">
      <c r="A35" s="361"/>
      <c r="B35" s="361"/>
      <c r="C35" s="361"/>
      <c r="D35" s="361"/>
      <c r="E35" s="361"/>
      <c r="F35" s="361"/>
      <c r="G35" s="361"/>
      <c r="H35" s="362"/>
    </row>
    <row r="36" spans="1:10" ht="14.25" customHeight="1">
      <c r="A36" s="363"/>
      <c r="B36" s="363" t="s">
        <v>1321</v>
      </c>
      <c r="C36" s="363"/>
      <c r="D36" s="363"/>
      <c r="E36" s="363"/>
      <c r="F36" s="363"/>
      <c r="G36" s="363"/>
      <c r="H36" s="363"/>
    </row>
    <row r="37" spans="1:10" ht="14.25" customHeight="1">
      <c r="A37" s="363"/>
      <c r="B37" s="168" t="s">
        <v>558</v>
      </c>
      <c r="C37" s="363"/>
      <c r="D37" s="363"/>
      <c r="E37" s="176"/>
      <c r="F37" s="363"/>
      <c r="G37" s="363"/>
      <c r="H37" s="363"/>
    </row>
    <row r="38" spans="1:10" ht="14.25" customHeight="1">
      <c r="A38" s="363"/>
      <c r="B38" s="76" t="s">
        <v>560</v>
      </c>
      <c r="C38" s="363"/>
      <c r="D38" s="363"/>
      <c r="E38" s="363"/>
      <c r="F38" s="363"/>
      <c r="G38" s="363"/>
      <c r="H38" s="363"/>
    </row>
  </sheetData>
  <mergeCells count="37">
    <mergeCell ref="H6:H7"/>
    <mergeCell ref="A1:H1"/>
    <mergeCell ref="A2:H2"/>
    <mergeCell ref="A3:H3"/>
    <mergeCell ref="A4:H4"/>
    <mergeCell ref="A5:H5"/>
    <mergeCell ref="A6:A7"/>
    <mergeCell ref="B6:B7"/>
    <mergeCell ref="C6:C7"/>
    <mergeCell ref="D6:D7"/>
    <mergeCell ref="E6:E7"/>
    <mergeCell ref="F6:F7"/>
    <mergeCell ref="G6:G7"/>
    <mergeCell ref="A12:G12"/>
    <mergeCell ref="A13:H13"/>
    <mergeCell ref="B14:H14"/>
    <mergeCell ref="A18:G18"/>
    <mergeCell ref="A19:F19"/>
    <mergeCell ref="G19:H19"/>
    <mergeCell ref="A20:G20"/>
    <mergeCell ref="A21:H21"/>
    <mergeCell ref="A23:A24"/>
    <mergeCell ref="B23:B24"/>
    <mergeCell ref="C23:C24"/>
    <mergeCell ref="F23:F24"/>
    <mergeCell ref="G23:G24"/>
    <mergeCell ref="H23:H24"/>
    <mergeCell ref="A32:G32"/>
    <mergeCell ref="A33:G33"/>
    <mergeCell ref="A34:G34"/>
    <mergeCell ref="D23:E24"/>
    <mergeCell ref="D25:E25"/>
    <mergeCell ref="D26:E26"/>
    <mergeCell ref="D27:E27"/>
    <mergeCell ref="D28:E28"/>
    <mergeCell ref="D29:E29"/>
    <mergeCell ref="A30:G30"/>
  </mergeCells>
  <printOptions horizontalCentered="1"/>
  <pageMargins left="0.70866141732283472" right="0.70866141732283472" top="0.51181102362204722" bottom="0.47244094488188981" header="0" footer="0"/>
  <pageSetup orientation="portrait"/>
  <colBreaks count="1" manualBreakCount="1">
    <brk id="8"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50"/>
  <sheetViews>
    <sheetView workbookViewId="0"/>
  </sheetViews>
  <sheetFormatPr baseColWidth="10" defaultColWidth="14.44140625" defaultRowHeight="15" customHeight="1"/>
  <cols>
    <col min="1" max="1" width="7.88671875" customWidth="1"/>
    <col min="2" max="9" width="11.44140625" customWidth="1"/>
    <col min="10" max="26" width="8.88671875" customWidth="1"/>
  </cols>
  <sheetData>
    <row r="1" spans="1:9" ht="14.25" customHeight="1">
      <c r="A1" s="1956" t="s">
        <v>372</v>
      </c>
      <c r="B1" s="1605"/>
      <c r="C1" s="1605"/>
      <c r="D1" s="1605"/>
      <c r="E1" s="1605"/>
      <c r="F1" s="1605"/>
      <c r="G1" s="1605"/>
      <c r="H1" s="1605"/>
      <c r="I1" s="1605"/>
    </row>
    <row r="2" spans="1:9" ht="14.25" customHeight="1">
      <c r="A2" s="1957" t="s">
        <v>373</v>
      </c>
      <c r="B2" s="1605"/>
      <c r="C2" s="1605"/>
      <c r="D2" s="1605"/>
      <c r="E2" s="1605"/>
      <c r="F2" s="1605"/>
      <c r="G2" s="1605"/>
      <c r="H2" s="1605"/>
      <c r="I2" s="1605"/>
    </row>
    <row r="3" spans="1:9" ht="14.25" customHeight="1">
      <c r="A3" s="52"/>
      <c r="B3" s="52"/>
      <c r="C3" s="52"/>
      <c r="D3" s="52"/>
      <c r="E3" s="52"/>
      <c r="F3" s="52"/>
      <c r="G3" s="52"/>
      <c r="H3" s="52"/>
      <c r="I3" s="52"/>
    </row>
    <row r="4" spans="1:9" ht="28.5" customHeight="1">
      <c r="A4" s="1958" t="e">
        <f>+'PRESUP. INTERVENTORIA'!A3:H3</f>
        <v>#REF!</v>
      </c>
      <c r="B4" s="1605"/>
      <c r="C4" s="1605"/>
      <c r="D4" s="1605"/>
      <c r="E4" s="1605"/>
      <c r="F4" s="1605"/>
      <c r="G4" s="1605"/>
      <c r="H4" s="1605"/>
      <c r="I4" s="1605"/>
    </row>
    <row r="5" spans="1:9" ht="14.25" customHeight="1">
      <c r="A5" s="364"/>
      <c r="B5" s="364"/>
      <c r="C5" s="364"/>
      <c r="D5" s="364"/>
      <c r="E5" s="364"/>
      <c r="F5" s="364"/>
      <c r="G5" s="364"/>
      <c r="H5" s="364"/>
      <c r="I5" s="364"/>
    </row>
    <row r="6" spans="1:9" ht="14.25" customHeight="1">
      <c r="A6" s="1959" t="s">
        <v>1322</v>
      </c>
      <c r="B6" s="1605"/>
      <c r="C6" s="1605"/>
      <c r="D6" s="1605"/>
      <c r="E6" s="1605"/>
      <c r="F6" s="1605"/>
      <c r="G6" s="1605"/>
      <c r="H6" s="1605"/>
      <c r="I6" s="365"/>
    </row>
    <row r="7" spans="1:9" ht="14.25" customHeight="1">
      <c r="A7" s="1960"/>
      <c r="B7" s="1608"/>
      <c r="C7" s="1608"/>
      <c r="D7" s="1608"/>
      <c r="E7" s="1608"/>
      <c r="F7" s="1608"/>
      <c r="G7" s="1608"/>
      <c r="H7" s="1608"/>
      <c r="I7" s="366"/>
    </row>
    <row r="8" spans="1:9" ht="14.25" customHeight="1">
      <c r="A8" s="367"/>
      <c r="B8" s="368"/>
      <c r="C8" s="369" t="s">
        <v>1291</v>
      </c>
      <c r="D8" s="370"/>
      <c r="E8" s="370"/>
      <c r="F8" s="370"/>
      <c r="G8" s="370"/>
      <c r="H8" s="371"/>
      <c r="I8" s="372" t="s">
        <v>1323</v>
      </c>
    </row>
    <row r="9" spans="1:9" ht="14.25" customHeight="1">
      <c r="A9" s="373" t="s">
        <v>1324</v>
      </c>
      <c r="B9" s="1954" t="s">
        <v>1325</v>
      </c>
      <c r="C9" s="1610"/>
      <c r="D9" s="1610"/>
      <c r="E9" s="1610"/>
      <c r="F9" s="1610"/>
      <c r="G9" s="1610"/>
      <c r="H9" s="1610"/>
      <c r="I9" s="1611"/>
    </row>
    <row r="10" spans="1:9" ht="14.25" customHeight="1">
      <c r="A10" s="374" t="s">
        <v>1326</v>
      </c>
      <c r="B10" s="1952" t="s">
        <v>1327</v>
      </c>
      <c r="C10" s="1610"/>
      <c r="D10" s="1610"/>
      <c r="E10" s="1610"/>
      <c r="F10" s="1610"/>
      <c r="G10" s="1610"/>
      <c r="H10" s="1611"/>
      <c r="I10" s="375">
        <v>1</v>
      </c>
    </row>
    <row r="11" spans="1:9" ht="14.25" customHeight="1">
      <c r="A11" s="374" t="s">
        <v>1328</v>
      </c>
      <c r="B11" s="1952" t="s">
        <v>1329</v>
      </c>
      <c r="C11" s="1610"/>
      <c r="D11" s="1610"/>
      <c r="E11" s="376">
        <v>1</v>
      </c>
      <c r="F11" s="377" t="s">
        <v>1330</v>
      </c>
      <c r="G11" s="378"/>
      <c r="H11" s="379"/>
      <c r="I11" s="375">
        <f t="shared" ref="I11:I12" si="0">1/12</f>
        <v>8.3333333333333329E-2</v>
      </c>
    </row>
    <row r="12" spans="1:9" ht="14.25" customHeight="1">
      <c r="A12" s="374" t="s">
        <v>1331</v>
      </c>
      <c r="B12" s="1952" t="s">
        <v>1332</v>
      </c>
      <c r="C12" s="1610"/>
      <c r="D12" s="1610"/>
      <c r="E12" s="376">
        <v>1</v>
      </c>
      <c r="F12" s="377" t="s">
        <v>1330</v>
      </c>
      <c r="G12" s="378"/>
      <c r="H12" s="379"/>
      <c r="I12" s="375">
        <f t="shared" si="0"/>
        <v>8.3333333333333329E-2</v>
      </c>
    </row>
    <row r="13" spans="1:9" ht="14.25" customHeight="1">
      <c r="A13" s="374" t="s">
        <v>1333</v>
      </c>
      <c r="B13" s="1952" t="s">
        <v>1334</v>
      </c>
      <c r="C13" s="1610"/>
      <c r="D13" s="1610"/>
      <c r="E13" s="376">
        <v>0.01</v>
      </c>
      <c r="F13" s="377" t="s">
        <v>1335</v>
      </c>
      <c r="G13" s="378"/>
      <c r="H13" s="379"/>
      <c r="I13" s="375">
        <v>0.01</v>
      </c>
    </row>
    <row r="14" spans="1:9" ht="14.25" customHeight="1">
      <c r="A14" s="374" t="s">
        <v>1336</v>
      </c>
      <c r="B14" s="1952" t="s">
        <v>1337</v>
      </c>
      <c r="C14" s="1610"/>
      <c r="D14" s="1610"/>
      <c r="E14" s="1610"/>
      <c r="F14" s="1610"/>
      <c r="G14" s="1610"/>
      <c r="H14" s="1611"/>
      <c r="I14" s="375">
        <f>+I12/2</f>
        <v>4.1666666666666664E-2</v>
      </c>
    </row>
    <row r="15" spans="1:9" ht="14.25" customHeight="1">
      <c r="A15" s="374" t="s">
        <v>1338</v>
      </c>
      <c r="B15" s="1952" t="s">
        <v>1339</v>
      </c>
      <c r="C15" s="1610"/>
      <c r="D15" s="1610"/>
      <c r="E15" s="1610"/>
      <c r="F15" s="1610"/>
      <c r="G15" s="1610"/>
      <c r="H15" s="1611"/>
      <c r="I15" s="375">
        <v>0.20499999999999999</v>
      </c>
    </row>
    <row r="16" spans="1:9" ht="14.25" customHeight="1">
      <c r="A16" s="374" t="s">
        <v>1340</v>
      </c>
      <c r="B16" s="1952" t="s">
        <v>1341</v>
      </c>
      <c r="C16" s="1610"/>
      <c r="D16" s="1610"/>
      <c r="E16" s="1610"/>
      <c r="F16" s="1610"/>
      <c r="G16" s="1610"/>
      <c r="H16" s="1611"/>
      <c r="I16" s="375">
        <v>0.04</v>
      </c>
    </row>
    <row r="17" spans="1:9" ht="14.25" customHeight="1">
      <c r="A17" s="374" t="s">
        <v>1342</v>
      </c>
      <c r="B17" s="1952" t="s">
        <v>1343</v>
      </c>
      <c r="C17" s="1610"/>
      <c r="D17" s="1610"/>
      <c r="E17" s="1610"/>
      <c r="F17" s="1610"/>
      <c r="G17" s="1610"/>
      <c r="H17" s="1611"/>
      <c r="I17" s="375">
        <v>2.5000000000000001E-2</v>
      </c>
    </row>
    <row r="18" spans="1:9" ht="14.25" customHeight="1">
      <c r="A18" s="374" t="s">
        <v>1344</v>
      </c>
      <c r="B18" s="1952" t="s">
        <v>1345</v>
      </c>
      <c r="C18" s="1610"/>
      <c r="D18" s="1610"/>
      <c r="E18" s="1610"/>
      <c r="F18" s="1610"/>
      <c r="G18" s="1610"/>
      <c r="H18" s="1611"/>
      <c r="I18" s="375">
        <v>0.02</v>
      </c>
    </row>
    <row r="19" spans="1:9" ht="14.25" customHeight="1">
      <c r="A19" s="374" t="s">
        <v>1346</v>
      </c>
      <c r="B19" s="1952" t="s">
        <v>1347</v>
      </c>
      <c r="C19" s="1610"/>
      <c r="D19" s="1610"/>
      <c r="E19" s="1610"/>
      <c r="F19" s="1610"/>
      <c r="G19" s="1610"/>
      <c r="H19" s="1611"/>
      <c r="I19" s="375">
        <v>0.03</v>
      </c>
    </row>
    <row r="20" spans="1:9" ht="14.25" customHeight="1">
      <c r="A20" s="374" t="s">
        <v>1348</v>
      </c>
      <c r="B20" s="1952" t="s">
        <v>1349</v>
      </c>
      <c r="C20" s="1610"/>
      <c r="D20" s="1610"/>
      <c r="E20" s="1610"/>
      <c r="F20" s="1610"/>
      <c r="G20" s="1610"/>
      <c r="H20" s="1611"/>
      <c r="I20" s="375">
        <v>0.01</v>
      </c>
    </row>
    <row r="21" spans="1:9" ht="14.25" customHeight="1">
      <c r="A21" s="374" t="s">
        <v>1350</v>
      </c>
      <c r="B21" s="1952" t="s">
        <v>1351</v>
      </c>
      <c r="C21" s="1610"/>
      <c r="D21" s="1610"/>
      <c r="E21" s="1610"/>
      <c r="F21" s="1610"/>
      <c r="G21" s="1610"/>
      <c r="H21" s="1611"/>
      <c r="I21" s="375">
        <v>0.02</v>
      </c>
    </row>
    <row r="22" spans="1:9" ht="14.25" customHeight="1">
      <c r="A22" s="367"/>
      <c r="B22" s="368"/>
      <c r="C22" s="378"/>
      <c r="D22" s="378"/>
      <c r="E22" s="378"/>
      <c r="F22" s="1953" t="s">
        <v>1352</v>
      </c>
      <c r="G22" s="1610"/>
      <c r="H22" s="1611"/>
      <c r="I22" s="380">
        <f>SUM(I10:I21)</f>
        <v>1.5683333333333334</v>
      </c>
    </row>
    <row r="23" spans="1:9" ht="14.25" customHeight="1">
      <c r="A23" s="381"/>
      <c r="B23" s="378"/>
      <c r="C23" s="378"/>
      <c r="D23" s="378"/>
      <c r="E23" s="378"/>
      <c r="F23" s="382"/>
      <c r="G23" s="378"/>
      <c r="H23" s="376"/>
      <c r="I23" s="379"/>
    </row>
    <row r="24" spans="1:9" ht="14.25" customHeight="1">
      <c r="A24" s="373" t="s">
        <v>1353</v>
      </c>
      <c r="B24" s="1954" t="s">
        <v>1354</v>
      </c>
      <c r="C24" s="1610"/>
      <c r="D24" s="1610"/>
      <c r="E24" s="1610"/>
      <c r="F24" s="1610"/>
      <c r="G24" s="1610"/>
      <c r="H24" s="1610"/>
      <c r="I24" s="1610"/>
    </row>
    <row r="25" spans="1:9" ht="14.25" customHeight="1">
      <c r="A25" s="374" t="s">
        <v>1355</v>
      </c>
      <c r="B25" s="1952" t="s">
        <v>1356</v>
      </c>
      <c r="C25" s="1610"/>
      <c r="D25" s="1610"/>
      <c r="E25" s="1610"/>
      <c r="F25" s="1610"/>
      <c r="G25" s="1610"/>
      <c r="H25" s="1611"/>
      <c r="I25" s="375">
        <v>0.05</v>
      </c>
    </row>
    <row r="26" spans="1:9" ht="14.25" customHeight="1">
      <c r="A26" s="374" t="s">
        <v>1357</v>
      </c>
      <c r="B26" s="1952" t="s">
        <v>1358</v>
      </c>
      <c r="C26" s="1610"/>
      <c r="D26" s="1610"/>
      <c r="E26" s="1610"/>
      <c r="F26" s="1610"/>
      <c r="G26" s="1610"/>
      <c r="H26" s="1611"/>
      <c r="I26" s="375">
        <v>0.04</v>
      </c>
    </row>
    <row r="27" spans="1:9" ht="14.25" customHeight="1">
      <c r="A27" s="374" t="s">
        <v>1359</v>
      </c>
      <c r="B27" s="1952" t="s">
        <v>1360</v>
      </c>
      <c r="C27" s="1610"/>
      <c r="D27" s="1610"/>
      <c r="E27" s="1610"/>
      <c r="F27" s="1610"/>
      <c r="G27" s="1610"/>
      <c r="H27" s="1611"/>
      <c r="I27" s="375">
        <v>3.5000000000000003E-2</v>
      </c>
    </row>
    <row r="28" spans="1:9" ht="14.25" customHeight="1">
      <c r="A28" s="367"/>
      <c r="B28" s="368"/>
      <c r="C28" s="378"/>
      <c r="D28" s="378"/>
      <c r="E28" s="378"/>
      <c r="F28" s="1953" t="s">
        <v>1352</v>
      </c>
      <c r="G28" s="1610"/>
      <c r="H28" s="1611"/>
      <c r="I28" s="380">
        <f>SUM(I25:I27)</f>
        <v>0.125</v>
      </c>
    </row>
    <row r="29" spans="1:9" ht="14.25" customHeight="1">
      <c r="A29" s="381"/>
      <c r="B29" s="378"/>
      <c r="C29" s="378"/>
      <c r="D29" s="378"/>
      <c r="E29" s="378"/>
      <c r="F29" s="382"/>
      <c r="G29" s="378"/>
      <c r="H29" s="376"/>
      <c r="I29" s="379"/>
    </row>
    <row r="30" spans="1:9" ht="14.25" customHeight="1">
      <c r="A30" s="373" t="s">
        <v>1361</v>
      </c>
      <c r="B30" s="1954" t="s">
        <v>1362</v>
      </c>
      <c r="C30" s="1610"/>
      <c r="D30" s="1610"/>
      <c r="E30" s="1610"/>
      <c r="F30" s="1610"/>
      <c r="G30" s="1610"/>
      <c r="H30" s="1610"/>
      <c r="I30" s="1610"/>
    </row>
    <row r="31" spans="1:9" ht="14.25" customHeight="1">
      <c r="A31" s="374" t="s">
        <v>1363</v>
      </c>
      <c r="B31" s="1952" t="s">
        <v>1364</v>
      </c>
      <c r="C31" s="1610"/>
      <c r="D31" s="1610"/>
      <c r="E31" s="1610"/>
      <c r="F31" s="1610"/>
      <c r="G31" s="1610"/>
      <c r="H31" s="1611"/>
      <c r="I31" s="375">
        <v>0.03</v>
      </c>
    </row>
    <row r="32" spans="1:9" ht="14.25" customHeight="1">
      <c r="A32" s="374" t="s">
        <v>1359</v>
      </c>
      <c r="B32" s="1952" t="s">
        <v>1365</v>
      </c>
      <c r="C32" s="1610"/>
      <c r="D32" s="1610"/>
      <c r="E32" s="1610"/>
      <c r="F32" s="1610"/>
      <c r="G32" s="1610"/>
      <c r="H32" s="1611"/>
      <c r="I32" s="375">
        <v>0.05</v>
      </c>
    </row>
    <row r="33" spans="1:9" ht="14.25" customHeight="1">
      <c r="A33" s="374" t="s">
        <v>1366</v>
      </c>
      <c r="B33" s="1952" t="s">
        <v>1367</v>
      </c>
      <c r="C33" s="1610"/>
      <c r="D33" s="1610"/>
      <c r="E33" s="1610"/>
      <c r="F33" s="1610"/>
      <c r="G33" s="1610"/>
      <c r="H33" s="1611"/>
      <c r="I33" s="375">
        <v>0.02</v>
      </c>
    </row>
    <row r="34" spans="1:9" ht="14.25" customHeight="1">
      <c r="A34" s="374" t="s">
        <v>1368</v>
      </c>
      <c r="B34" s="1952" t="s">
        <v>1369</v>
      </c>
      <c r="C34" s="1610"/>
      <c r="D34" s="1610"/>
      <c r="E34" s="1610"/>
      <c r="F34" s="1610"/>
      <c r="G34" s="1610"/>
      <c r="H34" s="1611"/>
      <c r="I34" s="375">
        <v>0.02</v>
      </c>
    </row>
    <row r="35" spans="1:9" ht="14.25" customHeight="1">
      <c r="A35" s="374" t="s">
        <v>1370</v>
      </c>
      <c r="B35" s="1952" t="s">
        <v>1371</v>
      </c>
      <c r="C35" s="1610"/>
      <c r="D35" s="1610"/>
      <c r="E35" s="1610"/>
      <c r="F35" s="1610"/>
      <c r="G35" s="1610"/>
      <c r="H35" s="1611"/>
      <c r="I35" s="375">
        <v>0.02</v>
      </c>
    </row>
    <row r="36" spans="1:9" ht="14.25" customHeight="1">
      <c r="A36" s="367"/>
      <c r="B36" s="368"/>
      <c r="C36" s="378"/>
      <c r="D36" s="378"/>
      <c r="E36" s="378"/>
      <c r="F36" s="1953" t="s">
        <v>1352</v>
      </c>
      <c r="G36" s="1610"/>
      <c r="H36" s="1611"/>
      <c r="I36" s="380">
        <f>SUM(I31:I35)</f>
        <v>0.14000000000000001</v>
      </c>
    </row>
    <row r="37" spans="1:9" ht="14.25" customHeight="1">
      <c r="A37" s="381"/>
      <c r="B37" s="378"/>
      <c r="C37" s="378"/>
      <c r="D37" s="378"/>
      <c r="E37" s="378"/>
      <c r="F37" s="382"/>
      <c r="G37" s="378"/>
      <c r="H37" s="376"/>
      <c r="I37" s="379"/>
    </row>
    <row r="38" spans="1:9" ht="14.25" customHeight="1">
      <c r="A38" s="373" t="s">
        <v>1372</v>
      </c>
      <c r="B38" s="1954" t="s">
        <v>1373</v>
      </c>
      <c r="C38" s="1610"/>
      <c r="D38" s="1610"/>
      <c r="E38" s="1610"/>
      <c r="F38" s="1610"/>
      <c r="G38" s="1610"/>
      <c r="H38" s="1610"/>
      <c r="I38" s="1610"/>
    </row>
    <row r="39" spans="1:9" ht="14.25" customHeight="1">
      <c r="A39" s="374">
        <v>4.0999999999999996</v>
      </c>
      <c r="B39" s="1952" t="s">
        <v>1374</v>
      </c>
      <c r="C39" s="1610"/>
      <c r="D39" s="1610"/>
      <c r="E39" s="1610"/>
      <c r="F39" s="1610"/>
      <c r="G39" s="1610"/>
      <c r="H39" s="1611"/>
      <c r="I39" s="375">
        <v>0.01</v>
      </c>
    </row>
    <row r="40" spans="1:9" ht="14.25" customHeight="1">
      <c r="A40" s="374">
        <v>4.2</v>
      </c>
      <c r="B40" s="1952" t="s">
        <v>1375</v>
      </c>
      <c r="C40" s="1610"/>
      <c r="D40" s="1610"/>
      <c r="E40" s="1610"/>
      <c r="F40" s="1610"/>
      <c r="G40" s="1610"/>
      <c r="H40" s="1611"/>
      <c r="I40" s="375">
        <v>1.4999999999999999E-2</v>
      </c>
    </row>
    <row r="41" spans="1:9" ht="14.25" customHeight="1">
      <c r="A41" s="374">
        <v>4.3</v>
      </c>
      <c r="B41" s="1952" t="s">
        <v>1376</v>
      </c>
      <c r="C41" s="1610"/>
      <c r="D41" s="1610"/>
      <c r="E41" s="1610"/>
      <c r="F41" s="1610"/>
      <c r="G41" s="1610"/>
      <c r="H41" s="1611"/>
      <c r="I41" s="375">
        <v>1.4999999999999999E-2</v>
      </c>
    </row>
    <row r="42" spans="1:9" ht="14.25" customHeight="1">
      <c r="A42" s="367"/>
      <c r="B42" s="368"/>
      <c r="C42" s="378"/>
      <c r="D42" s="378"/>
      <c r="E42" s="378"/>
      <c r="F42" s="1953" t="s">
        <v>1352</v>
      </c>
      <c r="G42" s="1610"/>
      <c r="H42" s="1611"/>
      <c r="I42" s="380">
        <f>SUM(I39:I41)</f>
        <v>0.04</v>
      </c>
    </row>
    <row r="43" spans="1:9" ht="14.25" customHeight="1">
      <c r="A43" s="383"/>
      <c r="B43" s="384"/>
      <c r="C43" s="378"/>
      <c r="D43" s="378"/>
      <c r="E43" s="378"/>
      <c r="F43" s="382"/>
      <c r="G43" s="378"/>
      <c r="H43" s="376"/>
      <c r="I43" s="379"/>
    </row>
    <row r="44" spans="1:9" ht="14.25" customHeight="1">
      <c r="A44" s="373" t="s">
        <v>1377</v>
      </c>
      <c r="B44" s="1955" t="s">
        <v>1378</v>
      </c>
      <c r="C44" s="1610"/>
      <c r="D44" s="1610"/>
      <c r="E44" s="1610"/>
      <c r="F44" s="1953" t="s">
        <v>1352</v>
      </c>
      <c r="G44" s="1610"/>
      <c r="H44" s="1611"/>
      <c r="I44" s="380">
        <v>7.0000000000000007E-2</v>
      </c>
    </row>
    <row r="45" spans="1:9" ht="14.25" customHeight="1">
      <c r="A45" s="381"/>
      <c r="B45" s="378"/>
      <c r="C45" s="378"/>
      <c r="D45" s="378"/>
      <c r="E45" s="378"/>
      <c r="F45" s="382"/>
      <c r="G45" s="378"/>
      <c r="H45" s="376"/>
      <c r="I45" s="379"/>
    </row>
    <row r="46" spans="1:9" ht="14.25" customHeight="1">
      <c r="A46" s="1951" t="s">
        <v>1379</v>
      </c>
      <c r="B46" s="1610"/>
      <c r="C46" s="1610"/>
      <c r="D46" s="1610"/>
      <c r="E46" s="1610"/>
      <c r="F46" s="1610"/>
      <c r="G46" s="1610"/>
      <c r="H46" s="1610"/>
      <c r="I46" s="385">
        <f>SUM(I44,I42,I36,I28,I22)</f>
        <v>1.9433333333333334</v>
      </c>
    </row>
    <row r="49" spans="1:1" ht="14.25" customHeight="1">
      <c r="A49" s="168" t="s">
        <v>558</v>
      </c>
    </row>
    <row r="50" spans="1:1" ht="14.25" customHeight="1">
      <c r="A50" s="76" t="s">
        <v>560</v>
      </c>
    </row>
  </sheetData>
  <mergeCells count="39">
    <mergeCell ref="A1:I1"/>
    <mergeCell ref="A2:I2"/>
    <mergeCell ref="A4:I4"/>
    <mergeCell ref="A6:H6"/>
    <mergeCell ref="A7:H7"/>
    <mergeCell ref="B9:I9"/>
    <mergeCell ref="B10:H10"/>
    <mergeCell ref="B11:D11"/>
    <mergeCell ref="B12:D12"/>
    <mergeCell ref="B13:D13"/>
    <mergeCell ref="B14:H14"/>
    <mergeCell ref="B15:H15"/>
    <mergeCell ref="B16:H16"/>
    <mergeCell ref="B17:H17"/>
    <mergeCell ref="B18:H18"/>
    <mergeCell ref="B19:H19"/>
    <mergeCell ref="B20:H20"/>
    <mergeCell ref="B21:H21"/>
    <mergeCell ref="F22:H22"/>
    <mergeCell ref="B24:I24"/>
    <mergeCell ref="B25:H25"/>
    <mergeCell ref="B26:H26"/>
    <mergeCell ref="B27:H27"/>
    <mergeCell ref="F28:H28"/>
    <mergeCell ref="B30:I30"/>
    <mergeCell ref="B31:H31"/>
    <mergeCell ref="B32:H32"/>
    <mergeCell ref="B33:H33"/>
    <mergeCell ref="F42:H42"/>
    <mergeCell ref="B44:E44"/>
    <mergeCell ref="F44:H44"/>
    <mergeCell ref="A46:H46"/>
    <mergeCell ref="B34:H34"/>
    <mergeCell ref="B35:H35"/>
    <mergeCell ref="F36:H36"/>
    <mergeCell ref="B38:I38"/>
    <mergeCell ref="B39:H39"/>
    <mergeCell ref="B40:H40"/>
    <mergeCell ref="B41:H41"/>
  </mergeCells>
  <pageMargins left="0.7" right="0.7" top="0.75" bottom="0.75" header="0" footer="0"/>
  <pageSetup scale="87" orientation="portrai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F111"/>
  <sheetViews>
    <sheetView workbookViewId="0"/>
  </sheetViews>
  <sheetFormatPr baseColWidth="10" defaultColWidth="14.44140625" defaultRowHeight="15" customHeight="1"/>
  <cols>
    <col min="1" max="1" width="5" customWidth="1"/>
    <col min="2" max="2" width="40.6640625" customWidth="1"/>
    <col min="3" max="3" width="8.44140625" customWidth="1"/>
    <col min="4" max="4" width="10.109375" customWidth="1"/>
    <col min="5" max="5" width="14.44140625" customWidth="1"/>
    <col min="6" max="6" width="18.6640625" customWidth="1"/>
    <col min="7" max="26" width="8.88671875" customWidth="1"/>
  </cols>
  <sheetData>
    <row r="1" spans="1:6" ht="14.25" customHeight="1">
      <c r="A1" s="1821" t="s">
        <v>372</v>
      </c>
      <c r="B1" s="1605"/>
      <c r="C1" s="1605"/>
      <c r="D1" s="1605"/>
      <c r="E1" s="1605"/>
      <c r="F1" s="1605"/>
    </row>
    <row r="2" spans="1:6" ht="14.25" customHeight="1">
      <c r="A2" s="1822" t="s">
        <v>373</v>
      </c>
      <c r="B2" s="1605"/>
      <c r="C2" s="1605"/>
      <c r="D2" s="1605"/>
      <c r="E2" s="1605"/>
      <c r="F2" s="1605"/>
    </row>
    <row r="3" spans="1:6" ht="14.25" customHeight="1">
      <c r="A3" s="1822"/>
      <c r="B3" s="1605"/>
      <c r="C3" s="1605"/>
      <c r="D3" s="1605"/>
      <c r="E3" s="1605"/>
      <c r="F3" s="1605"/>
    </row>
    <row r="4" spans="1:6" ht="14.25" customHeight="1">
      <c r="A4" s="1823" t="e">
        <f>+#REF!</f>
        <v>#REF!</v>
      </c>
      <c r="B4" s="1824"/>
      <c r="C4" s="1824"/>
      <c r="D4" s="1824"/>
      <c r="E4" s="1824"/>
      <c r="F4" s="1825"/>
    </row>
    <row r="5" spans="1:6" ht="14.25" customHeight="1">
      <c r="A5" s="1826" t="s">
        <v>1380</v>
      </c>
      <c r="B5" s="1605"/>
      <c r="C5" s="1605"/>
      <c r="D5" s="1605"/>
      <c r="E5" s="1605"/>
      <c r="F5" s="1605"/>
    </row>
    <row r="6" spans="1:6" ht="14.25" customHeight="1">
      <c r="A6" s="387" t="s">
        <v>375</v>
      </c>
      <c r="B6" s="387" t="s">
        <v>1170</v>
      </c>
      <c r="C6" s="387" t="s">
        <v>1219</v>
      </c>
      <c r="D6" s="388" t="s">
        <v>673</v>
      </c>
      <c r="E6" s="388" t="s">
        <v>1293</v>
      </c>
      <c r="F6" s="388" t="s">
        <v>1295</v>
      </c>
    </row>
    <row r="7" spans="1:6" ht="14.25" customHeight="1">
      <c r="A7" s="43">
        <v>1</v>
      </c>
      <c r="B7" s="1963" t="s">
        <v>1381</v>
      </c>
      <c r="C7" s="1610"/>
      <c r="D7" s="1610"/>
      <c r="E7" s="1610"/>
      <c r="F7" s="1611"/>
    </row>
    <row r="8" spans="1:6" ht="14.25" customHeight="1">
      <c r="A8" s="43" t="s">
        <v>11</v>
      </c>
      <c r="B8" s="389" t="s">
        <v>1382</v>
      </c>
      <c r="C8" s="390" t="s">
        <v>127</v>
      </c>
      <c r="D8" s="390">
        <v>2</v>
      </c>
      <c r="E8" s="391">
        <f>+'ESTUDIO DE MERCADO - DOTACIÓN'!G11</f>
        <v>1258900.0000000005</v>
      </c>
      <c r="F8" s="391">
        <f t="shared" ref="F8:F23" si="0">+D8*E8</f>
        <v>2517800.0000000009</v>
      </c>
    </row>
    <row r="9" spans="1:6" ht="14.25" customHeight="1">
      <c r="A9" s="43" t="s">
        <v>14</v>
      </c>
      <c r="B9" s="389" t="s">
        <v>1383</v>
      </c>
      <c r="C9" s="390" t="s">
        <v>127</v>
      </c>
      <c r="D9" s="390">
        <v>55</v>
      </c>
      <c r="E9" s="391">
        <f>+'ESTUDIO DE MERCADO - DOTACIÓN'!G12</f>
        <v>90990.000000000015</v>
      </c>
      <c r="F9" s="391">
        <f t="shared" si="0"/>
        <v>5004450.0000000009</v>
      </c>
    </row>
    <row r="10" spans="1:6" ht="14.25" customHeight="1">
      <c r="A10" s="43" t="s">
        <v>380</v>
      </c>
      <c r="B10" s="392" t="s">
        <v>1384</v>
      </c>
      <c r="C10" s="390" t="s">
        <v>127</v>
      </c>
      <c r="D10" s="390">
        <v>2</v>
      </c>
      <c r="E10" s="393">
        <f>+'ESTUDIO DE MERCADO - DOTACIÓN'!G13</f>
        <v>389990.00000000017</v>
      </c>
      <c r="F10" s="391">
        <f t="shared" si="0"/>
        <v>779980.00000000035</v>
      </c>
    </row>
    <row r="11" spans="1:6" ht="14.25" customHeight="1">
      <c r="A11" s="43" t="s">
        <v>381</v>
      </c>
      <c r="B11" s="389" t="s">
        <v>1385</v>
      </c>
      <c r="C11" s="390" t="s">
        <v>120</v>
      </c>
      <c r="D11" s="390">
        <v>19.5</v>
      </c>
      <c r="E11" s="393">
        <f>+'ESTUDIO DE MERCADO - DOTACIÓN'!G14</f>
        <v>112900.00000000004</v>
      </c>
      <c r="F11" s="391">
        <f t="shared" si="0"/>
        <v>2201550.0000000009</v>
      </c>
    </row>
    <row r="12" spans="1:6" ht="14.25" customHeight="1">
      <c r="A12" s="43" t="s">
        <v>382</v>
      </c>
      <c r="B12" s="389" t="s">
        <v>1386</v>
      </c>
      <c r="C12" s="390" t="s">
        <v>127</v>
      </c>
      <c r="D12" s="390">
        <v>22</v>
      </c>
      <c r="E12" s="393">
        <f>+'ESTUDIO DE MERCADO - DOTACIÓN'!G15</f>
        <v>469990.00000000006</v>
      </c>
      <c r="F12" s="391">
        <f t="shared" si="0"/>
        <v>10339780.000000002</v>
      </c>
    </row>
    <row r="13" spans="1:6" ht="14.25" customHeight="1">
      <c r="A13" s="43" t="s">
        <v>383</v>
      </c>
      <c r="B13" s="389" t="s">
        <v>1387</v>
      </c>
      <c r="C13" s="390" t="s">
        <v>228</v>
      </c>
      <c r="D13" s="390">
        <v>116.8</v>
      </c>
      <c r="E13" s="393">
        <f>+'ESTUDIO DE MERCADO - DOTACIÓN'!G16</f>
        <v>220000</v>
      </c>
      <c r="F13" s="391">
        <f t="shared" si="0"/>
        <v>25696000</v>
      </c>
    </row>
    <row r="14" spans="1:6" ht="14.25" customHeight="1">
      <c r="A14" s="43" t="s">
        <v>384</v>
      </c>
      <c r="B14" s="389" t="s">
        <v>1388</v>
      </c>
      <c r="C14" s="390" t="s">
        <v>120</v>
      </c>
      <c r="D14" s="390">
        <v>5.4</v>
      </c>
      <c r="E14" s="393">
        <f>+'ESTUDIO DE MERCADO - DOTACIÓN'!G17</f>
        <v>89990</v>
      </c>
      <c r="F14" s="391">
        <f t="shared" si="0"/>
        <v>485946.00000000006</v>
      </c>
    </row>
    <row r="15" spans="1:6" ht="14.25" customHeight="1">
      <c r="A15" s="43" t="s">
        <v>385</v>
      </c>
      <c r="B15" s="389" t="s">
        <v>1389</v>
      </c>
      <c r="C15" s="390" t="s">
        <v>127</v>
      </c>
      <c r="D15" s="390">
        <v>1</v>
      </c>
      <c r="E15" s="393">
        <f>+'ESTUDIO DE MERCADO - DOTACIÓN'!G18</f>
        <v>1269900</v>
      </c>
      <c r="F15" s="393">
        <f t="shared" si="0"/>
        <v>1269900</v>
      </c>
    </row>
    <row r="16" spans="1:6" ht="14.25" customHeight="1">
      <c r="A16" s="43" t="s">
        <v>386</v>
      </c>
      <c r="B16" s="389" t="s">
        <v>1390</v>
      </c>
      <c r="C16" s="390" t="s">
        <v>127</v>
      </c>
      <c r="D16" s="390">
        <v>1</v>
      </c>
      <c r="E16" s="393">
        <f>+'ESTUDIO DE MERCADO - DOTACIÓN'!G19</f>
        <v>648900</v>
      </c>
      <c r="F16" s="393">
        <f t="shared" si="0"/>
        <v>648900</v>
      </c>
    </row>
    <row r="17" spans="1:6" ht="14.25" customHeight="1">
      <c r="A17" s="43" t="s">
        <v>1391</v>
      </c>
      <c r="B17" s="389" t="s">
        <v>1392</v>
      </c>
      <c r="C17" s="390" t="s">
        <v>127</v>
      </c>
      <c r="D17" s="390">
        <v>1</v>
      </c>
      <c r="E17" s="393">
        <f>+'ESTUDIO DE MERCADO - DOTACIÓN'!G20</f>
        <v>400000</v>
      </c>
      <c r="F17" s="393">
        <f t="shared" si="0"/>
        <v>400000</v>
      </c>
    </row>
    <row r="18" spans="1:6" ht="14.25" customHeight="1">
      <c r="A18" s="43" t="s">
        <v>1393</v>
      </c>
      <c r="B18" s="389" t="s">
        <v>1394</v>
      </c>
      <c r="C18" s="390" t="s">
        <v>127</v>
      </c>
      <c r="D18" s="390">
        <v>3</v>
      </c>
      <c r="E18" s="393">
        <f>+'ESTUDIO DE MERCADO - DOTACIÓN'!G21</f>
        <v>118900</v>
      </c>
      <c r="F18" s="393">
        <f t="shared" si="0"/>
        <v>356700</v>
      </c>
    </row>
    <row r="19" spans="1:6" ht="14.25" customHeight="1">
      <c r="A19" s="43" t="s">
        <v>1395</v>
      </c>
      <c r="B19" s="389" t="s">
        <v>1396</v>
      </c>
      <c r="C19" s="390" t="s">
        <v>127</v>
      </c>
      <c r="D19" s="390">
        <v>8</v>
      </c>
      <c r="E19" s="393">
        <f>+'ESTUDIO DE MERCADO - DOTACIÓN'!G22</f>
        <v>249900</v>
      </c>
      <c r="F19" s="393">
        <f t="shared" si="0"/>
        <v>1999200</v>
      </c>
    </row>
    <row r="20" spans="1:6" ht="14.25" customHeight="1">
      <c r="A20" s="43" t="s">
        <v>1397</v>
      </c>
      <c r="B20" s="389" t="s">
        <v>1398</v>
      </c>
      <c r="C20" s="390" t="s">
        <v>127</v>
      </c>
      <c r="D20" s="390">
        <v>12</v>
      </c>
      <c r="E20" s="393">
        <f>+'ESTUDIO DE MERCADO - DOTACIÓN'!G23</f>
        <v>193900</v>
      </c>
      <c r="F20" s="393">
        <f t="shared" si="0"/>
        <v>2326800</v>
      </c>
    </row>
    <row r="21" spans="1:6" ht="14.25" customHeight="1">
      <c r="A21" s="43" t="s">
        <v>1399</v>
      </c>
      <c r="B21" s="389" t="s">
        <v>1400</v>
      </c>
      <c r="C21" s="390" t="s">
        <v>127</v>
      </c>
      <c r="D21" s="390">
        <v>346</v>
      </c>
      <c r="E21" s="393">
        <f>+'ESTUDIO DE MERCADO - DOTACIÓN'!G24</f>
        <v>180000</v>
      </c>
      <c r="F21" s="393">
        <f t="shared" si="0"/>
        <v>62280000</v>
      </c>
    </row>
    <row r="22" spans="1:6" ht="14.25" customHeight="1">
      <c r="A22" s="43" t="s">
        <v>1401</v>
      </c>
      <c r="B22" s="389" t="s">
        <v>1402</v>
      </c>
      <c r="C22" s="390" t="s">
        <v>127</v>
      </c>
      <c r="D22" s="390">
        <v>8</v>
      </c>
      <c r="E22" s="393">
        <f>+'ESTUDIO DE MERCADO - DOTACIÓN'!G25</f>
        <v>1600000</v>
      </c>
      <c r="F22" s="393">
        <f t="shared" si="0"/>
        <v>12800000</v>
      </c>
    </row>
    <row r="23" spans="1:6" ht="14.25" customHeight="1">
      <c r="A23" s="43" t="s">
        <v>1403</v>
      </c>
      <c r="B23" s="389" t="s">
        <v>1404</v>
      </c>
      <c r="C23" s="390" t="s">
        <v>127</v>
      </c>
      <c r="D23" s="390">
        <v>2</v>
      </c>
      <c r="E23" s="393">
        <f>+'ESTUDIO DE MERCADO - DOTACIÓN'!G26</f>
        <v>1100000.0000000002</v>
      </c>
      <c r="F23" s="393">
        <f t="shared" si="0"/>
        <v>2200000.0000000005</v>
      </c>
    </row>
    <row r="24" spans="1:6" ht="14.25" customHeight="1">
      <c r="A24" s="43"/>
      <c r="B24" s="44"/>
      <c r="C24" s="44"/>
      <c r="D24" s="44"/>
      <c r="E24" s="86" t="s">
        <v>226</v>
      </c>
      <c r="F24" s="394">
        <f>SUM(F8:F23)</f>
        <v>131307006</v>
      </c>
    </row>
    <row r="25" spans="1:6" ht="14.25" customHeight="1">
      <c r="A25" s="19">
        <v>2</v>
      </c>
      <c r="B25" s="1961" t="s">
        <v>1405</v>
      </c>
      <c r="C25" s="1610"/>
      <c r="D25" s="1610"/>
      <c r="E25" s="1610"/>
      <c r="F25" s="1611"/>
    </row>
    <row r="26" spans="1:6" ht="14.25" customHeight="1">
      <c r="A26" s="43" t="s">
        <v>18</v>
      </c>
      <c r="B26" s="392" t="s">
        <v>1406</v>
      </c>
      <c r="C26" s="390" t="s">
        <v>127</v>
      </c>
      <c r="D26" s="390">
        <v>14</v>
      </c>
      <c r="E26" s="391">
        <f>+'ESTUDIO DE MERCADO - DOTACIÓN'!G30</f>
        <v>1245990</v>
      </c>
      <c r="F26" s="391">
        <f t="shared" ref="F26:F36" si="1">+D26*E26</f>
        <v>17443860</v>
      </c>
    </row>
    <row r="27" spans="1:6" ht="14.25" customHeight="1">
      <c r="A27" s="43" t="s">
        <v>21</v>
      </c>
      <c r="B27" s="392" t="s">
        <v>1407</v>
      </c>
      <c r="C27" s="390" t="s">
        <v>127</v>
      </c>
      <c r="D27" s="390">
        <v>14</v>
      </c>
      <c r="E27" s="391">
        <f>+'ESTUDIO DE MERCADO - DOTACIÓN'!G31</f>
        <v>186899.99999999997</v>
      </c>
      <c r="F27" s="391">
        <f t="shared" si="1"/>
        <v>2616599.9999999995</v>
      </c>
    </row>
    <row r="28" spans="1:6" ht="14.25" customHeight="1">
      <c r="A28" s="43"/>
      <c r="B28" s="392" t="s">
        <v>1408</v>
      </c>
      <c r="C28" s="390" t="s">
        <v>127</v>
      </c>
      <c r="D28" s="390">
        <v>14</v>
      </c>
      <c r="E28" s="391">
        <f>+'ESTUDIO DE MERCADO - DOTACIÓN'!G32</f>
        <v>75500.000000000044</v>
      </c>
      <c r="F28" s="391">
        <f t="shared" si="1"/>
        <v>1057000.0000000007</v>
      </c>
    </row>
    <row r="29" spans="1:6" ht="14.25" customHeight="1">
      <c r="A29" s="43" t="s">
        <v>21</v>
      </c>
      <c r="B29" s="389" t="s">
        <v>1409</v>
      </c>
      <c r="C29" s="390" t="s">
        <v>127</v>
      </c>
      <c r="D29" s="390">
        <v>12</v>
      </c>
      <c r="E29" s="393">
        <f>+'ESTUDIO DE MERCADO - DOTACIÓN'!G33</f>
        <v>315899.99999999994</v>
      </c>
      <c r="F29" s="391">
        <f t="shared" si="1"/>
        <v>3790799.9999999991</v>
      </c>
    </row>
    <row r="30" spans="1:6" ht="14.25" customHeight="1">
      <c r="A30" s="43" t="s">
        <v>23</v>
      </c>
      <c r="B30" s="389" t="s">
        <v>1410</v>
      </c>
      <c r="C30" s="390" t="s">
        <v>127</v>
      </c>
      <c r="D30" s="390">
        <v>1</v>
      </c>
      <c r="E30" s="393">
        <f>+'ESTUDIO DE MERCADO - DOTACIÓN'!G34</f>
        <v>2124749.3000000003</v>
      </c>
      <c r="F30" s="391">
        <f t="shared" si="1"/>
        <v>2124749.3000000003</v>
      </c>
    </row>
    <row r="31" spans="1:6" ht="14.25" customHeight="1">
      <c r="A31" s="43" t="s">
        <v>25</v>
      </c>
      <c r="B31" s="389" t="s">
        <v>1411</v>
      </c>
      <c r="C31" s="390" t="s">
        <v>127</v>
      </c>
      <c r="D31" s="390">
        <v>1</v>
      </c>
      <c r="E31" s="393">
        <f>+'ESTUDIO DE MERCADO - DOTACIÓN'!G35</f>
        <v>534711.76333333331</v>
      </c>
      <c r="F31" s="391">
        <f t="shared" si="1"/>
        <v>534711.76333333331</v>
      </c>
    </row>
    <row r="32" spans="1:6" ht="14.25" customHeight="1">
      <c r="A32" s="43" t="s">
        <v>27</v>
      </c>
      <c r="B32" s="389" t="s">
        <v>1412</v>
      </c>
      <c r="C32" s="390" t="s">
        <v>127</v>
      </c>
      <c r="D32" s="390">
        <v>14</v>
      </c>
      <c r="E32" s="393">
        <f>+'ESTUDIO DE MERCADO - DOTACIÓN'!G36</f>
        <v>16500</v>
      </c>
      <c r="F32" s="391">
        <f t="shared" si="1"/>
        <v>231000</v>
      </c>
    </row>
    <row r="33" spans="1:6" ht="14.25" customHeight="1">
      <c r="A33" s="43" t="s">
        <v>29</v>
      </c>
      <c r="B33" s="389" t="s">
        <v>1413</v>
      </c>
      <c r="C33" s="390" t="s">
        <v>127</v>
      </c>
      <c r="D33" s="390">
        <v>1</v>
      </c>
      <c r="E33" s="393">
        <f>+'ESTUDIO DE MERCADO - DOTACIÓN'!G37</f>
        <v>9998412.2699999586</v>
      </c>
      <c r="F33" s="391">
        <f t="shared" si="1"/>
        <v>9998412.2699999586</v>
      </c>
    </row>
    <row r="34" spans="1:6" ht="14.25" customHeight="1">
      <c r="A34" s="43" t="s">
        <v>31</v>
      </c>
      <c r="B34" s="389" t="s">
        <v>1414</v>
      </c>
      <c r="C34" s="390" t="s">
        <v>127</v>
      </c>
      <c r="D34" s="390">
        <v>3</v>
      </c>
      <c r="E34" s="393">
        <f>+'ESTUDIO DE MERCADO - DOTACIÓN'!G38</f>
        <v>1156800</v>
      </c>
      <c r="F34" s="391">
        <f t="shared" si="1"/>
        <v>3470400</v>
      </c>
    </row>
    <row r="35" spans="1:6" ht="14.25" customHeight="1">
      <c r="A35" s="43" t="s">
        <v>33</v>
      </c>
      <c r="B35" s="389" t="s">
        <v>1415</v>
      </c>
      <c r="C35" s="390" t="s">
        <v>127</v>
      </c>
      <c r="D35" s="390">
        <v>5</v>
      </c>
      <c r="E35" s="393">
        <f>+'ESTUDIO DE MERCADO - DOTACIÓN'!G39</f>
        <v>9400</v>
      </c>
      <c r="F35" s="391">
        <f t="shared" si="1"/>
        <v>47000</v>
      </c>
    </row>
    <row r="36" spans="1:6" ht="14.25" customHeight="1">
      <c r="A36" s="43" t="s">
        <v>292</v>
      </c>
      <c r="B36" s="389" t="s">
        <v>1416</v>
      </c>
      <c r="C36" s="390" t="s">
        <v>127</v>
      </c>
      <c r="D36" s="390">
        <v>1</v>
      </c>
      <c r="E36" s="393">
        <f>+'ESTUDIO DE MERCADO - DOTACIÓN'!G40</f>
        <v>399900</v>
      </c>
      <c r="F36" s="391">
        <f t="shared" si="1"/>
        <v>399900</v>
      </c>
    </row>
    <row r="37" spans="1:6" ht="14.25" customHeight="1">
      <c r="A37" s="43"/>
      <c r="B37" s="44"/>
      <c r="C37" s="44"/>
      <c r="D37" s="44"/>
      <c r="E37" s="86" t="s">
        <v>226</v>
      </c>
      <c r="F37" s="394">
        <f>SUM(F26:F36)</f>
        <v>41714433.333333291</v>
      </c>
    </row>
    <row r="38" spans="1:6" ht="14.25" customHeight="1">
      <c r="A38" s="43">
        <v>3</v>
      </c>
      <c r="B38" s="1961" t="s">
        <v>1417</v>
      </c>
      <c r="C38" s="1610"/>
      <c r="D38" s="1610"/>
      <c r="E38" s="1610"/>
      <c r="F38" s="1611"/>
    </row>
    <row r="39" spans="1:6" ht="14.25" customHeight="1">
      <c r="A39" s="43" t="s">
        <v>36</v>
      </c>
      <c r="B39" s="389" t="s">
        <v>1418</v>
      </c>
      <c r="C39" s="390" t="s">
        <v>127</v>
      </c>
      <c r="D39" s="390">
        <v>10</v>
      </c>
      <c r="E39" s="393">
        <f>+'ESTUDIO DE MERCADO - DOTACIÓN'!G44</f>
        <v>1590000</v>
      </c>
      <c r="F39" s="391">
        <f t="shared" ref="F39:F77" si="2">+D39*E39</f>
        <v>15900000</v>
      </c>
    </row>
    <row r="40" spans="1:6" ht="14.25" customHeight="1">
      <c r="A40" s="43" t="s">
        <v>38</v>
      </c>
      <c r="B40" s="389" t="s">
        <v>1419</v>
      </c>
      <c r="C40" s="390" t="s">
        <v>127</v>
      </c>
      <c r="D40" s="390">
        <v>2</v>
      </c>
      <c r="E40" s="393">
        <f>+'ESTUDIO DE MERCADO - DOTACIÓN'!G45</f>
        <v>799999.99999999988</v>
      </c>
      <c r="F40" s="391">
        <f t="shared" si="2"/>
        <v>1599999.9999999998</v>
      </c>
    </row>
    <row r="41" spans="1:6" ht="14.25" customHeight="1">
      <c r="A41" s="43" t="s">
        <v>40</v>
      </c>
      <c r="B41" s="389" t="s">
        <v>1420</v>
      </c>
      <c r="C41" s="390" t="s">
        <v>127</v>
      </c>
      <c r="D41" s="390">
        <v>4</v>
      </c>
      <c r="E41" s="393">
        <f>+'ESTUDIO DE MERCADO - DOTACIÓN'!G46</f>
        <v>1679000</v>
      </c>
      <c r="F41" s="391">
        <f t="shared" si="2"/>
        <v>6716000</v>
      </c>
    </row>
    <row r="42" spans="1:6" ht="14.25" customHeight="1">
      <c r="A42" s="43" t="s">
        <v>42</v>
      </c>
      <c r="B42" s="389" t="s">
        <v>1421</v>
      </c>
      <c r="C42" s="390" t="s">
        <v>127</v>
      </c>
      <c r="D42" s="390">
        <v>4</v>
      </c>
      <c r="E42" s="393">
        <f>+'ESTUDIO DE MERCADO - DOTACIÓN'!G47</f>
        <v>1945000.0000000002</v>
      </c>
      <c r="F42" s="391">
        <f t="shared" si="2"/>
        <v>7780000.0000000009</v>
      </c>
    </row>
    <row r="43" spans="1:6" ht="14.25" customHeight="1">
      <c r="A43" s="43" t="s">
        <v>45</v>
      </c>
      <c r="B43" s="389" t="s">
        <v>1422</v>
      </c>
      <c r="C43" s="390" t="s">
        <v>127</v>
      </c>
      <c r="D43" s="390">
        <v>5</v>
      </c>
      <c r="E43" s="393">
        <f>+'ESTUDIO DE MERCADO - DOTACIÓN'!G48</f>
        <v>539999.99999999988</v>
      </c>
      <c r="F43" s="391">
        <f t="shared" si="2"/>
        <v>2699999.9999999995</v>
      </c>
    </row>
    <row r="44" spans="1:6" ht="14.25" customHeight="1">
      <c r="A44" s="43" t="s">
        <v>155</v>
      </c>
      <c r="B44" s="389" t="s">
        <v>1423</v>
      </c>
      <c r="C44" s="390" t="s">
        <v>127</v>
      </c>
      <c r="D44" s="390">
        <v>1</v>
      </c>
      <c r="E44" s="393">
        <f>+'ESTUDIO DE MERCADO - DOTACIÓN'!G49</f>
        <v>749999.99999999988</v>
      </c>
      <c r="F44" s="391">
        <f t="shared" si="2"/>
        <v>749999.99999999988</v>
      </c>
    </row>
    <row r="45" spans="1:6" ht="14.25" customHeight="1">
      <c r="A45" s="43" t="s">
        <v>393</v>
      </c>
      <c r="B45" s="389" t="s">
        <v>1424</v>
      </c>
      <c r="C45" s="390" t="s">
        <v>127</v>
      </c>
      <c r="D45" s="390">
        <v>1</v>
      </c>
      <c r="E45" s="393">
        <f>+'ESTUDIO DE MERCADO - DOTACIÓN'!G50</f>
        <v>680000</v>
      </c>
      <c r="F45" s="391">
        <f t="shared" si="2"/>
        <v>680000</v>
      </c>
    </row>
    <row r="46" spans="1:6" ht="14.25" customHeight="1">
      <c r="A46" s="43" t="s">
        <v>394</v>
      </c>
      <c r="B46" s="389" t="s">
        <v>1425</v>
      </c>
      <c r="C46" s="390" t="s">
        <v>127</v>
      </c>
      <c r="D46" s="390">
        <v>2</v>
      </c>
      <c r="E46" s="393">
        <f>+'ESTUDIO DE MERCADO - DOTACIÓN'!G51</f>
        <v>518000</v>
      </c>
      <c r="F46" s="391">
        <f t="shared" si="2"/>
        <v>1036000</v>
      </c>
    </row>
    <row r="47" spans="1:6" ht="14.25" customHeight="1">
      <c r="A47" s="43" t="s">
        <v>395</v>
      </c>
      <c r="B47" s="389" t="s">
        <v>1426</v>
      </c>
      <c r="C47" s="390" t="s">
        <v>127</v>
      </c>
      <c r="D47" s="390">
        <v>1</v>
      </c>
      <c r="E47" s="393">
        <f>+'ESTUDIO DE MERCADO - DOTACIÓN'!G52</f>
        <v>2000000</v>
      </c>
      <c r="F47" s="391">
        <f t="shared" si="2"/>
        <v>2000000</v>
      </c>
    </row>
    <row r="48" spans="1:6" ht="14.25" customHeight="1">
      <c r="A48" s="43" t="s">
        <v>396</v>
      </c>
      <c r="B48" s="389" t="s">
        <v>1427</v>
      </c>
      <c r="C48" s="390" t="s">
        <v>127</v>
      </c>
      <c r="D48" s="390">
        <v>1</v>
      </c>
      <c r="E48" s="393">
        <f>+'ESTUDIO DE MERCADO - DOTACIÓN'!G53</f>
        <v>200000</v>
      </c>
      <c r="F48" s="391">
        <f t="shared" si="2"/>
        <v>200000</v>
      </c>
    </row>
    <row r="49" spans="1:6" ht="14.25" customHeight="1">
      <c r="A49" s="43" t="s">
        <v>397</v>
      </c>
      <c r="B49" s="389" t="s">
        <v>1428</v>
      </c>
      <c r="C49" s="390" t="s">
        <v>127</v>
      </c>
      <c r="D49" s="390">
        <v>3</v>
      </c>
      <c r="E49" s="393">
        <f>+'ESTUDIO DE MERCADO - DOTACIÓN'!G54</f>
        <v>527899.99999999988</v>
      </c>
      <c r="F49" s="391">
        <f t="shared" si="2"/>
        <v>1583699.9999999995</v>
      </c>
    </row>
    <row r="50" spans="1:6" ht="14.25" customHeight="1">
      <c r="A50" s="43" t="s">
        <v>401</v>
      </c>
      <c r="B50" s="389" t="s">
        <v>1429</v>
      </c>
      <c r="C50" s="390" t="s">
        <v>127</v>
      </c>
      <c r="D50" s="390">
        <v>1</v>
      </c>
      <c r="E50" s="393">
        <f>+'ESTUDIO DE MERCADO - DOTACIÓN'!G55</f>
        <v>799999.99999999988</v>
      </c>
      <c r="F50" s="391">
        <f t="shared" si="2"/>
        <v>799999.99999999988</v>
      </c>
    </row>
    <row r="51" spans="1:6" ht="14.25" customHeight="1">
      <c r="A51" s="43" t="s">
        <v>403</v>
      </c>
      <c r="B51" s="389" t="s">
        <v>1430</v>
      </c>
      <c r="C51" s="390" t="s">
        <v>127</v>
      </c>
      <c r="D51" s="390">
        <v>2</v>
      </c>
      <c r="E51" s="393">
        <f>+'ESTUDIO DE MERCADO - DOTACIÓN'!G56</f>
        <v>790000</v>
      </c>
      <c r="F51" s="391">
        <f t="shared" si="2"/>
        <v>1580000</v>
      </c>
    </row>
    <row r="52" spans="1:6" ht="14.25" customHeight="1">
      <c r="A52" s="43" t="s">
        <v>1431</v>
      </c>
      <c r="B52" s="389" t="s">
        <v>1432</v>
      </c>
      <c r="C52" s="390" t="s">
        <v>127</v>
      </c>
      <c r="D52" s="390">
        <v>1</v>
      </c>
      <c r="E52" s="393">
        <f>+'ESTUDIO DE MERCADO - DOTACIÓN'!G57</f>
        <v>750000</v>
      </c>
      <c r="F52" s="391">
        <f t="shared" si="2"/>
        <v>750000</v>
      </c>
    </row>
    <row r="53" spans="1:6" ht="14.25" customHeight="1">
      <c r="A53" s="43" t="s">
        <v>1433</v>
      </c>
      <c r="B53" s="389" t="s">
        <v>1434</v>
      </c>
      <c r="C53" s="390" t="s">
        <v>127</v>
      </c>
      <c r="D53" s="390">
        <v>4</v>
      </c>
      <c r="E53" s="393">
        <f>+'ESTUDIO DE MERCADO - DOTACIÓN'!G58</f>
        <v>1200000</v>
      </c>
      <c r="F53" s="391">
        <f t="shared" si="2"/>
        <v>4800000</v>
      </c>
    </row>
    <row r="54" spans="1:6" ht="14.25" customHeight="1">
      <c r="A54" s="43" t="s">
        <v>1435</v>
      </c>
      <c r="B54" s="389" t="s">
        <v>1436</v>
      </c>
      <c r="C54" s="390" t="s">
        <v>127</v>
      </c>
      <c r="D54" s="390">
        <v>1</v>
      </c>
      <c r="E54" s="393">
        <f>+'ESTUDIO DE MERCADO - DOTACIÓN'!G59</f>
        <v>573900</v>
      </c>
      <c r="F54" s="391">
        <f t="shared" si="2"/>
        <v>573900</v>
      </c>
    </row>
    <row r="55" spans="1:6" ht="14.25" customHeight="1">
      <c r="A55" s="43" t="s">
        <v>1437</v>
      </c>
      <c r="B55" s="389" t="s">
        <v>1438</v>
      </c>
      <c r="C55" s="390" t="s">
        <v>127</v>
      </c>
      <c r="D55" s="390">
        <v>8</v>
      </c>
      <c r="E55" s="393">
        <f>+'ESTUDIO DE MERCADO - DOTACIÓN'!G60</f>
        <v>186900</v>
      </c>
      <c r="F55" s="391">
        <f t="shared" si="2"/>
        <v>1495200</v>
      </c>
    </row>
    <row r="56" spans="1:6" ht="14.25" customHeight="1">
      <c r="A56" s="43" t="s">
        <v>1439</v>
      </c>
      <c r="B56" s="389" t="s">
        <v>1440</v>
      </c>
      <c r="C56" s="390" t="s">
        <v>127</v>
      </c>
      <c r="D56" s="390">
        <v>8</v>
      </c>
      <c r="E56" s="393">
        <f>+'ESTUDIO DE MERCADO - DOTACIÓN'!G61</f>
        <v>112899.99999999996</v>
      </c>
      <c r="F56" s="391">
        <f t="shared" si="2"/>
        <v>903199.99999999965</v>
      </c>
    </row>
    <row r="57" spans="1:6" ht="14.25" customHeight="1">
      <c r="A57" s="43" t="s">
        <v>1441</v>
      </c>
      <c r="B57" s="389" t="s">
        <v>1442</v>
      </c>
      <c r="C57" s="390" t="s">
        <v>127</v>
      </c>
      <c r="D57" s="390">
        <v>8</v>
      </c>
      <c r="E57" s="393">
        <f>+'ESTUDIO DE MERCADO - DOTACIÓN'!G62</f>
        <v>74899.999999999985</v>
      </c>
      <c r="F57" s="391">
        <f t="shared" si="2"/>
        <v>599199.99999999988</v>
      </c>
    </row>
    <row r="58" spans="1:6" ht="14.25" customHeight="1">
      <c r="A58" s="43" t="s">
        <v>1443</v>
      </c>
      <c r="B58" s="389" t="s">
        <v>1444</v>
      </c>
      <c r="C58" s="390" t="s">
        <v>127</v>
      </c>
      <c r="D58" s="390">
        <v>8</v>
      </c>
      <c r="E58" s="393">
        <f>+'ESTUDIO DE MERCADO - DOTACIÓN'!G63</f>
        <v>37900.000000000007</v>
      </c>
      <c r="F58" s="391">
        <f t="shared" si="2"/>
        <v>303200.00000000006</v>
      </c>
    </row>
    <row r="59" spans="1:6" ht="14.25" customHeight="1">
      <c r="A59" s="43" t="s">
        <v>1445</v>
      </c>
      <c r="B59" s="389" t="s">
        <v>1446</v>
      </c>
      <c r="C59" s="390" t="s">
        <v>127</v>
      </c>
      <c r="D59" s="390">
        <v>8</v>
      </c>
      <c r="E59" s="393">
        <f>+'ESTUDIO DE MERCADO - DOTACIÓN'!G64</f>
        <v>18900.000000000004</v>
      </c>
      <c r="F59" s="391">
        <f t="shared" si="2"/>
        <v>151200.00000000003</v>
      </c>
    </row>
    <row r="60" spans="1:6" ht="14.25" customHeight="1">
      <c r="A60" s="43" t="s">
        <v>1447</v>
      </c>
      <c r="B60" s="389" t="s">
        <v>1448</v>
      </c>
      <c r="C60" s="390" t="s">
        <v>127</v>
      </c>
      <c r="D60" s="390">
        <v>1</v>
      </c>
      <c r="E60" s="393">
        <f>+'ESTUDIO DE MERCADO - DOTACIÓN'!G65</f>
        <v>1100000.0000000002</v>
      </c>
      <c r="F60" s="391">
        <f t="shared" si="2"/>
        <v>1100000.0000000002</v>
      </c>
    </row>
    <row r="61" spans="1:6" ht="14.25" customHeight="1">
      <c r="A61" s="43" t="s">
        <v>1449</v>
      </c>
      <c r="B61" s="389" t="s">
        <v>1450</v>
      </c>
      <c r="C61" s="390" t="s">
        <v>127</v>
      </c>
      <c r="D61" s="390">
        <v>1</v>
      </c>
      <c r="E61" s="393">
        <f>+'ESTUDIO DE MERCADO - DOTACIÓN'!G66</f>
        <v>355900</v>
      </c>
      <c r="F61" s="391">
        <f t="shared" si="2"/>
        <v>355900</v>
      </c>
    </row>
    <row r="62" spans="1:6" ht="14.25" customHeight="1">
      <c r="A62" s="43" t="s">
        <v>1451</v>
      </c>
      <c r="B62" s="389" t="s">
        <v>1452</v>
      </c>
      <c r="C62" s="390" t="s">
        <v>127</v>
      </c>
      <c r="D62" s="390">
        <v>1</v>
      </c>
      <c r="E62" s="393">
        <f>+'ESTUDIO DE MERCADO - DOTACIÓN'!G67</f>
        <v>910900</v>
      </c>
      <c r="F62" s="391">
        <f t="shared" si="2"/>
        <v>910900</v>
      </c>
    </row>
    <row r="63" spans="1:6" ht="14.25" customHeight="1">
      <c r="A63" s="43" t="s">
        <v>1453</v>
      </c>
      <c r="B63" s="395" t="s">
        <v>1454</v>
      </c>
      <c r="C63" s="390" t="s">
        <v>127</v>
      </c>
      <c r="D63" s="390">
        <v>1</v>
      </c>
      <c r="E63" s="393">
        <f>+'ESTUDIO DE MERCADO - DOTACIÓN'!G68</f>
        <v>545900</v>
      </c>
      <c r="F63" s="391">
        <f t="shared" si="2"/>
        <v>545900</v>
      </c>
    </row>
    <row r="64" spans="1:6" ht="14.25" customHeight="1">
      <c r="A64" s="43" t="s">
        <v>1455</v>
      </c>
      <c r="B64" s="389" t="s">
        <v>1456</v>
      </c>
      <c r="C64" s="390" t="s">
        <v>127</v>
      </c>
      <c r="D64" s="390">
        <v>1</v>
      </c>
      <c r="E64" s="393">
        <f>+'ESTUDIO DE MERCADO - DOTACIÓN'!G69</f>
        <v>573900</v>
      </c>
      <c r="F64" s="391">
        <f t="shared" si="2"/>
        <v>573900</v>
      </c>
    </row>
    <row r="65" spans="1:6" ht="14.25" customHeight="1">
      <c r="A65" s="43" t="s">
        <v>1457</v>
      </c>
      <c r="B65" s="389" t="s">
        <v>1458</v>
      </c>
      <c r="C65" s="390" t="s">
        <v>127</v>
      </c>
      <c r="D65" s="390">
        <v>1</v>
      </c>
      <c r="E65" s="393">
        <f>+'ESTUDIO DE MERCADO - DOTACIÓN'!G70</f>
        <v>176900.00000000003</v>
      </c>
      <c r="F65" s="391">
        <f t="shared" si="2"/>
        <v>176900.00000000003</v>
      </c>
    </row>
    <row r="66" spans="1:6" ht="14.25" customHeight="1">
      <c r="A66" s="43" t="s">
        <v>1459</v>
      </c>
      <c r="B66" s="389" t="s">
        <v>1460</v>
      </c>
      <c r="C66" s="390" t="s">
        <v>127</v>
      </c>
      <c r="D66" s="390">
        <v>2</v>
      </c>
      <c r="E66" s="393">
        <f>+'ESTUDIO DE MERCADO - DOTACIÓN'!G71</f>
        <v>553899.99999999988</v>
      </c>
      <c r="F66" s="391">
        <f t="shared" si="2"/>
        <v>1107799.9999999998</v>
      </c>
    </row>
    <row r="67" spans="1:6" ht="14.25" customHeight="1">
      <c r="A67" s="43" t="s">
        <v>1461</v>
      </c>
      <c r="B67" s="389" t="s">
        <v>1462</v>
      </c>
      <c r="C67" s="390" t="s">
        <v>127</v>
      </c>
      <c r="D67" s="390">
        <v>1</v>
      </c>
      <c r="E67" s="393">
        <f>+'ESTUDIO DE MERCADO - DOTACIÓN'!G72</f>
        <v>396900</v>
      </c>
      <c r="F67" s="391">
        <f t="shared" si="2"/>
        <v>396900</v>
      </c>
    </row>
    <row r="68" spans="1:6" ht="14.25" customHeight="1">
      <c r="A68" s="43" t="s">
        <v>1463</v>
      </c>
      <c r="B68" s="389" t="s">
        <v>1464</v>
      </c>
      <c r="C68" s="390" t="s">
        <v>127</v>
      </c>
      <c r="D68" s="390">
        <v>1</v>
      </c>
      <c r="E68" s="393">
        <f>+'ESTUDIO DE MERCADO - DOTACIÓN'!G73</f>
        <v>505900</v>
      </c>
      <c r="F68" s="391">
        <f t="shared" si="2"/>
        <v>505900</v>
      </c>
    </row>
    <row r="69" spans="1:6" ht="14.25" customHeight="1">
      <c r="A69" s="43" t="s">
        <v>1465</v>
      </c>
      <c r="B69" s="389" t="s">
        <v>1466</v>
      </c>
      <c r="C69" s="390" t="s">
        <v>127</v>
      </c>
      <c r="D69" s="390">
        <v>1</v>
      </c>
      <c r="E69" s="393">
        <f>+'ESTUDIO DE MERCADO - DOTACIÓN'!G74</f>
        <v>2330900.0000000005</v>
      </c>
      <c r="F69" s="391">
        <f t="shared" si="2"/>
        <v>2330900.0000000005</v>
      </c>
    </row>
    <row r="70" spans="1:6" ht="14.25" customHeight="1">
      <c r="A70" s="43" t="s">
        <v>1467</v>
      </c>
      <c r="B70" s="389" t="s">
        <v>1468</v>
      </c>
      <c r="C70" s="390" t="s">
        <v>127</v>
      </c>
      <c r="D70" s="390">
        <v>1</v>
      </c>
      <c r="E70" s="393">
        <f>+'ESTUDIO DE MERCADO - DOTACIÓN'!G75</f>
        <v>2873900</v>
      </c>
      <c r="F70" s="391">
        <f t="shared" si="2"/>
        <v>2873900</v>
      </c>
    </row>
    <row r="71" spans="1:6" ht="14.25" customHeight="1">
      <c r="A71" s="43" t="s">
        <v>1469</v>
      </c>
      <c r="B71" s="389" t="s">
        <v>1470</v>
      </c>
      <c r="C71" s="390" t="s">
        <v>127</v>
      </c>
      <c r="D71" s="390">
        <v>1</v>
      </c>
      <c r="E71" s="393">
        <f>+'ESTUDIO DE MERCADO - DOTACIÓN'!G76</f>
        <v>989900.00000000012</v>
      </c>
      <c r="F71" s="391">
        <f t="shared" si="2"/>
        <v>989900.00000000012</v>
      </c>
    </row>
    <row r="72" spans="1:6" ht="14.25" customHeight="1">
      <c r="A72" s="43" t="s">
        <v>1471</v>
      </c>
      <c r="B72" s="389" t="s">
        <v>1472</v>
      </c>
      <c r="C72" s="390" t="s">
        <v>127</v>
      </c>
      <c r="D72" s="390">
        <v>1</v>
      </c>
      <c r="E72" s="393">
        <f>+'ESTUDIO DE MERCADO - DOTACIÓN'!G77</f>
        <v>4163512</v>
      </c>
      <c r="F72" s="391">
        <f t="shared" si="2"/>
        <v>4163512</v>
      </c>
    </row>
    <row r="73" spans="1:6" ht="14.25" customHeight="1">
      <c r="A73" s="43" t="s">
        <v>1473</v>
      </c>
      <c r="B73" s="389" t="s">
        <v>1474</v>
      </c>
      <c r="C73" s="390" t="s">
        <v>127</v>
      </c>
      <c r="D73" s="390">
        <v>4</v>
      </c>
      <c r="E73" s="393">
        <f>+'ESTUDIO DE MERCADO - DOTACIÓN'!G78</f>
        <v>315899.99999999994</v>
      </c>
      <c r="F73" s="391">
        <f t="shared" si="2"/>
        <v>1263599.9999999998</v>
      </c>
    </row>
    <row r="74" spans="1:6" ht="14.25" customHeight="1">
      <c r="A74" s="43" t="s">
        <v>1475</v>
      </c>
      <c r="B74" s="389" t="s">
        <v>1476</v>
      </c>
      <c r="C74" s="390" t="s">
        <v>127</v>
      </c>
      <c r="D74" s="390">
        <v>4</v>
      </c>
      <c r="E74" s="393">
        <f>+'ESTUDIO DE MERCADO - DOTACIÓN'!G79</f>
        <v>248900</v>
      </c>
      <c r="F74" s="391">
        <f t="shared" si="2"/>
        <v>995600</v>
      </c>
    </row>
    <row r="75" spans="1:6" ht="14.25" customHeight="1">
      <c r="A75" s="43" t="s">
        <v>1477</v>
      </c>
      <c r="B75" s="389" t="s">
        <v>1478</v>
      </c>
      <c r="C75" s="390" t="s">
        <v>127</v>
      </c>
      <c r="D75" s="390">
        <v>2</v>
      </c>
      <c r="E75" s="393">
        <f>+'ESTUDIO DE MERCADO - DOTACIÓN'!G80</f>
        <v>231899.99999999997</v>
      </c>
      <c r="F75" s="391">
        <f t="shared" si="2"/>
        <v>463799.99999999994</v>
      </c>
    </row>
    <row r="76" spans="1:6" ht="14.25" customHeight="1">
      <c r="A76" s="43" t="s">
        <v>1479</v>
      </c>
      <c r="B76" s="389" t="s">
        <v>1480</v>
      </c>
      <c r="C76" s="390" t="s">
        <v>127</v>
      </c>
      <c r="D76" s="390">
        <v>2</v>
      </c>
      <c r="E76" s="393">
        <f>+'ESTUDIO DE MERCADO - DOTACIÓN'!G81</f>
        <v>170900</v>
      </c>
      <c r="F76" s="391">
        <f t="shared" si="2"/>
        <v>341800</v>
      </c>
    </row>
    <row r="77" spans="1:6" ht="14.25" customHeight="1">
      <c r="A77" s="43" t="s">
        <v>1481</v>
      </c>
      <c r="B77" s="389" t="s">
        <v>1482</v>
      </c>
      <c r="C77" s="390" t="s">
        <v>127</v>
      </c>
      <c r="D77" s="390">
        <v>2</v>
      </c>
      <c r="E77" s="393">
        <f>+'ESTUDIO DE MERCADO - DOTACIÓN'!G82</f>
        <v>128900</v>
      </c>
      <c r="F77" s="391">
        <f t="shared" si="2"/>
        <v>257800</v>
      </c>
    </row>
    <row r="78" spans="1:6" ht="14.25" customHeight="1">
      <c r="A78" s="43"/>
      <c r="B78" s="44"/>
      <c r="C78" s="44"/>
      <c r="D78" s="44"/>
      <c r="E78" s="86" t="s">
        <v>226</v>
      </c>
      <c r="F78" s="394">
        <f>SUM(F39:F77)</f>
        <v>72256512</v>
      </c>
    </row>
    <row r="79" spans="1:6" ht="14.25" customHeight="1">
      <c r="A79" s="43">
        <v>4</v>
      </c>
      <c r="B79" s="1961" t="s">
        <v>1483</v>
      </c>
      <c r="C79" s="1610"/>
      <c r="D79" s="1610"/>
      <c r="E79" s="1610"/>
      <c r="F79" s="1611"/>
    </row>
    <row r="80" spans="1:6" ht="14.25" customHeight="1">
      <c r="A80" s="43" t="s">
        <v>48</v>
      </c>
      <c r="B80" s="389" t="s">
        <v>1484</v>
      </c>
      <c r="C80" s="390" t="s">
        <v>127</v>
      </c>
      <c r="D80" s="390">
        <v>1</v>
      </c>
      <c r="E80" s="393">
        <f>+'ESTUDIO DE MERCADO - DOTACIÓN'!G86</f>
        <v>9800000</v>
      </c>
      <c r="F80" s="393">
        <f t="shared" ref="F80:F85" si="3">+D80*E80</f>
        <v>9800000</v>
      </c>
    </row>
    <row r="81" spans="1:6" ht="14.25" customHeight="1">
      <c r="A81" s="43" t="s">
        <v>51</v>
      </c>
      <c r="B81" s="389" t="s">
        <v>1485</v>
      </c>
      <c r="C81" s="390" t="s">
        <v>127</v>
      </c>
      <c r="D81" s="390">
        <v>1</v>
      </c>
      <c r="E81" s="393">
        <f>+'ESTUDIO DE MERCADO - DOTACIÓN'!G87</f>
        <v>5700000</v>
      </c>
      <c r="F81" s="393">
        <f t="shared" si="3"/>
        <v>5700000</v>
      </c>
    </row>
    <row r="82" spans="1:6" ht="14.25" customHeight="1">
      <c r="A82" s="43" t="s">
        <v>156</v>
      </c>
      <c r="B82" s="389" t="s">
        <v>1486</v>
      </c>
      <c r="C82" s="390" t="s">
        <v>127</v>
      </c>
      <c r="D82" s="390">
        <v>1</v>
      </c>
      <c r="E82" s="393">
        <f>+'ESTUDIO DE MERCADO - DOTACIÓN'!G88</f>
        <v>1199999.9999999998</v>
      </c>
      <c r="F82" s="393">
        <f t="shared" si="3"/>
        <v>1199999.9999999998</v>
      </c>
    </row>
    <row r="83" spans="1:6" ht="14.25" customHeight="1">
      <c r="A83" s="43" t="s">
        <v>157</v>
      </c>
      <c r="B83" s="389" t="s">
        <v>1487</v>
      </c>
      <c r="C83" s="390" t="s">
        <v>127</v>
      </c>
      <c r="D83" s="390">
        <v>1</v>
      </c>
      <c r="E83" s="393">
        <f>+'ESTUDIO DE MERCADO - DOTACIÓN'!G89</f>
        <v>6694966.666666667</v>
      </c>
      <c r="F83" s="393">
        <f t="shared" si="3"/>
        <v>6694966.666666667</v>
      </c>
    </row>
    <row r="84" spans="1:6" ht="14.25" customHeight="1">
      <c r="A84" s="43" t="s">
        <v>158</v>
      </c>
      <c r="B84" s="389" t="s">
        <v>1488</v>
      </c>
      <c r="C84" s="390" t="s">
        <v>127</v>
      </c>
      <c r="D84" s="390">
        <v>1</v>
      </c>
      <c r="E84" s="393">
        <f>+'ESTUDIO DE MERCADO - DOTACIÓN'!G90</f>
        <v>2240000</v>
      </c>
      <c r="F84" s="393">
        <f t="shared" si="3"/>
        <v>2240000</v>
      </c>
    </row>
    <row r="85" spans="1:6" ht="14.25" customHeight="1">
      <c r="A85" s="43" t="s">
        <v>159</v>
      </c>
      <c r="B85" s="389" t="s">
        <v>1489</v>
      </c>
      <c r="C85" s="390" t="s">
        <v>127</v>
      </c>
      <c r="D85" s="390">
        <v>1</v>
      </c>
      <c r="E85" s="393">
        <f>+'ESTUDIO DE MERCADO - DOTACIÓN'!G91</f>
        <v>2036000</v>
      </c>
      <c r="F85" s="393">
        <f t="shared" si="3"/>
        <v>2036000</v>
      </c>
    </row>
    <row r="86" spans="1:6" ht="14.25" customHeight="1">
      <c r="A86" s="43"/>
      <c r="B86" s="44"/>
      <c r="C86" s="44"/>
      <c r="D86" s="44"/>
      <c r="E86" s="86" t="s">
        <v>226</v>
      </c>
      <c r="F86" s="394">
        <f>SUM(F80:F85)</f>
        <v>27670966.666666668</v>
      </c>
    </row>
    <row r="87" spans="1:6" ht="14.25" customHeight="1">
      <c r="A87" s="396">
        <v>5</v>
      </c>
      <c r="B87" s="1961" t="s">
        <v>1490</v>
      </c>
      <c r="C87" s="1610"/>
      <c r="D87" s="1610"/>
      <c r="E87" s="1610"/>
      <c r="F87" s="1611"/>
    </row>
    <row r="88" spans="1:6" ht="14.25" customHeight="1">
      <c r="A88" s="43" t="s">
        <v>54</v>
      </c>
      <c r="B88" s="389" t="s">
        <v>1491</v>
      </c>
      <c r="C88" s="390" t="s">
        <v>127</v>
      </c>
      <c r="D88" s="390">
        <v>1</v>
      </c>
      <c r="E88" s="393">
        <f>+'ESTUDIO DE MERCADO - DOTACIÓN'!G95</f>
        <v>10289999.999999998</v>
      </c>
      <c r="F88" s="393">
        <f t="shared" ref="F88:F96" si="4">+D88*E88</f>
        <v>10289999.999999998</v>
      </c>
    </row>
    <row r="89" spans="1:6" ht="14.25" customHeight="1">
      <c r="A89" s="43" t="s">
        <v>294</v>
      </c>
      <c r="B89" s="389" t="s">
        <v>1492</v>
      </c>
      <c r="C89" s="390" t="s">
        <v>127</v>
      </c>
      <c r="D89" s="390">
        <v>1</v>
      </c>
      <c r="E89" s="393">
        <f>+'ESTUDIO DE MERCADO - DOTACIÓN'!G96</f>
        <v>10584000</v>
      </c>
      <c r="F89" s="393">
        <f t="shared" si="4"/>
        <v>10584000</v>
      </c>
    </row>
    <row r="90" spans="1:6" ht="14.25" customHeight="1">
      <c r="A90" s="43" t="s">
        <v>421</v>
      </c>
      <c r="B90" s="389" t="s">
        <v>1493</v>
      </c>
      <c r="C90" s="390" t="s">
        <v>127</v>
      </c>
      <c r="D90" s="390">
        <v>9</v>
      </c>
      <c r="E90" s="393">
        <f>+'ESTUDIO DE MERCADO - DOTACIÓN'!G97</f>
        <v>1459900</v>
      </c>
      <c r="F90" s="393">
        <f t="shared" si="4"/>
        <v>13139100</v>
      </c>
    </row>
    <row r="91" spans="1:6" ht="14.25" customHeight="1">
      <c r="A91" s="43" t="s">
        <v>1494</v>
      </c>
      <c r="B91" s="389" t="s">
        <v>1495</v>
      </c>
      <c r="C91" s="390" t="s">
        <v>127</v>
      </c>
      <c r="D91" s="390">
        <v>1</v>
      </c>
      <c r="E91" s="393">
        <f>+'ESTUDIO DE MERCADO - DOTACIÓN'!G98</f>
        <v>1074900</v>
      </c>
      <c r="F91" s="393">
        <f t="shared" si="4"/>
        <v>1074900</v>
      </c>
    </row>
    <row r="92" spans="1:6" ht="14.25" customHeight="1">
      <c r="A92" s="43" t="s">
        <v>1496</v>
      </c>
      <c r="B92" s="389" t="s">
        <v>1497</v>
      </c>
      <c r="C92" s="390" t="s">
        <v>127</v>
      </c>
      <c r="D92" s="390">
        <v>1</v>
      </c>
      <c r="E92" s="393">
        <f>+'ESTUDIO DE MERCADO - DOTACIÓN'!G99</f>
        <v>10584000.000000002</v>
      </c>
      <c r="F92" s="393">
        <f t="shared" si="4"/>
        <v>10584000.000000002</v>
      </c>
    </row>
    <row r="93" spans="1:6" ht="14.25" customHeight="1">
      <c r="A93" s="43" t="s">
        <v>1498</v>
      </c>
      <c r="B93" s="389" t="s">
        <v>1499</v>
      </c>
      <c r="C93" s="390" t="s">
        <v>127</v>
      </c>
      <c r="D93" s="390">
        <v>1</v>
      </c>
      <c r="E93" s="393">
        <f>+'ESTUDIO DE MERCADO - DOTACIÓN'!G100</f>
        <v>14406000</v>
      </c>
      <c r="F93" s="393">
        <f t="shared" si="4"/>
        <v>14406000</v>
      </c>
    </row>
    <row r="94" spans="1:6" ht="14.25" customHeight="1">
      <c r="A94" s="43" t="s">
        <v>1500</v>
      </c>
      <c r="B94" s="389" t="s">
        <v>1501</v>
      </c>
      <c r="C94" s="390" t="s">
        <v>127</v>
      </c>
      <c r="D94" s="390">
        <v>2</v>
      </c>
      <c r="E94" s="393">
        <f>+'ESTUDIO DE MERCADO - DOTACIÓN'!G101</f>
        <v>390000</v>
      </c>
      <c r="F94" s="393">
        <f t="shared" si="4"/>
        <v>780000</v>
      </c>
    </row>
    <row r="95" spans="1:6" ht="14.25" customHeight="1">
      <c r="A95" s="43" t="s">
        <v>1502</v>
      </c>
      <c r="B95" s="389" t="s">
        <v>1503</v>
      </c>
      <c r="C95" s="390" t="s">
        <v>127</v>
      </c>
      <c r="D95" s="390">
        <v>2</v>
      </c>
      <c r="E95" s="393">
        <f>+'ESTUDIO DE MERCADO - DOTACIÓN'!G102</f>
        <v>590000</v>
      </c>
      <c r="F95" s="393">
        <f t="shared" si="4"/>
        <v>1180000</v>
      </c>
    </row>
    <row r="96" spans="1:6" ht="14.25" customHeight="1">
      <c r="A96" s="43" t="s">
        <v>1504</v>
      </c>
      <c r="B96" s="389" t="s">
        <v>1505</v>
      </c>
      <c r="C96" s="390" t="s">
        <v>127</v>
      </c>
      <c r="D96" s="390">
        <v>1</v>
      </c>
      <c r="E96" s="393">
        <f>+'ESTUDIO DE MERCADO - DOTACIÓN'!G103</f>
        <v>146999.99999999997</v>
      </c>
      <c r="F96" s="393">
        <f t="shared" si="4"/>
        <v>146999.99999999997</v>
      </c>
    </row>
    <row r="97" spans="1:6" ht="14.25" customHeight="1">
      <c r="A97" s="43"/>
      <c r="B97" s="44"/>
      <c r="C97" s="44"/>
      <c r="D97" s="44"/>
      <c r="E97" s="86" t="s">
        <v>226</v>
      </c>
      <c r="F97" s="394">
        <f>SUM(F88:F96)</f>
        <v>62185000</v>
      </c>
    </row>
    <row r="98" spans="1:6" ht="14.25" customHeight="1">
      <c r="A98" s="397">
        <v>6</v>
      </c>
      <c r="B98" s="1962" t="s">
        <v>466</v>
      </c>
      <c r="C98" s="1610"/>
      <c r="D98" s="1610"/>
      <c r="E98" s="1610"/>
      <c r="F98" s="1611"/>
    </row>
    <row r="99" spans="1:6" ht="14.25" customHeight="1">
      <c r="A99" s="43" t="s">
        <v>58</v>
      </c>
      <c r="B99" s="389" t="s">
        <v>1506</v>
      </c>
      <c r="C99" s="390" t="s">
        <v>127</v>
      </c>
      <c r="D99" s="390">
        <v>16</v>
      </c>
      <c r="E99" s="391">
        <f>+'ESTUDIO DE MERCADO - DOTACIÓN'!G107</f>
        <v>1149999.9999999998</v>
      </c>
      <c r="F99" s="391">
        <f t="shared" ref="F99:F104" si="5">+D99*E99</f>
        <v>18399999.999999996</v>
      </c>
    </row>
    <row r="100" spans="1:6" ht="14.25" customHeight="1">
      <c r="A100" s="43" t="s">
        <v>60</v>
      </c>
      <c r="B100" s="389" t="s">
        <v>1507</v>
      </c>
      <c r="C100" s="390" t="s">
        <v>127</v>
      </c>
      <c r="D100" s="390">
        <v>1</v>
      </c>
      <c r="E100" s="393">
        <f>+'ESTUDIO DE MERCADO - DOTACIÓN'!G108</f>
        <v>5165000.0000000009</v>
      </c>
      <c r="F100" s="391">
        <f t="shared" si="5"/>
        <v>5165000.0000000009</v>
      </c>
    </row>
    <row r="101" spans="1:6" ht="14.25" customHeight="1">
      <c r="A101" s="43" t="s">
        <v>62</v>
      </c>
      <c r="B101" s="389" t="s">
        <v>1508</v>
      </c>
      <c r="C101" s="390" t="s">
        <v>127</v>
      </c>
      <c r="D101" s="390">
        <v>2</v>
      </c>
      <c r="E101" s="393">
        <f>+'ESTUDIO DE MERCADO - DOTACIÓN'!G109</f>
        <v>1599999.9999999998</v>
      </c>
      <c r="F101" s="391">
        <f t="shared" si="5"/>
        <v>3199999.9999999995</v>
      </c>
    </row>
    <row r="102" spans="1:6" ht="14.25" customHeight="1">
      <c r="A102" s="43" t="s">
        <v>64</v>
      </c>
      <c r="B102" s="389" t="s">
        <v>1509</v>
      </c>
      <c r="C102" s="390" t="s">
        <v>127</v>
      </c>
      <c r="D102" s="390">
        <v>1</v>
      </c>
      <c r="E102" s="393">
        <f>+'ESTUDIO DE MERCADO - DOTACIÓN'!G110</f>
        <v>1060000.0000000002</v>
      </c>
      <c r="F102" s="391">
        <f t="shared" si="5"/>
        <v>1060000.0000000002</v>
      </c>
    </row>
    <row r="103" spans="1:6" ht="14.25" customHeight="1">
      <c r="A103" s="43" t="s">
        <v>300</v>
      </c>
      <c r="B103" s="389" t="s">
        <v>1510</v>
      </c>
      <c r="C103" s="390" t="s">
        <v>127</v>
      </c>
      <c r="D103" s="390">
        <v>3</v>
      </c>
      <c r="E103" s="393">
        <f>+'ESTUDIO DE MERCADO - DOTACIÓN'!G111</f>
        <v>240899.99999999997</v>
      </c>
      <c r="F103" s="391">
        <f t="shared" si="5"/>
        <v>722699.99999999988</v>
      </c>
    </row>
    <row r="104" spans="1:6" ht="14.25" customHeight="1">
      <c r="A104" s="43" t="s">
        <v>66</v>
      </c>
      <c r="B104" s="389" t="s">
        <v>1511</v>
      </c>
      <c r="C104" s="390" t="s">
        <v>127</v>
      </c>
      <c r="D104" s="390">
        <v>3</v>
      </c>
      <c r="E104" s="393">
        <f>+'ESTUDIO DE MERCADO - DOTACIÓN'!G112</f>
        <v>599999.99999999988</v>
      </c>
      <c r="F104" s="393">
        <f t="shared" si="5"/>
        <v>1799999.9999999995</v>
      </c>
    </row>
    <row r="105" spans="1:6" ht="14.25" customHeight="1">
      <c r="A105" s="43"/>
      <c r="B105" s="44"/>
      <c r="C105" s="44"/>
      <c r="D105" s="44"/>
      <c r="E105" s="86" t="s">
        <v>226</v>
      </c>
      <c r="F105" s="394">
        <f>SUM(F99:F104)</f>
        <v>30347699.999999996</v>
      </c>
    </row>
    <row r="106" spans="1:6" ht="14.25" customHeight="1">
      <c r="A106" s="52"/>
      <c r="E106" s="86" t="s">
        <v>227</v>
      </c>
      <c r="F106" s="394">
        <f>+F24+F37+F78+F86+F97+F105</f>
        <v>365481617.99999994</v>
      </c>
    </row>
    <row r="107" spans="1:6" ht="14.25" customHeight="1">
      <c r="A107" s="52"/>
    </row>
    <row r="108" spans="1:6" ht="14.25" customHeight="1">
      <c r="A108" s="52"/>
    </row>
    <row r="109" spans="1:6" ht="14.25" customHeight="1">
      <c r="A109" s="168" t="s">
        <v>558</v>
      </c>
      <c r="D109" s="176" t="s">
        <v>1289</v>
      </c>
    </row>
    <row r="110" spans="1:6" ht="14.25" customHeight="1">
      <c r="A110" s="76" t="s">
        <v>559</v>
      </c>
    </row>
    <row r="111" spans="1:6" ht="14.25" customHeight="1">
      <c r="A111" s="76" t="s">
        <v>560</v>
      </c>
    </row>
  </sheetData>
  <mergeCells count="11">
    <mergeCell ref="B38:F38"/>
    <mergeCell ref="B79:F79"/>
    <mergeCell ref="B87:F87"/>
    <mergeCell ref="B98:F98"/>
    <mergeCell ref="A1:F1"/>
    <mergeCell ref="A2:F2"/>
    <mergeCell ref="A3:F3"/>
    <mergeCell ref="A4:F4"/>
    <mergeCell ref="A5:F5"/>
    <mergeCell ref="B7:F7"/>
    <mergeCell ref="B25:F25"/>
  </mergeCells>
  <pageMargins left="0.70866141732283472" right="0.70866141732283472" top="0.74803149606299213" bottom="0.74803149606299213" header="0" footer="0"/>
  <pageSetup scale="92" orientation="portrai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118"/>
  <sheetViews>
    <sheetView workbookViewId="0"/>
  </sheetViews>
  <sheetFormatPr baseColWidth="10" defaultColWidth="14.44140625" defaultRowHeight="15" customHeight="1"/>
  <cols>
    <col min="1" max="1" width="4.5546875" customWidth="1"/>
    <col min="2" max="2" width="40.6640625" customWidth="1"/>
    <col min="3" max="3" width="11.44140625" customWidth="1"/>
    <col min="4" max="6" width="13.44140625" customWidth="1"/>
    <col min="7" max="7" width="12.109375" customWidth="1"/>
    <col min="8" max="26" width="8.88671875" customWidth="1"/>
  </cols>
  <sheetData>
    <row r="1" spans="1:7" ht="14.25" customHeight="1">
      <c r="A1" s="1821" t="s">
        <v>372</v>
      </c>
      <c r="B1" s="1605"/>
      <c r="C1" s="1605"/>
      <c r="D1" s="1605"/>
      <c r="E1" s="1605"/>
      <c r="F1" s="1605"/>
      <c r="G1" s="1605"/>
    </row>
    <row r="2" spans="1:7" ht="14.25" customHeight="1">
      <c r="A2" s="1822" t="s">
        <v>373</v>
      </c>
      <c r="B2" s="1605"/>
      <c r="C2" s="1605"/>
      <c r="D2" s="1605"/>
      <c r="E2" s="1605"/>
      <c r="F2" s="1605"/>
      <c r="G2" s="1605"/>
    </row>
    <row r="3" spans="1:7" ht="14.25" customHeight="1">
      <c r="A3" s="1822"/>
      <c r="B3" s="1605"/>
      <c r="C3" s="1605"/>
      <c r="D3" s="1605"/>
      <c r="E3" s="1605"/>
      <c r="F3" s="1605"/>
      <c r="G3" s="1605"/>
    </row>
    <row r="4" spans="1:7" ht="14.25" customHeight="1">
      <c r="A4" s="1823" t="e">
        <f>+'PRESUPUESTO DOTACIÓN'!A4:F4</f>
        <v>#REF!</v>
      </c>
      <c r="B4" s="1824"/>
      <c r="C4" s="1824"/>
      <c r="D4" s="1824"/>
      <c r="E4" s="1824"/>
      <c r="F4" s="1824"/>
      <c r="G4" s="1825"/>
    </row>
    <row r="5" spans="1:7" ht="14.25" customHeight="1">
      <c r="A5" s="1826" t="s">
        <v>1512</v>
      </c>
      <c r="B5" s="1605"/>
      <c r="C5" s="1605"/>
      <c r="D5" s="1605"/>
      <c r="E5" s="1605"/>
      <c r="F5" s="1605"/>
      <c r="G5" s="1605"/>
    </row>
    <row r="6" spans="1:7" ht="14.25" customHeight="1">
      <c r="A6" s="1605"/>
      <c r="B6" s="1605"/>
      <c r="C6" s="1605"/>
      <c r="D6" s="1605"/>
      <c r="E6" s="1605"/>
      <c r="F6" s="1605"/>
      <c r="G6" s="1605"/>
    </row>
    <row r="7" spans="1:7" ht="14.25" customHeight="1">
      <c r="A7" s="398"/>
      <c r="B7" s="398"/>
      <c r="C7" s="398"/>
      <c r="D7" s="399" t="s">
        <v>1513</v>
      </c>
      <c r="E7" s="399" t="s">
        <v>1514</v>
      </c>
      <c r="F7" s="399" t="s">
        <v>1515</v>
      </c>
      <c r="G7" s="398"/>
    </row>
    <row r="8" spans="1:7" ht="14.25" customHeight="1">
      <c r="A8" s="387" t="s">
        <v>375</v>
      </c>
      <c r="B8" s="387" t="s">
        <v>1170</v>
      </c>
      <c r="C8" s="387" t="s">
        <v>1219</v>
      </c>
      <c r="D8" s="388" t="s">
        <v>1293</v>
      </c>
      <c r="E8" s="388" t="s">
        <v>1293</v>
      </c>
      <c r="F8" s="388" t="s">
        <v>1293</v>
      </c>
      <c r="G8" s="388" t="s">
        <v>1516</v>
      </c>
    </row>
    <row r="9" spans="1:7" ht="14.25" customHeight="1">
      <c r="A9" s="44">
        <v>1</v>
      </c>
      <c r="B9" s="1963" t="s">
        <v>1381</v>
      </c>
      <c r="C9" s="1610"/>
      <c r="D9" s="1610"/>
      <c r="E9" s="1610"/>
      <c r="F9" s="1610"/>
      <c r="G9" s="1611"/>
    </row>
    <row r="10" spans="1:7" ht="14.25" customHeight="1">
      <c r="A10" s="44"/>
      <c r="B10" s="400"/>
      <c r="C10" s="400"/>
      <c r="D10" s="400"/>
      <c r="E10" s="400"/>
      <c r="F10" s="400"/>
      <c r="G10" s="400"/>
    </row>
    <row r="11" spans="1:7" ht="14.25" customHeight="1">
      <c r="A11" s="44" t="s">
        <v>11</v>
      </c>
      <c r="B11" s="389" t="s">
        <v>1382</v>
      </c>
      <c r="C11" s="390" t="s">
        <v>127</v>
      </c>
      <c r="D11" s="391">
        <v>1358600</v>
      </c>
      <c r="E11" s="391">
        <v>1065800</v>
      </c>
      <c r="F11" s="391">
        <v>1352300.0000000014</v>
      </c>
      <c r="G11" s="391">
        <f t="shared" ref="G11:G26" si="0">AVERAGE(D11,E11,F11)</f>
        <v>1258900.0000000005</v>
      </c>
    </row>
    <row r="12" spans="1:7" ht="14.25" customHeight="1">
      <c r="A12" s="44" t="s">
        <v>14</v>
      </c>
      <c r="B12" s="389" t="s">
        <v>1383</v>
      </c>
      <c r="C12" s="390" t="s">
        <v>127</v>
      </c>
      <c r="D12" s="391">
        <v>110900</v>
      </c>
      <c r="E12" s="391">
        <v>89700</v>
      </c>
      <c r="F12" s="391">
        <v>72370.000000000044</v>
      </c>
      <c r="G12" s="391">
        <f t="shared" si="0"/>
        <v>90990.000000000015</v>
      </c>
    </row>
    <row r="13" spans="1:7" ht="14.25" customHeight="1">
      <c r="A13" s="44" t="s">
        <v>380</v>
      </c>
      <c r="B13" s="392" t="s">
        <v>1384</v>
      </c>
      <c r="C13" s="390" t="s">
        <v>127</v>
      </c>
      <c r="D13" s="391">
        <v>476880</v>
      </c>
      <c r="E13" s="391">
        <v>289900</v>
      </c>
      <c r="F13" s="393">
        <v>403190.00000000058</v>
      </c>
      <c r="G13" s="391">
        <f t="shared" si="0"/>
        <v>389990.00000000017</v>
      </c>
    </row>
    <row r="14" spans="1:7" ht="14.25" customHeight="1">
      <c r="A14" s="44" t="s">
        <v>381</v>
      </c>
      <c r="B14" s="389" t="s">
        <v>1385</v>
      </c>
      <c r="C14" s="390" t="s">
        <v>120</v>
      </c>
      <c r="D14" s="391">
        <v>132500</v>
      </c>
      <c r="E14" s="391">
        <v>98600</v>
      </c>
      <c r="F14" s="393">
        <v>107600.00000000012</v>
      </c>
      <c r="G14" s="391">
        <f t="shared" si="0"/>
        <v>112900.00000000004</v>
      </c>
    </row>
    <row r="15" spans="1:7" ht="14.25" customHeight="1">
      <c r="A15" s="44" t="s">
        <v>382</v>
      </c>
      <c r="B15" s="389" t="s">
        <v>1386</v>
      </c>
      <c r="C15" s="390" t="s">
        <v>127</v>
      </c>
      <c r="D15" s="391">
        <v>512600</v>
      </c>
      <c r="E15" s="391">
        <v>345900</v>
      </c>
      <c r="F15" s="393">
        <v>551470.00000000023</v>
      </c>
      <c r="G15" s="391">
        <f t="shared" si="0"/>
        <v>469990.00000000006</v>
      </c>
    </row>
    <row r="16" spans="1:7" ht="14.25" customHeight="1">
      <c r="A16" s="44" t="s">
        <v>383</v>
      </c>
      <c r="B16" s="389" t="s">
        <v>1387</v>
      </c>
      <c r="C16" s="390" t="s">
        <v>228</v>
      </c>
      <c r="D16" s="391">
        <v>278500</v>
      </c>
      <c r="E16" s="391">
        <v>209900</v>
      </c>
      <c r="F16" s="393">
        <v>171600.00000000006</v>
      </c>
      <c r="G16" s="391">
        <f t="shared" si="0"/>
        <v>220000</v>
      </c>
    </row>
    <row r="17" spans="1:7" ht="14.25" customHeight="1">
      <c r="A17" s="44" t="s">
        <v>384</v>
      </c>
      <c r="B17" s="389" t="s">
        <v>1388</v>
      </c>
      <c r="C17" s="390" t="s">
        <v>120</v>
      </c>
      <c r="D17" s="391">
        <v>96300</v>
      </c>
      <c r="E17" s="391">
        <v>62500</v>
      </c>
      <c r="F17" s="393">
        <v>111169.99999999999</v>
      </c>
      <c r="G17" s="391">
        <f t="shared" si="0"/>
        <v>89990</v>
      </c>
    </row>
    <row r="18" spans="1:7" ht="14.25" customHeight="1">
      <c r="A18" s="44" t="s">
        <v>385</v>
      </c>
      <c r="B18" s="389" t="s">
        <v>1389</v>
      </c>
      <c r="C18" s="390" t="s">
        <v>127</v>
      </c>
      <c r="D18" s="391">
        <v>1684500</v>
      </c>
      <c r="E18" s="391">
        <v>1065900</v>
      </c>
      <c r="F18" s="393">
        <v>1059300</v>
      </c>
      <c r="G18" s="391">
        <f t="shared" si="0"/>
        <v>1269900</v>
      </c>
    </row>
    <row r="19" spans="1:7" ht="14.25" customHeight="1">
      <c r="A19" s="44" t="s">
        <v>386</v>
      </c>
      <c r="B19" s="389" t="s">
        <v>1390</v>
      </c>
      <c r="C19" s="390" t="s">
        <v>127</v>
      </c>
      <c r="D19" s="391">
        <v>726900</v>
      </c>
      <c r="E19" s="391">
        <v>504000</v>
      </c>
      <c r="F19" s="393">
        <v>715800</v>
      </c>
      <c r="G19" s="391">
        <f t="shared" si="0"/>
        <v>648900</v>
      </c>
    </row>
    <row r="20" spans="1:7" ht="14.25" customHeight="1">
      <c r="A20" s="44" t="s">
        <v>1391</v>
      </c>
      <c r="B20" s="389" t="s">
        <v>1392</v>
      </c>
      <c r="C20" s="390" t="s">
        <v>127</v>
      </c>
      <c r="D20" s="391">
        <v>568900</v>
      </c>
      <c r="E20" s="391">
        <v>365500</v>
      </c>
      <c r="F20" s="393">
        <v>265599.99999999994</v>
      </c>
      <c r="G20" s="391">
        <f t="shared" si="0"/>
        <v>400000</v>
      </c>
    </row>
    <row r="21" spans="1:7" ht="14.25" customHeight="1">
      <c r="A21" s="44" t="s">
        <v>1393</v>
      </c>
      <c r="B21" s="389" t="s">
        <v>1394</v>
      </c>
      <c r="C21" s="390" t="s">
        <v>127</v>
      </c>
      <c r="D21" s="391">
        <v>136900</v>
      </c>
      <c r="E21" s="391">
        <v>115600</v>
      </c>
      <c r="F21" s="393">
        <v>104200.00000000001</v>
      </c>
      <c r="G21" s="391">
        <f t="shared" si="0"/>
        <v>118900</v>
      </c>
    </row>
    <row r="22" spans="1:7" ht="14.25" customHeight="1">
      <c r="A22" s="44" t="s">
        <v>1395</v>
      </c>
      <c r="B22" s="389" t="s">
        <v>1396</v>
      </c>
      <c r="C22" s="390" t="s">
        <v>127</v>
      </c>
      <c r="D22" s="391">
        <v>262300</v>
      </c>
      <c r="E22" s="391">
        <v>215800</v>
      </c>
      <c r="F22" s="393">
        <v>271600</v>
      </c>
      <c r="G22" s="391">
        <f t="shared" si="0"/>
        <v>249900</v>
      </c>
    </row>
    <row r="23" spans="1:7" ht="14.25" customHeight="1">
      <c r="A23" s="44" t="s">
        <v>1397</v>
      </c>
      <c r="B23" s="389" t="s">
        <v>1398</v>
      </c>
      <c r="C23" s="390" t="s">
        <v>127</v>
      </c>
      <c r="D23" s="391">
        <v>245600</v>
      </c>
      <c r="E23" s="391">
        <v>164990</v>
      </c>
      <c r="F23" s="393">
        <v>171110</v>
      </c>
      <c r="G23" s="391">
        <f t="shared" si="0"/>
        <v>193900</v>
      </c>
    </row>
    <row r="24" spans="1:7" ht="14.25" customHeight="1">
      <c r="A24" s="44" t="s">
        <v>1399</v>
      </c>
      <c r="B24" s="389" t="s">
        <v>1400</v>
      </c>
      <c r="C24" s="390" t="s">
        <v>127</v>
      </c>
      <c r="D24" s="391">
        <v>191200</v>
      </c>
      <c r="E24" s="391">
        <v>184300</v>
      </c>
      <c r="F24" s="393">
        <v>164500.00000000003</v>
      </c>
      <c r="G24" s="391">
        <f t="shared" si="0"/>
        <v>180000</v>
      </c>
    </row>
    <row r="25" spans="1:7" ht="14.25" customHeight="1">
      <c r="A25" s="44" t="s">
        <v>1401</v>
      </c>
      <c r="B25" s="389" t="s">
        <v>1402</v>
      </c>
      <c r="C25" s="390" t="s">
        <v>127</v>
      </c>
      <c r="D25" s="391">
        <v>2049900</v>
      </c>
      <c r="E25" s="391">
        <v>1419990</v>
      </c>
      <c r="F25" s="393">
        <v>1330109.9999999995</v>
      </c>
      <c r="G25" s="391">
        <f t="shared" si="0"/>
        <v>1600000</v>
      </c>
    </row>
    <row r="26" spans="1:7" ht="14.25" customHeight="1">
      <c r="A26" s="44" t="s">
        <v>1403</v>
      </c>
      <c r="B26" s="389" t="s">
        <v>1404</v>
      </c>
      <c r="C26" s="390" t="s">
        <v>127</v>
      </c>
      <c r="D26" s="391">
        <v>1659900</v>
      </c>
      <c r="E26" s="391">
        <v>1090990</v>
      </c>
      <c r="F26" s="393">
        <v>549110.0000000007</v>
      </c>
      <c r="G26" s="391">
        <f t="shared" si="0"/>
        <v>1100000.0000000002</v>
      </c>
    </row>
    <row r="27" spans="1:7" ht="14.25" customHeight="1">
      <c r="A27" s="44"/>
      <c r="B27" s="44"/>
      <c r="C27" s="44"/>
      <c r="D27" s="44"/>
      <c r="E27" s="44"/>
      <c r="F27" s="86"/>
      <c r="G27" s="401"/>
    </row>
    <row r="28" spans="1:7" ht="14.25" customHeight="1">
      <c r="A28" s="19">
        <v>2</v>
      </c>
      <c r="B28" s="1961" t="s">
        <v>1405</v>
      </c>
      <c r="C28" s="1610"/>
      <c r="D28" s="1610"/>
      <c r="E28" s="1610"/>
      <c r="F28" s="1610"/>
      <c r="G28" s="1611"/>
    </row>
    <row r="29" spans="1:7" ht="14.25" customHeight="1">
      <c r="A29" s="44"/>
      <c r="B29" s="389"/>
      <c r="C29" s="44"/>
      <c r="D29" s="402" t="s">
        <v>1517</v>
      </c>
      <c r="E29" s="402" t="s">
        <v>1518</v>
      </c>
      <c r="F29" s="402" t="s">
        <v>1519</v>
      </c>
      <c r="G29" s="281" t="s">
        <v>1516</v>
      </c>
    </row>
    <row r="30" spans="1:7" ht="14.25" customHeight="1">
      <c r="A30" s="44" t="s">
        <v>18</v>
      </c>
      <c r="B30" s="392" t="s">
        <v>1406</v>
      </c>
      <c r="C30" s="390" t="s">
        <v>127</v>
      </c>
      <c r="D30" s="391">
        <v>1114900</v>
      </c>
      <c r="E30" s="391">
        <v>1021001.09</v>
      </c>
      <c r="F30" s="391">
        <v>1602068.91</v>
      </c>
      <c r="G30" s="391">
        <f t="shared" ref="G30:G40" si="1">AVERAGE(D30,E30,F30)</f>
        <v>1245990</v>
      </c>
    </row>
    <row r="31" spans="1:7" ht="14.25" customHeight="1">
      <c r="A31" s="44" t="s">
        <v>21</v>
      </c>
      <c r="B31" s="392" t="s">
        <v>1407</v>
      </c>
      <c r="C31" s="390" t="s">
        <v>127</v>
      </c>
      <c r="D31" s="391">
        <v>198900</v>
      </c>
      <c r="E31" s="391">
        <v>149194.9599999999</v>
      </c>
      <c r="F31" s="391">
        <v>212605.04</v>
      </c>
      <c r="G31" s="391">
        <f t="shared" si="1"/>
        <v>186899.99999999997</v>
      </c>
    </row>
    <row r="32" spans="1:7" ht="14.25" customHeight="1">
      <c r="A32" s="44" t="s">
        <v>23</v>
      </c>
      <c r="B32" s="392" t="s">
        <v>1408</v>
      </c>
      <c r="C32" s="390" t="s">
        <v>127</v>
      </c>
      <c r="D32" s="391">
        <v>59900</v>
      </c>
      <c r="E32" s="391">
        <v>89986.55000000009</v>
      </c>
      <c r="F32" s="391">
        <v>76613.45</v>
      </c>
      <c r="G32" s="391">
        <f t="shared" si="1"/>
        <v>75500.000000000044</v>
      </c>
    </row>
    <row r="33" spans="1:7" ht="14.25" customHeight="1">
      <c r="A33" s="44" t="s">
        <v>25</v>
      </c>
      <c r="B33" s="389" t="s">
        <v>1409</v>
      </c>
      <c r="C33" s="390" t="s">
        <v>127</v>
      </c>
      <c r="D33" s="391">
        <v>400000</v>
      </c>
      <c r="E33" s="391">
        <v>409895.79999999987</v>
      </c>
      <c r="F33" s="393">
        <v>137804.20000000001</v>
      </c>
      <c r="G33" s="391">
        <f t="shared" si="1"/>
        <v>315899.99999999994</v>
      </c>
    </row>
    <row r="34" spans="1:7" ht="14.25" customHeight="1">
      <c r="A34" s="44" t="s">
        <v>27</v>
      </c>
      <c r="B34" s="389" t="s">
        <v>1410</v>
      </c>
      <c r="C34" s="390" t="s">
        <v>127</v>
      </c>
      <c r="D34" s="391">
        <v>1500000</v>
      </c>
      <c r="E34" s="391">
        <v>2579900</v>
      </c>
      <c r="F34" s="393">
        <v>2294347.9</v>
      </c>
      <c r="G34" s="391">
        <f t="shared" si="1"/>
        <v>2124749.3000000003</v>
      </c>
    </row>
    <row r="35" spans="1:7" ht="14.25" customHeight="1">
      <c r="A35" s="44" t="s">
        <v>29</v>
      </c>
      <c r="B35" s="389" t="s">
        <v>1411</v>
      </c>
      <c r="C35" s="390" t="s">
        <v>127</v>
      </c>
      <c r="D35" s="391">
        <v>280000</v>
      </c>
      <c r="E35" s="391">
        <v>525900</v>
      </c>
      <c r="F35" s="393">
        <v>798235.29</v>
      </c>
      <c r="G35" s="391">
        <f t="shared" si="1"/>
        <v>534711.76333333331</v>
      </c>
    </row>
    <row r="36" spans="1:7" ht="14.25" customHeight="1">
      <c r="A36" s="44" t="s">
        <v>31</v>
      </c>
      <c r="B36" s="389" t="s">
        <v>1412</v>
      </c>
      <c r="C36" s="390" t="s">
        <v>127</v>
      </c>
      <c r="D36" s="391">
        <v>18000</v>
      </c>
      <c r="E36" s="391">
        <v>15500</v>
      </c>
      <c r="F36" s="393">
        <v>16000</v>
      </c>
      <c r="G36" s="391">
        <f t="shared" si="1"/>
        <v>16500</v>
      </c>
    </row>
    <row r="37" spans="1:7" ht="14.25" customHeight="1">
      <c r="A37" s="44" t="s">
        <v>33</v>
      </c>
      <c r="B37" s="389" t="s">
        <v>1413</v>
      </c>
      <c r="C37" s="390" t="s">
        <v>127</v>
      </c>
      <c r="D37" s="391">
        <v>10180000</v>
      </c>
      <c r="E37" s="391">
        <v>11569900</v>
      </c>
      <c r="F37" s="393">
        <v>8245336.8099998757</v>
      </c>
      <c r="G37" s="391">
        <f t="shared" si="1"/>
        <v>9998412.2699999586</v>
      </c>
    </row>
    <row r="38" spans="1:7" ht="14.25" customHeight="1">
      <c r="A38" s="44" t="s">
        <v>292</v>
      </c>
      <c r="B38" s="389" t="s">
        <v>1414</v>
      </c>
      <c r="C38" s="390" t="s">
        <v>127</v>
      </c>
      <c r="D38" s="391">
        <v>989900</v>
      </c>
      <c r="E38" s="391">
        <v>1099900</v>
      </c>
      <c r="F38" s="393">
        <v>1380600</v>
      </c>
      <c r="G38" s="391">
        <f t="shared" si="1"/>
        <v>1156800</v>
      </c>
    </row>
    <row r="39" spans="1:7" ht="14.25" customHeight="1">
      <c r="A39" s="44" t="s">
        <v>390</v>
      </c>
      <c r="B39" s="389" t="s">
        <v>1415</v>
      </c>
      <c r="C39" s="390" t="s">
        <v>127</v>
      </c>
      <c r="D39" s="391">
        <v>7900</v>
      </c>
      <c r="E39" s="391">
        <v>9800</v>
      </c>
      <c r="F39" s="393">
        <v>10500</v>
      </c>
      <c r="G39" s="391">
        <f t="shared" si="1"/>
        <v>9400</v>
      </c>
    </row>
    <row r="40" spans="1:7" ht="14.25" customHeight="1">
      <c r="A40" s="44" t="s">
        <v>391</v>
      </c>
      <c r="B40" s="389" t="s">
        <v>1416</v>
      </c>
      <c r="C40" s="390" t="s">
        <v>127</v>
      </c>
      <c r="D40" s="391">
        <v>345900</v>
      </c>
      <c r="E40" s="391">
        <v>526500</v>
      </c>
      <c r="F40" s="393">
        <v>327300</v>
      </c>
      <c r="G40" s="391">
        <f t="shared" si="1"/>
        <v>399900</v>
      </c>
    </row>
    <row r="41" spans="1:7" ht="14.25" customHeight="1">
      <c r="A41" s="44"/>
      <c r="B41" s="44"/>
      <c r="C41" s="44"/>
      <c r="D41" s="44"/>
      <c r="E41" s="44"/>
      <c r="F41" s="86"/>
      <c r="G41" s="394"/>
    </row>
    <row r="42" spans="1:7" ht="14.25" customHeight="1">
      <c r="A42" s="44">
        <v>3</v>
      </c>
      <c r="B42" s="1961" t="s">
        <v>1417</v>
      </c>
      <c r="C42" s="1610"/>
      <c r="D42" s="1610"/>
      <c r="E42" s="1610"/>
      <c r="F42" s="1610"/>
      <c r="G42" s="1611"/>
    </row>
    <row r="43" spans="1:7" ht="14.25" customHeight="1">
      <c r="A43" s="44"/>
      <c r="B43" s="44"/>
      <c r="C43" s="44"/>
      <c r="D43" s="403" t="s">
        <v>1520</v>
      </c>
      <c r="E43" s="403" t="s">
        <v>1521</v>
      </c>
      <c r="F43" s="403" t="s">
        <v>1522</v>
      </c>
      <c r="G43" s="396" t="s">
        <v>1516</v>
      </c>
    </row>
    <row r="44" spans="1:7" ht="14.25" customHeight="1">
      <c r="A44" s="44" t="s">
        <v>36</v>
      </c>
      <c r="B44" s="389" t="s">
        <v>1418</v>
      </c>
      <c r="C44" s="390" t="s">
        <v>127</v>
      </c>
      <c r="D44" s="393">
        <v>1495000.0000000009</v>
      </c>
      <c r="E44" s="393">
        <v>1664999.9999999993</v>
      </c>
      <c r="F44" s="393">
        <v>1610000</v>
      </c>
      <c r="G44" s="391">
        <f t="shared" ref="G44:G82" si="2">AVERAGE(D44,E44,F44)</f>
        <v>1590000</v>
      </c>
    </row>
    <row r="45" spans="1:7" ht="14.25" customHeight="1">
      <c r="A45" s="44" t="s">
        <v>38</v>
      </c>
      <c r="B45" s="389" t="s">
        <v>1419</v>
      </c>
      <c r="C45" s="390" t="s">
        <v>127</v>
      </c>
      <c r="D45" s="393">
        <v>826900</v>
      </c>
      <c r="E45" s="393">
        <v>936900</v>
      </c>
      <c r="F45" s="393">
        <v>636199.99999999965</v>
      </c>
      <c r="G45" s="391">
        <f t="shared" si="2"/>
        <v>799999.99999999988</v>
      </c>
    </row>
    <row r="46" spans="1:7" ht="14.25" customHeight="1">
      <c r="A46" s="44" t="s">
        <v>40</v>
      </c>
      <c r="B46" s="389" t="s">
        <v>1420</v>
      </c>
      <c r="C46" s="390" t="s">
        <v>127</v>
      </c>
      <c r="D46" s="393">
        <v>1723500.0000000005</v>
      </c>
      <c r="E46" s="393">
        <v>1587900</v>
      </c>
      <c r="F46" s="393">
        <v>1725600</v>
      </c>
      <c r="G46" s="391">
        <f t="shared" si="2"/>
        <v>1679000</v>
      </c>
    </row>
    <row r="47" spans="1:7" ht="14.25" customHeight="1">
      <c r="A47" s="44" t="s">
        <v>42</v>
      </c>
      <c r="B47" s="389" t="s">
        <v>1421</v>
      </c>
      <c r="C47" s="390" t="s">
        <v>127</v>
      </c>
      <c r="D47" s="393">
        <v>1925200.0000000009</v>
      </c>
      <c r="E47" s="393">
        <v>1889900</v>
      </c>
      <c r="F47" s="393">
        <v>2019900</v>
      </c>
      <c r="G47" s="391">
        <f t="shared" si="2"/>
        <v>1945000.0000000002</v>
      </c>
    </row>
    <row r="48" spans="1:7" ht="14.25" customHeight="1">
      <c r="A48" s="44" t="s">
        <v>45</v>
      </c>
      <c r="B48" s="389" t="s">
        <v>1422</v>
      </c>
      <c r="C48" s="390" t="s">
        <v>127</v>
      </c>
      <c r="D48" s="393">
        <v>484499.99999999977</v>
      </c>
      <c r="E48" s="393">
        <v>636800</v>
      </c>
      <c r="F48" s="393">
        <v>498700</v>
      </c>
      <c r="G48" s="391">
        <f t="shared" si="2"/>
        <v>539999.99999999988</v>
      </c>
    </row>
    <row r="49" spans="1:7" ht="14.25" customHeight="1">
      <c r="A49" s="44" t="s">
        <v>155</v>
      </c>
      <c r="B49" s="389" t="s">
        <v>1423</v>
      </c>
      <c r="C49" s="390" t="s">
        <v>127</v>
      </c>
      <c r="D49" s="393">
        <v>794109.99999999942</v>
      </c>
      <c r="E49" s="393">
        <v>819900</v>
      </c>
      <c r="F49" s="393">
        <v>635990</v>
      </c>
      <c r="G49" s="391">
        <f t="shared" si="2"/>
        <v>749999.99999999988</v>
      </c>
    </row>
    <row r="50" spans="1:7" ht="14.25" customHeight="1">
      <c r="A50" s="44" t="s">
        <v>393</v>
      </c>
      <c r="B50" s="389" t="s">
        <v>1424</v>
      </c>
      <c r="C50" s="390" t="s">
        <v>127</v>
      </c>
      <c r="D50" s="393">
        <v>706600</v>
      </c>
      <c r="E50" s="393">
        <v>636900</v>
      </c>
      <c r="F50" s="393">
        <v>696500</v>
      </c>
      <c r="G50" s="391">
        <f t="shared" si="2"/>
        <v>680000</v>
      </c>
    </row>
    <row r="51" spans="1:7" ht="14.25" customHeight="1">
      <c r="A51" s="44" t="s">
        <v>394</v>
      </c>
      <c r="B51" s="389" t="s">
        <v>1425</v>
      </c>
      <c r="C51" s="390" t="s">
        <v>127</v>
      </c>
      <c r="D51" s="393">
        <v>528999.99999999988</v>
      </c>
      <c r="E51" s="393">
        <v>526300</v>
      </c>
      <c r="F51" s="393">
        <v>498700</v>
      </c>
      <c r="G51" s="391">
        <f t="shared" si="2"/>
        <v>518000</v>
      </c>
    </row>
    <row r="52" spans="1:7" ht="14.25" customHeight="1">
      <c r="A52" s="44" t="s">
        <v>395</v>
      </c>
      <c r="B52" s="389" t="s">
        <v>1426</v>
      </c>
      <c r="C52" s="390" t="s">
        <v>127</v>
      </c>
      <c r="D52" s="393">
        <v>2020099.9999999995</v>
      </c>
      <c r="E52" s="393">
        <v>1899900</v>
      </c>
      <c r="F52" s="393">
        <v>2080000</v>
      </c>
      <c r="G52" s="391">
        <f t="shared" si="2"/>
        <v>2000000</v>
      </c>
    </row>
    <row r="53" spans="1:7" ht="14.25" customHeight="1">
      <c r="A53" s="44" t="s">
        <v>396</v>
      </c>
      <c r="B53" s="389" t="s">
        <v>1427</v>
      </c>
      <c r="C53" s="390" t="s">
        <v>127</v>
      </c>
      <c r="D53" s="393">
        <v>203500.00000000006</v>
      </c>
      <c r="E53" s="393">
        <v>236900</v>
      </c>
      <c r="F53" s="393">
        <v>159600</v>
      </c>
      <c r="G53" s="391">
        <f t="shared" si="2"/>
        <v>200000</v>
      </c>
    </row>
    <row r="54" spans="1:7" ht="14.25" customHeight="1">
      <c r="A54" s="44" t="s">
        <v>397</v>
      </c>
      <c r="B54" s="389" t="s">
        <v>1428</v>
      </c>
      <c r="C54" s="390" t="s">
        <v>127</v>
      </c>
      <c r="D54" s="393">
        <v>497199.99999999965</v>
      </c>
      <c r="E54" s="393">
        <v>496800</v>
      </c>
      <c r="F54" s="393">
        <v>589700</v>
      </c>
      <c r="G54" s="391">
        <f t="shared" si="2"/>
        <v>527899.99999999988</v>
      </c>
    </row>
    <row r="55" spans="1:7" ht="14.25" customHeight="1">
      <c r="A55" s="44" t="s">
        <v>401</v>
      </c>
      <c r="B55" s="389" t="s">
        <v>1429</v>
      </c>
      <c r="C55" s="390" t="s">
        <v>127</v>
      </c>
      <c r="D55" s="393">
        <v>778999.99999999953</v>
      </c>
      <c r="E55" s="393">
        <v>824500</v>
      </c>
      <c r="F55" s="393">
        <v>796500</v>
      </c>
      <c r="G55" s="391">
        <f t="shared" si="2"/>
        <v>799999.99999999988</v>
      </c>
    </row>
    <row r="56" spans="1:7" ht="14.25" customHeight="1">
      <c r="A56" s="44" t="s">
        <v>403</v>
      </c>
      <c r="B56" s="389" t="s">
        <v>1430</v>
      </c>
      <c r="C56" s="390" t="s">
        <v>127</v>
      </c>
      <c r="D56" s="393">
        <v>1020749.9999999998</v>
      </c>
      <c r="E56" s="393">
        <v>702450</v>
      </c>
      <c r="F56" s="393">
        <v>646800</v>
      </c>
      <c r="G56" s="391">
        <f t="shared" si="2"/>
        <v>790000</v>
      </c>
    </row>
    <row r="57" spans="1:7" ht="14.25" customHeight="1">
      <c r="A57" s="44" t="s">
        <v>1431</v>
      </c>
      <c r="B57" s="389" t="s">
        <v>1432</v>
      </c>
      <c r="C57" s="390" t="s">
        <v>127</v>
      </c>
      <c r="D57" s="393">
        <v>651709.99999999977</v>
      </c>
      <c r="E57" s="393">
        <v>701990</v>
      </c>
      <c r="F57" s="393">
        <v>896300</v>
      </c>
      <c r="G57" s="391">
        <f t="shared" si="2"/>
        <v>750000</v>
      </c>
    </row>
    <row r="58" spans="1:7" ht="14.25" customHeight="1">
      <c r="A58" s="44" t="s">
        <v>1433</v>
      </c>
      <c r="B58" s="389" t="s">
        <v>1434</v>
      </c>
      <c r="C58" s="390" t="s">
        <v>127</v>
      </c>
      <c r="D58" s="393">
        <v>1273200.0000000002</v>
      </c>
      <c r="E58" s="393">
        <v>869900</v>
      </c>
      <c r="F58" s="393">
        <v>1456900</v>
      </c>
      <c r="G58" s="391">
        <f t="shared" si="2"/>
        <v>1200000</v>
      </c>
    </row>
    <row r="59" spans="1:7" ht="14.25" customHeight="1">
      <c r="A59" s="44" t="s">
        <v>1435</v>
      </c>
      <c r="B59" s="389" t="s">
        <v>1436</v>
      </c>
      <c r="C59" s="390" t="s">
        <v>127</v>
      </c>
      <c r="D59" s="393">
        <v>589200</v>
      </c>
      <c r="E59" s="393">
        <v>623600</v>
      </c>
      <c r="F59" s="393">
        <v>508900</v>
      </c>
      <c r="G59" s="391">
        <f t="shared" si="2"/>
        <v>573900</v>
      </c>
    </row>
    <row r="60" spans="1:7" ht="14.25" customHeight="1">
      <c r="A60" s="44" t="s">
        <v>1437</v>
      </c>
      <c r="B60" s="389" t="s">
        <v>1438</v>
      </c>
      <c r="C60" s="390" t="s">
        <v>127</v>
      </c>
      <c r="D60" s="393">
        <v>158600</v>
      </c>
      <c r="E60" s="393">
        <v>196500</v>
      </c>
      <c r="F60" s="393">
        <v>205600</v>
      </c>
      <c r="G60" s="391">
        <f t="shared" si="2"/>
        <v>186900</v>
      </c>
    </row>
    <row r="61" spans="1:7" ht="14.25" customHeight="1">
      <c r="A61" s="44" t="s">
        <v>1439</v>
      </c>
      <c r="B61" s="389" t="s">
        <v>1440</v>
      </c>
      <c r="C61" s="390" t="s">
        <v>127</v>
      </c>
      <c r="D61" s="393">
        <v>101609.9999999999</v>
      </c>
      <c r="E61" s="393">
        <v>132990</v>
      </c>
      <c r="F61" s="393">
        <v>104100</v>
      </c>
      <c r="G61" s="391">
        <f t="shared" si="2"/>
        <v>112899.99999999996</v>
      </c>
    </row>
    <row r="62" spans="1:7" ht="14.25" customHeight="1">
      <c r="A62" s="44" t="s">
        <v>1441</v>
      </c>
      <c r="B62" s="389" t="s">
        <v>1442</v>
      </c>
      <c r="C62" s="390" t="s">
        <v>127</v>
      </c>
      <c r="D62" s="393">
        <v>63599.999999999956</v>
      </c>
      <c r="E62" s="393">
        <v>81200</v>
      </c>
      <c r="F62" s="393">
        <v>79900</v>
      </c>
      <c r="G62" s="391">
        <f t="shared" si="2"/>
        <v>74899.999999999985</v>
      </c>
    </row>
    <row r="63" spans="1:7" ht="14.25" customHeight="1">
      <c r="A63" s="44" t="s">
        <v>1443</v>
      </c>
      <c r="B63" s="389" t="s">
        <v>1444</v>
      </c>
      <c r="C63" s="390" t="s">
        <v>127</v>
      </c>
      <c r="D63" s="393">
        <v>40000.000000000029</v>
      </c>
      <c r="E63" s="393">
        <v>41600</v>
      </c>
      <c r="F63" s="393">
        <v>32100</v>
      </c>
      <c r="G63" s="391">
        <f t="shared" si="2"/>
        <v>37900.000000000007</v>
      </c>
    </row>
    <row r="64" spans="1:7" ht="14.25" customHeight="1">
      <c r="A64" s="44" t="s">
        <v>1445</v>
      </c>
      <c r="B64" s="389" t="s">
        <v>1446</v>
      </c>
      <c r="C64" s="390" t="s">
        <v>127</v>
      </c>
      <c r="D64" s="393">
        <v>24000.000000000015</v>
      </c>
      <c r="E64" s="393">
        <v>16900</v>
      </c>
      <c r="F64" s="393">
        <v>15800</v>
      </c>
      <c r="G64" s="391">
        <f t="shared" si="2"/>
        <v>18900.000000000004</v>
      </c>
    </row>
    <row r="65" spans="1:7" ht="14.25" customHeight="1">
      <c r="A65" s="44" t="s">
        <v>1447</v>
      </c>
      <c r="B65" s="389" t="s">
        <v>1448</v>
      </c>
      <c r="C65" s="390" t="s">
        <v>127</v>
      </c>
      <c r="D65" s="393">
        <v>1045200.0000000005</v>
      </c>
      <c r="E65" s="393">
        <v>1264900</v>
      </c>
      <c r="F65" s="393">
        <v>989900</v>
      </c>
      <c r="G65" s="391">
        <f t="shared" si="2"/>
        <v>1100000.0000000002</v>
      </c>
    </row>
    <row r="66" spans="1:7" ht="14.25" customHeight="1">
      <c r="A66" s="44" t="s">
        <v>1449</v>
      </c>
      <c r="B66" s="389" t="s">
        <v>1450</v>
      </c>
      <c r="C66" s="390" t="s">
        <v>127</v>
      </c>
      <c r="D66" s="393">
        <v>339600.00000000006</v>
      </c>
      <c r="E66" s="393">
        <v>411600</v>
      </c>
      <c r="F66" s="393">
        <v>316500</v>
      </c>
      <c r="G66" s="391">
        <f t="shared" si="2"/>
        <v>355900</v>
      </c>
    </row>
    <row r="67" spans="1:7" ht="14.25" customHeight="1">
      <c r="A67" s="44" t="s">
        <v>1451</v>
      </c>
      <c r="B67" s="389" t="s">
        <v>1452</v>
      </c>
      <c r="C67" s="390" t="s">
        <v>127</v>
      </c>
      <c r="D67" s="393">
        <v>850200.00000000023</v>
      </c>
      <c r="E67" s="393">
        <v>825600</v>
      </c>
      <c r="F67" s="393">
        <v>1056900</v>
      </c>
      <c r="G67" s="391">
        <f t="shared" si="2"/>
        <v>910900</v>
      </c>
    </row>
    <row r="68" spans="1:7" ht="14.25" customHeight="1">
      <c r="A68" s="44" t="s">
        <v>1453</v>
      </c>
      <c r="B68" s="395" t="s">
        <v>1454</v>
      </c>
      <c r="C68" s="390" t="s">
        <v>127</v>
      </c>
      <c r="D68" s="393">
        <v>459799.99999999988</v>
      </c>
      <c r="E68" s="393">
        <v>525600</v>
      </c>
      <c r="F68" s="393">
        <v>652300</v>
      </c>
      <c r="G68" s="391">
        <f t="shared" si="2"/>
        <v>545900</v>
      </c>
    </row>
    <row r="69" spans="1:7" ht="14.25" customHeight="1">
      <c r="A69" s="44" t="s">
        <v>1455</v>
      </c>
      <c r="B69" s="389" t="s">
        <v>1456</v>
      </c>
      <c r="C69" s="390" t="s">
        <v>127</v>
      </c>
      <c r="D69" s="393">
        <v>527800</v>
      </c>
      <c r="E69" s="393">
        <v>610000</v>
      </c>
      <c r="F69" s="393">
        <v>583900</v>
      </c>
      <c r="G69" s="391">
        <f t="shared" si="2"/>
        <v>573900</v>
      </c>
    </row>
    <row r="70" spans="1:7" ht="14.25" customHeight="1">
      <c r="A70" s="44" t="s">
        <v>1457</v>
      </c>
      <c r="B70" s="389" t="s">
        <v>1458</v>
      </c>
      <c r="C70" s="390" t="s">
        <v>127</v>
      </c>
      <c r="D70" s="393">
        <v>192700.00000000012</v>
      </c>
      <c r="E70" s="393">
        <v>156900</v>
      </c>
      <c r="F70" s="393">
        <v>181100</v>
      </c>
      <c r="G70" s="391">
        <f t="shared" si="2"/>
        <v>176900.00000000003</v>
      </c>
    </row>
    <row r="71" spans="1:7" ht="14.25" customHeight="1">
      <c r="A71" s="44" t="s">
        <v>1459</v>
      </c>
      <c r="B71" s="389" t="s">
        <v>1460</v>
      </c>
      <c r="C71" s="390" t="s">
        <v>127</v>
      </c>
      <c r="D71" s="393">
        <v>552199.99999999965</v>
      </c>
      <c r="E71" s="393">
        <v>489900</v>
      </c>
      <c r="F71" s="393">
        <v>619600</v>
      </c>
      <c r="G71" s="391">
        <f t="shared" si="2"/>
        <v>553899.99999999988</v>
      </c>
    </row>
    <row r="72" spans="1:7" ht="14.25" customHeight="1">
      <c r="A72" s="44" t="s">
        <v>1461</v>
      </c>
      <c r="B72" s="389" t="s">
        <v>1462</v>
      </c>
      <c r="C72" s="390" t="s">
        <v>127</v>
      </c>
      <c r="D72" s="393">
        <v>406200.00000000006</v>
      </c>
      <c r="E72" s="393">
        <v>358900</v>
      </c>
      <c r="F72" s="393">
        <v>425600</v>
      </c>
      <c r="G72" s="391">
        <f t="shared" si="2"/>
        <v>396900</v>
      </c>
    </row>
    <row r="73" spans="1:7" ht="14.25" customHeight="1">
      <c r="A73" s="44" t="s">
        <v>1463</v>
      </c>
      <c r="B73" s="389" t="s">
        <v>1464</v>
      </c>
      <c r="C73" s="390" t="s">
        <v>127</v>
      </c>
      <c r="D73" s="393">
        <v>419810.00000000006</v>
      </c>
      <c r="E73" s="393">
        <v>485990</v>
      </c>
      <c r="F73" s="393">
        <v>611900</v>
      </c>
      <c r="G73" s="391">
        <f t="shared" si="2"/>
        <v>505900</v>
      </c>
    </row>
    <row r="74" spans="1:7" ht="14.25" customHeight="1">
      <c r="A74" s="44" t="s">
        <v>1465</v>
      </c>
      <c r="B74" s="389" t="s">
        <v>1466</v>
      </c>
      <c r="C74" s="390" t="s">
        <v>127</v>
      </c>
      <c r="D74" s="393">
        <v>2362800.0000000019</v>
      </c>
      <c r="E74" s="393">
        <v>2196000</v>
      </c>
      <c r="F74" s="393">
        <v>2433900</v>
      </c>
      <c r="G74" s="391">
        <f t="shared" si="2"/>
        <v>2330900.0000000005</v>
      </c>
    </row>
    <row r="75" spans="1:7" ht="14.25" customHeight="1">
      <c r="A75" s="44" t="s">
        <v>1467</v>
      </c>
      <c r="B75" s="389" t="s">
        <v>1468</v>
      </c>
      <c r="C75" s="390" t="s">
        <v>127</v>
      </c>
      <c r="D75" s="393">
        <v>3087200.0000000009</v>
      </c>
      <c r="E75" s="393">
        <v>2546900</v>
      </c>
      <c r="F75" s="393">
        <v>2987600</v>
      </c>
      <c r="G75" s="391">
        <f t="shared" si="2"/>
        <v>2873900</v>
      </c>
    </row>
    <row r="76" spans="1:7" ht="14.25" customHeight="1">
      <c r="A76" s="44" t="s">
        <v>1469</v>
      </c>
      <c r="B76" s="389" t="s">
        <v>1470</v>
      </c>
      <c r="C76" s="390" t="s">
        <v>127</v>
      </c>
      <c r="D76" s="393">
        <v>1062900.0000000005</v>
      </c>
      <c r="E76" s="393">
        <v>896300</v>
      </c>
      <c r="F76" s="393">
        <v>1010500</v>
      </c>
      <c r="G76" s="391">
        <f t="shared" si="2"/>
        <v>989900.00000000012</v>
      </c>
    </row>
    <row r="77" spans="1:7" ht="14.25" customHeight="1">
      <c r="A77" s="44" t="s">
        <v>1471</v>
      </c>
      <c r="B77" s="389" t="s">
        <v>1472</v>
      </c>
      <c r="C77" s="390" t="s">
        <v>127</v>
      </c>
      <c r="D77" s="393">
        <v>4013396.9999999991</v>
      </c>
      <c r="E77" s="393">
        <v>3987625</v>
      </c>
      <c r="F77" s="393">
        <v>4489514</v>
      </c>
      <c r="G77" s="391">
        <f t="shared" si="2"/>
        <v>4163512</v>
      </c>
    </row>
    <row r="78" spans="1:7" ht="14.25" customHeight="1">
      <c r="A78" s="44" t="s">
        <v>1473</v>
      </c>
      <c r="B78" s="389" t="s">
        <v>1474</v>
      </c>
      <c r="C78" s="390" t="s">
        <v>127</v>
      </c>
      <c r="D78" s="393">
        <v>302099.99999999988</v>
      </c>
      <c r="E78" s="393">
        <v>346900</v>
      </c>
      <c r="F78" s="393">
        <v>298700</v>
      </c>
      <c r="G78" s="391">
        <f t="shared" si="2"/>
        <v>315899.99999999994</v>
      </c>
    </row>
    <row r="79" spans="1:7" ht="14.25" customHeight="1">
      <c r="A79" s="44" t="s">
        <v>1475</v>
      </c>
      <c r="B79" s="389" t="s">
        <v>1476</v>
      </c>
      <c r="C79" s="390" t="s">
        <v>127</v>
      </c>
      <c r="D79" s="393">
        <v>260200.00000000006</v>
      </c>
      <c r="E79" s="393">
        <v>226900</v>
      </c>
      <c r="F79" s="393">
        <v>259600</v>
      </c>
      <c r="G79" s="391">
        <f t="shared" si="2"/>
        <v>248900</v>
      </c>
    </row>
    <row r="80" spans="1:7" ht="14.25" customHeight="1">
      <c r="A80" s="44" t="s">
        <v>1477</v>
      </c>
      <c r="B80" s="389" t="s">
        <v>1478</v>
      </c>
      <c r="C80" s="390" t="s">
        <v>127</v>
      </c>
      <c r="D80" s="393">
        <v>225199.99999999991</v>
      </c>
      <c r="E80" s="393">
        <v>224600</v>
      </c>
      <c r="F80" s="393">
        <v>245900</v>
      </c>
      <c r="G80" s="391">
        <f t="shared" si="2"/>
        <v>231899.99999999997</v>
      </c>
    </row>
    <row r="81" spans="1:7" ht="14.25" customHeight="1">
      <c r="A81" s="44" t="s">
        <v>1479</v>
      </c>
      <c r="B81" s="389" t="s">
        <v>1480</v>
      </c>
      <c r="C81" s="390" t="s">
        <v>127</v>
      </c>
      <c r="D81" s="393">
        <v>164470</v>
      </c>
      <c r="E81" s="393">
        <v>166330</v>
      </c>
      <c r="F81" s="393">
        <v>181900</v>
      </c>
      <c r="G81" s="391">
        <f t="shared" si="2"/>
        <v>170900</v>
      </c>
    </row>
    <row r="82" spans="1:7" ht="14.25" customHeight="1">
      <c r="A82" s="44" t="s">
        <v>1481</v>
      </c>
      <c r="B82" s="389" t="s">
        <v>1482</v>
      </c>
      <c r="C82" s="390" t="s">
        <v>127</v>
      </c>
      <c r="D82" s="393">
        <v>135600</v>
      </c>
      <c r="E82" s="393">
        <v>115600</v>
      </c>
      <c r="F82" s="393">
        <v>135500</v>
      </c>
      <c r="G82" s="391">
        <f t="shared" si="2"/>
        <v>128900</v>
      </c>
    </row>
    <row r="83" spans="1:7" ht="14.25" customHeight="1">
      <c r="A83" s="44"/>
      <c r="B83" s="44"/>
      <c r="C83" s="44"/>
      <c r="D83" s="44"/>
      <c r="E83" s="44"/>
      <c r="F83" s="86"/>
      <c r="G83" s="394"/>
    </row>
    <row r="84" spans="1:7" ht="14.25" customHeight="1">
      <c r="A84" s="44">
        <v>4</v>
      </c>
      <c r="B84" s="1961" t="s">
        <v>1483</v>
      </c>
      <c r="C84" s="1610"/>
      <c r="D84" s="1610"/>
      <c r="E84" s="1610"/>
      <c r="F84" s="1610"/>
      <c r="G84" s="1611"/>
    </row>
    <row r="85" spans="1:7" ht="14.25" customHeight="1">
      <c r="A85" s="44"/>
      <c r="B85" s="44"/>
      <c r="C85" s="44"/>
      <c r="D85" s="403" t="s">
        <v>1523</v>
      </c>
      <c r="E85" s="403" t="s">
        <v>1524</v>
      </c>
      <c r="F85" s="403" t="s">
        <v>1525</v>
      </c>
      <c r="G85" s="396" t="s">
        <v>1516</v>
      </c>
    </row>
    <row r="86" spans="1:7" ht="14.25" customHeight="1">
      <c r="A86" s="44" t="s">
        <v>48</v>
      </c>
      <c r="B86" s="389" t="s">
        <v>1484</v>
      </c>
      <c r="C86" s="390" t="s">
        <v>127</v>
      </c>
      <c r="D86" s="393">
        <v>10209999.999999998</v>
      </c>
      <c r="E86" s="393">
        <v>8990000</v>
      </c>
      <c r="F86" s="393">
        <v>10200000</v>
      </c>
      <c r="G86" s="391">
        <f t="shared" ref="G86:G91" si="3">AVERAGE(D86,E86,F86)</f>
        <v>9800000</v>
      </c>
    </row>
    <row r="87" spans="1:7" ht="14.25" customHeight="1">
      <c r="A87" s="44" t="s">
        <v>51</v>
      </c>
      <c r="B87" s="389" t="s">
        <v>1485</v>
      </c>
      <c r="C87" s="390" t="s">
        <v>127</v>
      </c>
      <c r="D87" s="393">
        <v>5740000.0000000019</v>
      </c>
      <c r="E87" s="393">
        <v>5160000</v>
      </c>
      <c r="F87" s="393">
        <v>6200000</v>
      </c>
      <c r="G87" s="391">
        <f t="shared" si="3"/>
        <v>5700000</v>
      </c>
    </row>
    <row r="88" spans="1:7" ht="14.25" customHeight="1">
      <c r="A88" s="44" t="s">
        <v>156</v>
      </c>
      <c r="B88" s="389" t="s">
        <v>1486</v>
      </c>
      <c r="C88" s="390" t="s">
        <v>127</v>
      </c>
      <c r="D88" s="393">
        <v>1238099.9999999995</v>
      </c>
      <c r="E88" s="393">
        <v>1011900</v>
      </c>
      <c r="F88" s="393">
        <v>1350000</v>
      </c>
      <c r="G88" s="391">
        <f t="shared" si="3"/>
        <v>1199999.9999999998</v>
      </c>
    </row>
    <row r="89" spans="1:7" ht="14.25" customHeight="1">
      <c r="A89" s="44" t="s">
        <v>157</v>
      </c>
      <c r="B89" s="389" t="s">
        <v>1487</v>
      </c>
      <c r="C89" s="390" t="s">
        <v>127</v>
      </c>
      <c r="D89" s="393">
        <v>6660000.0000000009</v>
      </c>
      <c r="E89" s="393">
        <v>6840000</v>
      </c>
      <c r="F89" s="393">
        <v>6584900</v>
      </c>
      <c r="G89" s="391">
        <f t="shared" si="3"/>
        <v>6694966.666666667</v>
      </c>
    </row>
    <row r="90" spans="1:7" ht="14.25" customHeight="1">
      <c r="A90" s="44" t="s">
        <v>158</v>
      </c>
      <c r="B90" s="389" t="s">
        <v>1488</v>
      </c>
      <c r="C90" s="390" t="s">
        <v>127</v>
      </c>
      <c r="D90" s="393">
        <v>2596079.9999999995</v>
      </c>
      <c r="E90" s="393">
        <v>1998920</v>
      </c>
      <c r="F90" s="393">
        <v>2125000</v>
      </c>
      <c r="G90" s="391">
        <f t="shared" si="3"/>
        <v>2240000</v>
      </c>
    </row>
    <row r="91" spans="1:7" ht="14.25" customHeight="1">
      <c r="A91" s="44" t="s">
        <v>159</v>
      </c>
      <c r="B91" s="389" t="s">
        <v>1489</v>
      </c>
      <c r="C91" s="390" t="s">
        <v>127</v>
      </c>
      <c r="D91" s="393">
        <v>2004410</v>
      </c>
      <c r="E91" s="393">
        <v>2115690</v>
      </c>
      <c r="F91" s="393">
        <v>1987900</v>
      </c>
      <c r="G91" s="391">
        <f t="shared" si="3"/>
        <v>2036000</v>
      </c>
    </row>
    <row r="92" spans="1:7" ht="14.25" customHeight="1">
      <c r="A92" s="44"/>
      <c r="B92" s="44"/>
      <c r="C92" s="44"/>
      <c r="D92" s="44"/>
      <c r="E92" s="44"/>
      <c r="F92" s="86"/>
      <c r="G92" s="394"/>
    </row>
    <row r="93" spans="1:7" ht="14.25" customHeight="1">
      <c r="A93" s="13">
        <v>5</v>
      </c>
      <c r="B93" s="1961" t="s">
        <v>1490</v>
      </c>
      <c r="C93" s="1610"/>
      <c r="D93" s="1610"/>
      <c r="E93" s="1610"/>
      <c r="F93" s="1610"/>
      <c r="G93" s="1611"/>
    </row>
    <row r="94" spans="1:7" ht="14.25" customHeight="1">
      <c r="A94" s="44"/>
      <c r="B94" s="44"/>
      <c r="C94" s="44"/>
      <c r="D94" s="403" t="s">
        <v>1523</v>
      </c>
      <c r="E94" s="403" t="s">
        <v>1524</v>
      </c>
      <c r="F94" s="403" t="s">
        <v>1525</v>
      </c>
      <c r="G94" s="396" t="s">
        <v>1516</v>
      </c>
    </row>
    <row r="95" spans="1:7" ht="14.25" customHeight="1">
      <c r="A95" s="44" t="s">
        <v>54</v>
      </c>
      <c r="B95" s="389" t="s">
        <v>1491</v>
      </c>
      <c r="C95" s="390" t="s">
        <v>127</v>
      </c>
      <c r="D95" s="393">
        <v>10017199.999999993</v>
      </c>
      <c r="E95" s="393">
        <v>9864900</v>
      </c>
      <c r="F95" s="393">
        <v>10987900</v>
      </c>
      <c r="G95" s="391">
        <f t="shared" ref="G95:G103" si="4">AVERAGE(D95,E95,F95)</f>
        <v>10289999.999999998</v>
      </c>
    </row>
    <row r="96" spans="1:7" ht="14.25" customHeight="1">
      <c r="A96" s="44" t="s">
        <v>294</v>
      </c>
      <c r="B96" s="389" t="s">
        <v>1492</v>
      </c>
      <c r="C96" s="390" t="s">
        <v>127</v>
      </c>
      <c r="D96" s="393">
        <v>10505199.999999998</v>
      </c>
      <c r="E96" s="393">
        <v>10456900</v>
      </c>
      <c r="F96" s="393">
        <v>10789900</v>
      </c>
      <c r="G96" s="391">
        <f t="shared" si="4"/>
        <v>10584000</v>
      </c>
    </row>
    <row r="97" spans="1:7" ht="14.25" customHeight="1">
      <c r="A97" s="44" t="s">
        <v>421</v>
      </c>
      <c r="B97" s="389" t="s">
        <v>1493</v>
      </c>
      <c r="C97" s="390" t="s">
        <v>127</v>
      </c>
      <c r="D97" s="393">
        <v>1318200</v>
      </c>
      <c r="E97" s="393">
        <v>1365700</v>
      </c>
      <c r="F97" s="393">
        <v>1695800</v>
      </c>
      <c r="G97" s="391">
        <f t="shared" si="4"/>
        <v>1459900</v>
      </c>
    </row>
    <row r="98" spans="1:7" ht="14.25" customHeight="1">
      <c r="A98" s="44" t="s">
        <v>1494</v>
      </c>
      <c r="B98" s="389" t="s">
        <v>1495</v>
      </c>
      <c r="C98" s="390" t="s">
        <v>127</v>
      </c>
      <c r="D98" s="393">
        <v>978099.99999999977</v>
      </c>
      <c r="E98" s="393">
        <v>1256900</v>
      </c>
      <c r="F98" s="393">
        <v>989700</v>
      </c>
      <c r="G98" s="391">
        <f t="shared" si="4"/>
        <v>1074900</v>
      </c>
    </row>
    <row r="99" spans="1:7" ht="14.25" customHeight="1">
      <c r="A99" s="44" t="s">
        <v>1496</v>
      </c>
      <c r="B99" s="389" t="s">
        <v>1497</v>
      </c>
      <c r="C99" s="390" t="s">
        <v>127</v>
      </c>
      <c r="D99" s="393">
        <v>19186900.000000007</v>
      </c>
      <c r="E99" s="393">
        <v>1001900</v>
      </c>
      <c r="F99" s="393">
        <v>11563200</v>
      </c>
      <c r="G99" s="391">
        <f t="shared" si="4"/>
        <v>10584000.000000002</v>
      </c>
    </row>
    <row r="100" spans="1:7" ht="14.25" customHeight="1">
      <c r="A100" s="44" t="s">
        <v>1498</v>
      </c>
      <c r="B100" s="389" t="s">
        <v>1499</v>
      </c>
      <c r="C100" s="390" t="s">
        <v>127</v>
      </c>
      <c r="D100" s="393">
        <v>15139100</v>
      </c>
      <c r="E100" s="393">
        <v>12600000</v>
      </c>
      <c r="F100" s="393">
        <v>15478900</v>
      </c>
      <c r="G100" s="391">
        <f t="shared" si="4"/>
        <v>14406000</v>
      </c>
    </row>
    <row r="101" spans="1:7" ht="14.25" customHeight="1">
      <c r="A101" s="44" t="s">
        <v>1500</v>
      </c>
      <c r="B101" s="389" t="s">
        <v>1501</v>
      </c>
      <c r="C101" s="390" t="s">
        <v>127</v>
      </c>
      <c r="D101" s="393">
        <v>386300</v>
      </c>
      <c r="E101" s="393">
        <v>368700</v>
      </c>
      <c r="F101" s="393">
        <v>415000</v>
      </c>
      <c r="G101" s="391">
        <f t="shared" si="4"/>
        <v>390000</v>
      </c>
    </row>
    <row r="102" spans="1:7" ht="14.25" customHeight="1">
      <c r="A102" s="44" t="s">
        <v>1502</v>
      </c>
      <c r="B102" s="389" t="s">
        <v>1503</v>
      </c>
      <c r="C102" s="390" t="s">
        <v>127</v>
      </c>
      <c r="D102" s="393">
        <v>629399.99999999988</v>
      </c>
      <c r="E102" s="393">
        <v>515600</v>
      </c>
      <c r="F102" s="393">
        <v>625000</v>
      </c>
      <c r="G102" s="391">
        <f t="shared" si="4"/>
        <v>590000</v>
      </c>
    </row>
    <row r="103" spans="1:7" ht="14.25" customHeight="1">
      <c r="A103" s="44" t="s">
        <v>1504</v>
      </c>
      <c r="B103" s="389" t="s">
        <v>1505</v>
      </c>
      <c r="C103" s="390" t="s">
        <v>127</v>
      </c>
      <c r="D103" s="393">
        <v>99299.999999999913</v>
      </c>
      <c r="E103" s="393">
        <v>126300</v>
      </c>
      <c r="F103" s="393">
        <v>215400</v>
      </c>
      <c r="G103" s="391">
        <f t="shared" si="4"/>
        <v>146999.99999999997</v>
      </c>
    </row>
    <row r="104" spans="1:7" ht="14.25" customHeight="1">
      <c r="A104" s="44"/>
      <c r="B104" s="44"/>
      <c r="C104" s="44"/>
      <c r="D104" s="44"/>
      <c r="E104" s="44"/>
      <c r="F104" s="86"/>
      <c r="G104" s="394"/>
    </row>
    <row r="105" spans="1:7" ht="14.25" customHeight="1">
      <c r="A105" s="86">
        <v>6</v>
      </c>
      <c r="B105" s="1962" t="s">
        <v>466</v>
      </c>
      <c r="C105" s="1610"/>
      <c r="D105" s="1610"/>
      <c r="E105" s="1610"/>
      <c r="F105" s="1610"/>
      <c r="G105" s="1611"/>
    </row>
    <row r="106" spans="1:7" ht="14.25" customHeight="1">
      <c r="A106" s="44"/>
      <c r="B106" s="44"/>
      <c r="C106" s="44"/>
      <c r="D106" s="403" t="s">
        <v>1526</v>
      </c>
      <c r="E106" s="403" t="s">
        <v>1527</v>
      </c>
      <c r="F106" s="403" t="s">
        <v>1528</v>
      </c>
      <c r="G106" s="396" t="s">
        <v>1516</v>
      </c>
    </row>
    <row r="107" spans="1:7" ht="14.25" customHeight="1">
      <c r="A107" s="44" t="s">
        <v>58</v>
      </c>
      <c r="B107" s="389" t="s">
        <v>1506</v>
      </c>
      <c r="C107" s="390" t="s">
        <v>127</v>
      </c>
      <c r="D107" s="391">
        <v>1167299.9999999995</v>
      </c>
      <c r="E107" s="391">
        <v>1065800</v>
      </c>
      <c r="F107" s="391">
        <v>1216900</v>
      </c>
      <c r="G107" s="391">
        <f t="shared" ref="G107:G112" si="5">AVERAGE(D107,E107,F107)</f>
        <v>1149999.9999999998</v>
      </c>
    </row>
    <row r="108" spans="1:7" ht="14.25" customHeight="1">
      <c r="A108" s="44" t="s">
        <v>60</v>
      </c>
      <c r="B108" s="389" t="s">
        <v>1507</v>
      </c>
      <c r="C108" s="390" t="s">
        <v>127</v>
      </c>
      <c r="D108" s="391">
        <v>4896100.0000000028</v>
      </c>
      <c r="E108" s="391">
        <v>5618900</v>
      </c>
      <c r="F108" s="391">
        <v>4980000</v>
      </c>
      <c r="G108" s="391">
        <f t="shared" si="5"/>
        <v>5165000.0000000009</v>
      </c>
    </row>
    <row r="109" spans="1:7" ht="14.25" customHeight="1">
      <c r="A109" s="44" t="s">
        <v>62</v>
      </c>
      <c r="B109" s="389" t="s">
        <v>1508</v>
      </c>
      <c r="C109" s="390" t="s">
        <v>127</v>
      </c>
      <c r="D109" s="391">
        <v>1577599.9999999988</v>
      </c>
      <c r="E109" s="391">
        <v>1632500</v>
      </c>
      <c r="F109" s="391">
        <v>1589900</v>
      </c>
      <c r="G109" s="391">
        <f t="shared" si="5"/>
        <v>1599999.9999999998</v>
      </c>
    </row>
    <row r="110" spans="1:7" ht="14.25" customHeight="1">
      <c r="A110" s="44" t="s">
        <v>64</v>
      </c>
      <c r="B110" s="389" t="s">
        <v>1509</v>
      </c>
      <c r="C110" s="390" t="s">
        <v>127</v>
      </c>
      <c r="D110" s="391">
        <v>1045110.0000000005</v>
      </c>
      <c r="E110" s="391">
        <v>1146990</v>
      </c>
      <c r="F110" s="391">
        <v>987900</v>
      </c>
      <c r="G110" s="391">
        <f t="shared" si="5"/>
        <v>1060000.0000000002</v>
      </c>
    </row>
    <row r="111" spans="1:7" ht="14.25" customHeight="1">
      <c r="A111" s="44" t="s">
        <v>300</v>
      </c>
      <c r="B111" s="389" t="s">
        <v>1510</v>
      </c>
      <c r="C111" s="390" t="s">
        <v>127</v>
      </c>
      <c r="D111" s="391">
        <v>242499.99999999988</v>
      </c>
      <c r="E111" s="391">
        <v>221300</v>
      </c>
      <c r="F111" s="391">
        <v>258900</v>
      </c>
      <c r="G111" s="391">
        <f t="shared" si="5"/>
        <v>240899.99999999997</v>
      </c>
    </row>
    <row r="112" spans="1:7" ht="14.25" customHeight="1">
      <c r="A112" s="44" t="s">
        <v>66</v>
      </c>
      <c r="B112" s="389" t="s">
        <v>1511</v>
      </c>
      <c r="C112" s="390" t="s">
        <v>127</v>
      </c>
      <c r="D112" s="391">
        <v>513779.99999999971</v>
      </c>
      <c r="E112" s="391">
        <v>689400</v>
      </c>
      <c r="F112" s="391">
        <v>596820</v>
      </c>
      <c r="G112" s="391">
        <f t="shared" si="5"/>
        <v>599999.99999999988</v>
      </c>
    </row>
    <row r="116" spans="1:4" ht="14.25" customHeight="1">
      <c r="A116" s="168" t="s">
        <v>558</v>
      </c>
      <c r="D116" s="176" t="s">
        <v>1289</v>
      </c>
    </row>
    <row r="117" spans="1:4" ht="14.25" customHeight="1">
      <c r="A117" s="76" t="s">
        <v>559</v>
      </c>
    </row>
    <row r="118" spans="1:4" ht="14.25" customHeight="1">
      <c r="A118" s="76" t="s">
        <v>560</v>
      </c>
    </row>
  </sheetData>
  <mergeCells count="11">
    <mergeCell ref="B42:G42"/>
    <mergeCell ref="B84:G84"/>
    <mergeCell ref="B93:G93"/>
    <mergeCell ref="B105:G105"/>
    <mergeCell ref="A1:G1"/>
    <mergeCell ref="A2:G2"/>
    <mergeCell ref="A3:G3"/>
    <mergeCell ref="A4:G4"/>
    <mergeCell ref="A5:G6"/>
    <mergeCell ref="B9:G9"/>
    <mergeCell ref="B28:G28"/>
  </mergeCells>
  <pageMargins left="0.70866141732283472" right="0.70866141732283472" top="0.74803149606299213" bottom="0.74803149606299213" header="0" footer="0"/>
  <pageSetup scale="82" orientation="portrait"/>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AF31"/>
  <sheetViews>
    <sheetView workbookViewId="0">
      <selection activeCell="G13" sqref="G13"/>
    </sheetView>
  </sheetViews>
  <sheetFormatPr baseColWidth="10" defaultColWidth="14.44140625" defaultRowHeight="15" customHeight="1"/>
  <cols>
    <col min="1" max="1" width="13" customWidth="1"/>
    <col min="2" max="2" width="42.33203125" customWidth="1"/>
    <col min="3" max="3" width="10.33203125" customWidth="1"/>
    <col min="4" max="4" width="6.5546875" customWidth="1"/>
    <col min="5" max="5" width="21.88671875" customWidth="1"/>
    <col min="6" max="6" width="13.109375" customWidth="1"/>
    <col min="7" max="32" width="10.6640625" customWidth="1"/>
  </cols>
  <sheetData>
    <row r="1" spans="1:32" ht="14.25" customHeight="1">
      <c r="A1" s="1612"/>
      <c r="B1" s="1615" t="e">
        <f>+#REF!</f>
        <v>#REF!</v>
      </c>
      <c r="C1" s="1616"/>
      <c r="D1" s="1617"/>
      <c r="E1" s="1623" t="s">
        <v>1548</v>
      </c>
      <c r="F1" s="1624"/>
    </row>
    <row r="2" spans="1:32" ht="14.25" customHeight="1">
      <c r="A2" s="1613"/>
      <c r="B2" s="1618"/>
      <c r="C2" s="1605"/>
      <c r="D2" s="1619"/>
      <c r="E2" s="1618"/>
      <c r="F2" s="1606"/>
    </row>
    <row r="3" spans="1:32" ht="14.25" customHeight="1">
      <c r="A3" s="1613"/>
      <c r="B3" s="1620"/>
      <c r="C3" s="1621"/>
      <c r="D3" s="1622"/>
      <c r="E3" s="1620"/>
      <c r="F3" s="1625"/>
    </row>
    <row r="4" spans="1:32" ht="24" customHeight="1">
      <c r="A4" s="1614"/>
      <c r="B4" s="1626" t="e">
        <f>+#REF!</f>
        <v>#REF!</v>
      </c>
      <c r="C4" s="1627"/>
      <c r="D4" s="1628"/>
      <c r="E4" s="1629" t="s">
        <v>148</v>
      </c>
      <c r="F4" s="1630"/>
    </row>
    <row r="5" spans="1:32" ht="48" customHeight="1">
      <c r="A5" s="1604" t="e">
        <f>+#REF!</f>
        <v>#REF!</v>
      </c>
      <c r="B5" s="1605"/>
      <c r="C5" s="1605"/>
      <c r="D5" s="1605"/>
      <c r="E5" s="1605"/>
      <c r="F5" s="1606"/>
      <c r="G5" s="52"/>
    </row>
    <row r="6" spans="1:32" ht="14.25" customHeight="1">
      <c r="A6" s="405" t="s">
        <v>1549</v>
      </c>
      <c r="B6" s="41" t="s">
        <v>1550</v>
      </c>
      <c r="C6" s="41" t="s">
        <v>7</v>
      </c>
      <c r="D6" s="41" t="s">
        <v>151</v>
      </c>
      <c r="E6" s="41" t="s">
        <v>1551</v>
      </c>
      <c r="F6" s="406" t="s">
        <v>154</v>
      </c>
      <c r="G6" s="52"/>
      <c r="H6" s="41" t="s">
        <v>11</v>
      </c>
      <c r="I6" s="41" t="s">
        <v>18</v>
      </c>
      <c r="J6" s="41" t="s">
        <v>21</v>
      </c>
      <c r="K6" s="41" t="s">
        <v>23</v>
      </c>
      <c r="L6" s="41" t="s">
        <v>25</v>
      </c>
      <c r="M6" s="41" t="s">
        <v>27</v>
      </c>
      <c r="N6" s="41" t="s">
        <v>29</v>
      </c>
      <c r="O6" s="41" t="s">
        <v>36</v>
      </c>
      <c r="P6" s="41" t="s">
        <v>38</v>
      </c>
      <c r="Q6" s="41" t="s">
        <v>40</v>
      </c>
      <c r="R6" s="41" t="s">
        <v>42</v>
      </c>
      <c r="S6" s="41" t="s">
        <v>45</v>
      </c>
      <c r="T6" s="41" t="s">
        <v>155</v>
      </c>
      <c r="U6" s="41" t="s">
        <v>48</v>
      </c>
      <c r="V6" s="41" t="s">
        <v>51</v>
      </c>
      <c r="W6" s="41" t="s">
        <v>156</v>
      </c>
      <c r="X6" s="41" t="s">
        <v>157</v>
      </c>
      <c r="Y6" s="41" t="s">
        <v>158</v>
      </c>
      <c r="Z6" s="41" t="s">
        <v>159</v>
      </c>
      <c r="AA6" s="41" t="s">
        <v>160</v>
      </c>
      <c r="AB6" s="41" t="s">
        <v>161</v>
      </c>
      <c r="AC6" s="41" t="s">
        <v>162</v>
      </c>
      <c r="AD6" s="41" t="s">
        <v>163</v>
      </c>
      <c r="AE6" s="41" t="s">
        <v>164</v>
      </c>
      <c r="AF6" s="41" t="s">
        <v>54</v>
      </c>
    </row>
    <row r="7" spans="1:32" ht="14.25" customHeight="1">
      <c r="A7" s="407" t="s">
        <v>11</v>
      </c>
      <c r="B7" s="44" t="e">
        <f>#REF!</f>
        <v>#REF!</v>
      </c>
      <c r="C7" s="45" t="e">
        <f>#REF!</f>
        <v>#REF!</v>
      </c>
      <c r="D7" s="43" t="e">
        <f>#REF!</f>
        <v>#REF!</v>
      </c>
      <c r="E7" s="412" t="e">
        <f>#REF!</f>
        <v>#REF!</v>
      </c>
      <c r="F7" s="409" t="e">
        <f t="shared" ref="F7:F30" si="0">E7*C7</f>
        <v>#REF!</v>
      </c>
      <c r="H7" s="410" t="e">
        <f>F7</f>
        <v>#REF!</v>
      </c>
      <c r="I7" s="410" t="e">
        <f>F8</f>
        <v>#REF!</v>
      </c>
      <c r="J7" s="410" t="e">
        <f>F9</f>
        <v>#REF!</v>
      </c>
      <c r="K7" s="410" t="e">
        <f>F10</f>
        <v>#REF!</v>
      </c>
      <c r="L7" s="410" t="e">
        <f>F11</f>
        <v>#REF!</v>
      </c>
      <c r="M7" s="410" t="e">
        <f>F12</f>
        <v>#REF!</v>
      </c>
      <c r="N7" s="410" t="e">
        <f>F13</f>
        <v>#REF!</v>
      </c>
      <c r="O7" s="410" t="e">
        <f>F14</f>
        <v>#REF!</v>
      </c>
      <c r="P7" s="410" t="e">
        <f>F15</f>
        <v>#REF!</v>
      </c>
      <c r="Q7" s="410" t="e">
        <f>F16</f>
        <v>#REF!</v>
      </c>
      <c r="R7" s="410" t="e">
        <f>F17</f>
        <v>#REF!</v>
      </c>
      <c r="S7" s="410" t="e">
        <f>F18</f>
        <v>#REF!</v>
      </c>
      <c r="T7" s="410" t="e">
        <f>F19</f>
        <v>#REF!</v>
      </c>
      <c r="U7" s="410" t="e">
        <f>F20</f>
        <v>#REF!</v>
      </c>
      <c r="V7" s="410" t="e">
        <f>F21</f>
        <v>#REF!</v>
      </c>
      <c r="W7" s="410" t="e">
        <f>F22</f>
        <v>#REF!</v>
      </c>
      <c r="X7" s="410" t="e">
        <f>F23</f>
        <v>#REF!</v>
      </c>
      <c r="Y7" s="410" t="e">
        <f>F24</f>
        <v>#REF!</v>
      </c>
      <c r="Z7" s="410" t="e">
        <f>F25</f>
        <v>#REF!</v>
      </c>
      <c r="AA7" s="410" t="e">
        <f>F26</f>
        <v>#REF!</v>
      </c>
      <c r="AB7" s="410" t="e">
        <f>F27</f>
        <v>#REF!</v>
      </c>
      <c r="AC7" s="410" t="e">
        <f>F28</f>
        <v>#REF!</v>
      </c>
      <c r="AD7" s="410" t="e">
        <f>F29</f>
        <v>#REF!</v>
      </c>
      <c r="AE7" s="410" t="e">
        <f>F30</f>
        <v>#REF!</v>
      </c>
      <c r="AF7" s="44">
        <v>0</v>
      </c>
    </row>
    <row r="8" spans="1:32" ht="14.25" customHeight="1">
      <c r="A8" s="407" t="s">
        <v>18</v>
      </c>
      <c r="B8" s="44" t="e">
        <f>#REF!</f>
        <v>#REF!</v>
      </c>
      <c r="C8" s="45" t="e">
        <f>#REF!</f>
        <v>#REF!</v>
      </c>
      <c r="D8" s="43" t="e">
        <f>#REF!</f>
        <v>#REF!</v>
      </c>
      <c r="E8" s="412" t="e">
        <f>#REF!</f>
        <v>#REF!</v>
      </c>
      <c r="F8" s="409" t="e">
        <f t="shared" si="0"/>
        <v>#REF!</v>
      </c>
    </row>
    <row r="9" spans="1:32" ht="14.25" customHeight="1">
      <c r="A9" s="407" t="s">
        <v>21</v>
      </c>
      <c r="B9" s="44" t="e">
        <f>#REF!</f>
        <v>#REF!</v>
      </c>
      <c r="C9" s="45" t="e">
        <f>#REF!</f>
        <v>#REF!</v>
      </c>
      <c r="D9" s="43" t="e">
        <f>#REF!</f>
        <v>#REF!</v>
      </c>
      <c r="E9" s="412" t="e">
        <f>#REF!</f>
        <v>#REF!</v>
      </c>
      <c r="F9" s="409" t="e">
        <f t="shared" si="0"/>
        <v>#REF!</v>
      </c>
    </row>
    <row r="10" spans="1:32" ht="14.25" customHeight="1">
      <c r="A10" s="407" t="s">
        <v>23</v>
      </c>
      <c r="B10" s="44" t="e">
        <f>#REF!</f>
        <v>#REF!</v>
      </c>
      <c r="C10" s="45" t="e">
        <f>#REF!</f>
        <v>#REF!</v>
      </c>
      <c r="D10" s="43" t="e">
        <f>#REF!</f>
        <v>#REF!</v>
      </c>
      <c r="E10" s="412" t="e">
        <f>#REF!</f>
        <v>#REF!</v>
      </c>
      <c r="F10" s="409" t="e">
        <f t="shared" si="0"/>
        <v>#REF!</v>
      </c>
    </row>
    <row r="11" spans="1:32" ht="14.25" customHeight="1">
      <c r="A11" s="407" t="s">
        <v>25</v>
      </c>
      <c r="B11" s="44" t="e">
        <f>#REF!</f>
        <v>#REF!</v>
      </c>
      <c r="C11" s="45" t="e">
        <f>#REF!</f>
        <v>#REF!</v>
      </c>
      <c r="D11" s="43" t="e">
        <f>#REF!</f>
        <v>#REF!</v>
      </c>
      <c r="E11" s="412" t="e">
        <f>#REF!</f>
        <v>#REF!</v>
      </c>
      <c r="F11" s="409" t="e">
        <f t="shared" si="0"/>
        <v>#REF!</v>
      </c>
    </row>
    <row r="12" spans="1:32" ht="14.25" customHeight="1">
      <c r="A12" s="407" t="s">
        <v>27</v>
      </c>
      <c r="B12" s="44" t="e">
        <f>#REF!</f>
        <v>#REF!</v>
      </c>
      <c r="C12" s="45" t="e">
        <f>#REF!</f>
        <v>#REF!</v>
      </c>
      <c r="D12" s="43" t="e">
        <f>#REF!</f>
        <v>#REF!</v>
      </c>
      <c r="E12" s="412" t="e">
        <f>#REF!</f>
        <v>#REF!</v>
      </c>
      <c r="F12" s="409" t="e">
        <f t="shared" si="0"/>
        <v>#REF!</v>
      </c>
    </row>
    <row r="13" spans="1:32" ht="14.25" customHeight="1">
      <c r="A13" s="407" t="s">
        <v>29</v>
      </c>
      <c r="B13" s="44" t="e">
        <f>#REF!</f>
        <v>#REF!</v>
      </c>
      <c r="C13" s="45" t="e">
        <f>#REF!</f>
        <v>#REF!</v>
      </c>
      <c r="D13" s="43" t="e">
        <f>#REF!</f>
        <v>#REF!</v>
      </c>
      <c r="E13" s="412" t="e">
        <f>#REF!</f>
        <v>#REF!</v>
      </c>
      <c r="F13" s="409" t="e">
        <f t="shared" si="0"/>
        <v>#REF!</v>
      </c>
    </row>
    <row r="14" spans="1:32" ht="14.25" customHeight="1">
      <c r="A14" s="407" t="s">
        <v>36</v>
      </c>
      <c r="B14" s="53" t="e">
        <f>#REF!</f>
        <v>#REF!</v>
      </c>
      <c r="C14" s="45" t="e">
        <f>#REF!</f>
        <v>#REF!</v>
      </c>
      <c r="D14" s="43" t="e">
        <f>#REF!</f>
        <v>#REF!</v>
      </c>
      <c r="E14" s="412" t="e">
        <f>#REF!</f>
        <v>#REF!</v>
      </c>
      <c r="F14" s="409" t="e">
        <f t="shared" si="0"/>
        <v>#REF!</v>
      </c>
    </row>
    <row r="15" spans="1:32" ht="14.25" customHeight="1">
      <c r="A15" s="407" t="s">
        <v>38</v>
      </c>
      <c r="B15" s="53" t="e">
        <f>#REF!</f>
        <v>#REF!</v>
      </c>
      <c r="C15" s="45" t="e">
        <f>#REF!</f>
        <v>#REF!</v>
      </c>
      <c r="D15" s="43" t="e">
        <f>#REF!</f>
        <v>#REF!</v>
      </c>
      <c r="E15" s="412">
        <f>'4 - CIMENTACIÓN - CONCRETOS'!G69</f>
        <v>47949.6875</v>
      </c>
      <c r="F15" s="409" t="e">
        <f t="shared" si="0"/>
        <v>#REF!</v>
      </c>
    </row>
    <row r="16" spans="1:32" ht="14.25" customHeight="1">
      <c r="A16" s="407" t="s">
        <v>40</v>
      </c>
      <c r="B16" s="53" t="e">
        <f>#REF!</f>
        <v>#REF!</v>
      </c>
      <c r="C16" s="45" t="e">
        <f>#REF!</f>
        <v>#REF!</v>
      </c>
      <c r="D16" s="43" t="e">
        <f>#REF!</f>
        <v>#REF!</v>
      </c>
      <c r="E16" s="412">
        <f>'8 - PISOS - CONCRETO-ENCHAPES'!G261</f>
        <v>567088.06818181812</v>
      </c>
      <c r="F16" s="409" t="e">
        <f t="shared" si="0"/>
        <v>#REF!</v>
      </c>
    </row>
    <row r="17" spans="1:6" ht="14.25" customHeight="1">
      <c r="A17" s="407" t="s">
        <v>42</v>
      </c>
      <c r="B17" s="53" t="e">
        <f>#REF!</f>
        <v>#REF!</v>
      </c>
      <c r="C17" s="45" t="e">
        <f>#REF!</f>
        <v>#REF!</v>
      </c>
      <c r="D17" s="43" t="e">
        <f>#REF!</f>
        <v>#REF!</v>
      </c>
      <c r="E17" s="412">
        <f>'9 - PAÑETES - PINTURA'!G99</f>
        <v>26004.0625</v>
      </c>
      <c r="F17" s="409" t="e">
        <f t="shared" si="0"/>
        <v>#REF!</v>
      </c>
    </row>
    <row r="18" spans="1:6" ht="14.25" customHeight="1">
      <c r="A18" s="407" t="s">
        <v>45</v>
      </c>
      <c r="B18" s="53" t="e">
        <f>#REF!</f>
        <v>#REF!</v>
      </c>
      <c r="C18" s="45" t="e">
        <f>#REF!</f>
        <v>#REF!</v>
      </c>
      <c r="D18" s="43" t="e">
        <f>#REF!</f>
        <v>#REF!</v>
      </c>
      <c r="E18" s="412" t="e">
        <f>#REF!</f>
        <v>#REF!</v>
      </c>
      <c r="F18" s="409" t="e">
        <f t="shared" si="0"/>
        <v>#REF!</v>
      </c>
    </row>
    <row r="19" spans="1:6" ht="14.25" customHeight="1">
      <c r="A19" s="407" t="s">
        <v>155</v>
      </c>
      <c r="B19" s="53" t="e">
        <f>#REF!</f>
        <v>#REF!</v>
      </c>
      <c r="C19" s="45" t="e">
        <f>#REF!</f>
        <v>#REF!</v>
      </c>
      <c r="D19" s="43" t="e">
        <f>#REF!</f>
        <v>#REF!</v>
      </c>
      <c r="E19" s="412">
        <f>'9 - PAÑETES - PINTURA'!G137</f>
        <v>10401.625</v>
      </c>
      <c r="F19" s="409" t="e">
        <f t="shared" si="0"/>
        <v>#REF!</v>
      </c>
    </row>
    <row r="20" spans="1:6" ht="14.25" customHeight="1">
      <c r="A20" s="407" t="s">
        <v>48</v>
      </c>
      <c r="B20" s="44" t="e">
        <f>#REF!</f>
        <v>#REF!</v>
      </c>
      <c r="C20" s="45" t="e">
        <f>#REF!</f>
        <v>#REF!</v>
      </c>
      <c r="D20" s="43" t="e">
        <f>#REF!</f>
        <v>#REF!</v>
      </c>
      <c r="E20" s="412" t="e">
        <f>#REF!</f>
        <v>#REF!</v>
      </c>
      <c r="F20" s="409" t="e">
        <f t="shared" si="0"/>
        <v>#REF!</v>
      </c>
    </row>
    <row r="21" spans="1:6" ht="14.25" customHeight="1">
      <c r="A21" s="407" t="s">
        <v>51</v>
      </c>
      <c r="B21" s="44" t="e">
        <f>#REF!</f>
        <v>#REF!</v>
      </c>
      <c r="C21" s="45" t="e">
        <f>#REF!</f>
        <v>#REF!</v>
      </c>
      <c r="D21" s="43" t="e">
        <f>#REF!</f>
        <v>#REF!</v>
      </c>
      <c r="E21" s="412" t="e">
        <f>#REF!</f>
        <v>#REF!</v>
      </c>
      <c r="F21" s="409" t="e">
        <f t="shared" si="0"/>
        <v>#REF!</v>
      </c>
    </row>
    <row r="22" spans="1:6" ht="14.25" customHeight="1">
      <c r="A22" s="407" t="s">
        <v>156</v>
      </c>
      <c r="B22" s="44" t="e">
        <f>#REF!</f>
        <v>#REF!</v>
      </c>
      <c r="C22" s="45" t="e">
        <f>#REF!</f>
        <v>#REF!</v>
      </c>
      <c r="D22" s="43" t="e">
        <f>#REF!</f>
        <v>#REF!</v>
      </c>
      <c r="E22" s="412" t="e">
        <f>#REF!</f>
        <v>#REF!</v>
      </c>
      <c r="F22" s="409" t="e">
        <f t="shared" si="0"/>
        <v>#REF!</v>
      </c>
    </row>
    <row r="23" spans="1:6" ht="14.25" customHeight="1">
      <c r="A23" s="407" t="s">
        <v>157</v>
      </c>
      <c r="B23" s="44" t="e">
        <f>#REF!</f>
        <v>#REF!</v>
      </c>
      <c r="C23" s="45" t="e">
        <f>#REF!</f>
        <v>#REF!</v>
      </c>
      <c r="D23" s="43" t="e">
        <f>#REF!</f>
        <v>#REF!</v>
      </c>
      <c r="E23" s="412" t="e">
        <f>#REF!</f>
        <v>#REF!</v>
      </c>
      <c r="F23" s="409" t="e">
        <f t="shared" si="0"/>
        <v>#REF!</v>
      </c>
    </row>
    <row r="24" spans="1:6" ht="14.25" customHeight="1">
      <c r="A24" s="407" t="s">
        <v>158</v>
      </c>
      <c r="B24" s="44" t="e">
        <f>#REF!</f>
        <v>#REF!</v>
      </c>
      <c r="C24" s="45" t="e">
        <f>#REF!</f>
        <v>#REF!</v>
      </c>
      <c r="D24" s="43" t="e">
        <f>#REF!</f>
        <v>#REF!</v>
      </c>
      <c r="E24" s="412" t="e">
        <f>#REF!</f>
        <v>#REF!</v>
      </c>
      <c r="F24" s="409" t="e">
        <f t="shared" si="0"/>
        <v>#REF!</v>
      </c>
    </row>
    <row r="25" spans="1:6" ht="14.25" customHeight="1">
      <c r="A25" s="407" t="s">
        <v>159</v>
      </c>
      <c r="B25" s="44" t="e">
        <f>#REF!</f>
        <v>#REF!</v>
      </c>
      <c r="C25" s="45" t="e">
        <f>#REF!</f>
        <v>#REF!</v>
      </c>
      <c r="D25" s="43" t="e">
        <f>#REF!</f>
        <v>#REF!</v>
      </c>
      <c r="E25" s="412" t="e">
        <f>#REF!</f>
        <v>#REF!</v>
      </c>
      <c r="F25" s="409" t="e">
        <f t="shared" si="0"/>
        <v>#REF!</v>
      </c>
    </row>
    <row r="26" spans="1:6" ht="14.25" customHeight="1">
      <c r="A26" s="407" t="s">
        <v>160</v>
      </c>
      <c r="B26" s="44" t="e">
        <f>#REF!</f>
        <v>#REF!</v>
      </c>
      <c r="C26" s="45" t="e">
        <f>#REF!</f>
        <v>#REF!</v>
      </c>
      <c r="D26" s="43" t="e">
        <f>#REF!</f>
        <v>#REF!</v>
      </c>
      <c r="E26" s="412" t="e">
        <f>#REF!</f>
        <v>#REF!</v>
      </c>
      <c r="F26" s="409" t="e">
        <f t="shared" si="0"/>
        <v>#REF!</v>
      </c>
    </row>
    <row r="27" spans="1:6" ht="14.25" customHeight="1">
      <c r="A27" s="407" t="s">
        <v>161</v>
      </c>
      <c r="B27" s="44" t="e">
        <f>#REF!</f>
        <v>#REF!</v>
      </c>
      <c r="C27" s="45" t="e">
        <f>#REF!</f>
        <v>#REF!</v>
      </c>
      <c r="D27" s="43" t="e">
        <f>#REF!</f>
        <v>#REF!</v>
      </c>
      <c r="E27" s="412" t="e">
        <f>#REF!</f>
        <v>#REF!</v>
      </c>
      <c r="F27" s="409" t="e">
        <f t="shared" si="0"/>
        <v>#REF!</v>
      </c>
    </row>
    <row r="28" spans="1:6" ht="14.25" customHeight="1">
      <c r="A28" s="407" t="s">
        <v>162</v>
      </c>
      <c r="B28" s="44" t="e">
        <f>#REF!</f>
        <v>#REF!</v>
      </c>
      <c r="C28" s="45" t="e">
        <f>#REF!</f>
        <v>#REF!</v>
      </c>
      <c r="D28" s="43" t="e">
        <f>#REF!</f>
        <v>#REF!</v>
      </c>
      <c r="E28" s="412" t="e">
        <f>#REF!</f>
        <v>#REF!</v>
      </c>
      <c r="F28" s="409" t="e">
        <f t="shared" si="0"/>
        <v>#REF!</v>
      </c>
    </row>
    <row r="29" spans="1:6" ht="14.25" customHeight="1">
      <c r="A29" s="407" t="s">
        <v>163</v>
      </c>
      <c r="B29" s="44" t="e">
        <f>#REF!</f>
        <v>#REF!</v>
      </c>
      <c r="C29" s="45" t="e">
        <f>#REF!</f>
        <v>#REF!</v>
      </c>
      <c r="D29" s="43" t="e">
        <f>#REF!</f>
        <v>#REF!</v>
      </c>
      <c r="E29" s="412" t="e">
        <f>#REF!</f>
        <v>#REF!</v>
      </c>
      <c r="F29" s="409" t="e">
        <f t="shared" si="0"/>
        <v>#REF!</v>
      </c>
    </row>
    <row r="30" spans="1:6" ht="14.25" customHeight="1">
      <c r="A30" s="407" t="s">
        <v>164</v>
      </c>
      <c r="B30" s="44" t="e">
        <f>#REF!</f>
        <v>#REF!</v>
      </c>
      <c r="C30" s="45" t="e">
        <f>#REF!</f>
        <v>#REF!</v>
      </c>
      <c r="D30" s="43" t="e">
        <f>#REF!</f>
        <v>#REF!</v>
      </c>
      <c r="E30" s="412" t="e">
        <f>#REF!</f>
        <v>#REF!</v>
      </c>
      <c r="F30" s="409" t="e">
        <f t="shared" si="0"/>
        <v>#REF!</v>
      </c>
    </row>
    <row r="31" spans="1:6" ht="14.25" customHeight="1">
      <c r="A31" s="413"/>
      <c r="B31" s="414"/>
      <c r="C31" s="414"/>
      <c r="D31" s="414"/>
      <c r="E31" s="415"/>
      <c r="F31" s="408" t="e">
        <f>SUM(F7:F30)</f>
        <v>#REF!</v>
      </c>
    </row>
  </sheetData>
  <mergeCells count="6">
    <mergeCell ref="A5:F5"/>
    <mergeCell ref="A1:A4"/>
    <mergeCell ref="B1:D3"/>
    <mergeCell ref="E1:F3"/>
    <mergeCell ref="B4:D4"/>
    <mergeCell ref="E4:F4"/>
  </mergeCells>
  <pageMargins left="0.7" right="0.7" top="0.75" bottom="0.75" header="0" footer="0"/>
  <pageSetup orientation="portrait"/>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E26"/>
  <sheetViews>
    <sheetView workbookViewId="0">
      <selection activeCell="I22" sqref="I22"/>
    </sheetView>
  </sheetViews>
  <sheetFormatPr baseColWidth="10" defaultColWidth="14.44140625" defaultRowHeight="15" customHeight="1"/>
  <cols>
    <col min="1" max="1" width="27.6640625" customWidth="1"/>
    <col min="2" max="2" width="20.5546875" customWidth="1"/>
    <col min="3" max="3" width="14.5546875" customWidth="1"/>
    <col min="4" max="4" width="10.6640625" customWidth="1"/>
    <col min="5" max="5" width="12.109375" customWidth="1"/>
    <col min="6" max="6" width="14.33203125" customWidth="1"/>
    <col min="7" max="26" width="10.6640625" customWidth="1"/>
  </cols>
  <sheetData>
    <row r="1" spans="1:5" ht="14.25" customHeight="1">
      <c r="A1" s="44" t="s">
        <v>266</v>
      </c>
      <c r="B1" s="44" t="s">
        <v>171</v>
      </c>
      <c r="C1" s="49" t="e">
        <f>+#REF!</f>
        <v>#REF!</v>
      </c>
    </row>
    <row r="2" spans="1:5" ht="14.25" customHeight="1">
      <c r="A2" s="44" t="s">
        <v>1577</v>
      </c>
      <c r="B2" s="44" t="s">
        <v>116</v>
      </c>
      <c r="C2" s="49" t="e">
        <f>+#REF!</f>
        <v>#REF!</v>
      </c>
    </row>
    <row r="3" spans="1:5" ht="14.25" customHeight="1">
      <c r="A3" s="44" t="s">
        <v>1578</v>
      </c>
      <c r="B3" s="44" t="s">
        <v>116</v>
      </c>
      <c r="C3" s="49" t="e">
        <f>+#REF!</f>
        <v>#REF!</v>
      </c>
    </row>
    <row r="4" spans="1:5" ht="14.25" customHeight="1"/>
    <row r="5" spans="1:5" ht="14.25" customHeight="1"/>
    <row r="6" spans="1:5" ht="14.25" customHeight="1">
      <c r="A6" s="50" t="s">
        <v>1579</v>
      </c>
      <c r="C6" s="50" t="s">
        <v>1580</v>
      </c>
    </row>
    <row r="7" spans="1:5" ht="14.25" customHeight="1">
      <c r="B7" s="52" t="s">
        <v>116</v>
      </c>
      <c r="C7" s="52" t="s">
        <v>1581</v>
      </c>
      <c r="D7" s="52" t="s">
        <v>1582</v>
      </c>
    </row>
    <row r="8" spans="1:5" ht="14.25" customHeight="1">
      <c r="A8" s="44" t="s">
        <v>179</v>
      </c>
      <c r="B8" s="49" t="e">
        <f>+C2*0.67</f>
        <v>#REF!</v>
      </c>
      <c r="C8" s="43">
        <v>1600</v>
      </c>
      <c r="D8" s="521" t="e">
        <f t="shared" ref="D8:D10" si="0">+C8*B8</f>
        <v>#REF!</v>
      </c>
    </row>
    <row r="9" spans="1:5" ht="14.25" customHeight="1">
      <c r="A9" s="44" t="s">
        <v>1583</v>
      </c>
      <c r="B9" s="49" t="e">
        <f>+C2*0.67</f>
        <v>#REF!</v>
      </c>
      <c r="C9" s="43">
        <v>1800</v>
      </c>
      <c r="D9" s="521" t="e">
        <f t="shared" si="0"/>
        <v>#REF!</v>
      </c>
    </row>
    <row r="10" spans="1:5" ht="14.25" customHeight="1">
      <c r="A10" s="44" t="s">
        <v>1584</v>
      </c>
      <c r="B10" s="49" t="e">
        <f>+C3</f>
        <v>#REF!</v>
      </c>
      <c r="C10" s="43">
        <v>1800</v>
      </c>
      <c r="D10" s="521" t="e">
        <f t="shared" si="0"/>
        <v>#REF!</v>
      </c>
    </row>
    <row r="11" spans="1:5" ht="14.25" customHeight="1">
      <c r="A11" s="44" t="s">
        <v>266</v>
      </c>
      <c r="B11" s="44"/>
      <c r="C11" s="44"/>
      <c r="D11" s="49" t="e">
        <f>+C1</f>
        <v>#REF!</v>
      </c>
    </row>
    <row r="12" spans="1:5" ht="14.25" customHeight="1">
      <c r="C12" s="411" t="s">
        <v>1546</v>
      </c>
      <c r="D12" s="522" t="e">
        <f>SUM(D8:D11)</f>
        <v>#REF!</v>
      </c>
      <c r="E12" s="411" t="s">
        <v>171</v>
      </c>
    </row>
    <row r="13" spans="1:5" ht="14.25" customHeight="1"/>
    <row r="14" spans="1:5" ht="14.25" customHeight="1">
      <c r="C14" s="52" t="s">
        <v>1585</v>
      </c>
    </row>
    <row r="15" spans="1:5" ht="14.25" customHeight="1">
      <c r="A15" s="44" t="s">
        <v>1586</v>
      </c>
      <c r="B15" s="43" t="s">
        <v>1587</v>
      </c>
      <c r="C15" s="43">
        <v>15</v>
      </c>
    </row>
    <row r="16" spans="1:5" ht="14.25" customHeight="1">
      <c r="A16" s="44" t="s">
        <v>1588</v>
      </c>
      <c r="B16" s="43" t="s">
        <v>1589</v>
      </c>
      <c r="C16" s="43">
        <v>4</v>
      </c>
    </row>
    <row r="17" spans="1:5" ht="14.25" customHeight="1">
      <c r="A17" s="44" t="s">
        <v>1590</v>
      </c>
      <c r="B17" s="43" t="s">
        <v>1591</v>
      </c>
      <c r="C17" s="523">
        <v>400000</v>
      </c>
    </row>
    <row r="18" spans="1:5" ht="14.25" customHeight="1">
      <c r="A18" s="524" t="s">
        <v>1592</v>
      </c>
      <c r="B18" s="43" t="s">
        <v>1593</v>
      </c>
      <c r="C18" s="523">
        <v>150000</v>
      </c>
    </row>
    <row r="19" spans="1:5" ht="14.25" customHeight="1">
      <c r="A19" s="524" t="s">
        <v>1594</v>
      </c>
      <c r="B19" s="43" t="s">
        <v>1595</v>
      </c>
      <c r="C19" s="523">
        <f>+C17+C18</f>
        <v>550000</v>
      </c>
    </row>
    <row r="20" spans="1:5" ht="14.25" customHeight="1">
      <c r="A20" s="524" t="s">
        <v>1596</v>
      </c>
      <c r="B20" s="43" t="s">
        <v>171</v>
      </c>
      <c r="C20" s="523">
        <v>100</v>
      </c>
    </row>
    <row r="21" spans="1:5" ht="14.25" customHeight="1">
      <c r="A21" s="524" t="s">
        <v>1597</v>
      </c>
      <c r="B21" s="43" t="s">
        <v>171</v>
      </c>
      <c r="C21" s="523">
        <f>+C15*C16*C20</f>
        <v>6000</v>
      </c>
    </row>
    <row r="22" spans="1:5" ht="14.25" customHeight="1">
      <c r="A22" s="525" t="s">
        <v>1598</v>
      </c>
      <c r="B22" s="41" t="s">
        <v>1599</v>
      </c>
      <c r="C22" s="526">
        <f>+C19/C21</f>
        <v>91.666666666666671</v>
      </c>
    </row>
    <row r="23" spans="1:5" ht="14.25" customHeight="1">
      <c r="A23" s="524" t="s">
        <v>1600</v>
      </c>
      <c r="B23" s="43" t="s">
        <v>1587</v>
      </c>
      <c r="C23" s="523">
        <f>+C22*C20</f>
        <v>9166.6666666666679</v>
      </c>
    </row>
    <row r="24" spans="1:5" ht="14.25" customHeight="1"/>
    <row r="25" spans="1:5" ht="14.25" customHeight="1">
      <c r="A25" s="44"/>
      <c r="B25" s="44"/>
      <c r="C25" s="44"/>
      <c r="D25" s="44" t="s">
        <v>1599</v>
      </c>
      <c r="E25" s="44" t="s">
        <v>227</v>
      </c>
    </row>
    <row r="26" spans="1:5" ht="14.25" customHeight="1">
      <c r="A26" s="524" t="s">
        <v>1601</v>
      </c>
      <c r="B26" s="43" t="s">
        <v>171</v>
      </c>
      <c r="C26" s="521" t="e">
        <f>+D12</f>
        <v>#REF!</v>
      </c>
      <c r="D26" s="523">
        <f>+C22</f>
        <v>91.666666666666671</v>
      </c>
      <c r="E26" s="521" t="e">
        <f>+D26*C26</f>
        <v>#REF!</v>
      </c>
    </row>
  </sheetData>
  <pageMargins left="0.7" right="0.7" top="0.75" bottom="0.75" header="0" footer="0"/>
  <pageSetup paperSize="9" orientation="portrai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8:G276"/>
  <sheetViews>
    <sheetView workbookViewId="0">
      <pane ySplit="5" topLeftCell="A17" activePane="bottomLeft" state="frozen"/>
      <selection pane="bottomLeft" activeCell="I273" sqref="I273"/>
    </sheetView>
  </sheetViews>
  <sheetFormatPr baseColWidth="10" defaultColWidth="14.44140625" defaultRowHeight="15" customHeight="1"/>
  <cols>
    <col min="1" max="4" width="13.33203125" customWidth="1"/>
    <col min="5" max="5" width="12" customWidth="1"/>
    <col min="6" max="6" width="12.88671875" customWidth="1"/>
    <col min="7" max="7" width="13" customWidth="1"/>
    <col min="8" max="26" width="13.33203125" customWidth="1"/>
  </cols>
  <sheetData>
    <row r="8" spans="1:7" ht="22.5" customHeight="1">
      <c r="A8" s="1989" t="e">
        <f>+'ANALISIS BASICOS'!$A$7</f>
        <v>#REF!</v>
      </c>
      <c r="B8" s="1616"/>
      <c r="C8" s="1624"/>
      <c r="D8" s="1990" t="s">
        <v>1195</v>
      </c>
      <c r="E8" s="1616"/>
      <c r="F8" s="1616"/>
      <c r="G8" s="1624"/>
    </row>
    <row r="9" spans="1:7" ht="31.5" customHeight="1">
      <c r="A9" s="1971"/>
      <c r="B9" s="1817"/>
      <c r="C9" s="1972"/>
      <c r="D9" s="1971"/>
      <c r="E9" s="1817"/>
      <c r="F9" s="1817"/>
      <c r="G9" s="1972"/>
    </row>
    <row r="10" spans="1:7" ht="14.25" customHeight="1">
      <c r="A10" s="527"/>
      <c r="B10" s="527"/>
      <c r="C10" s="527"/>
      <c r="D10" s="527"/>
      <c r="E10" s="527"/>
      <c r="F10" s="527"/>
      <c r="G10" s="527"/>
    </row>
    <row r="11" spans="1:7" ht="50.25" customHeight="1">
      <c r="A11" s="1991" t="e">
        <f>+'ANALISIS BASICOS'!A10:C10</f>
        <v>#REF!</v>
      </c>
      <c r="B11" s="1601"/>
      <c r="C11" s="1602"/>
      <c r="D11" s="1992" t="s">
        <v>1602</v>
      </c>
      <c r="E11" s="1601"/>
      <c r="F11" s="1601"/>
      <c r="G11" s="1602"/>
    </row>
    <row r="12" spans="1:7" ht="14.25" customHeight="1">
      <c r="A12" s="418"/>
      <c r="B12" s="418"/>
      <c r="C12" s="418"/>
      <c r="D12" s="418"/>
      <c r="E12" s="418"/>
      <c r="F12" s="418"/>
      <c r="G12" s="418"/>
    </row>
    <row r="13" spans="1:7" ht="12.75" customHeight="1">
      <c r="A13" s="528"/>
      <c r="B13" s="527"/>
      <c r="C13" s="363"/>
      <c r="D13" s="421" t="s">
        <v>1553</v>
      </c>
      <c r="E13" s="422" t="e">
        <f>+#REF!</f>
        <v>#REF!</v>
      </c>
      <c r="F13" s="421" t="s">
        <v>1554</v>
      </c>
      <c r="G13" s="422" t="e">
        <f>+#REF!</f>
        <v>#REF!</v>
      </c>
    </row>
    <row r="14" spans="1:7" ht="14.25" customHeight="1">
      <c r="A14" s="529" t="s">
        <v>1555</v>
      </c>
      <c r="B14" s="527"/>
      <c r="C14" s="527"/>
      <c r="D14" s="527"/>
      <c r="E14" s="527"/>
      <c r="F14" s="527"/>
      <c r="G14" s="527"/>
    </row>
    <row r="15" spans="1:7" ht="13.5" customHeight="1">
      <c r="A15" s="1975" t="s">
        <v>1556</v>
      </c>
      <c r="B15" s="1601"/>
      <c r="C15" s="1801"/>
      <c r="D15" s="530" t="s">
        <v>208</v>
      </c>
      <c r="E15" s="530" t="s">
        <v>1558</v>
      </c>
      <c r="F15" s="424" t="s">
        <v>1559</v>
      </c>
      <c r="G15" s="531"/>
    </row>
    <row r="16" spans="1:7" ht="14.25" customHeight="1">
      <c r="A16" s="1981"/>
      <c r="B16" s="1811"/>
      <c r="C16" s="1967"/>
      <c r="D16" s="532"/>
      <c r="E16" s="533"/>
      <c r="F16" s="534"/>
      <c r="G16" s="535"/>
    </row>
    <row r="17" spans="1:7" ht="12.75" customHeight="1">
      <c r="A17" s="1982"/>
      <c r="B17" s="1807"/>
      <c r="C17" s="1819"/>
      <c r="D17" s="536"/>
      <c r="E17" s="537"/>
      <c r="F17" s="536"/>
      <c r="G17" s="538"/>
    </row>
    <row r="18" spans="1:7" ht="14.25" customHeight="1">
      <c r="A18" s="1964" t="s">
        <v>1560</v>
      </c>
      <c r="B18" s="1601"/>
      <c r="C18" s="1601"/>
      <c r="D18" s="1601"/>
      <c r="E18" s="1601"/>
      <c r="F18" s="1801"/>
      <c r="G18" s="539">
        <f>SUM(F16:F17)</f>
        <v>0</v>
      </c>
    </row>
    <row r="19" spans="1:7" ht="14.25" customHeight="1">
      <c r="A19" s="529" t="s">
        <v>1561</v>
      </c>
      <c r="B19" s="527"/>
      <c r="C19" s="527"/>
      <c r="D19" s="527"/>
      <c r="E19" s="527"/>
      <c r="F19" s="527"/>
      <c r="G19" s="540"/>
    </row>
    <row r="20" spans="1:7" ht="14.25" customHeight="1">
      <c r="A20" s="1975" t="s">
        <v>1556</v>
      </c>
      <c r="B20" s="1801"/>
      <c r="C20" s="424" t="s">
        <v>6</v>
      </c>
      <c r="D20" s="424" t="s">
        <v>1562</v>
      </c>
      <c r="E20" s="424" t="s">
        <v>7</v>
      </c>
      <c r="F20" s="424" t="s">
        <v>1559</v>
      </c>
      <c r="G20" s="541"/>
    </row>
    <row r="21" spans="1:7" ht="14.25" customHeight="1">
      <c r="A21" s="1981"/>
      <c r="B21" s="1967"/>
      <c r="C21" s="542"/>
      <c r="D21" s="543"/>
      <c r="E21" s="542"/>
      <c r="F21" s="534"/>
      <c r="G21" s="544"/>
    </row>
    <row r="22" spans="1:7" ht="14.25" customHeight="1">
      <c r="A22" s="1988"/>
      <c r="B22" s="1611"/>
      <c r="C22" s="545"/>
      <c r="D22" s="546"/>
      <c r="E22" s="545"/>
      <c r="F22" s="547"/>
      <c r="G22" s="548"/>
    </row>
    <row r="23" spans="1:7" ht="14.25" customHeight="1">
      <c r="A23" s="1988"/>
      <c r="B23" s="1611"/>
      <c r="C23" s="545"/>
      <c r="D23" s="546"/>
      <c r="E23" s="545"/>
      <c r="F23" s="547"/>
      <c r="G23" s="548"/>
    </row>
    <row r="24" spans="1:7" ht="14.25" customHeight="1">
      <c r="A24" s="1988"/>
      <c r="B24" s="1611"/>
      <c r="C24" s="545"/>
      <c r="D24" s="546"/>
      <c r="E24" s="545"/>
      <c r="F24" s="547"/>
      <c r="G24" s="548"/>
    </row>
    <row r="25" spans="1:7" ht="14.25" customHeight="1">
      <c r="A25" s="1982"/>
      <c r="B25" s="1819"/>
      <c r="C25" s="549"/>
      <c r="D25" s="536"/>
      <c r="E25" s="545"/>
      <c r="F25" s="550"/>
      <c r="G25" s="551"/>
    </row>
    <row r="26" spans="1:7" ht="14.25" customHeight="1">
      <c r="A26" s="1964" t="s">
        <v>1560</v>
      </c>
      <c r="B26" s="1601"/>
      <c r="C26" s="1601"/>
      <c r="D26" s="1601"/>
      <c r="E26" s="1601"/>
      <c r="F26" s="1801"/>
      <c r="G26" s="539">
        <f>SUM(F21:F25)</f>
        <v>0</v>
      </c>
    </row>
    <row r="27" spans="1:7" ht="14.25" customHeight="1">
      <c r="A27" s="529" t="s">
        <v>1563</v>
      </c>
      <c r="B27" s="527"/>
      <c r="C27" s="527"/>
      <c r="D27" s="527"/>
      <c r="E27" s="527"/>
      <c r="F27" s="527"/>
      <c r="G27" s="540"/>
    </row>
    <row r="28" spans="1:7" ht="14.25" customHeight="1">
      <c r="A28" s="1965" t="s">
        <v>1556</v>
      </c>
      <c r="B28" s="1801"/>
      <c r="C28" s="530" t="s">
        <v>6</v>
      </c>
      <c r="D28" s="530" t="s">
        <v>1562</v>
      </c>
      <c r="E28" s="530" t="s">
        <v>7</v>
      </c>
      <c r="F28" s="530" t="s">
        <v>1559</v>
      </c>
      <c r="G28" s="552"/>
    </row>
    <row r="29" spans="1:7" ht="14.25" customHeight="1">
      <c r="A29" s="1979" t="s">
        <v>1603</v>
      </c>
      <c r="B29" s="1967"/>
      <c r="C29" s="553" t="s">
        <v>50</v>
      </c>
      <c r="D29" s="554">
        <f>+TRASIEGO!C22</f>
        <v>91.666666666666671</v>
      </c>
      <c r="E29" s="546">
        <v>1</v>
      </c>
      <c r="F29" s="546">
        <f>+E29*D29</f>
        <v>91.666666666666671</v>
      </c>
      <c r="G29" s="544"/>
    </row>
    <row r="30" spans="1:7" ht="14.25" customHeight="1">
      <c r="A30" s="1980"/>
      <c r="B30" s="1819"/>
      <c r="C30" s="553"/>
      <c r="D30" s="553"/>
      <c r="E30" s="536"/>
      <c r="F30" s="536"/>
      <c r="G30" s="555"/>
    </row>
    <row r="31" spans="1:7" ht="14.25" customHeight="1">
      <c r="A31" s="1964" t="s">
        <v>1560</v>
      </c>
      <c r="B31" s="1601"/>
      <c r="C31" s="1601"/>
      <c r="D31" s="1601"/>
      <c r="E31" s="1601"/>
      <c r="F31" s="1801"/>
      <c r="G31" s="556">
        <f>+F29</f>
        <v>91.666666666666671</v>
      </c>
    </row>
    <row r="32" spans="1:7" ht="14.25" customHeight="1">
      <c r="A32" s="529" t="s">
        <v>1564</v>
      </c>
      <c r="B32" s="527"/>
      <c r="C32" s="527"/>
      <c r="D32" s="527"/>
      <c r="E32" s="527"/>
      <c r="F32" s="527"/>
      <c r="G32" s="540"/>
    </row>
    <row r="33" spans="1:7" ht="14.25" customHeight="1">
      <c r="A33" s="1965" t="s">
        <v>1565</v>
      </c>
      <c r="B33" s="1801"/>
      <c r="C33" s="424" t="s">
        <v>1566</v>
      </c>
      <c r="D33" s="530" t="s">
        <v>7</v>
      </c>
      <c r="E33" s="530" t="s">
        <v>1558</v>
      </c>
      <c r="F33" s="530" t="s">
        <v>1559</v>
      </c>
      <c r="G33" s="557"/>
    </row>
    <row r="34" spans="1:7" ht="14.25" customHeight="1">
      <c r="A34" s="1983"/>
      <c r="B34" s="1888"/>
      <c r="C34" s="558"/>
      <c r="D34" s="559"/>
      <c r="E34" s="559"/>
      <c r="F34" s="560"/>
      <c r="G34" s="544"/>
    </row>
    <row r="35" spans="1:7" ht="14.25" customHeight="1">
      <c r="A35" s="1968"/>
      <c r="B35" s="1819"/>
      <c r="C35" s="561"/>
      <c r="D35" s="562"/>
      <c r="E35" s="563"/>
      <c r="F35" s="564"/>
      <c r="G35" s="551"/>
    </row>
    <row r="36" spans="1:7" ht="14.25" customHeight="1">
      <c r="A36" s="1964" t="str">
        <f>+A31</f>
        <v>SUB-TOTAL</v>
      </c>
      <c r="B36" s="1601"/>
      <c r="C36" s="1601"/>
      <c r="D36" s="1601"/>
      <c r="E36" s="1601"/>
      <c r="F36" s="1801"/>
      <c r="G36" s="539">
        <f>SUM(F34:F35)</f>
        <v>0</v>
      </c>
    </row>
    <row r="37" spans="1:7" ht="11.25" customHeight="1">
      <c r="A37" s="527"/>
      <c r="B37" s="527"/>
      <c r="C37" s="527"/>
      <c r="D37" s="527"/>
      <c r="E37" s="527"/>
      <c r="F37" s="565"/>
      <c r="G37" s="540"/>
    </row>
    <row r="38" spans="1:7" ht="14.25" customHeight="1">
      <c r="A38" s="1964" t="s">
        <v>1567</v>
      </c>
      <c r="B38" s="1601"/>
      <c r="C38" s="1601"/>
      <c r="D38" s="1601"/>
      <c r="E38" s="1601"/>
      <c r="F38" s="1801"/>
      <c r="G38" s="566">
        <f>ROUND(G18+G26+G31+G36,0)</f>
        <v>92</v>
      </c>
    </row>
    <row r="39" spans="1:7" ht="14.25" customHeight="1"/>
    <row r="40" spans="1:7" ht="14.25" hidden="1" customHeight="1">
      <c r="A40" s="363"/>
      <c r="B40" s="363"/>
      <c r="C40" s="363"/>
      <c r="D40" s="363"/>
      <c r="E40" s="363"/>
      <c r="F40" s="363"/>
      <c r="G40" s="363"/>
    </row>
    <row r="41" spans="1:7" ht="27" hidden="1" customHeight="1">
      <c r="A41" s="1970" t="s">
        <v>1604</v>
      </c>
      <c r="B41" s="1616"/>
      <c r="C41" s="1624"/>
      <c r="D41" s="567"/>
      <c r="E41" s="568"/>
      <c r="F41" s="568"/>
      <c r="G41" s="569"/>
    </row>
    <row r="42" spans="1:7" ht="31.5" hidden="1" customHeight="1">
      <c r="A42" s="1971"/>
      <c r="B42" s="1817"/>
      <c r="C42" s="1972"/>
      <c r="D42" s="570"/>
      <c r="E42" s="570"/>
      <c r="F42" s="570"/>
      <c r="G42" s="571"/>
    </row>
    <row r="43" spans="1:7" ht="14.25" hidden="1" customHeight="1">
      <c r="A43" s="527"/>
      <c r="B43" s="527"/>
      <c r="C43" s="527"/>
      <c r="D43" s="527"/>
      <c r="E43" s="527"/>
      <c r="F43" s="527"/>
      <c r="G43" s="527"/>
    </row>
    <row r="44" spans="1:7" ht="30.75" hidden="1" customHeight="1">
      <c r="A44" s="1973" t="e">
        <f>A11</f>
        <v>#REF!</v>
      </c>
      <c r="B44" s="1601"/>
      <c r="C44" s="1602"/>
      <c r="D44" s="1974" t="s">
        <v>1605</v>
      </c>
      <c r="E44" s="1601"/>
      <c r="F44" s="1601"/>
      <c r="G44" s="1602"/>
    </row>
    <row r="45" spans="1:7" ht="14.25" hidden="1" customHeight="1">
      <c r="A45" s="418"/>
      <c r="B45" s="418"/>
      <c r="C45" s="418"/>
      <c r="D45" s="418"/>
      <c r="E45" s="418"/>
      <c r="F45" s="418"/>
      <c r="G45" s="418"/>
    </row>
    <row r="46" spans="1:7" ht="12.75" hidden="1" customHeight="1">
      <c r="A46" s="528"/>
      <c r="B46" s="527"/>
      <c r="C46" s="363"/>
      <c r="D46" s="421" t="s">
        <v>1553</v>
      </c>
      <c r="E46" s="422" t="s">
        <v>1606</v>
      </c>
      <c r="F46" s="572"/>
      <c r="G46" s="572"/>
    </row>
    <row r="47" spans="1:7" ht="14.25" hidden="1" customHeight="1">
      <c r="A47" s="529" t="s">
        <v>1555</v>
      </c>
      <c r="B47" s="527"/>
      <c r="C47" s="527"/>
      <c r="D47" s="527"/>
      <c r="E47" s="527"/>
      <c r="F47" s="527"/>
      <c r="G47" s="527"/>
    </row>
    <row r="48" spans="1:7" ht="13.5" hidden="1" customHeight="1">
      <c r="A48" s="1975" t="s">
        <v>1556</v>
      </c>
      <c r="B48" s="1601"/>
      <c r="C48" s="1801"/>
      <c r="D48" s="530" t="s">
        <v>1607</v>
      </c>
      <c r="E48" s="530" t="s">
        <v>1558</v>
      </c>
      <c r="F48" s="424" t="s">
        <v>1559</v>
      </c>
      <c r="G48" s="531"/>
    </row>
    <row r="49" spans="1:7" ht="14.25" hidden="1" customHeight="1">
      <c r="A49" s="1981" t="str">
        <f>+'LISTADO EQUIPOS'!C20</f>
        <v>ESTACION TOTAL DE TOPOGRAFÍA</v>
      </c>
      <c r="B49" s="1811"/>
      <c r="C49" s="1967"/>
      <c r="D49" s="543">
        <f>+'LISTADO EQUIPOS'!E20</f>
        <v>540000</v>
      </c>
      <c r="E49" s="533">
        <v>2</v>
      </c>
      <c r="F49" s="534">
        <f t="shared" ref="F49:F51" si="0">+E49*D49</f>
        <v>1080000</v>
      </c>
      <c r="G49" s="535"/>
    </row>
    <row r="50" spans="1:7" ht="14.25" hidden="1" customHeight="1">
      <c r="A50" s="1988" t="str">
        <f>+'LISTADO EQUIPOS'!C89</f>
        <v>CAMIONETA TIPO ESTACA ≥1600 CC MOD 1990 EN ADELANTE.</v>
      </c>
      <c r="B50" s="1610"/>
      <c r="C50" s="1611"/>
      <c r="D50" s="573">
        <f>+'LISTADO EQUIPOS'!E89</f>
        <v>220000</v>
      </c>
      <c r="E50" s="574">
        <v>2</v>
      </c>
      <c r="F50" s="575">
        <f t="shared" si="0"/>
        <v>440000</v>
      </c>
      <c r="G50" s="576"/>
    </row>
    <row r="51" spans="1:7" ht="14.25" hidden="1" customHeight="1">
      <c r="A51" s="1982" t="str">
        <f>+'LISTADO EQUIPOS'!$C$22</f>
        <v>HERRAMIENTA MENOR.</v>
      </c>
      <c r="B51" s="1807"/>
      <c r="C51" s="1819"/>
      <c r="D51" s="536">
        <f>+'LISTADO EQUIPOS'!$E$22/8</f>
        <v>2850</v>
      </c>
      <c r="E51" s="537">
        <f>+E67</f>
        <v>4</v>
      </c>
      <c r="F51" s="550">
        <f t="shared" si="0"/>
        <v>11400</v>
      </c>
      <c r="G51" s="538"/>
    </row>
    <row r="52" spans="1:7" ht="14.25" hidden="1" customHeight="1">
      <c r="A52" s="1964" t="s">
        <v>1560</v>
      </c>
      <c r="B52" s="1601"/>
      <c r="C52" s="1601"/>
      <c r="D52" s="1601"/>
      <c r="E52" s="1601"/>
      <c r="F52" s="1801"/>
      <c r="G52" s="539">
        <f>SUM(F49:F51)</f>
        <v>1531400</v>
      </c>
    </row>
    <row r="53" spans="1:7" ht="14.25" hidden="1" customHeight="1">
      <c r="A53" s="529" t="s">
        <v>1561</v>
      </c>
      <c r="B53" s="527"/>
      <c r="C53" s="527"/>
      <c r="D53" s="527"/>
      <c r="E53" s="527"/>
      <c r="F53" s="527"/>
      <c r="G53" s="527"/>
    </row>
    <row r="54" spans="1:7" ht="14.25" hidden="1" customHeight="1">
      <c r="A54" s="1975" t="s">
        <v>1556</v>
      </c>
      <c r="B54" s="1801"/>
      <c r="C54" s="424" t="s">
        <v>6</v>
      </c>
      <c r="D54" s="424" t="s">
        <v>1562</v>
      </c>
      <c r="E54" s="424" t="s">
        <v>7</v>
      </c>
      <c r="F54" s="424" t="s">
        <v>1559</v>
      </c>
      <c r="G54" s="531"/>
    </row>
    <row r="55" spans="1:7" ht="14.25" hidden="1" customHeight="1">
      <c r="A55" s="1981" t="str">
        <f>+'LISTADO MATERIALES'!C740</f>
        <v>ESTACAS MADERA</v>
      </c>
      <c r="B55" s="1967"/>
      <c r="C55" s="542" t="str">
        <f>+'LISTADO MATERIALES'!$D$740</f>
        <v>UND</v>
      </c>
      <c r="D55" s="543">
        <f>+'LISTADO MATERIALES'!$E$740</f>
        <v>525</v>
      </c>
      <c r="E55" s="542">
        <v>300</v>
      </c>
      <c r="F55" s="534">
        <f t="shared" ref="F55:F56" si="1">+E55*D55</f>
        <v>157500</v>
      </c>
      <c r="G55" s="535"/>
    </row>
    <row r="56" spans="1:7" ht="14.25" hidden="1" customHeight="1">
      <c r="A56" s="1988" t="str">
        <f>+'LISTADO MATERIALES'!C380</f>
        <v>ESMALTE</v>
      </c>
      <c r="B56" s="1611"/>
      <c r="C56" s="545" t="str">
        <f>+'LISTADO MATERIALES'!$D$380</f>
        <v>GAL</v>
      </c>
      <c r="D56" s="546">
        <f>+'LISTADO MATERIALES'!$E$380</f>
        <v>51450</v>
      </c>
      <c r="E56" s="545">
        <v>0.25</v>
      </c>
      <c r="F56" s="547">
        <f t="shared" si="1"/>
        <v>12862.5</v>
      </c>
      <c r="G56" s="577"/>
    </row>
    <row r="57" spans="1:7" ht="14.25" hidden="1" customHeight="1">
      <c r="A57" s="1988"/>
      <c r="B57" s="1611"/>
      <c r="C57" s="545"/>
      <c r="D57" s="546"/>
      <c r="E57" s="545"/>
      <c r="F57" s="547"/>
      <c r="G57" s="577"/>
    </row>
    <row r="58" spans="1:7" ht="14.25" hidden="1" customHeight="1">
      <c r="A58" s="1982"/>
      <c r="B58" s="1819"/>
      <c r="C58" s="549"/>
      <c r="D58" s="536"/>
      <c r="E58" s="549"/>
      <c r="F58" s="536"/>
      <c r="G58" s="538"/>
    </row>
    <row r="59" spans="1:7" ht="14.25" hidden="1" customHeight="1">
      <c r="A59" s="1964" t="s">
        <v>1560</v>
      </c>
      <c r="B59" s="1601"/>
      <c r="C59" s="1601"/>
      <c r="D59" s="1601"/>
      <c r="E59" s="1601"/>
      <c r="F59" s="1801"/>
      <c r="G59" s="539">
        <f>SUM(F55:F58)</f>
        <v>170362.5</v>
      </c>
    </row>
    <row r="60" spans="1:7" ht="14.25" hidden="1" customHeight="1">
      <c r="A60" s="529" t="s">
        <v>1563</v>
      </c>
      <c r="B60" s="527"/>
      <c r="C60" s="527"/>
      <c r="D60" s="527"/>
      <c r="E60" s="527"/>
      <c r="F60" s="527"/>
      <c r="G60" s="540"/>
    </row>
    <row r="61" spans="1:7" ht="14.25" hidden="1" customHeight="1">
      <c r="A61" s="1965" t="s">
        <v>1556</v>
      </c>
      <c r="B61" s="1801"/>
      <c r="C61" s="530" t="s">
        <v>6</v>
      </c>
      <c r="D61" s="530" t="s">
        <v>1562</v>
      </c>
      <c r="E61" s="530" t="s">
        <v>7</v>
      </c>
      <c r="F61" s="530" t="s">
        <v>1559</v>
      </c>
      <c r="G61" s="552"/>
    </row>
    <row r="62" spans="1:7" ht="14.25" hidden="1" customHeight="1">
      <c r="A62" s="1979"/>
      <c r="B62" s="1967"/>
      <c r="C62" s="553"/>
      <c r="D62" s="553"/>
      <c r="E62" s="546"/>
      <c r="F62" s="546"/>
      <c r="G62" s="544"/>
    </row>
    <row r="63" spans="1:7" ht="14.25" hidden="1" customHeight="1">
      <c r="A63" s="1980"/>
      <c r="B63" s="1819"/>
      <c r="C63" s="553"/>
      <c r="D63" s="553"/>
      <c r="E63" s="536"/>
      <c r="F63" s="536"/>
      <c r="G63" s="555"/>
    </row>
    <row r="64" spans="1:7" ht="14.25" hidden="1" customHeight="1">
      <c r="A64" s="1964" t="s">
        <v>1560</v>
      </c>
      <c r="B64" s="1601"/>
      <c r="C64" s="1601"/>
      <c r="D64" s="1601"/>
      <c r="E64" s="1601"/>
      <c r="F64" s="1801"/>
      <c r="G64" s="539"/>
    </row>
    <row r="65" spans="1:7" ht="14.25" hidden="1" customHeight="1">
      <c r="A65" s="529" t="s">
        <v>1564</v>
      </c>
      <c r="B65" s="527"/>
      <c r="C65" s="527"/>
      <c r="D65" s="527"/>
      <c r="E65" s="527"/>
      <c r="F65" s="527"/>
      <c r="G65" s="540"/>
    </row>
    <row r="66" spans="1:7" ht="14.25" hidden="1" customHeight="1">
      <c r="A66" s="1965" t="s">
        <v>1565</v>
      </c>
      <c r="B66" s="1801"/>
      <c r="C66" s="424" t="s">
        <v>1566</v>
      </c>
      <c r="D66" s="530" t="s">
        <v>7</v>
      </c>
      <c r="E66" s="530" t="s">
        <v>1558</v>
      </c>
      <c r="F66" s="530" t="s">
        <v>1559</v>
      </c>
      <c r="G66" s="557"/>
    </row>
    <row r="67" spans="1:7" ht="14.25" hidden="1" customHeight="1">
      <c r="A67" s="1983" t="s">
        <v>1608</v>
      </c>
      <c r="B67" s="1888"/>
      <c r="C67" s="558">
        <v>200000</v>
      </c>
      <c r="D67" s="559">
        <v>1</v>
      </c>
      <c r="E67" s="559">
        <v>4</v>
      </c>
      <c r="F67" s="578">
        <f t="shared" ref="F67:F68" si="2">+(C67*D67)*E67</f>
        <v>800000</v>
      </c>
      <c r="G67" s="544"/>
    </row>
    <row r="68" spans="1:7" ht="14.25" hidden="1" customHeight="1">
      <c r="A68" s="1968" t="str">
        <f>+'MANO DE OBRA'!$A$65</f>
        <v>Ayudante (Incl. Prestaciones)</v>
      </c>
      <c r="B68" s="1819"/>
      <c r="C68" s="561">
        <f>+'MANO DE OBRA'!$E$65</f>
        <v>10972.8125</v>
      </c>
      <c r="D68" s="562">
        <v>2</v>
      </c>
      <c r="E68" s="563">
        <f>+E67</f>
        <v>4</v>
      </c>
      <c r="F68" s="579">
        <f t="shared" si="2"/>
        <v>87782.5</v>
      </c>
      <c r="G68" s="551"/>
    </row>
    <row r="69" spans="1:7" ht="14.25" hidden="1" customHeight="1">
      <c r="A69" s="1964" t="str">
        <f>+A64</f>
        <v>SUB-TOTAL</v>
      </c>
      <c r="B69" s="1601"/>
      <c r="C69" s="1601"/>
      <c r="D69" s="1601"/>
      <c r="E69" s="1601"/>
      <c r="F69" s="1801"/>
      <c r="G69" s="539">
        <f>SUM(F67:F68)</f>
        <v>887782.5</v>
      </c>
    </row>
    <row r="70" spans="1:7" ht="11.25" hidden="1" customHeight="1">
      <c r="A70" s="527"/>
      <c r="B70" s="527"/>
      <c r="C70" s="527"/>
      <c r="D70" s="527"/>
      <c r="E70" s="527"/>
      <c r="F70" s="565"/>
      <c r="G70" s="540"/>
    </row>
    <row r="71" spans="1:7" ht="14.25" hidden="1" customHeight="1">
      <c r="A71" s="1964" t="s">
        <v>1567</v>
      </c>
      <c r="B71" s="1601"/>
      <c r="C71" s="1601"/>
      <c r="D71" s="1601"/>
      <c r="E71" s="1601"/>
      <c r="F71" s="1801"/>
      <c r="G71" s="580">
        <f>ROUND(G52+G59+G64+G69,0)</f>
        <v>2589545</v>
      </c>
    </row>
    <row r="72" spans="1:7" ht="14.25" hidden="1" customHeight="1">
      <c r="A72" s="363"/>
      <c r="B72" s="363"/>
      <c r="C72" s="363"/>
      <c r="D72" s="363"/>
      <c r="E72" s="363"/>
      <c r="F72" s="363"/>
      <c r="G72" s="363"/>
    </row>
    <row r="73" spans="1:7" ht="14.25" hidden="1" customHeight="1">
      <c r="A73" s="363"/>
      <c r="B73" s="363"/>
      <c r="C73" s="363"/>
      <c r="D73" s="363"/>
      <c r="E73" s="363"/>
      <c r="F73" s="363"/>
      <c r="G73" s="363"/>
    </row>
    <row r="74" spans="1:7" ht="27" hidden="1" customHeight="1">
      <c r="A74" s="1970" t="s">
        <v>1604</v>
      </c>
      <c r="B74" s="1616"/>
      <c r="C74" s="1624"/>
      <c r="D74" s="567"/>
      <c r="E74" s="568"/>
      <c r="F74" s="568"/>
      <c r="G74" s="569"/>
    </row>
    <row r="75" spans="1:7" ht="24" hidden="1" customHeight="1">
      <c r="A75" s="1971"/>
      <c r="B75" s="1817"/>
      <c r="C75" s="1972"/>
      <c r="D75" s="570"/>
      <c r="E75" s="570"/>
      <c r="F75" s="570"/>
      <c r="G75" s="571"/>
    </row>
    <row r="76" spans="1:7" ht="14.25" hidden="1" customHeight="1">
      <c r="A76" s="527"/>
      <c r="B76" s="527"/>
      <c r="C76" s="527"/>
      <c r="D76" s="527"/>
      <c r="E76" s="527"/>
      <c r="F76" s="527"/>
      <c r="G76" s="527"/>
    </row>
    <row r="77" spans="1:7" ht="30.75" hidden="1" customHeight="1">
      <c r="A77" s="1973" t="e">
        <f>A11</f>
        <v>#REF!</v>
      </c>
      <c r="B77" s="1601"/>
      <c r="C77" s="1602"/>
      <c r="D77" s="1974" t="s">
        <v>1609</v>
      </c>
      <c r="E77" s="1601"/>
      <c r="F77" s="1601"/>
      <c r="G77" s="1602"/>
    </row>
    <row r="78" spans="1:7" ht="14.25" hidden="1" customHeight="1">
      <c r="A78" s="418"/>
      <c r="B78" s="418"/>
      <c r="C78" s="418"/>
      <c r="D78" s="418"/>
      <c r="E78" s="418"/>
      <c r="F78" s="418"/>
      <c r="G78" s="418"/>
    </row>
    <row r="79" spans="1:7" ht="12.75" hidden="1" customHeight="1">
      <c r="A79" s="528"/>
      <c r="B79" s="527"/>
      <c r="C79" s="363"/>
      <c r="D79" s="421" t="s">
        <v>1553</v>
      </c>
      <c r="E79" s="422" t="s">
        <v>228</v>
      </c>
      <c r="F79" s="572"/>
      <c r="G79" s="572"/>
    </row>
    <row r="80" spans="1:7" ht="14.25" hidden="1" customHeight="1">
      <c r="A80" s="529" t="s">
        <v>1555</v>
      </c>
      <c r="B80" s="527"/>
      <c r="C80" s="527"/>
      <c r="D80" s="527"/>
      <c r="E80" s="527"/>
      <c r="F80" s="527"/>
      <c r="G80" s="527"/>
    </row>
    <row r="81" spans="1:7" ht="13.5" hidden="1" customHeight="1">
      <c r="A81" s="1975" t="s">
        <v>1556</v>
      </c>
      <c r="B81" s="1601"/>
      <c r="C81" s="1801"/>
      <c r="D81" s="530" t="s">
        <v>208</v>
      </c>
      <c r="E81" s="530" t="s">
        <v>1558</v>
      </c>
      <c r="F81" s="424" t="s">
        <v>1559</v>
      </c>
      <c r="G81" s="531"/>
    </row>
    <row r="82" spans="1:7" ht="12.75" hidden="1" customHeight="1">
      <c r="A82" s="1981" t="str">
        <f>+'LISTADO EQUIPOS'!$C$22</f>
        <v>HERRAMIENTA MENOR.</v>
      </c>
      <c r="B82" s="1811"/>
      <c r="C82" s="1967"/>
      <c r="D82" s="543">
        <f>+'LISTADO EQUIPOS'!$E$22/8</f>
        <v>2850</v>
      </c>
      <c r="E82" s="533">
        <v>5</v>
      </c>
      <c r="F82" s="534">
        <f>D82/E82</f>
        <v>570</v>
      </c>
      <c r="G82" s="535"/>
    </row>
    <row r="83" spans="1:7" ht="14.25" hidden="1" customHeight="1">
      <c r="A83" s="1982"/>
      <c r="B83" s="1807"/>
      <c r="C83" s="1819"/>
      <c r="D83" s="536"/>
      <c r="E83" s="537"/>
      <c r="F83" s="536"/>
      <c r="G83" s="538"/>
    </row>
    <row r="84" spans="1:7" ht="14.25" hidden="1" customHeight="1">
      <c r="A84" s="1964" t="s">
        <v>1560</v>
      </c>
      <c r="B84" s="1601"/>
      <c r="C84" s="1601"/>
      <c r="D84" s="1601"/>
      <c r="E84" s="1601"/>
      <c r="F84" s="1801"/>
      <c r="G84" s="539">
        <f>SUM(F82:F83)</f>
        <v>570</v>
      </c>
    </row>
    <row r="85" spans="1:7" ht="14.25" hidden="1" customHeight="1">
      <c r="A85" s="529" t="s">
        <v>1561</v>
      </c>
      <c r="B85" s="527"/>
      <c r="C85" s="527"/>
      <c r="D85" s="527"/>
      <c r="E85" s="527"/>
      <c r="F85" s="527"/>
      <c r="G85" s="540"/>
    </row>
    <row r="86" spans="1:7" ht="14.25" hidden="1" customHeight="1">
      <c r="A86" s="1975" t="s">
        <v>1556</v>
      </c>
      <c r="B86" s="1801"/>
      <c r="C86" s="424" t="s">
        <v>6</v>
      </c>
      <c r="D86" s="424" t="s">
        <v>1562</v>
      </c>
      <c r="E86" s="424" t="s">
        <v>7</v>
      </c>
      <c r="F86" s="424" t="s">
        <v>1559</v>
      </c>
      <c r="G86" s="541"/>
    </row>
    <row r="87" spans="1:7" ht="14.25" hidden="1" customHeight="1">
      <c r="A87" s="1976"/>
      <c r="B87" s="1967"/>
      <c r="C87" s="581"/>
      <c r="D87" s="582"/>
      <c r="E87" s="581"/>
      <c r="F87" s="582"/>
      <c r="G87" s="583"/>
    </row>
    <row r="88" spans="1:7" ht="15" hidden="1" customHeight="1">
      <c r="A88" s="1977"/>
      <c r="B88" s="1611"/>
      <c r="C88" s="584"/>
      <c r="D88" s="585"/>
      <c r="E88" s="584"/>
      <c r="F88" s="585"/>
      <c r="G88" s="586"/>
    </row>
    <row r="89" spans="1:7" ht="14.25" hidden="1" customHeight="1">
      <c r="A89" s="1977"/>
      <c r="B89" s="1611"/>
      <c r="C89" s="584"/>
      <c r="D89" s="585"/>
      <c r="E89" s="584"/>
      <c r="F89" s="585"/>
      <c r="G89" s="586"/>
    </row>
    <row r="90" spans="1:7" ht="14.25" hidden="1" customHeight="1">
      <c r="A90" s="1978"/>
      <c r="B90" s="1819"/>
      <c r="C90" s="587"/>
      <c r="D90" s="588"/>
      <c r="E90" s="587"/>
      <c r="F90" s="588"/>
      <c r="G90" s="589"/>
    </row>
    <row r="91" spans="1:7" ht="14.25" hidden="1" customHeight="1">
      <c r="A91" s="1964" t="s">
        <v>1560</v>
      </c>
      <c r="B91" s="1601"/>
      <c r="C91" s="1601"/>
      <c r="D91" s="1601"/>
      <c r="E91" s="1601"/>
      <c r="F91" s="1801"/>
      <c r="G91" s="539"/>
    </row>
    <row r="92" spans="1:7" ht="14.25" hidden="1" customHeight="1">
      <c r="A92" s="529" t="s">
        <v>1563</v>
      </c>
      <c r="B92" s="527"/>
      <c r="C92" s="527"/>
      <c r="D92" s="527"/>
      <c r="E92" s="527"/>
      <c r="F92" s="527"/>
      <c r="G92" s="540"/>
    </row>
    <row r="93" spans="1:7" ht="14.25" hidden="1" customHeight="1">
      <c r="A93" s="1965" t="s">
        <v>1556</v>
      </c>
      <c r="B93" s="1801"/>
      <c r="C93" s="530" t="s">
        <v>6</v>
      </c>
      <c r="D93" s="530" t="s">
        <v>1562</v>
      </c>
      <c r="E93" s="530" t="s">
        <v>7</v>
      </c>
      <c r="F93" s="530" t="s">
        <v>1559</v>
      </c>
      <c r="G93" s="552"/>
    </row>
    <row r="94" spans="1:7" ht="14.25" hidden="1" customHeight="1">
      <c r="A94" s="1979" t="str">
        <f>+'LISTADO EQUIPOS'!C124</f>
        <v>VOLQUETA   (4.2 - 5)M3.</v>
      </c>
      <c r="B94" s="1967"/>
      <c r="C94" s="553" t="str">
        <f>+'LISTADO EQUIPOS'!D124</f>
        <v>VJ</v>
      </c>
      <c r="D94" s="543">
        <f>+'LISTADO EQUIPOS'!E124</f>
        <v>80000</v>
      </c>
      <c r="E94" s="590">
        <v>0.03</v>
      </c>
      <c r="F94" s="547">
        <f>D94*E94</f>
        <v>2400</v>
      </c>
      <c r="G94" s="544"/>
    </row>
    <row r="95" spans="1:7" ht="14.25" hidden="1" customHeight="1">
      <c r="A95" s="1980"/>
      <c r="B95" s="1819"/>
      <c r="C95" s="553"/>
      <c r="D95" s="536"/>
      <c r="E95" s="591"/>
      <c r="F95" s="536"/>
      <c r="G95" s="555"/>
    </row>
    <row r="96" spans="1:7" ht="14.25" hidden="1" customHeight="1">
      <c r="A96" s="1964" t="s">
        <v>1560</v>
      </c>
      <c r="B96" s="1601"/>
      <c r="C96" s="1601"/>
      <c r="D96" s="1601"/>
      <c r="E96" s="1601"/>
      <c r="F96" s="1801"/>
      <c r="G96" s="539">
        <f>SUM(F94:F95)</f>
        <v>2400</v>
      </c>
    </row>
    <row r="97" spans="1:7" ht="14.25" hidden="1" customHeight="1">
      <c r="A97" s="529" t="s">
        <v>1564</v>
      </c>
      <c r="B97" s="527"/>
      <c r="C97" s="527"/>
      <c r="D97" s="527"/>
      <c r="E97" s="527"/>
      <c r="F97" s="527"/>
      <c r="G97" s="540"/>
    </row>
    <row r="98" spans="1:7" ht="14.25" hidden="1" customHeight="1">
      <c r="A98" s="1965" t="s">
        <v>1565</v>
      </c>
      <c r="B98" s="1801"/>
      <c r="C98" s="424" t="s">
        <v>1566</v>
      </c>
      <c r="D98" s="530" t="s">
        <v>7</v>
      </c>
      <c r="E98" s="530" t="s">
        <v>1558</v>
      </c>
      <c r="F98" s="530" t="s">
        <v>1559</v>
      </c>
      <c r="G98" s="557"/>
    </row>
    <row r="99" spans="1:7" ht="14.25" hidden="1" customHeight="1">
      <c r="A99" s="1983" t="str">
        <f>+'MANO DE OBRA'!$A$64</f>
        <v>Oficial (Incl. Prestaciones)</v>
      </c>
      <c r="B99" s="1888"/>
      <c r="C99" s="558">
        <f>+'MANO DE OBRA'!$E$64</f>
        <v>15031.25</v>
      </c>
      <c r="D99" s="559">
        <v>1</v>
      </c>
      <c r="E99" s="559">
        <v>8</v>
      </c>
      <c r="F99" s="560">
        <f t="shared" ref="F99:F100" si="3">+(C99*D99)/E99</f>
        <v>1878.90625</v>
      </c>
      <c r="G99" s="544"/>
    </row>
    <row r="100" spans="1:7" ht="14.25" hidden="1" customHeight="1">
      <c r="A100" s="1968" t="str">
        <f>+'MANO DE OBRA'!$A$65</f>
        <v>Ayudante (Incl. Prestaciones)</v>
      </c>
      <c r="B100" s="1819"/>
      <c r="C100" s="561">
        <f>+'MANO DE OBRA'!$E$65</f>
        <v>10972.8125</v>
      </c>
      <c r="D100" s="562">
        <v>2</v>
      </c>
      <c r="E100" s="563">
        <f>+E99</f>
        <v>8</v>
      </c>
      <c r="F100" s="564">
        <f t="shared" si="3"/>
        <v>2743.203125</v>
      </c>
      <c r="G100" s="551"/>
    </row>
    <row r="101" spans="1:7" ht="14.25" hidden="1" customHeight="1">
      <c r="A101" s="1964" t="str">
        <f>+A96</f>
        <v>SUB-TOTAL</v>
      </c>
      <c r="B101" s="1601"/>
      <c r="C101" s="1601"/>
      <c r="D101" s="1601"/>
      <c r="E101" s="1601"/>
      <c r="F101" s="1801"/>
      <c r="G101" s="539">
        <f>SUM(F99:F100)</f>
        <v>4622.109375</v>
      </c>
    </row>
    <row r="102" spans="1:7" ht="11.25" hidden="1" customHeight="1">
      <c r="A102" s="527"/>
      <c r="B102" s="527"/>
      <c r="C102" s="527"/>
      <c r="D102" s="527"/>
      <c r="E102" s="527"/>
      <c r="F102" s="565"/>
      <c r="G102" s="540"/>
    </row>
    <row r="103" spans="1:7" ht="14.25" hidden="1" customHeight="1">
      <c r="A103" s="1964" t="s">
        <v>1567</v>
      </c>
      <c r="B103" s="1601"/>
      <c r="C103" s="1601"/>
      <c r="D103" s="1601"/>
      <c r="E103" s="1601"/>
      <c r="F103" s="1801"/>
      <c r="G103" s="580">
        <f>ROUND(G84+G91+G96+G101,0)</f>
        <v>7592</v>
      </c>
    </row>
    <row r="104" spans="1:7" ht="14.25" hidden="1" customHeight="1">
      <c r="A104" s="363"/>
      <c r="B104" s="363"/>
      <c r="C104" s="363"/>
      <c r="D104" s="363"/>
      <c r="E104" s="363"/>
      <c r="F104" s="363"/>
      <c r="G104" s="363"/>
    </row>
    <row r="105" spans="1:7" ht="14.25" hidden="1" customHeight="1">
      <c r="A105" s="363"/>
      <c r="B105" s="363"/>
      <c r="C105" s="363"/>
      <c r="D105" s="363"/>
      <c r="E105" s="363"/>
      <c r="F105" s="363"/>
      <c r="G105" s="363"/>
    </row>
    <row r="106" spans="1:7" ht="27" hidden="1" customHeight="1">
      <c r="A106" s="1970" t="s">
        <v>1604</v>
      </c>
      <c r="B106" s="1616"/>
      <c r="C106" s="1624"/>
      <c r="D106" s="567"/>
      <c r="E106" s="568"/>
      <c r="F106" s="568"/>
      <c r="G106" s="569"/>
    </row>
    <row r="107" spans="1:7" ht="24" hidden="1" customHeight="1">
      <c r="A107" s="1971"/>
      <c r="B107" s="1817"/>
      <c r="C107" s="1972"/>
      <c r="D107" s="570"/>
      <c r="E107" s="570"/>
      <c r="F107" s="570"/>
      <c r="G107" s="571"/>
    </row>
    <row r="108" spans="1:7" ht="14.25" hidden="1" customHeight="1">
      <c r="A108" s="527"/>
      <c r="B108" s="527"/>
      <c r="C108" s="527"/>
      <c r="D108" s="527"/>
      <c r="E108" s="527"/>
      <c r="F108" s="527"/>
      <c r="G108" s="527"/>
    </row>
    <row r="109" spans="1:7" ht="30.75" hidden="1" customHeight="1">
      <c r="A109" s="1973" t="e">
        <f>A11</f>
        <v>#REF!</v>
      </c>
      <c r="B109" s="1601"/>
      <c r="C109" s="1602"/>
      <c r="D109" s="1974" t="s">
        <v>1610</v>
      </c>
      <c r="E109" s="1601"/>
      <c r="F109" s="1601"/>
      <c r="G109" s="1602"/>
    </row>
    <row r="110" spans="1:7" ht="14.25" hidden="1" customHeight="1">
      <c r="A110" s="418"/>
      <c r="B110" s="418"/>
      <c r="C110" s="418"/>
      <c r="D110" s="418"/>
      <c r="E110" s="418"/>
      <c r="F110" s="418"/>
      <c r="G110" s="418"/>
    </row>
    <row r="111" spans="1:7" ht="12.75" hidden="1" customHeight="1">
      <c r="A111" s="528"/>
      <c r="B111" s="527"/>
      <c r="C111" s="363"/>
      <c r="D111" s="421" t="s">
        <v>1553</v>
      </c>
      <c r="E111" s="422" t="s">
        <v>1611</v>
      </c>
      <c r="F111" s="572"/>
      <c r="G111" s="572"/>
    </row>
    <row r="112" spans="1:7" ht="14.25" hidden="1" customHeight="1">
      <c r="A112" s="529" t="s">
        <v>1555</v>
      </c>
      <c r="B112" s="527"/>
      <c r="C112" s="527"/>
      <c r="D112" s="527"/>
      <c r="E112" s="527"/>
      <c r="F112" s="527"/>
      <c r="G112" s="527"/>
    </row>
    <row r="113" spans="1:7" ht="13.5" hidden="1" customHeight="1">
      <c r="A113" s="1975" t="s">
        <v>1556</v>
      </c>
      <c r="B113" s="1601"/>
      <c r="C113" s="1801"/>
      <c r="D113" s="530" t="s">
        <v>208</v>
      </c>
      <c r="E113" s="530" t="s">
        <v>1558</v>
      </c>
      <c r="F113" s="424" t="s">
        <v>1559</v>
      </c>
      <c r="G113" s="531"/>
    </row>
    <row r="114" spans="1:7" ht="12.75" hidden="1" customHeight="1">
      <c r="A114" s="1981" t="str">
        <f>+'LISTADO EQUIPOS'!$C$28</f>
        <v xml:space="preserve">MOTOSIERRA. </v>
      </c>
      <c r="B114" s="1811"/>
      <c r="C114" s="1967"/>
      <c r="D114" s="543">
        <f>+'LISTADO EQUIPOS'!$E$28</f>
        <v>18000</v>
      </c>
      <c r="E114" s="533">
        <v>0.05</v>
      </c>
      <c r="F114" s="534">
        <f t="shared" ref="F114:F118" si="4">+D114/E114</f>
        <v>360000</v>
      </c>
      <c r="G114" s="535"/>
    </row>
    <row r="115" spans="1:7" ht="14.25" hidden="1" customHeight="1">
      <c r="A115" s="1988" t="str">
        <f>+'LISTADO EQUIPOS'!$C$21</f>
        <v>GUADAÑADORA.</v>
      </c>
      <c r="B115" s="1610"/>
      <c r="C115" s="1611"/>
      <c r="D115" s="546">
        <f>+'LISTADO EQUIPOS'!$E$21</f>
        <v>12000</v>
      </c>
      <c r="E115" s="592">
        <v>0.1</v>
      </c>
      <c r="F115" s="547">
        <f t="shared" si="4"/>
        <v>120000</v>
      </c>
      <c r="G115" s="577"/>
    </row>
    <row r="116" spans="1:7" ht="14.25" hidden="1" customHeight="1">
      <c r="A116" s="1988" t="str">
        <f>+'LISTADO EQUIPOS'!$C$86</f>
        <v>BULLDOZER (100 - 140) HP. CAT D6D.</v>
      </c>
      <c r="B116" s="1610"/>
      <c r="C116" s="1611"/>
      <c r="D116" s="546">
        <f>+'LISTADO EQUIPOS'!$E$86</f>
        <v>100000</v>
      </c>
      <c r="E116" s="592">
        <v>0.15</v>
      </c>
      <c r="F116" s="547">
        <f t="shared" si="4"/>
        <v>666666.66666666674</v>
      </c>
      <c r="G116" s="577"/>
    </row>
    <row r="117" spans="1:7" ht="14.25" hidden="1" customHeight="1">
      <c r="A117" s="1988" t="str">
        <f>+'LISTADO EQUIPOS'!$C$90</f>
        <v>CARGADOR S/LLANTA CAT 930 O 950</v>
      </c>
      <c r="B117" s="1610"/>
      <c r="C117" s="1611"/>
      <c r="D117" s="546">
        <f>+'LISTADO EQUIPOS'!$E$90</f>
        <v>90000</v>
      </c>
      <c r="E117" s="592">
        <v>0.15</v>
      </c>
      <c r="F117" s="547">
        <f t="shared" si="4"/>
        <v>600000</v>
      </c>
      <c r="G117" s="577"/>
    </row>
    <row r="118" spans="1:7" ht="14.25" hidden="1" customHeight="1">
      <c r="A118" s="1982" t="str">
        <f>+'LISTADO EQUIPOS'!$C$22</f>
        <v>HERRAMIENTA MENOR.</v>
      </c>
      <c r="B118" s="1807"/>
      <c r="C118" s="1819"/>
      <c r="D118" s="536">
        <f>+'LISTADO EQUIPOS'!$E$22/8</f>
        <v>2850</v>
      </c>
      <c r="E118" s="537">
        <f>+E134</f>
        <v>1.7715166917302945</v>
      </c>
      <c r="F118" s="550">
        <f t="shared" si="4"/>
        <v>1608.7909379032258</v>
      </c>
      <c r="G118" s="538"/>
    </row>
    <row r="119" spans="1:7" ht="14.25" hidden="1" customHeight="1">
      <c r="A119" s="1964" t="s">
        <v>1560</v>
      </c>
      <c r="B119" s="1601"/>
      <c r="C119" s="1601"/>
      <c r="D119" s="1601"/>
      <c r="E119" s="1601"/>
      <c r="F119" s="1801"/>
      <c r="G119" s="539">
        <f>SUM(F114:F118)</f>
        <v>1748275.4576045701</v>
      </c>
    </row>
    <row r="120" spans="1:7" ht="14.25" hidden="1" customHeight="1">
      <c r="A120" s="529" t="s">
        <v>1561</v>
      </c>
      <c r="B120" s="527"/>
      <c r="C120" s="527"/>
      <c r="D120" s="527"/>
      <c r="E120" s="527"/>
      <c r="F120" s="527"/>
      <c r="G120" s="540"/>
    </row>
    <row r="121" spans="1:7" ht="14.25" hidden="1" customHeight="1">
      <c r="A121" s="1975" t="s">
        <v>1556</v>
      </c>
      <c r="B121" s="1801"/>
      <c r="C121" s="424" t="s">
        <v>6</v>
      </c>
      <c r="D121" s="424" t="s">
        <v>1562</v>
      </c>
      <c r="E121" s="424" t="s">
        <v>7</v>
      </c>
      <c r="F121" s="424" t="s">
        <v>1559</v>
      </c>
      <c r="G121" s="541"/>
    </row>
    <row r="122" spans="1:7" ht="14.25" hidden="1" customHeight="1">
      <c r="A122" s="1976"/>
      <c r="B122" s="1967"/>
      <c r="C122" s="581"/>
      <c r="D122" s="582"/>
      <c r="E122" s="581"/>
      <c r="F122" s="582"/>
      <c r="G122" s="583"/>
    </row>
    <row r="123" spans="1:7" ht="15" hidden="1" customHeight="1">
      <c r="A123" s="1977"/>
      <c r="B123" s="1611"/>
      <c r="C123" s="584"/>
      <c r="D123" s="585"/>
      <c r="E123" s="584"/>
      <c r="F123" s="585"/>
      <c r="G123" s="586"/>
    </row>
    <row r="124" spans="1:7" ht="14.25" hidden="1" customHeight="1">
      <c r="A124" s="1977"/>
      <c r="B124" s="1611"/>
      <c r="C124" s="584"/>
      <c r="D124" s="585"/>
      <c r="E124" s="584"/>
      <c r="F124" s="585"/>
      <c r="G124" s="586"/>
    </row>
    <row r="125" spans="1:7" ht="14.25" hidden="1" customHeight="1">
      <c r="A125" s="1978"/>
      <c r="B125" s="1819"/>
      <c r="C125" s="587"/>
      <c r="D125" s="588"/>
      <c r="E125" s="587"/>
      <c r="F125" s="588"/>
      <c r="G125" s="589"/>
    </row>
    <row r="126" spans="1:7" ht="14.25" hidden="1" customHeight="1">
      <c r="A126" s="1964" t="s">
        <v>1560</v>
      </c>
      <c r="B126" s="1601"/>
      <c r="C126" s="1601"/>
      <c r="D126" s="1601"/>
      <c r="E126" s="1601"/>
      <c r="F126" s="1801"/>
      <c r="G126" s="539"/>
    </row>
    <row r="127" spans="1:7" ht="14.25" hidden="1" customHeight="1">
      <c r="A127" s="529" t="s">
        <v>1563</v>
      </c>
      <c r="B127" s="527"/>
      <c r="C127" s="527"/>
      <c r="D127" s="527"/>
      <c r="E127" s="527"/>
      <c r="F127" s="527"/>
      <c r="G127" s="540"/>
    </row>
    <row r="128" spans="1:7" ht="14.25" hidden="1" customHeight="1">
      <c r="A128" s="1965" t="s">
        <v>1556</v>
      </c>
      <c r="B128" s="1801"/>
      <c r="C128" s="530" t="s">
        <v>6</v>
      </c>
      <c r="D128" s="530" t="s">
        <v>1562</v>
      </c>
      <c r="E128" s="530" t="s">
        <v>7</v>
      </c>
      <c r="F128" s="530" t="s">
        <v>1559</v>
      </c>
      <c r="G128" s="552"/>
    </row>
    <row r="129" spans="1:7" ht="14.25" hidden="1" customHeight="1">
      <c r="A129" s="1979"/>
      <c r="B129" s="1967"/>
      <c r="C129" s="553"/>
      <c r="D129" s="543"/>
      <c r="E129" s="590">
        <v>0</v>
      </c>
      <c r="F129" s="546"/>
      <c r="G129" s="544"/>
    </row>
    <row r="130" spans="1:7" ht="14.25" hidden="1" customHeight="1">
      <c r="A130" s="1980"/>
      <c r="B130" s="1819"/>
      <c r="C130" s="553"/>
      <c r="D130" s="536"/>
      <c r="E130" s="591"/>
      <c r="F130" s="536"/>
      <c r="G130" s="555"/>
    </row>
    <row r="131" spans="1:7" ht="14.25" hidden="1" customHeight="1">
      <c r="A131" s="1964" t="s">
        <v>1560</v>
      </c>
      <c r="B131" s="1601"/>
      <c r="C131" s="1601"/>
      <c r="D131" s="1601"/>
      <c r="E131" s="1601"/>
      <c r="F131" s="1801"/>
      <c r="G131" s="539"/>
    </row>
    <row r="132" spans="1:7" ht="14.25" hidden="1" customHeight="1">
      <c r="A132" s="529" t="s">
        <v>1564</v>
      </c>
      <c r="B132" s="527"/>
      <c r="C132" s="527"/>
      <c r="D132" s="527"/>
      <c r="E132" s="527"/>
      <c r="F132" s="527"/>
      <c r="G132" s="540"/>
    </row>
    <row r="133" spans="1:7" ht="14.25" hidden="1" customHeight="1">
      <c r="A133" s="1965" t="s">
        <v>1565</v>
      </c>
      <c r="B133" s="1801"/>
      <c r="C133" s="424" t="s">
        <v>1566</v>
      </c>
      <c r="D133" s="530" t="s">
        <v>7</v>
      </c>
      <c r="E133" s="530" t="s">
        <v>1558</v>
      </c>
      <c r="F133" s="530" t="s">
        <v>1559</v>
      </c>
      <c r="G133" s="557"/>
    </row>
    <row r="134" spans="1:7" ht="14.25" hidden="1" customHeight="1">
      <c r="A134" s="1983" t="str">
        <f>+'MANO DE OBRA'!$A$65</f>
        <v>Ayudante (Incl. Prestaciones)</v>
      </c>
      <c r="B134" s="1888"/>
      <c r="C134" s="558">
        <f>+'MANO DE OBRA'!$E$65</f>
        <v>10972.8125</v>
      </c>
      <c r="D134" s="559">
        <v>2</v>
      </c>
      <c r="E134" s="559">
        <v>1.7715166917302945</v>
      </c>
      <c r="F134" s="578">
        <f>+(C134*D134)*E134</f>
        <v>38877.040997953642</v>
      </c>
      <c r="G134" s="544"/>
    </row>
    <row r="135" spans="1:7" ht="14.25" hidden="1" customHeight="1">
      <c r="A135" s="1968"/>
      <c r="B135" s="1819"/>
      <c r="C135" s="561"/>
      <c r="D135" s="562"/>
      <c r="E135" s="563"/>
      <c r="F135" s="593"/>
      <c r="G135" s="551"/>
    </row>
    <row r="136" spans="1:7" ht="14.25" hidden="1" customHeight="1">
      <c r="A136" s="1964" t="str">
        <f>+A131</f>
        <v>SUB-TOTAL</v>
      </c>
      <c r="B136" s="1601"/>
      <c r="C136" s="1601"/>
      <c r="D136" s="1601"/>
      <c r="E136" s="1601"/>
      <c r="F136" s="1801"/>
      <c r="G136" s="539">
        <f>SUM(F134:F135)</f>
        <v>38877.040997953642</v>
      </c>
    </row>
    <row r="137" spans="1:7" ht="11.25" hidden="1" customHeight="1">
      <c r="A137" s="527"/>
      <c r="B137" s="527"/>
      <c r="C137" s="527"/>
      <c r="D137" s="527"/>
      <c r="E137" s="527"/>
      <c r="F137" s="565"/>
      <c r="G137" s="540"/>
    </row>
    <row r="138" spans="1:7" ht="14.25" hidden="1" customHeight="1">
      <c r="A138" s="1964" t="s">
        <v>1567</v>
      </c>
      <c r="B138" s="1601"/>
      <c r="C138" s="1601"/>
      <c r="D138" s="1601"/>
      <c r="E138" s="1601"/>
      <c r="F138" s="1801"/>
      <c r="G138" s="580">
        <f>ROUND(G119+G126+G131+G136,0)</f>
        <v>1787152</v>
      </c>
    </row>
    <row r="139" spans="1:7" ht="14.25" hidden="1" customHeight="1">
      <c r="A139" s="363"/>
      <c r="B139" s="363"/>
      <c r="C139" s="363"/>
      <c r="D139" s="363"/>
      <c r="E139" s="363"/>
      <c r="F139" s="363"/>
      <c r="G139" s="363"/>
    </row>
    <row r="140" spans="1:7" ht="14.25" hidden="1" customHeight="1">
      <c r="A140" s="363"/>
      <c r="B140" s="363"/>
      <c r="C140" s="363"/>
      <c r="D140" s="363"/>
      <c r="E140" s="363"/>
      <c r="F140" s="363"/>
      <c r="G140" s="363"/>
    </row>
    <row r="141" spans="1:7" ht="27" hidden="1" customHeight="1">
      <c r="A141" s="1970" t="s">
        <v>1604</v>
      </c>
      <c r="B141" s="1616"/>
      <c r="C141" s="1624"/>
      <c r="D141" s="567"/>
      <c r="E141" s="568"/>
      <c r="F141" s="568"/>
      <c r="G141" s="569"/>
    </row>
    <row r="142" spans="1:7" ht="30.75" hidden="1" customHeight="1">
      <c r="A142" s="1971"/>
      <c r="B142" s="1817"/>
      <c r="C142" s="1972"/>
      <c r="D142" s="570"/>
      <c r="E142" s="570"/>
      <c r="F142" s="570"/>
      <c r="G142" s="571"/>
    </row>
    <row r="143" spans="1:7" ht="14.25" hidden="1" customHeight="1">
      <c r="A143" s="527"/>
      <c r="B143" s="527"/>
      <c r="C143" s="527"/>
      <c r="D143" s="527"/>
      <c r="E143" s="527"/>
      <c r="F143" s="527"/>
      <c r="G143" s="527"/>
    </row>
    <row r="144" spans="1:7" ht="30.75" hidden="1" customHeight="1">
      <c r="A144" s="1973" t="e">
        <f>A11</f>
        <v>#REF!</v>
      </c>
      <c r="B144" s="1601"/>
      <c r="C144" s="1602"/>
      <c r="D144" s="1974" t="s">
        <v>1612</v>
      </c>
      <c r="E144" s="1601"/>
      <c r="F144" s="1601"/>
      <c r="G144" s="1602"/>
    </row>
    <row r="146" spans="1:7" ht="12.75" hidden="1" customHeight="1">
      <c r="A146" s="528"/>
      <c r="B146" s="527"/>
      <c r="C146" s="363"/>
      <c r="D146" s="421" t="s">
        <v>1553</v>
      </c>
      <c r="E146" s="422" t="s">
        <v>1611</v>
      </c>
      <c r="F146" s="572"/>
      <c r="G146" s="572"/>
    </row>
    <row r="147" spans="1:7" ht="14.25" hidden="1" customHeight="1">
      <c r="A147" s="529" t="s">
        <v>1555</v>
      </c>
      <c r="B147" s="527"/>
      <c r="C147" s="527"/>
      <c r="D147" s="527"/>
      <c r="E147" s="527"/>
      <c r="F147" s="527"/>
      <c r="G147" s="527"/>
    </row>
    <row r="148" spans="1:7" ht="13.5" hidden="1" customHeight="1">
      <c r="A148" s="1975" t="s">
        <v>1556</v>
      </c>
      <c r="B148" s="1601"/>
      <c r="C148" s="1801"/>
      <c r="D148" s="530" t="s">
        <v>208</v>
      </c>
      <c r="E148" s="530" t="s">
        <v>1558</v>
      </c>
      <c r="F148" s="424" t="s">
        <v>1559</v>
      </c>
      <c r="G148" s="531"/>
    </row>
    <row r="149" spans="1:7" ht="12.75" hidden="1" customHeight="1">
      <c r="A149" s="1981" t="str">
        <f>+'LISTADO EQUIPOS'!$C$28</f>
        <v xml:space="preserve">MOTOSIERRA. </v>
      </c>
      <c r="B149" s="1811"/>
      <c r="C149" s="1967"/>
      <c r="D149" s="543">
        <f>+'LISTADO EQUIPOS'!$E$28</f>
        <v>18000</v>
      </c>
      <c r="E149" s="533">
        <v>0.5</v>
      </c>
      <c r="F149" s="534">
        <f t="shared" ref="F149:F153" si="5">+D149/E149</f>
        <v>36000</v>
      </c>
      <c r="G149" s="535"/>
    </row>
    <row r="150" spans="1:7" ht="14.25" hidden="1" customHeight="1">
      <c r="A150" s="1988" t="str">
        <f>+'LISTADO EQUIPOS'!$C$21</f>
        <v>GUADAÑADORA.</v>
      </c>
      <c r="B150" s="1610"/>
      <c r="C150" s="1611"/>
      <c r="D150" s="546">
        <f>+'LISTADO EQUIPOS'!$E$21</f>
        <v>12000</v>
      </c>
      <c r="E150" s="592">
        <v>0.25</v>
      </c>
      <c r="F150" s="547">
        <f t="shared" si="5"/>
        <v>48000</v>
      </c>
      <c r="G150" s="577"/>
    </row>
    <row r="151" spans="1:7" ht="14.25" hidden="1" customHeight="1">
      <c r="A151" s="1988" t="str">
        <f>+'LISTADO EQUIPOS'!$C$86</f>
        <v>BULLDOZER (100 - 140) HP. CAT D6D.</v>
      </c>
      <c r="B151" s="1610"/>
      <c r="C151" s="1611"/>
      <c r="D151" s="546">
        <f>+'LISTADO EQUIPOS'!$E$86</f>
        <v>100000</v>
      </c>
      <c r="E151" s="592">
        <v>0.33</v>
      </c>
      <c r="F151" s="547">
        <f t="shared" si="5"/>
        <v>303030.30303030304</v>
      </c>
      <c r="G151" s="577"/>
    </row>
    <row r="152" spans="1:7" ht="14.25" hidden="1" customHeight="1">
      <c r="A152" s="1988" t="str">
        <f>+'LISTADO EQUIPOS'!$C$90</f>
        <v>CARGADOR S/LLANTA CAT 930 O 950</v>
      </c>
      <c r="B152" s="1610"/>
      <c r="C152" s="1611"/>
      <c r="D152" s="546">
        <f>+'LISTADO EQUIPOS'!$E$90</f>
        <v>90000</v>
      </c>
      <c r="E152" s="592">
        <v>0.33</v>
      </c>
      <c r="F152" s="547">
        <f t="shared" si="5"/>
        <v>272727.27272727271</v>
      </c>
      <c r="G152" s="577"/>
    </row>
    <row r="153" spans="1:7" ht="14.25" hidden="1" customHeight="1">
      <c r="A153" s="1982" t="str">
        <f>+'LISTADO EQUIPOS'!$C$22</f>
        <v>HERRAMIENTA MENOR.</v>
      </c>
      <c r="B153" s="1807"/>
      <c r="C153" s="1819"/>
      <c r="D153" s="536">
        <f>+'LISTADO EQUIPOS'!$E$22/8</f>
        <v>2850</v>
      </c>
      <c r="E153" s="537">
        <f>+E169</f>
        <v>1.7715166917302945</v>
      </c>
      <c r="F153" s="550">
        <f t="shared" si="5"/>
        <v>1608.7909379032258</v>
      </c>
      <c r="G153" s="538"/>
    </row>
    <row r="154" spans="1:7" ht="14.25" hidden="1" customHeight="1">
      <c r="A154" s="1964" t="s">
        <v>1560</v>
      </c>
      <c r="B154" s="1601"/>
      <c r="C154" s="1601"/>
      <c r="D154" s="1601"/>
      <c r="E154" s="1601"/>
      <c r="F154" s="1801"/>
      <c r="G154" s="539">
        <f>SUM(F149:F153)</f>
        <v>661366.36669547891</v>
      </c>
    </row>
    <row r="155" spans="1:7" ht="14.25" hidden="1" customHeight="1">
      <c r="A155" s="529" t="s">
        <v>1561</v>
      </c>
      <c r="B155" s="527"/>
      <c r="C155" s="527"/>
      <c r="D155" s="527"/>
      <c r="E155" s="527"/>
      <c r="F155" s="527"/>
      <c r="G155" s="527"/>
    </row>
    <row r="156" spans="1:7" ht="14.25" hidden="1" customHeight="1">
      <c r="A156" s="1975" t="s">
        <v>1556</v>
      </c>
      <c r="B156" s="1801"/>
      <c r="C156" s="424" t="s">
        <v>6</v>
      </c>
      <c r="D156" s="424" t="s">
        <v>1562</v>
      </c>
      <c r="E156" s="424" t="s">
        <v>7</v>
      </c>
      <c r="F156" s="424" t="s">
        <v>1559</v>
      </c>
      <c r="G156" s="531"/>
    </row>
    <row r="157" spans="1:7" ht="14.25" hidden="1" customHeight="1">
      <c r="A157" s="1976"/>
      <c r="B157" s="1967"/>
      <c r="C157" s="581"/>
      <c r="D157" s="582"/>
      <c r="E157" s="581"/>
      <c r="F157" s="582"/>
      <c r="G157" s="594"/>
    </row>
    <row r="158" spans="1:7" ht="15" hidden="1" customHeight="1">
      <c r="A158" s="1977"/>
      <c r="B158" s="1611"/>
      <c r="C158" s="584"/>
      <c r="D158" s="585"/>
      <c r="E158" s="584"/>
      <c r="F158" s="585"/>
      <c r="G158" s="595"/>
    </row>
    <row r="159" spans="1:7" ht="14.25" hidden="1" customHeight="1">
      <c r="A159" s="1977"/>
      <c r="B159" s="1611"/>
      <c r="C159" s="584"/>
      <c r="D159" s="585"/>
      <c r="E159" s="584"/>
      <c r="F159" s="585"/>
      <c r="G159" s="595"/>
    </row>
    <row r="160" spans="1:7" ht="14.25" hidden="1" customHeight="1">
      <c r="A160" s="1978"/>
      <c r="B160" s="1819"/>
      <c r="C160" s="587"/>
      <c r="D160" s="588"/>
      <c r="E160" s="587"/>
      <c r="F160" s="588"/>
      <c r="G160" s="596"/>
    </row>
    <row r="161" spans="1:7" ht="14.25" hidden="1" customHeight="1">
      <c r="A161" s="1964" t="s">
        <v>1560</v>
      </c>
      <c r="B161" s="1601"/>
      <c r="C161" s="1601"/>
      <c r="D161" s="1601"/>
      <c r="E161" s="1601"/>
      <c r="F161" s="1801"/>
      <c r="G161" s="556"/>
    </row>
    <row r="162" spans="1:7" ht="14.25" hidden="1" customHeight="1">
      <c r="A162" s="529" t="s">
        <v>1563</v>
      </c>
      <c r="B162" s="527"/>
      <c r="C162" s="527"/>
      <c r="D162" s="527"/>
      <c r="E162" s="527"/>
      <c r="F162" s="527"/>
      <c r="G162" s="527"/>
    </row>
    <row r="163" spans="1:7" ht="14.25" hidden="1" customHeight="1">
      <c r="A163" s="1965" t="s">
        <v>1556</v>
      </c>
      <c r="B163" s="1801"/>
      <c r="C163" s="530" t="s">
        <v>6</v>
      </c>
      <c r="D163" s="530" t="s">
        <v>1562</v>
      </c>
      <c r="E163" s="530" t="s">
        <v>7</v>
      </c>
      <c r="F163" s="530" t="s">
        <v>1559</v>
      </c>
      <c r="G163" s="597"/>
    </row>
    <row r="164" spans="1:7" ht="14.25" hidden="1" customHeight="1">
      <c r="A164" s="1979"/>
      <c r="B164" s="1967"/>
      <c r="C164" s="553"/>
      <c r="D164" s="543"/>
      <c r="E164" s="590">
        <v>0</v>
      </c>
      <c r="F164" s="546"/>
      <c r="G164" s="535"/>
    </row>
    <row r="165" spans="1:7" ht="14.25" hidden="1" customHeight="1">
      <c r="A165" s="1980"/>
      <c r="B165" s="1819"/>
      <c r="C165" s="553"/>
      <c r="D165" s="536"/>
      <c r="E165" s="591"/>
      <c r="F165" s="536"/>
      <c r="G165" s="598"/>
    </row>
    <row r="166" spans="1:7" ht="14.25" hidden="1" customHeight="1">
      <c r="A166" s="1964" t="s">
        <v>1560</v>
      </c>
      <c r="B166" s="1601"/>
      <c r="C166" s="1601"/>
      <c r="D166" s="1601"/>
      <c r="E166" s="1601"/>
      <c r="F166" s="1801"/>
      <c r="G166" s="556"/>
    </row>
    <row r="167" spans="1:7" ht="14.25" hidden="1" customHeight="1">
      <c r="A167" s="529" t="s">
        <v>1564</v>
      </c>
      <c r="B167" s="527"/>
      <c r="C167" s="527"/>
      <c r="D167" s="527"/>
      <c r="E167" s="527"/>
      <c r="F167" s="527"/>
      <c r="G167" s="527"/>
    </row>
    <row r="168" spans="1:7" ht="14.25" hidden="1" customHeight="1">
      <c r="A168" s="1965" t="s">
        <v>1565</v>
      </c>
      <c r="B168" s="1801"/>
      <c r="C168" s="424" t="s">
        <v>1566</v>
      </c>
      <c r="D168" s="530" t="s">
        <v>7</v>
      </c>
      <c r="E168" s="530" t="s">
        <v>1558</v>
      </c>
      <c r="F168" s="530" t="s">
        <v>1559</v>
      </c>
      <c r="G168" s="599"/>
    </row>
    <row r="169" spans="1:7" ht="14.25" hidden="1" customHeight="1">
      <c r="A169" s="1983" t="str">
        <f>+'MANO DE OBRA'!$A$65</f>
        <v>Ayudante (Incl. Prestaciones)</v>
      </c>
      <c r="B169" s="1888"/>
      <c r="C169" s="558">
        <f>+'MANO DE OBRA'!$E$65</f>
        <v>10972.8125</v>
      </c>
      <c r="D169" s="559">
        <v>2</v>
      </c>
      <c r="E169" s="559">
        <v>1.7715166917302945</v>
      </c>
      <c r="F169" s="578">
        <f>+(C169*D169)*E169</f>
        <v>38877.040997953642</v>
      </c>
      <c r="G169" s="535"/>
    </row>
    <row r="170" spans="1:7" ht="14.25" hidden="1" customHeight="1">
      <c r="A170" s="1968"/>
      <c r="B170" s="1819"/>
      <c r="C170" s="561"/>
      <c r="D170" s="562"/>
      <c r="E170" s="563"/>
      <c r="F170" s="593"/>
      <c r="G170" s="538"/>
    </row>
    <row r="171" spans="1:7" ht="14.25" hidden="1" customHeight="1">
      <c r="A171" s="1964" t="str">
        <f>+A166</f>
        <v>SUB-TOTAL</v>
      </c>
      <c r="B171" s="1601"/>
      <c r="C171" s="1601"/>
      <c r="D171" s="1601"/>
      <c r="E171" s="1601"/>
      <c r="F171" s="1801"/>
      <c r="G171" s="539">
        <f>SUM(F169:F170)</f>
        <v>38877.040997953642</v>
      </c>
    </row>
    <row r="172" spans="1:7" ht="11.25" hidden="1" customHeight="1">
      <c r="A172" s="527"/>
      <c r="B172" s="527"/>
      <c r="C172" s="527"/>
      <c r="D172" s="527"/>
      <c r="E172" s="527"/>
      <c r="F172" s="565"/>
      <c r="G172" s="540"/>
    </row>
    <row r="173" spans="1:7" ht="14.25" hidden="1" customHeight="1">
      <c r="A173" s="1964" t="s">
        <v>1567</v>
      </c>
      <c r="B173" s="1601"/>
      <c r="C173" s="1601"/>
      <c r="D173" s="1601"/>
      <c r="E173" s="1601"/>
      <c r="F173" s="1801"/>
      <c r="G173" s="580">
        <f>ROUND(G154+G161+G166+G171,0)</f>
        <v>700243</v>
      </c>
    </row>
    <row r="174" spans="1:7" ht="14.25" hidden="1" customHeight="1">
      <c r="A174" s="363"/>
      <c r="B174" s="363"/>
      <c r="C174" s="363"/>
      <c r="D174" s="363"/>
      <c r="E174" s="363"/>
      <c r="F174" s="363"/>
      <c r="G174" s="363"/>
    </row>
    <row r="175" spans="1:7" ht="14.25" hidden="1" customHeight="1">
      <c r="A175" s="363"/>
      <c r="B175" s="363"/>
      <c r="C175" s="363"/>
      <c r="D175" s="363"/>
      <c r="E175" s="363"/>
      <c r="F175" s="363"/>
      <c r="G175" s="363"/>
    </row>
    <row r="176" spans="1:7" ht="27" hidden="1" customHeight="1">
      <c r="A176" s="1970" t="s">
        <v>1604</v>
      </c>
      <c r="B176" s="1616"/>
      <c r="C176" s="1624"/>
      <c r="D176" s="567"/>
      <c r="E176" s="568"/>
      <c r="F176" s="568"/>
      <c r="G176" s="569"/>
    </row>
    <row r="177" spans="1:7" ht="33.75" hidden="1" customHeight="1">
      <c r="A177" s="1971"/>
      <c r="B177" s="1817"/>
      <c r="C177" s="1972"/>
      <c r="D177" s="570"/>
      <c r="E177" s="570"/>
      <c r="F177" s="570"/>
      <c r="G177" s="571"/>
    </row>
    <row r="178" spans="1:7" ht="14.25" hidden="1" customHeight="1">
      <c r="A178" s="527"/>
      <c r="B178" s="527"/>
      <c r="C178" s="527"/>
      <c r="D178" s="527"/>
      <c r="E178" s="527"/>
      <c r="F178" s="527"/>
      <c r="G178" s="527"/>
    </row>
    <row r="179" spans="1:7" ht="30.75" hidden="1" customHeight="1">
      <c r="A179" s="1973" t="e">
        <f>A11</f>
        <v>#REF!</v>
      </c>
      <c r="B179" s="1601"/>
      <c r="C179" s="1602"/>
      <c r="D179" s="1974" t="s">
        <v>1613</v>
      </c>
      <c r="E179" s="1601"/>
      <c r="F179" s="1601"/>
      <c r="G179" s="1602"/>
    </row>
    <row r="180" spans="1:7" ht="14.25" hidden="1" customHeight="1">
      <c r="A180" s="418"/>
      <c r="B180" s="418"/>
      <c r="C180" s="418"/>
      <c r="D180" s="418"/>
      <c r="E180" s="418"/>
      <c r="F180" s="418"/>
      <c r="G180" s="418"/>
    </row>
    <row r="181" spans="1:7" ht="12.75" hidden="1" customHeight="1">
      <c r="A181" s="528"/>
      <c r="B181" s="527"/>
      <c r="C181" s="363"/>
      <c r="D181" s="421" t="s">
        <v>1553</v>
      </c>
      <c r="E181" s="422" t="s">
        <v>1614</v>
      </c>
      <c r="F181" s="572"/>
      <c r="G181" s="572"/>
    </row>
    <row r="182" spans="1:7" ht="14.25" hidden="1" customHeight="1">
      <c r="A182" s="529" t="s">
        <v>1555</v>
      </c>
      <c r="B182" s="527"/>
      <c r="C182" s="527"/>
      <c r="D182" s="527"/>
      <c r="E182" s="527"/>
      <c r="F182" s="527"/>
      <c r="G182" s="527"/>
    </row>
    <row r="183" spans="1:7" ht="13.5" hidden="1" customHeight="1">
      <c r="A183" s="1975" t="s">
        <v>1556</v>
      </c>
      <c r="B183" s="1601"/>
      <c r="C183" s="1801"/>
      <c r="D183" s="530" t="s">
        <v>208</v>
      </c>
      <c r="E183" s="530" t="s">
        <v>1558</v>
      </c>
      <c r="F183" s="424" t="s">
        <v>1559</v>
      </c>
      <c r="G183" s="531"/>
    </row>
    <row r="184" spans="1:7" ht="12.75" hidden="1" customHeight="1">
      <c r="A184" s="1981" t="str">
        <f>+'LISTADO EQUIPOS'!$C$22</f>
        <v>HERRAMIENTA MENOR.</v>
      </c>
      <c r="B184" s="1811"/>
      <c r="C184" s="1967"/>
      <c r="D184" s="543">
        <f>+'LISTADO EQUIPOS'!$E$22/8</f>
        <v>2850</v>
      </c>
      <c r="E184" s="533">
        <f>+E201</f>
        <v>11.665647184453704</v>
      </c>
      <c r="F184" s="534">
        <f>+E184*D184</f>
        <v>33247.094475693055</v>
      </c>
      <c r="G184" s="535"/>
    </row>
    <row r="185" spans="1:7" ht="14.25" hidden="1" customHeight="1">
      <c r="A185" s="1982"/>
      <c r="B185" s="1807"/>
      <c r="C185" s="1819"/>
      <c r="D185" s="536"/>
      <c r="E185" s="537"/>
      <c r="F185" s="536"/>
      <c r="G185" s="538"/>
    </row>
    <row r="186" spans="1:7" ht="14.25" hidden="1" customHeight="1">
      <c r="A186" s="1964" t="s">
        <v>1560</v>
      </c>
      <c r="B186" s="1601"/>
      <c r="C186" s="1601"/>
      <c r="D186" s="1601"/>
      <c r="E186" s="1601"/>
      <c r="F186" s="1801"/>
      <c r="G186" s="539">
        <f>SUM(F184:F185)</f>
        <v>33247.094475693055</v>
      </c>
    </row>
    <row r="187" spans="1:7" ht="14.25" hidden="1" customHeight="1">
      <c r="A187" s="529" t="s">
        <v>1561</v>
      </c>
      <c r="B187" s="527"/>
      <c r="C187" s="527"/>
      <c r="D187" s="527"/>
      <c r="E187" s="527"/>
      <c r="F187" s="527"/>
      <c r="G187" s="527"/>
    </row>
    <row r="188" spans="1:7" ht="14.25" hidden="1" customHeight="1">
      <c r="A188" s="1975" t="s">
        <v>1556</v>
      </c>
      <c r="B188" s="1801"/>
      <c r="C188" s="424" t="s">
        <v>6</v>
      </c>
      <c r="D188" s="424" t="s">
        <v>1562</v>
      </c>
      <c r="E188" s="424" t="s">
        <v>7</v>
      </c>
      <c r="F188" s="424" t="s">
        <v>1559</v>
      </c>
      <c r="G188" s="531"/>
    </row>
    <row r="189" spans="1:7" ht="14.25" hidden="1" customHeight="1">
      <c r="A189" s="1976"/>
      <c r="B189" s="1967"/>
      <c r="C189" s="581"/>
      <c r="D189" s="582"/>
      <c r="E189" s="581"/>
      <c r="F189" s="582"/>
      <c r="G189" s="594"/>
    </row>
    <row r="190" spans="1:7" ht="15" hidden="1" customHeight="1">
      <c r="A190" s="1977"/>
      <c r="B190" s="1611"/>
      <c r="C190" s="584"/>
      <c r="D190" s="585"/>
      <c r="E190" s="584"/>
      <c r="F190" s="585"/>
      <c r="G190" s="595"/>
    </row>
    <row r="191" spans="1:7" ht="14.25" hidden="1" customHeight="1">
      <c r="A191" s="1977"/>
      <c r="B191" s="1611"/>
      <c r="C191" s="584"/>
      <c r="D191" s="585"/>
      <c r="E191" s="584"/>
      <c r="F191" s="585"/>
      <c r="G191" s="595"/>
    </row>
    <row r="192" spans="1:7" ht="14.25" hidden="1" customHeight="1">
      <c r="A192" s="1978"/>
      <c r="B192" s="1819"/>
      <c r="C192" s="587"/>
      <c r="D192" s="588"/>
      <c r="E192" s="587"/>
      <c r="F192" s="588"/>
      <c r="G192" s="596"/>
    </row>
    <row r="193" spans="1:7" ht="14.25" hidden="1" customHeight="1">
      <c r="A193" s="1964" t="s">
        <v>1560</v>
      </c>
      <c r="B193" s="1601"/>
      <c r="C193" s="1601"/>
      <c r="D193" s="1601"/>
      <c r="E193" s="1601"/>
      <c r="F193" s="1801"/>
      <c r="G193" s="556"/>
    </row>
    <row r="194" spans="1:7" ht="14.25" hidden="1" customHeight="1">
      <c r="A194" s="529" t="s">
        <v>1563</v>
      </c>
      <c r="B194" s="527"/>
      <c r="C194" s="527"/>
      <c r="D194" s="527"/>
      <c r="E194" s="527"/>
      <c r="F194" s="527"/>
      <c r="G194" s="527"/>
    </row>
    <row r="195" spans="1:7" ht="14.25" hidden="1" customHeight="1">
      <c r="A195" s="1965" t="s">
        <v>1556</v>
      </c>
      <c r="B195" s="1801"/>
      <c r="C195" s="530" t="s">
        <v>6</v>
      </c>
      <c r="D195" s="530" t="s">
        <v>1562</v>
      </c>
      <c r="E195" s="530" t="s">
        <v>7</v>
      </c>
      <c r="F195" s="530" t="s">
        <v>1559</v>
      </c>
      <c r="G195" s="597"/>
    </row>
    <row r="196" spans="1:7" ht="14.25" hidden="1" customHeight="1">
      <c r="A196" s="1979"/>
      <c r="B196" s="1967"/>
      <c r="C196" s="553"/>
      <c r="D196" s="553"/>
      <c r="E196" s="546"/>
      <c r="F196" s="546"/>
      <c r="G196" s="535"/>
    </row>
    <row r="197" spans="1:7" ht="14.25" hidden="1" customHeight="1">
      <c r="A197" s="1980"/>
      <c r="B197" s="1819"/>
      <c r="C197" s="553"/>
      <c r="D197" s="553"/>
      <c r="E197" s="536"/>
      <c r="F197" s="536"/>
      <c r="G197" s="598"/>
    </row>
    <row r="198" spans="1:7" ht="14.25" hidden="1" customHeight="1">
      <c r="A198" s="1964" t="s">
        <v>1560</v>
      </c>
      <c r="B198" s="1601"/>
      <c r="C198" s="1601"/>
      <c r="D198" s="1601"/>
      <c r="E198" s="1601"/>
      <c r="F198" s="1801"/>
      <c r="G198" s="556"/>
    </row>
    <row r="199" spans="1:7" ht="14.25" hidden="1" customHeight="1">
      <c r="A199" s="529" t="s">
        <v>1564</v>
      </c>
      <c r="B199" s="527"/>
      <c r="C199" s="527"/>
      <c r="D199" s="527"/>
      <c r="E199" s="527"/>
      <c r="F199" s="527"/>
      <c r="G199" s="527"/>
    </row>
    <row r="200" spans="1:7" ht="14.25" hidden="1" customHeight="1">
      <c r="A200" s="1965" t="s">
        <v>1565</v>
      </c>
      <c r="B200" s="1801"/>
      <c r="C200" s="424" t="s">
        <v>1566</v>
      </c>
      <c r="D200" s="530" t="s">
        <v>7</v>
      </c>
      <c r="E200" s="530" t="s">
        <v>1558</v>
      </c>
      <c r="F200" s="530" t="s">
        <v>1559</v>
      </c>
      <c r="G200" s="599"/>
    </row>
    <row r="201" spans="1:7" ht="14.25" hidden="1" customHeight="1">
      <c r="A201" s="1983" t="str">
        <f>+'MANO DE OBRA'!$A$64</f>
        <v>Oficial (Incl. Prestaciones)</v>
      </c>
      <c r="B201" s="1888"/>
      <c r="C201" s="558">
        <f>+'MANO DE OBRA'!$E$64</f>
        <v>15031.25</v>
      </c>
      <c r="D201" s="559">
        <v>1</v>
      </c>
      <c r="E201" s="559">
        <v>11.665647184453704</v>
      </c>
      <c r="F201" s="578">
        <f t="shared" ref="F201:F202" si="6">+(C201*D201)*E201</f>
        <v>175349.25924131973</v>
      </c>
      <c r="G201" s="535"/>
    </row>
    <row r="202" spans="1:7" ht="14.25" hidden="1" customHeight="1">
      <c r="A202" s="1968" t="str">
        <f>+'MANO DE OBRA'!$A$65</f>
        <v>Ayudante (Incl. Prestaciones)</v>
      </c>
      <c r="B202" s="1819"/>
      <c r="C202" s="561">
        <f>+'MANO DE OBRA'!$E$65</f>
        <v>10972.8125</v>
      </c>
      <c r="D202" s="562">
        <v>2</v>
      </c>
      <c r="E202" s="563">
        <f>+E201</f>
        <v>11.665647184453704</v>
      </c>
      <c r="F202" s="579">
        <f t="shared" si="6"/>
        <v>256009.9184923268</v>
      </c>
      <c r="G202" s="538"/>
    </row>
    <row r="203" spans="1:7" ht="15.75" hidden="1" customHeight="1">
      <c r="A203" s="1964" t="str">
        <f>+A198</f>
        <v>SUB-TOTAL</v>
      </c>
      <c r="B203" s="1601"/>
      <c r="C203" s="1601"/>
      <c r="D203" s="1601"/>
      <c r="E203" s="1601"/>
      <c r="F203" s="1801"/>
      <c r="G203" s="600">
        <f>SUM(F201:F202)</f>
        <v>431359.17773364653</v>
      </c>
    </row>
    <row r="204" spans="1:7" ht="11.25" hidden="1" customHeight="1">
      <c r="A204" s="527"/>
      <c r="B204" s="527"/>
      <c r="C204" s="527"/>
      <c r="D204" s="527"/>
      <c r="E204" s="527"/>
      <c r="F204" s="565"/>
      <c r="G204" s="601"/>
    </row>
    <row r="205" spans="1:7" ht="17.25" hidden="1" customHeight="1">
      <c r="A205" s="1969" t="s">
        <v>1567</v>
      </c>
      <c r="B205" s="1601"/>
      <c r="C205" s="1601"/>
      <c r="D205" s="1601"/>
      <c r="E205" s="1601"/>
      <c r="F205" s="1801"/>
      <c r="G205" s="603">
        <f>ROUND(G186+G193+G198+G203,0)</f>
        <v>464606</v>
      </c>
    </row>
    <row r="206" spans="1:7" ht="14.25" hidden="1" customHeight="1">
      <c r="A206" s="363"/>
      <c r="B206" s="363"/>
      <c r="C206" s="363"/>
      <c r="D206" s="363"/>
      <c r="E206" s="363"/>
      <c r="F206" s="363"/>
      <c r="G206" s="363"/>
    </row>
    <row r="207" spans="1:7" ht="14.25" hidden="1" customHeight="1">
      <c r="A207" s="363"/>
      <c r="B207" s="363"/>
      <c r="C207" s="363"/>
      <c r="D207" s="363"/>
      <c r="E207" s="363"/>
      <c r="F207" s="363"/>
      <c r="G207" s="363"/>
    </row>
    <row r="208" spans="1:7" ht="28.5" hidden="1" customHeight="1">
      <c r="A208" s="1970" t="s">
        <v>1604</v>
      </c>
      <c r="B208" s="1616"/>
      <c r="C208" s="1624"/>
      <c r="D208" s="567"/>
      <c r="E208" s="568"/>
      <c r="F208" s="568"/>
      <c r="G208" s="569"/>
    </row>
    <row r="209" spans="1:7" ht="28.5" hidden="1" customHeight="1">
      <c r="A209" s="1971"/>
      <c r="B209" s="1817"/>
      <c r="C209" s="1972"/>
      <c r="D209" s="570"/>
      <c r="E209" s="570"/>
      <c r="F209" s="570"/>
      <c r="G209" s="571"/>
    </row>
    <row r="210" spans="1:7" ht="14.25" hidden="1" customHeight="1">
      <c r="A210" s="527"/>
      <c r="B210" s="527"/>
      <c r="C210" s="527"/>
      <c r="D210" s="527"/>
      <c r="E210" s="527"/>
      <c r="F210" s="527"/>
      <c r="G210" s="527"/>
    </row>
    <row r="211" spans="1:7" ht="20.25" hidden="1" customHeight="1">
      <c r="A211" s="1973" t="e">
        <f>A11</f>
        <v>#REF!</v>
      </c>
      <c r="B211" s="1601"/>
      <c r="C211" s="1602"/>
      <c r="D211" s="1974" t="s">
        <v>1615</v>
      </c>
      <c r="E211" s="1601"/>
      <c r="F211" s="1601"/>
      <c r="G211" s="1602"/>
    </row>
    <row r="212" spans="1:7" ht="14.25" hidden="1" customHeight="1">
      <c r="A212" s="418"/>
      <c r="B212" s="418"/>
      <c r="C212" s="418"/>
      <c r="D212" s="418"/>
      <c r="E212" s="418"/>
      <c r="F212" s="418"/>
      <c r="G212" s="418"/>
    </row>
    <row r="213" spans="1:7" ht="14.25" hidden="1" customHeight="1">
      <c r="A213" s="528"/>
      <c r="B213" s="527"/>
      <c r="C213" s="363"/>
      <c r="D213" s="421" t="s">
        <v>1553</v>
      </c>
      <c r="E213" s="422" t="s">
        <v>228</v>
      </c>
      <c r="F213" s="572"/>
      <c r="G213" s="572"/>
    </row>
    <row r="214" spans="1:7" ht="14.25" hidden="1" customHeight="1">
      <c r="A214" s="529" t="s">
        <v>1555</v>
      </c>
      <c r="B214" s="527"/>
      <c r="C214" s="527"/>
      <c r="D214" s="527"/>
      <c r="E214" s="527"/>
      <c r="F214" s="527"/>
      <c r="G214" s="527"/>
    </row>
    <row r="215" spans="1:7" ht="14.25" hidden="1" customHeight="1">
      <c r="A215" s="1975" t="s">
        <v>1556</v>
      </c>
      <c r="B215" s="1601"/>
      <c r="C215" s="1801"/>
      <c r="D215" s="530" t="s">
        <v>208</v>
      </c>
      <c r="E215" s="530" t="s">
        <v>1558</v>
      </c>
      <c r="F215" s="424" t="s">
        <v>1559</v>
      </c>
      <c r="G215" s="531"/>
    </row>
    <row r="216" spans="1:7" ht="14.25" hidden="1" customHeight="1">
      <c r="A216" s="1981" t="str">
        <f>+'LISTADO EQUIPOS'!$C$22</f>
        <v>HERRAMIENTA MENOR.</v>
      </c>
      <c r="B216" s="1811"/>
      <c r="C216" s="1967"/>
      <c r="D216" s="543">
        <f>+'LISTADO EQUIPOS'!$E$22/8</f>
        <v>2850</v>
      </c>
      <c r="E216" s="533">
        <v>0.06</v>
      </c>
      <c r="F216" s="534">
        <f>+E216*D216</f>
        <v>171</v>
      </c>
      <c r="G216" s="535"/>
    </row>
    <row r="217" spans="1:7" ht="14.25" hidden="1" customHeight="1">
      <c r="A217" s="1982"/>
      <c r="B217" s="1807"/>
      <c r="C217" s="1819"/>
      <c r="D217" s="536"/>
      <c r="E217" s="537"/>
      <c r="F217" s="536"/>
      <c r="G217" s="538"/>
    </row>
    <row r="218" spans="1:7" ht="14.25" hidden="1" customHeight="1">
      <c r="A218" s="1964" t="s">
        <v>1560</v>
      </c>
      <c r="B218" s="1601"/>
      <c r="C218" s="1601"/>
      <c r="D218" s="1601"/>
      <c r="E218" s="1601"/>
      <c r="F218" s="1801"/>
      <c r="G218" s="539">
        <f>SUM(F216:F217)</f>
        <v>171</v>
      </c>
    </row>
    <row r="219" spans="1:7" ht="14.25" hidden="1" customHeight="1">
      <c r="A219" s="529" t="s">
        <v>1561</v>
      </c>
      <c r="B219" s="527"/>
      <c r="C219" s="527"/>
      <c r="D219" s="527"/>
      <c r="E219" s="527"/>
      <c r="F219" s="527"/>
      <c r="G219" s="540"/>
    </row>
    <row r="220" spans="1:7" ht="14.25" hidden="1" customHeight="1">
      <c r="A220" s="1975" t="s">
        <v>1556</v>
      </c>
      <c r="B220" s="1801"/>
      <c r="C220" s="424" t="s">
        <v>6</v>
      </c>
      <c r="D220" s="424" t="s">
        <v>1562</v>
      </c>
      <c r="E220" s="424" t="s">
        <v>7</v>
      </c>
      <c r="F220" s="424" t="s">
        <v>1559</v>
      </c>
      <c r="G220" s="541"/>
    </row>
    <row r="221" spans="1:7" ht="14.25" hidden="1" customHeight="1">
      <c r="A221" s="1976" t="s">
        <v>1616</v>
      </c>
      <c r="B221" s="1967"/>
      <c r="C221" s="581" t="s">
        <v>171</v>
      </c>
      <c r="D221" s="582">
        <v>3250</v>
      </c>
      <c r="E221" s="581">
        <v>0.16</v>
      </c>
      <c r="F221" s="604">
        <f>D221*E221</f>
        <v>520</v>
      </c>
      <c r="G221" s="583"/>
    </row>
    <row r="222" spans="1:7" ht="14.25" hidden="1" customHeight="1">
      <c r="A222" s="1977"/>
      <c r="B222" s="1611"/>
      <c r="C222" s="584"/>
      <c r="D222" s="585"/>
      <c r="E222" s="584"/>
      <c r="F222" s="585"/>
      <c r="G222" s="586"/>
    </row>
    <row r="223" spans="1:7" ht="14.25" hidden="1" customHeight="1">
      <c r="A223" s="1977"/>
      <c r="B223" s="1611"/>
      <c r="C223" s="584"/>
      <c r="D223" s="585"/>
      <c r="E223" s="584"/>
      <c r="F223" s="585"/>
      <c r="G223" s="586"/>
    </row>
    <row r="224" spans="1:7" ht="14.25" hidden="1" customHeight="1">
      <c r="A224" s="1978"/>
      <c r="B224" s="1819"/>
      <c r="C224" s="587"/>
      <c r="D224" s="588"/>
      <c r="E224" s="587"/>
      <c r="F224" s="588"/>
      <c r="G224" s="589"/>
    </row>
    <row r="225" spans="1:7" ht="14.25" hidden="1" customHeight="1">
      <c r="A225" s="1964" t="s">
        <v>1560</v>
      </c>
      <c r="B225" s="1601"/>
      <c r="C225" s="1601"/>
      <c r="D225" s="1601"/>
      <c r="E225" s="1601"/>
      <c r="F225" s="1801"/>
      <c r="G225" s="539">
        <f>F221</f>
        <v>520</v>
      </c>
    </row>
    <row r="226" spans="1:7" ht="14.25" hidden="1" customHeight="1">
      <c r="A226" s="529" t="s">
        <v>1563</v>
      </c>
      <c r="B226" s="527"/>
      <c r="C226" s="527"/>
      <c r="D226" s="527"/>
      <c r="E226" s="527"/>
      <c r="F226" s="527"/>
      <c r="G226" s="540"/>
    </row>
    <row r="227" spans="1:7" ht="14.25" hidden="1" customHeight="1">
      <c r="A227" s="1965" t="s">
        <v>1556</v>
      </c>
      <c r="B227" s="1801"/>
      <c r="C227" s="530" t="s">
        <v>6</v>
      </c>
      <c r="D227" s="530" t="s">
        <v>1562</v>
      </c>
      <c r="E227" s="530" t="s">
        <v>7</v>
      </c>
      <c r="F227" s="530" t="s">
        <v>1559</v>
      </c>
      <c r="G227" s="552"/>
    </row>
    <row r="228" spans="1:7" ht="14.25" hidden="1" customHeight="1">
      <c r="A228" s="1979"/>
      <c r="B228" s="1967"/>
      <c r="C228" s="553"/>
      <c r="D228" s="553"/>
      <c r="E228" s="546"/>
      <c r="F228" s="546"/>
      <c r="G228" s="544"/>
    </row>
    <row r="229" spans="1:7" ht="14.25" hidden="1" customHeight="1">
      <c r="A229" s="1980"/>
      <c r="B229" s="1819"/>
      <c r="C229" s="553"/>
      <c r="D229" s="553"/>
      <c r="E229" s="536"/>
      <c r="F229" s="536"/>
      <c r="G229" s="555"/>
    </row>
    <row r="230" spans="1:7" ht="14.25" hidden="1" customHeight="1">
      <c r="A230" s="1964" t="s">
        <v>1560</v>
      </c>
      <c r="B230" s="1601"/>
      <c r="C230" s="1601"/>
      <c r="D230" s="1601"/>
      <c r="E230" s="1601"/>
      <c r="F230" s="1801"/>
      <c r="G230" s="539"/>
    </row>
    <row r="231" spans="1:7" ht="14.25" hidden="1" customHeight="1">
      <c r="A231" s="529" t="s">
        <v>1564</v>
      </c>
      <c r="B231" s="527"/>
      <c r="C231" s="527"/>
      <c r="D231" s="527"/>
      <c r="E231" s="527"/>
      <c r="F231" s="527"/>
      <c r="G231" s="540"/>
    </row>
    <row r="232" spans="1:7" ht="14.25" hidden="1" customHeight="1">
      <c r="A232" s="1965" t="s">
        <v>1565</v>
      </c>
      <c r="B232" s="1801"/>
      <c r="C232" s="424" t="s">
        <v>1566</v>
      </c>
      <c r="D232" s="530" t="s">
        <v>7</v>
      </c>
      <c r="E232" s="530" t="s">
        <v>1558</v>
      </c>
      <c r="F232" s="530" t="s">
        <v>1559</v>
      </c>
      <c r="G232" s="557"/>
    </row>
    <row r="233" spans="1:7" ht="14.25" hidden="1" customHeight="1">
      <c r="A233" s="1966"/>
      <c r="B233" s="1967"/>
      <c r="C233" s="558"/>
      <c r="D233" s="559"/>
      <c r="E233" s="559"/>
      <c r="F233" s="605"/>
      <c r="G233" s="544"/>
    </row>
    <row r="234" spans="1:7" ht="14.25" hidden="1" customHeight="1">
      <c r="A234" s="1968" t="str">
        <f>+'MANO DE OBRA'!$A$65</f>
        <v>Ayudante (Incl. Prestaciones)</v>
      </c>
      <c r="B234" s="1819"/>
      <c r="C234" s="561">
        <f>+'MANO DE OBRA'!$E$65</f>
        <v>10972.8125</v>
      </c>
      <c r="D234" s="562">
        <v>1</v>
      </c>
      <c r="E234" s="563">
        <v>0.06</v>
      </c>
      <c r="F234" s="606">
        <f>+(C234*D234)*E234</f>
        <v>658.36874999999998</v>
      </c>
      <c r="G234" s="551"/>
    </row>
    <row r="235" spans="1:7" ht="14.25" hidden="1" customHeight="1">
      <c r="A235" s="1964" t="str">
        <f>+A230</f>
        <v>SUB-TOTAL</v>
      </c>
      <c r="B235" s="1601"/>
      <c r="C235" s="1601"/>
      <c r="D235" s="1601"/>
      <c r="E235" s="1601"/>
      <c r="F235" s="1801"/>
      <c r="G235" s="539">
        <f>SUM(F233:F234)</f>
        <v>658.36874999999998</v>
      </c>
    </row>
    <row r="236" spans="1:7" ht="14.25" hidden="1" customHeight="1">
      <c r="A236" s="527"/>
      <c r="B236" s="527"/>
      <c r="C236" s="527"/>
      <c r="D236" s="527"/>
      <c r="E236" s="527"/>
      <c r="F236" s="565"/>
      <c r="G236" s="540"/>
    </row>
    <row r="237" spans="1:7" ht="14.25" hidden="1" customHeight="1">
      <c r="A237" s="1969" t="s">
        <v>1567</v>
      </c>
      <c r="B237" s="1601"/>
      <c r="C237" s="1601"/>
      <c r="D237" s="1601"/>
      <c r="E237" s="1601"/>
      <c r="F237" s="1801"/>
      <c r="G237" s="607">
        <f>ROUND(G218+G225+G230+G235,0)</f>
        <v>1349</v>
      </c>
    </row>
    <row r="238" spans="1:7" ht="14.25" hidden="1" customHeight="1">
      <c r="A238" s="363"/>
      <c r="B238" s="363"/>
      <c r="C238" s="363"/>
      <c r="D238" s="363"/>
      <c r="E238" s="363"/>
      <c r="F238" s="363"/>
      <c r="G238" s="363"/>
    </row>
    <row r="239" spans="1:7" ht="14.25" hidden="1" customHeight="1">
      <c r="A239" s="363"/>
      <c r="B239" s="363"/>
      <c r="C239" s="363"/>
      <c r="D239" s="363"/>
      <c r="E239" s="363"/>
      <c r="F239" s="363"/>
      <c r="G239" s="363"/>
    </row>
    <row r="240" spans="1:7" ht="28.5" hidden="1" customHeight="1">
      <c r="A240" s="1970" t="s">
        <v>1604</v>
      </c>
      <c r="B240" s="1616"/>
      <c r="C240" s="1624"/>
      <c r="D240" s="567"/>
      <c r="E240" s="568"/>
      <c r="F240" s="568"/>
      <c r="G240" s="569"/>
    </row>
    <row r="241" spans="1:7" ht="34.5" hidden="1" customHeight="1">
      <c r="A241" s="1971"/>
      <c r="B241" s="1817"/>
      <c r="C241" s="1972"/>
      <c r="D241" s="570"/>
      <c r="E241" s="570"/>
      <c r="F241" s="570"/>
      <c r="G241" s="571"/>
    </row>
    <row r="242" spans="1:7" ht="14.25" hidden="1" customHeight="1">
      <c r="A242" s="527"/>
      <c r="B242" s="527"/>
      <c r="C242" s="527"/>
      <c r="D242" s="527"/>
      <c r="E242" s="527"/>
      <c r="F242" s="527"/>
      <c r="G242" s="527"/>
    </row>
    <row r="243" spans="1:7" ht="39.75" hidden="1" customHeight="1">
      <c r="A243" s="1973" t="e">
        <f>A11</f>
        <v>#REF!</v>
      </c>
      <c r="B243" s="1601"/>
      <c r="C243" s="1602"/>
      <c r="D243" s="1974" t="s">
        <v>1617</v>
      </c>
      <c r="E243" s="1601"/>
      <c r="F243" s="1601"/>
      <c r="G243" s="1602"/>
    </row>
    <row r="244" spans="1:7" ht="14.25" hidden="1" customHeight="1">
      <c r="A244" s="418"/>
      <c r="B244" s="418"/>
      <c r="C244" s="418"/>
      <c r="D244" s="418"/>
      <c r="E244" s="418"/>
      <c r="F244" s="418"/>
      <c r="G244" s="418"/>
    </row>
    <row r="245" spans="1:7" ht="14.25" hidden="1" customHeight="1">
      <c r="A245" s="528"/>
      <c r="B245" s="527"/>
      <c r="C245" s="363"/>
      <c r="D245" s="421" t="s">
        <v>1553</v>
      </c>
      <c r="E245" s="422" t="s">
        <v>127</v>
      </c>
      <c r="F245" s="572"/>
      <c r="G245" s="572"/>
    </row>
    <row r="246" spans="1:7" ht="14.25" hidden="1" customHeight="1">
      <c r="A246" s="529" t="s">
        <v>1555</v>
      </c>
      <c r="B246" s="527"/>
      <c r="C246" s="527"/>
      <c r="D246" s="527"/>
      <c r="E246" s="527"/>
      <c r="F246" s="527"/>
      <c r="G246" s="527"/>
    </row>
    <row r="247" spans="1:7" ht="14.25" hidden="1" customHeight="1">
      <c r="A247" s="1975" t="s">
        <v>1556</v>
      </c>
      <c r="B247" s="1601"/>
      <c r="C247" s="1801"/>
      <c r="D247" s="530" t="s">
        <v>208</v>
      </c>
      <c r="E247" s="530" t="s">
        <v>1558</v>
      </c>
      <c r="F247" s="424" t="s">
        <v>1559</v>
      </c>
      <c r="G247" s="531"/>
    </row>
    <row r="248" spans="1:7" ht="18" hidden="1" customHeight="1">
      <c r="A248" s="1987" t="str">
        <f>+'LISTADO EQUIPOS'!$C$22</f>
        <v>HERRAMIENTA MENOR.</v>
      </c>
      <c r="B248" s="1811"/>
      <c r="C248" s="1967"/>
      <c r="D248" s="609" t="s">
        <v>1569</v>
      </c>
      <c r="E248" s="610">
        <v>1</v>
      </c>
      <c r="F248" s="604">
        <v>5804</v>
      </c>
      <c r="G248" s="535"/>
    </row>
    <row r="249" spans="1:7" ht="14.25" hidden="1" customHeight="1">
      <c r="A249" s="1982"/>
      <c r="B249" s="1807"/>
      <c r="C249" s="1819"/>
      <c r="D249" s="536"/>
      <c r="E249" s="537"/>
      <c r="F249" s="536"/>
      <c r="G249" s="538"/>
    </row>
    <row r="250" spans="1:7" ht="14.25" hidden="1" customHeight="1">
      <c r="A250" s="1964" t="s">
        <v>1560</v>
      </c>
      <c r="B250" s="1601"/>
      <c r="C250" s="1601"/>
      <c r="D250" s="1601"/>
      <c r="E250" s="1601"/>
      <c r="F250" s="1801"/>
      <c r="G250" s="557">
        <f>SUM(F248:F249)</f>
        <v>5804</v>
      </c>
    </row>
    <row r="251" spans="1:7" ht="14.25" hidden="1" customHeight="1">
      <c r="A251" s="529" t="s">
        <v>1561</v>
      </c>
      <c r="B251" s="527"/>
      <c r="C251" s="527"/>
      <c r="D251" s="527"/>
      <c r="E251" s="527"/>
      <c r="F251" s="527"/>
      <c r="G251" s="540"/>
    </row>
    <row r="252" spans="1:7" ht="14.25" hidden="1" customHeight="1">
      <c r="A252" s="1975" t="s">
        <v>1556</v>
      </c>
      <c r="B252" s="1801"/>
      <c r="C252" s="424" t="s">
        <v>6</v>
      </c>
      <c r="D252" s="424" t="s">
        <v>1562</v>
      </c>
      <c r="E252" s="424" t="s">
        <v>7</v>
      </c>
      <c r="F252" s="424" t="s">
        <v>1559</v>
      </c>
      <c r="G252" s="541"/>
    </row>
    <row r="253" spans="1:7" ht="14.25" hidden="1" customHeight="1">
      <c r="A253" s="1976" t="s">
        <v>1618</v>
      </c>
      <c r="B253" s="1967"/>
      <c r="C253" s="581" t="s">
        <v>183</v>
      </c>
      <c r="D253" s="582">
        <v>35000</v>
      </c>
      <c r="E253" s="610">
        <v>0.2</v>
      </c>
      <c r="F253" s="604">
        <f>D253*E253</f>
        <v>7000</v>
      </c>
      <c r="G253" s="583"/>
    </row>
    <row r="254" spans="1:7" ht="14.25" hidden="1" customHeight="1">
      <c r="A254" s="1977"/>
      <c r="B254" s="1611"/>
      <c r="C254" s="584"/>
      <c r="D254" s="585"/>
      <c r="E254" s="584"/>
      <c r="F254" s="585"/>
      <c r="G254" s="586"/>
    </row>
    <row r="255" spans="1:7" ht="14.25" hidden="1" customHeight="1">
      <c r="A255" s="1977"/>
      <c r="B255" s="1611"/>
      <c r="C255" s="584"/>
      <c r="D255" s="585"/>
      <c r="E255" s="584"/>
      <c r="F255" s="585"/>
      <c r="G255" s="586"/>
    </row>
    <row r="256" spans="1:7" ht="14.25" hidden="1" customHeight="1">
      <c r="A256" s="1978"/>
      <c r="B256" s="1819"/>
      <c r="C256" s="587"/>
      <c r="D256" s="588"/>
      <c r="E256" s="587"/>
      <c r="F256" s="588"/>
      <c r="G256" s="589"/>
    </row>
    <row r="257" spans="1:7" ht="14.25" hidden="1" customHeight="1">
      <c r="A257" s="1964" t="s">
        <v>1560</v>
      </c>
      <c r="B257" s="1601"/>
      <c r="C257" s="1601"/>
      <c r="D257" s="1601"/>
      <c r="E257" s="1601"/>
      <c r="F257" s="1801"/>
      <c r="G257" s="539">
        <f>SUM(F253:F255)</f>
        <v>7000</v>
      </c>
    </row>
    <row r="258" spans="1:7" ht="14.25" hidden="1" customHeight="1">
      <c r="A258" s="529" t="s">
        <v>1563</v>
      </c>
      <c r="B258" s="527"/>
      <c r="C258" s="527"/>
      <c r="D258" s="527"/>
      <c r="E258" s="527"/>
      <c r="F258" s="527"/>
      <c r="G258" s="540"/>
    </row>
    <row r="259" spans="1:7" ht="14.25" hidden="1" customHeight="1">
      <c r="A259" s="1965" t="s">
        <v>1556</v>
      </c>
      <c r="B259" s="1801"/>
      <c r="C259" s="530" t="s">
        <v>6</v>
      </c>
      <c r="D259" s="530" t="s">
        <v>1562</v>
      </c>
      <c r="E259" s="530" t="s">
        <v>7</v>
      </c>
      <c r="F259" s="530" t="s">
        <v>1559</v>
      </c>
      <c r="G259" s="552"/>
    </row>
    <row r="260" spans="1:7" ht="14.25" hidden="1" customHeight="1">
      <c r="A260" s="1981" t="str">
        <f>'LISTADO EQUIPOS'!C125</f>
        <v>VOLQUETA (5-6)M3</v>
      </c>
      <c r="B260" s="1967"/>
      <c r="C260" s="553" t="str">
        <f>'LISTADO EQUIPOS'!D125</f>
        <v>VJ</v>
      </c>
      <c r="D260" s="611">
        <f>'LISTADO EQUIPOS'!E125</f>
        <v>90000</v>
      </c>
      <c r="E260" s="546">
        <v>1</v>
      </c>
      <c r="F260" s="547">
        <f>D260*E260</f>
        <v>90000</v>
      </c>
      <c r="G260" s="544"/>
    </row>
    <row r="261" spans="1:7" ht="14.25" hidden="1" customHeight="1">
      <c r="A261" s="1980"/>
      <c r="B261" s="1819"/>
      <c r="C261" s="553"/>
      <c r="D261" s="612"/>
      <c r="E261" s="536"/>
      <c r="F261" s="536"/>
      <c r="G261" s="555"/>
    </row>
    <row r="262" spans="1:7" ht="14.25" hidden="1" customHeight="1">
      <c r="A262" s="1964" t="s">
        <v>1560</v>
      </c>
      <c r="B262" s="1601"/>
      <c r="C262" s="1601"/>
      <c r="D262" s="1601"/>
      <c r="E262" s="1601"/>
      <c r="F262" s="1801"/>
      <c r="G262" s="539">
        <f>SUM(F260:F261)</f>
        <v>90000</v>
      </c>
    </row>
    <row r="263" spans="1:7" ht="14.25" hidden="1" customHeight="1">
      <c r="A263" s="529" t="s">
        <v>1564</v>
      </c>
      <c r="B263" s="527"/>
      <c r="C263" s="527"/>
      <c r="D263" s="527"/>
      <c r="E263" s="527"/>
      <c r="F263" s="527"/>
      <c r="G263" s="540"/>
    </row>
    <row r="264" spans="1:7" ht="14.25" hidden="1" customHeight="1">
      <c r="A264" s="1965" t="s">
        <v>1565</v>
      </c>
      <c r="B264" s="1801"/>
      <c r="C264" s="424" t="s">
        <v>1566</v>
      </c>
      <c r="D264" s="530" t="s">
        <v>7</v>
      </c>
      <c r="E264" s="530" t="s">
        <v>1558</v>
      </c>
      <c r="F264" s="530" t="s">
        <v>1559</v>
      </c>
      <c r="G264" s="557"/>
    </row>
    <row r="265" spans="1:7" ht="18" hidden="1" customHeight="1">
      <c r="A265" s="1983" t="str">
        <f>+'MANO DE OBRA'!$A$64</f>
        <v>Oficial (Incl. Prestaciones)</v>
      </c>
      <c r="B265" s="1888"/>
      <c r="C265" s="558">
        <f>+'MANO DE OBRA'!$E$64</f>
        <v>15031.25</v>
      </c>
      <c r="D265" s="559">
        <v>1</v>
      </c>
      <c r="E265" s="559">
        <v>0.5</v>
      </c>
      <c r="F265" s="560">
        <f t="shared" ref="F265:F266" si="7">+(C265*D265)/E265</f>
        <v>30062.5</v>
      </c>
      <c r="G265" s="544"/>
    </row>
    <row r="266" spans="1:7" ht="18" hidden="1" customHeight="1">
      <c r="A266" s="1984" t="str">
        <f>+'MANO DE OBRA'!$A$65</f>
        <v>Ayudante (Incl. Prestaciones)</v>
      </c>
      <c r="B266" s="1819"/>
      <c r="C266" s="613">
        <f>+'MANO DE OBRA'!$E$65</f>
        <v>10972.8125</v>
      </c>
      <c r="D266" s="614">
        <v>2</v>
      </c>
      <c r="E266" s="615">
        <f>+E265</f>
        <v>0.5</v>
      </c>
      <c r="F266" s="564">
        <f t="shared" si="7"/>
        <v>43891.25</v>
      </c>
      <c r="G266" s="551"/>
    </row>
    <row r="267" spans="1:7" ht="14.25" hidden="1" customHeight="1">
      <c r="A267" s="1964" t="str">
        <f>+A262</f>
        <v>SUB-TOTAL</v>
      </c>
      <c r="B267" s="1601"/>
      <c r="C267" s="1601"/>
      <c r="D267" s="1601"/>
      <c r="E267" s="1601"/>
      <c r="F267" s="1801"/>
      <c r="G267" s="557">
        <f>SUM(F265:F266)</f>
        <v>73953.75</v>
      </c>
    </row>
    <row r="268" spans="1:7" ht="14.25" hidden="1" customHeight="1">
      <c r="A268" s="527"/>
      <c r="B268" s="527"/>
      <c r="C268" s="527"/>
      <c r="D268" s="527"/>
      <c r="E268" s="527"/>
      <c r="F268" s="565"/>
      <c r="G268" s="540"/>
    </row>
    <row r="269" spans="1:7" ht="18" hidden="1" customHeight="1">
      <c r="A269" s="1969" t="s">
        <v>1567</v>
      </c>
      <c r="B269" s="1601"/>
      <c r="C269" s="1601"/>
      <c r="D269" s="1601"/>
      <c r="E269" s="1601"/>
      <c r="F269" s="1801"/>
      <c r="G269" s="607">
        <f>ROUND(G250+G257+G262+G267,0)</f>
        <v>176758</v>
      </c>
    </row>
    <row r="270" spans="1:7" ht="14.25" hidden="1" customHeight="1">
      <c r="A270" s="363"/>
      <c r="B270" s="363"/>
      <c r="C270" s="363"/>
      <c r="D270" s="363"/>
      <c r="E270" s="363"/>
      <c r="F270" s="363"/>
      <c r="G270" s="363"/>
    </row>
    <row r="271" spans="1:7" ht="14.25" customHeight="1">
      <c r="A271" s="72" t="s">
        <v>271</v>
      </c>
      <c r="B271" s="363"/>
      <c r="C271" s="363"/>
      <c r="D271" s="1985" t="s">
        <v>272</v>
      </c>
      <c r="E271" s="1605"/>
      <c r="F271" s="363"/>
      <c r="G271" s="363"/>
    </row>
    <row r="272" spans="1:7" ht="14.25" customHeight="1">
      <c r="A272" s="1986"/>
      <c r="B272" s="1605"/>
      <c r="C272" s="1605"/>
      <c r="D272" s="1605"/>
    </row>
    <row r="275" spans="1:7" ht="14.25" customHeight="1">
      <c r="A275" s="1895" t="s">
        <v>273</v>
      </c>
      <c r="B275" s="1605"/>
      <c r="C275" s="1605"/>
      <c r="D275" s="1895" t="s">
        <v>274</v>
      </c>
      <c r="E275" s="1605"/>
      <c r="F275" s="1605"/>
      <c r="G275" s="1605"/>
    </row>
    <row r="276" spans="1:7" ht="14.25" customHeight="1">
      <c r="A276" s="1890" t="s">
        <v>275</v>
      </c>
      <c r="B276" s="1605"/>
      <c r="C276" s="1605"/>
      <c r="D276" s="1890" t="s">
        <v>276</v>
      </c>
      <c r="E276" s="1605"/>
      <c r="F276" s="1605"/>
      <c r="G276" s="74"/>
    </row>
  </sheetData>
  <mergeCells count="191">
    <mergeCell ref="A96:F96"/>
    <mergeCell ref="A66:B66"/>
    <mergeCell ref="A67:B67"/>
    <mergeCell ref="A68:B68"/>
    <mergeCell ref="A69:F69"/>
    <mergeCell ref="A71:F71"/>
    <mergeCell ref="A74:C75"/>
    <mergeCell ref="D77:G77"/>
    <mergeCell ref="A77:C77"/>
    <mergeCell ref="A81:C81"/>
    <mergeCell ref="A8:C9"/>
    <mergeCell ref="D8:G9"/>
    <mergeCell ref="A11:C11"/>
    <mergeCell ref="D11:G11"/>
    <mergeCell ref="A15:C15"/>
    <mergeCell ref="A16:C16"/>
    <mergeCell ref="A18:F18"/>
    <mergeCell ref="A25:B25"/>
    <mergeCell ref="A28:B28"/>
    <mergeCell ref="A29:B29"/>
    <mergeCell ref="A30:B30"/>
    <mergeCell ref="A33:B33"/>
    <mergeCell ref="A34:B34"/>
    <mergeCell ref="A35:B35"/>
    <mergeCell ref="A17:C17"/>
    <mergeCell ref="A20:B20"/>
    <mergeCell ref="A21:B21"/>
    <mergeCell ref="A22:B22"/>
    <mergeCell ref="A23:B23"/>
    <mergeCell ref="A24:B24"/>
    <mergeCell ref="A26:F26"/>
    <mergeCell ref="A31:F31"/>
    <mergeCell ref="A36:F36"/>
    <mergeCell ref="A38:F38"/>
    <mergeCell ref="A41:C42"/>
    <mergeCell ref="A44:C44"/>
    <mergeCell ref="D44:G44"/>
    <mergeCell ref="A48:C48"/>
    <mergeCell ref="A49:C49"/>
    <mergeCell ref="A50:C50"/>
    <mergeCell ref="A51:C51"/>
    <mergeCell ref="A52:F52"/>
    <mergeCell ref="A54:B54"/>
    <mergeCell ref="A55:B55"/>
    <mergeCell ref="A56:B56"/>
    <mergeCell ref="A57:B57"/>
    <mergeCell ref="A58:B58"/>
    <mergeCell ref="A59:F59"/>
    <mergeCell ref="A61:B61"/>
    <mergeCell ref="A62:B62"/>
    <mergeCell ref="A63:B63"/>
    <mergeCell ref="A64:F64"/>
    <mergeCell ref="A101:F101"/>
    <mergeCell ref="A103:F103"/>
    <mergeCell ref="A106:C107"/>
    <mergeCell ref="A109:C109"/>
    <mergeCell ref="D109:G109"/>
    <mergeCell ref="A113:C113"/>
    <mergeCell ref="A114:C114"/>
    <mergeCell ref="A82:C82"/>
    <mergeCell ref="A83:C83"/>
    <mergeCell ref="A84:F84"/>
    <mergeCell ref="A86:B86"/>
    <mergeCell ref="A87:B87"/>
    <mergeCell ref="A95:B95"/>
    <mergeCell ref="A98:B98"/>
    <mergeCell ref="A99:B99"/>
    <mergeCell ref="A100:B100"/>
    <mergeCell ref="A88:B88"/>
    <mergeCell ref="A89:B89"/>
    <mergeCell ref="A90:B90"/>
    <mergeCell ref="A91:F91"/>
    <mergeCell ref="A93:B93"/>
    <mergeCell ref="A94:B94"/>
    <mergeCell ref="A115:C115"/>
    <mergeCell ref="A116:C116"/>
    <mergeCell ref="A117:C117"/>
    <mergeCell ref="A118:C118"/>
    <mergeCell ref="A119:F119"/>
    <mergeCell ref="A121:B121"/>
    <mergeCell ref="A122:B122"/>
    <mergeCell ref="A130:B130"/>
    <mergeCell ref="A133:B133"/>
    <mergeCell ref="A134:B134"/>
    <mergeCell ref="A135:B135"/>
    <mergeCell ref="A123:B123"/>
    <mergeCell ref="A124:B124"/>
    <mergeCell ref="A125:B125"/>
    <mergeCell ref="A126:F126"/>
    <mergeCell ref="A128:B128"/>
    <mergeCell ref="A129:B129"/>
    <mergeCell ref="A131:F131"/>
    <mergeCell ref="A136:F136"/>
    <mergeCell ref="A138:F138"/>
    <mergeCell ref="A141:C142"/>
    <mergeCell ref="A144:C144"/>
    <mergeCell ref="D144:G144"/>
    <mergeCell ref="A148:C148"/>
    <mergeCell ref="A149:C149"/>
    <mergeCell ref="A150:C150"/>
    <mergeCell ref="A151:C151"/>
    <mergeCell ref="A152:C152"/>
    <mergeCell ref="A153:C153"/>
    <mergeCell ref="A154:F154"/>
    <mergeCell ref="A156:B156"/>
    <mergeCell ref="A157:B157"/>
    <mergeCell ref="A165:B165"/>
    <mergeCell ref="A168:B168"/>
    <mergeCell ref="A169:B169"/>
    <mergeCell ref="A170:B170"/>
    <mergeCell ref="A158:B158"/>
    <mergeCell ref="A159:B159"/>
    <mergeCell ref="A160:B160"/>
    <mergeCell ref="A161:F161"/>
    <mergeCell ref="A163:B163"/>
    <mergeCell ref="A164:B164"/>
    <mergeCell ref="A166:F166"/>
    <mergeCell ref="A247:C247"/>
    <mergeCell ref="A248:C248"/>
    <mergeCell ref="A249:C249"/>
    <mergeCell ref="A250:F250"/>
    <mergeCell ref="A252:B252"/>
    <mergeCell ref="A253:B253"/>
    <mergeCell ref="A254:B254"/>
    <mergeCell ref="A255:B255"/>
    <mergeCell ref="A256:B256"/>
    <mergeCell ref="A257:F257"/>
    <mergeCell ref="A259:B259"/>
    <mergeCell ref="A260:B260"/>
    <mergeCell ref="A261:B261"/>
    <mergeCell ref="A262:F262"/>
    <mergeCell ref="A275:C275"/>
    <mergeCell ref="D275:G275"/>
    <mergeCell ref="A276:C276"/>
    <mergeCell ref="D276:F276"/>
    <mergeCell ref="A264:B264"/>
    <mergeCell ref="A265:B265"/>
    <mergeCell ref="A266:B266"/>
    <mergeCell ref="A267:F267"/>
    <mergeCell ref="A269:F269"/>
    <mergeCell ref="D271:E271"/>
    <mergeCell ref="A272:D272"/>
    <mergeCell ref="A171:F171"/>
    <mergeCell ref="A173:F173"/>
    <mergeCell ref="A176:C177"/>
    <mergeCell ref="A179:C179"/>
    <mergeCell ref="D179:G179"/>
    <mergeCell ref="A183:C183"/>
    <mergeCell ref="A184:C184"/>
    <mergeCell ref="A192:B192"/>
    <mergeCell ref="A195:B195"/>
    <mergeCell ref="A196:B196"/>
    <mergeCell ref="A197:B197"/>
    <mergeCell ref="A200:B200"/>
    <mergeCell ref="A201:B201"/>
    <mergeCell ref="A202:B202"/>
    <mergeCell ref="A185:C185"/>
    <mergeCell ref="A186:F186"/>
    <mergeCell ref="A188:B188"/>
    <mergeCell ref="A189:B189"/>
    <mergeCell ref="A190:B190"/>
    <mergeCell ref="A191:B191"/>
    <mergeCell ref="A193:F193"/>
    <mergeCell ref="A198:F198"/>
    <mergeCell ref="A203:F203"/>
    <mergeCell ref="A205:F205"/>
    <mergeCell ref="A208:C209"/>
    <mergeCell ref="A211:C211"/>
    <mergeCell ref="D211:G211"/>
    <mergeCell ref="A215:C215"/>
    <mergeCell ref="A216:C216"/>
    <mergeCell ref="A217:C217"/>
    <mergeCell ref="A218:F218"/>
    <mergeCell ref="A220:B220"/>
    <mergeCell ref="A221:B221"/>
    <mergeCell ref="A222:B222"/>
    <mergeCell ref="A223:B223"/>
    <mergeCell ref="A224:B224"/>
    <mergeCell ref="A225:F225"/>
    <mergeCell ref="A227:B227"/>
    <mergeCell ref="A228:B228"/>
    <mergeCell ref="A229:B229"/>
    <mergeCell ref="A230:F230"/>
    <mergeCell ref="A232:B232"/>
    <mergeCell ref="A233:B233"/>
    <mergeCell ref="A234:B234"/>
    <mergeCell ref="A235:F235"/>
    <mergeCell ref="A237:F237"/>
    <mergeCell ref="A240:C241"/>
    <mergeCell ref="A243:C243"/>
    <mergeCell ref="D243:G243"/>
  </mergeCells>
  <printOptions horizontalCentered="1"/>
  <pageMargins left="0.6692913385826772" right="0.55118110236220474" top="0.74803149606299213" bottom="1.5354330708661419" header="0" footer="0"/>
  <pageSetup scale="99" orientation="portrait"/>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7:G518"/>
  <sheetViews>
    <sheetView workbookViewId="0">
      <pane ySplit="5" topLeftCell="A6" activePane="bottomLeft" state="frozen"/>
      <selection pane="bottomLeft" activeCell="B7" sqref="B7"/>
    </sheetView>
  </sheetViews>
  <sheetFormatPr baseColWidth="10" defaultColWidth="14.44140625" defaultRowHeight="15" customHeight="1"/>
  <cols>
    <col min="1" max="1" width="20.5546875" customWidth="1"/>
    <col min="2" max="2" width="10.6640625" customWidth="1"/>
    <col min="3" max="3" width="13.33203125" customWidth="1"/>
    <col min="4" max="4" width="12" customWidth="1"/>
    <col min="5" max="5" width="12.5546875" customWidth="1"/>
    <col min="6" max="6" width="10.33203125" customWidth="1"/>
    <col min="7" max="7" width="11.33203125" customWidth="1"/>
    <col min="8" max="26" width="11.44140625" customWidth="1"/>
  </cols>
  <sheetData>
    <row r="7" spans="1:7" ht="34.5" hidden="1" customHeight="1">
      <c r="A7" s="1994" t="e">
        <f>+'ANALISIS BASICOS'!$A$7</f>
        <v>#REF!</v>
      </c>
      <c r="B7" s="1616"/>
      <c r="C7" s="1624"/>
      <c r="D7" s="567"/>
      <c r="E7" s="568"/>
      <c r="F7" s="568"/>
      <c r="G7" s="569"/>
    </row>
    <row r="8" spans="1:7" ht="23.25" hidden="1" customHeight="1">
      <c r="A8" s="1971"/>
      <c r="B8" s="1817"/>
      <c r="C8" s="1972"/>
      <c r="D8" s="570"/>
      <c r="E8" s="570"/>
      <c r="F8" s="570"/>
      <c r="G8" s="571"/>
    </row>
    <row r="9" spans="1:7" ht="13.5" hidden="1" customHeight="1">
      <c r="A9" s="618"/>
      <c r="B9" s="619"/>
      <c r="C9" s="619"/>
      <c r="D9" s="619"/>
      <c r="E9" s="619"/>
      <c r="F9" s="619"/>
      <c r="G9" s="619"/>
    </row>
    <row r="10" spans="1:7" ht="55.5" hidden="1" customHeight="1">
      <c r="A10" s="1991" t="e">
        <f>+#REF!</f>
        <v>#REF!</v>
      </c>
      <c r="B10" s="1601"/>
      <c r="C10" s="1602"/>
      <c r="D10" s="1974" t="s">
        <v>1619</v>
      </c>
      <c r="E10" s="1601"/>
      <c r="F10" s="1601"/>
      <c r="G10" s="1602"/>
    </row>
    <row r="11" spans="1:7" ht="13.5" hidden="1" customHeight="1">
      <c r="A11" s="620"/>
      <c r="B11" s="620"/>
      <c r="C11" s="620"/>
      <c r="D11" s="620"/>
      <c r="E11" s="620"/>
      <c r="F11" s="620"/>
      <c r="G11" s="620"/>
    </row>
    <row r="12" spans="1:7" ht="12.75" hidden="1" customHeight="1">
      <c r="A12" s="572"/>
      <c r="B12" s="619"/>
      <c r="C12" s="162"/>
      <c r="D12" s="421" t="s">
        <v>1553</v>
      </c>
      <c r="E12" s="422" t="s">
        <v>228</v>
      </c>
      <c r="F12" s="421" t="s">
        <v>1554</v>
      </c>
      <c r="G12" s="422" t="s">
        <v>14</v>
      </c>
    </row>
    <row r="13" spans="1:7" ht="13.5" hidden="1" customHeight="1">
      <c r="A13" s="621" t="s">
        <v>1555</v>
      </c>
      <c r="B13" s="619"/>
      <c r="C13" s="619"/>
      <c r="D13" s="619"/>
      <c r="E13" s="619"/>
      <c r="F13" s="619"/>
      <c r="G13" s="619"/>
    </row>
    <row r="14" spans="1:7" ht="13.5" hidden="1" customHeight="1">
      <c r="A14" s="1975" t="s">
        <v>1556</v>
      </c>
      <c r="B14" s="1601"/>
      <c r="C14" s="1801"/>
      <c r="D14" s="530" t="s">
        <v>208</v>
      </c>
      <c r="E14" s="530" t="s">
        <v>1558</v>
      </c>
      <c r="F14" s="424" t="s">
        <v>1559</v>
      </c>
      <c r="G14" s="531"/>
    </row>
    <row r="15" spans="1:7" ht="13.5" hidden="1" customHeight="1">
      <c r="A15" s="1987" t="str">
        <f>+'LISTADO EQUIPOS'!$C$22</f>
        <v>HERRAMIENTA MENOR.</v>
      </c>
      <c r="B15" s="1811"/>
      <c r="C15" s="1967"/>
      <c r="D15" s="582">
        <f>+'LISTADO EQUIPOS'!$E$22/8</f>
        <v>2850</v>
      </c>
      <c r="E15" s="610">
        <f>+E32</f>
        <v>0.25</v>
      </c>
      <c r="F15" s="604">
        <f>+E15*D15</f>
        <v>712.5</v>
      </c>
      <c r="G15" s="594"/>
    </row>
    <row r="16" spans="1:7" ht="13.5" hidden="1" customHeight="1">
      <c r="A16" s="1996"/>
      <c r="B16" s="1807"/>
      <c r="C16" s="1819"/>
      <c r="D16" s="588"/>
      <c r="E16" s="622"/>
      <c r="F16" s="623"/>
      <c r="G16" s="596"/>
    </row>
    <row r="17" spans="1:7" ht="13.5" hidden="1" customHeight="1">
      <c r="A17" s="1969" t="s">
        <v>1560</v>
      </c>
      <c r="B17" s="1601"/>
      <c r="C17" s="1601"/>
      <c r="D17" s="1601"/>
      <c r="E17" s="1601"/>
      <c r="F17" s="1801"/>
      <c r="G17" s="557">
        <f>SUM(F15:F16)</f>
        <v>712.5</v>
      </c>
    </row>
    <row r="18" spans="1:7" ht="13.5" hidden="1" customHeight="1">
      <c r="A18" s="621" t="s">
        <v>1561</v>
      </c>
      <c r="B18" s="619"/>
      <c r="C18" s="619"/>
      <c r="D18" s="619"/>
      <c r="E18" s="619"/>
      <c r="F18" s="619"/>
      <c r="G18" s="624"/>
    </row>
    <row r="19" spans="1:7" ht="13.5" hidden="1" customHeight="1">
      <c r="A19" s="1975" t="s">
        <v>1556</v>
      </c>
      <c r="B19" s="1801"/>
      <c r="C19" s="424" t="s">
        <v>6</v>
      </c>
      <c r="D19" s="424" t="s">
        <v>1562</v>
      </c>
      <c r="E19" s="424" t="s">
        <v>7</v>
      </c>
      <c r="F19" s="424" t="s">
        <v>1559</v>
      </c>
      <c r="G19" s="541"/>
    </row>
    <row r="20" spans="1:7" ht="13.5" hidden="1" customHeight="1">
      <c r="A20" s="1987"/>
      <c r="B20" s="1967"/>
      <c r="C20" s="581"/>
      <c r="D20" s="582"/>
      <c r="E20" s="581"/>
      <c r="F20" s="582"/>
      <c r="G20" s="583"/>
    </row>
    <row r="21" spans="1:7" ht="13.5" hidden="1" customHeight="1">
      <c r="A21" s="1995"/>
      <c r="B21" s="1611"/>
      <c r="C21" s="584"/>
      <c r="D21" s="585"/>
      <c r="E21" s="584"/>
      <c r="F21" s="585"/>
      <c r="G21" s="586"/>
    </row>
    <row r="22" spans="1:7" ht="13.5" hidden="1" customHeight="1">
      <c r="A22" s="1995"/>
      <c r="B22" s="1611"/>
      <c r="C22" s="584"/>
      <c r="D22" s="585"/>
      <c r="E22" s="584"/>
      <c r="F22" s="585"/>
      <c r="G22" s="586"/>
    </row>
    <row r="23" spans="1:7" ht="13.5" hidden="1" customHeight="1">
      <c r="A23" s="1996"/>
      <c r="B23" s="1819"/>
      <c r="C23" s="587"/>
      <c r="D23" s="588"/>
      <c r="E23" s="587"/>
      <c r="F23" s="588"/>
      <c r="G23" s="589"/>
    </row>
    <row r="24" spans="1:7" ht="13.5" hidden="1" customHeight="1">
      <c r="A24" s="1969" t="s">
        <v>1560</v>
      </c>
      <c r="B24" s="1601"/>
      <c r="C24" s="1601"/>
      <c r="D24" s="1601"/>
      <c r="E24" s="1601"/>
      <c r="F24" s="1801"/>
      <c r="G24" s="557">
        <f>SUM(F20:F23)</f>
        <v>0</v>
      </c>
    </row>
    <row r="25" spans="1:7" ht="13.5" hidden="1" customHeight="1">
      <c r="A25" s="621" t="s">
        <v>1563</v>
      </c>
      <c r="B25" s="619"/>
      <c r="C25" s="619"/>
      <c r="D25" s="619"/>
      <c r="E25" s="619"/>
      <c r="F25" s="619"/>
      <c r="G25" s="624"/>
    </row>
    <row r="26" spans="1:7" ht="13.5" hidden="1" customHeight="1">
      <c r="A26" s="1965" t="s">
        <v>1556</v>
      </c>
      <c r="B26" s="1801"/>
      <c r="C26" s="530" t="s">
        <v>6</v>
      </c>
      <c r="D26" s="530" t="s">
        <v>1562</v>
      </c>
      <c r="E26" s="530" t="s">
        <v>7</v>
      </c>
      <c r="F26" s="530" t="s">
        <v>1559</v>
      </c>
      <c r="G26" s="552"/>
    </row>
    <row r="27" spans="1:7" ht="13.5" hidden="1" customHeight="1">
      <c r="A27" s="1987" t="str">
        <f>+'LISTADO EQUIPOS'!$C$125</f>
        <v>VOLQUETA (5-6)M3</v>
      </c>
      <c r="B27" s="1967"/>
      <c r="C27" s="625" t="str">
        <f>+'LISTADO EQUIPOS'!$D$125</f>
        <v>VJ</v>
      </c>
      <c r="D27" s="582">
        <f>+'LISTADO EQUIPOS'!$E$125</f>
        <v>90000</v>
      </c>
      <c r="E27" s="626">
        <v>7.0000000000000007E-2</v>
      </c>
      <c r="F27" s="627">
        <f t="shared" ref="F27:F28" si="0">D27*E27</f>
        <v>6300.0000000000009</v>
      </c>
      <c r="G27" s="583"/>
    </row>
    <row r="28" spans="1:7" ht="13.5" hidden="1" customHeight="1">
      <c r="A28" s="1993"/>
      <c r="B28" s="1819"/>
      <c r="C28" s="625"/>
      <c r="D28" s="625"/>
      <c r="E28" s="588"/>
      <c r="F28" s="623">
        <f t="shared" si="0"/>
        <v>0</v>
      </c>
      <c r="G28" s="629"/>
    </row>
    <row r="29" spans="1:7" ht="13.5" hidden="1" customHeight="1">
      <c r="A29" s="1969" t="s">
        <v>1560</v>
      </c>
      <c r="B29" s="1601"/>
      <c r="C29" s="1601"/>
      <c r="D29" s="1601"/>
      <c r="E29" s="1601"/>
      <c r="F29" s="1801"/>
      <c r="G29" s="557">
        <f>SUM(F27:F28)</f>
        <v>6300.0000000000009</v>
      </c>
    </row>
    <row r="30" spans="1:7" ht="13.5" hidden="1" customHeight="1">
      <c r="A30" s="621" t="s">
        <v>1564</v>
      </c>
      <c r="B30" s="619"/>
      <c r="C30" s="619"/>
      <c r="D30" s="619"/>
      <c r="E30" s="619"/>
      <c r="F30" s="619"/>
      <c r="G30" s="624"/>
    </row>
    <row r="31" spans="1:7" ht="13.5" hidden="1" customHeight="1">
      <c r="A31" s="1965" t="s">
        <v>1565</v>
      </c>
      <c r="B31" s="1801"/>
      <c r="C31" s="424" t="s">
        <v>1566</v>
      </c>
      <c r="D31" s="530" t="s">
        <v>7</v>
      </c>
      <c r="E31" s="530" t="s">
        <v>1558</v>
      </c>
      <c r="F31" s="530" t="s">
        <v>1559</v>
      </c>
      <c r="G31" s="557"/>
    </row>
    <row r="32" spans="1:7" ht="13.5" hidden="1" customHeight="1">
      <c r="A32" s="1983" t="str">
        <f>+'MANO DE OBRA'!$A$64</f>
        <v>Oficial (Incl. Prestaciones)</v>
      </c>
      <c r="B32" s="1888"/>
      <c r="C32" s="558">
        <f>+'MANO DE OBRA'!$E$64</f>
        <v>15031.25</v>
      </c>
      <c r="D32" s="559">
        <v>0</v>
      </c>
      <c r="E32" s="559">
        <v>0.25</v>
      </c>
      <c r="F32" s="578">
        <f t="shared" ref="F32:F33" si="1">+(C32*D32)*E32</f>
        <v>0</v>
      </c>
      <c r="G32" s="583"/>
    </row>
    <row r="33" spans="1:7" ht="13.5" hidden="1" customHeight="1">
      <c r="A33" s="1984" t="str">
        <f>+'MANO DE OBRA'!$A$65</f>
        <v>Ayudante (Incl. Prestaciones)</v>
      </c>
      <c r="B33" s="1819"/>
      <c r="C33" s="613">
        <f>+'MANO DE OBRA'!$E$65</f>
        <v>10972.8125</v>
      </c>
      <c r="D33" s="614">
        <v>2</v>
      </c>
      <c r="E33" s="615">
        <f>+E32</f>
        <v>0.25</v>
      </c>
      <c r="F33" s="564">
        <f t="shared" si="1"/>
        <v>5486.40625</v>
      </c>
      <c r="G33" s="589"/>
    </row>
    <row r="34" spans="1:7" ht="13.5" hidden="1" customHeight="1">
      <c r="A34" s="1969" t="str">
        <f>+A29</f>
        <v>SUB-TOTAL</v>
      </c>
      <c r="B34" s="1601"/>
      <c r="C34" s="1601"/>
      <c r="D34" s="1601"/>
      <c r="E34" s="1601"/>
      <c r="F34" s="1801"/>
      <c r="G34" s="557">
        <f>SUM(F32:F33)</f>
        <v>5486.40625</v>
      </c>
    </row>
    <row r="35" spans="1:7" ht="11.25" hidden="1" customHeight="1">
      <c r="A35" s="618"/>
      <c r="B35" s="619"/>
      <c r="C35" s="619"/>
      <c r="D35" s="619"/>
      <c r="E35" s="619"/>
      <c r="F35" s="630"/>
      <c r="G35" s="624"/>
    </row>
    <row r="36" spans="1:7" ht="13.5" hidden="1" customHeight="1">
      <c r="A36" s="1969" t="s">
        <v>1567</v>
      </c>
      <c r="B36" s="1601"/>
      <c r="C36" s="1601"/>
      <c r="D36" s="1601"/>
      <c r="E36" s="1601"/>
      <c r="F36" s="1801"/>
      <c r="G36" s="607">
        <f>ROUND(G17+G24+G29+G34,0)</f>
        <v>12499</v>
      </c>
    </row>
    <row r="37" spans="1:7" ht="13.5" hidden="1" customHeight="1">
      <c r="A37" s="616"/>
      <c r="B37" s="162"/>
      <c r="C37" s="162"/>
      <c r="D37" s="162"/>
      <c r="E37" s="162"/>
      <c r="F37" s="162"/>
      <c r="G37" s="162"/>
    </row>
    <row r="38" spans="1:7" ht="13.5" hidden="1" customHeight="1">
      <c r="A38" s="616"/>
      <c r="B38" s="162"/>
      <c r="C38" s="162"/>
      <c r="D38" s="162"/>
      <c r="E38" s="162"/>
      <c r="F38" s="162"/>
      <c r="G38" s="162"/>
    </row>
    <row r="39" spans="1:7" ht="21.75" hidden="1" customHeight="1">
      <c r="A39" s="1994" t="e">
        <f>+'ANALISIS BASICOS'!$A$7</f>
        <v>#REF!</v>
      </c>
      <c r="B39" s="1616"/>
      <c r="C39" s="1624"/>
      <c r="D39" s="567"/>
      <c r="E39" s="568"/>
      <c r="F39" s="568"/>
      <c r="G39" s="569"/>
    </row>
    <row r="40" spans="1:7" ht="33.75" hidden="1" customHeight="1">
      <c r="A40" s="1971"/>
      <c r="B40" s="1817"/>
      <c r="C40" s="1972"/>
      <c r="D40" s="570"/>
      <c r="E40" s="570"/>
      <c r="F40" s="570"/>
      <c r="G40" s="571"/>
    </row>
    <row r="41" spans="1:7" ht="13.5" hidden="1" customHeight="1">
      <c r="A41" s="618"/>
      <c r="B41" s="619"/>
      <c r="C41" s="619"/>
      <c r="D41" s="619"/>
      <c r="E41" s="619"/>
      <c r="F41" s="619"/>
      <c r="G41" s="619"/>
    </row>
    <row r="42" spans="1:7" ht="49.5" hidden="1" customHeight="1">
      <c r="A42" s="1991" t="e">
        <f>A10</f>
        <v>#REF!</v>
      </c>
      <c r="B42" s="1601"/>
      <c r="C42" s="1602"/>
      <c r="D42" s="1974" t="s">
        <v>1620</v>
      </c>
      <c r="E42" s="1601"/>
      <c r="F42" s="1601"/>
      <c r="G42" s="1602"/>
    </row>
    <row r="43" spans="1:7" ht="13.5" hidden="1" customHeight="1">
      <c r="A43" s="620"/>
      <c r="B43" s="620"/>
      <c r="C43" s="620"/>
      <c r="D43" s="620"/>
      <c r="E43" s="620"/>
      <c r="F43" s="620"/>
      <c r="G43" s="620"/>
    </row>
    <row r="44" spans="1:7" ht="12.75" hidden="1" customHeight="1">
      <c r="A44" s="572"/>
      <c r="B44" s="619"/>
      <c r="C44" s="162"/>
      <c r="D44" s="421" t="s">
        <v>1553</v>
      </c>
      <c r="E44" s="422" t="s">
        <v>228</v>
      </c>
      <c r="F44" s="421" t="s">
        <v>1554</v>
      </c>
      <c r="G44" s="422" t="s">
        <v>380</v>
      </c>
    </row>
    <row r="45" spans="1:7" ht="13.5" hidden="1" customHeight="1">
      <c r="A45" s="621" t="s">
        <v>1555</v>
      </c>
      <c r="B45" s="619"/>
      <c r="C45" s="619"/>
      <c r="D45" s="619"/>
      <c r="E45" s="619"/>
      <c r="F45" s="619"/>
      <c r="G45" s="619"/>
    </row>
    <row r="46" spans="1:7" ht="13.5" hidden="1" customHeight="1">
      <c r="A46" s="1975" t="s">
        <v>1556</v>
      </c>
      <c r="B46" s="1601"/>
      <c r="C46" s="1801"/>
      <c r="D46" s="530" t="s">
        <v>208</v>
      </c>
      <c r="E46" s="530" t="s">
        <v>1558</v>
      </c>
      <c r="F46" s="424" t="s">
        <v>1559</v>
      </c>
      <c r="G46" s="531"/>
    </row>
    <row r="47" spans="1:7" ht="13.5" hidden="1" customHeight="1">
      <c r="A47" s="1987" t="str">
        <f>+'LISTADO EQUIPOS'!$C$22</f>
        <v>HERRAMIENTA MENOR.</v>
      </c>
      <c r="B47" s="1811"/>
      <c r="C47" s="1967"/>
      <c r="D47" s="582">
        <f>+'LISTADO EQUIPOS'!$E$22/8</f>
        <v>2850</v>
      </c>
      <c r="E47" s="610">
        <f>+E64</f>
        <v>0</v>
      </c>
      <c r="F47" s="604">
        <f>+E47*D47</f>
        <v>0</v>
      </c>
      <c r="G47" s="594"/>
    </row>
    <row r="48" spans="1:7" ht="13.5" hidden="1" customHeight="1">
      <c r="A48" s="1996"/>
      <c r="B48" s="1807"/>
      <c r="C48" s="1819"/>
      <c r="D48" s="588"/>
      <c r="E48" s="622"/>
      <c r="F48" s="588"/>
      <c r="G48" s="596"/>
    </row>
    <row r="49" spans="1:7" ht="13.5" hidden="1" customHeight="1">
      <c r="A49" s="1969" t="s">
        <v>1560</v>
      </c>
      <c r="B49" s="1601"/>
      <c r="C49" s="1601"/>
      <c r="D49" s="1601"/>
      <c r="E49" s="1601"/>
      <c r="F49" s="1801"/>
      <c r="G49" s="557">
        <f>SUM(F47:F48)</f>
        <v>0</v>
      </c>
    </row>
    <row r="50" spans="1:7" ht="13.5" hidden="1" customHeight="1">
      <c r="A50" s="621" t="s">
        <v>1561</v>
      </c>
      <c r="B50" s="619"/>
      <c r="C50" s="619"/>
      <c r="D50" s="619"/>
      <c r="E50" s="619"/>
      <c r="F50" s="619"/>
      <c r="G50" s="624"/>
    </row>
    <row r="51" spans="1:7" ht="13.5" hidden="1" customHeight="1">
      <c r="A51" s="1975" t="s">
        <v>1556</v>
      </c>
      <c r="B51" s="1801"/>
      <c r="C51" s="424" t="s">
        <v>6</v>
      </c>
      <c r="D51" s="424" t="s">
        <v>1562</v>
      </c>
      <c r="E51" s="424" t="s">
        <v>7</v>
      </c>
      <c r="F51" s="424" t="s">
        <v>1559</v>
      </c>
      <c r="G51" s="541"/>
    </row>
    <row r="52" spans="1:7" ht="13.5" hidden="1" customHeight="1">
      <c r="A52" s="1987"/>
      <c r="B52" s="1967"/>
      <c r="C52" s="581"/>
      <c r="D52" s="582"/>
      <c r="E52" s="581"/>
      <c r="F52" s="582"/>
      <c r="G52" s="583"/>
    </row>
    <row r="53" spans="1:7" ht="13.5" hidden="1" customHeight="1">
      <c r="A53" s="1995"/>
      <c r="B53" s="1611"/>
      <c r="C53" s="584"/>
      <c r="D53" s="585"/>
      <c r="E53" s="584"/>
      <c r="F53" s="585"/>
      <c r="G53" s="586"/>
    </row>
    <row r="54" spans="1:7" ht="13.5" hidden="1" customHeight="1">
      <c r="A54" s="1995"/>
      <c r="B54" s="1611"/>
      <c r="C54" s="584"/>
      <c r="D54" s="585"/>
      <c r="E54" s="584"/>
      <c r="F54" s="585"/>
      <c r="G54" s="586"/>
    </row>
    <row r="55" spans="1:7" ht="13.5" hidden="1" customHeight="1">
      <c r="A55" s="1996"/>
      <c r="B55" s="1819"/>
      <c r="C55" s="587"/>
      <c r="D55" s="588"/>
      <c r="E55" s="587"/>
      <c r="F55" s="588"/>
      <c r="G55" s="589"/>
    </row>
    <row r="56" spans="1:7" ht="13.5" hidden="1" customHeight="1">
      <c r="A56" s="1969" t="s">
        <v>1560</v>
      </c>
      <c r="B56" s="1601"/>
      <c r="C56" s="1601"/>
      <c r="D56" s="1601"/>
      <c r="E56" s="1601"/>
      <c r="F56" s="1801"/>
      <c r="G56" s="557">
        <f>SUM(F52:F55)</f>
        <v>0</v>
      </c>
    </row>
    <row r="57" spans="1:7" ht="13.5" hidden="1" customHeight="1">
      <c r="A57" s="621" t="s">
        <v>1563</v>
      </c>
      <c r="B57" s="619"/>
      <c r="C57" s="619"/>
      <c r="D57" s="619"/>
      <c r="E57" s="619"/>
      <c r="F57" s="619"/>
      <c r="G57" s="624"/>
    </row>
    <row r="58" spans="1:7" ht="13.5" hidden="1" customHeight="1">
      <c r="A58" s="1965" t="s">
        <v>1556</v>
      </c>
      <c r="B58" s="1801"/>
      <c r="C58" s="530" t="s">
        <v>6</v>
      </c>
      <c r="D58" s="530" t="s">
        <v>1562</v>
      </c>
      <c r="E58" s="530" t="s">
        <v>7</v>
      </c>
      <c r="F58" s="530" t="s">
        <v>1559</v>
      </c>
      <c r="G58" s="552"/>
    </row>
    <row r="59" spans="1:7" ht="13.5" hidden="1" customHeight="1">
      <c r="A59" s="1987" t="str">
        <f>+'LISTADO EQUIPOS'!$C$124</f>
        <v>VOLQUETA   (4.2 - 5)M3.</v>
      </c>
      <c r="B59" s="1967"/>
      <c r="C59" s="625" t="str">
        <f>+'LISTADO EQUIPOS'!$D$124</f>
        <v>VJ</v>
      </c>
      <c r="D59" s="582">
        <f>+'LISTADO EQUIPOS'!$E$124</f>
        <v>80000</v>
      </c>
      <c r="E59" s="626">
        <v>0.1</v>
      </c>
      <c r="F59" s="627">
        <f t="shared" ref="F59:F60" si="2">D59*E59</f>
        <v>8000</v>
      </c>
      <c r="G59" s="583"/>
    </row>
    <row r="60" spans="1:7" ht="13.5" hidden="1" customHeight="1">
      <c r="A60" s="1993"/>
      <c r="B60" s="1819"/>
      <c r="C60" s="625"/>
      <c r="D60" s="625"/>
      <c r="E60" s="588"/>
      <c r="F60" s="623">
        <f t="shared" si="2"/>
        <v>0</v>
      </c>
      <c r="G60" s="629"/>
    </row>
    <row r="61" spans="1:7" ht="13.5" hidden="1" customHeight="1">
      <c r="A61" s="1969" t="s">
        <v>1560</v>
      </c>
      <c r="B61" s="1601"/>
      <c r="C61" s="1601"/>
      <c r="D61" s="1601"/>
      <c r="E61" s="1601"/>
      <c r="F61" s="1801"/>
      <c r="G61" s="557">
        <f>SUM(F59:F60)</f>
        <v>8000</v>
      </c>
    </row>
    <row r="62" spans="1:7" ht="13.5" hidden="1" customHeight="1">
      <c r="A62" s="621" t="s">
        <v>1564</v>
      </c>
      <c r="B62" s="619"/>
      <c r="C62" s="619"/>
      <c r="D62" s="619"/>
      <c r="E62" s="619"/>
      <c r="F62" s="619"/>
      <c r="G62" s="624"/>
    </row>
    <row r="63" spans="1:7" ht="13.5" hidden="1" customHeight="1">
      <c r="A63" s="1965" t="s">
        <v>1565</v>
      </c>
      <c r="B63" s="1801"/>
      <c r="C63" s="424" t="s">
        <v>1566</v>
      </c>
      <c r="D63" s="530" t="s">
        <v>7</v>
      </c>
      <c r="E63" s="530" t="s">
        <v>1558</v>
      </c>
      <c r="F63" s="530" t="s">
        <v>1559</v>
      </c>
      <c r="G63" s="557"/>
    </row>
    <row r="64" spans="1:7" ht="13.5" hidden="1" customHeight="1">
      <c r="A64" s="1983" t="str">
        <f>+'MANO DE OBRA'!$A$64</f>
        <v>Oficial (Incl. Prestaciones)</v>
      </c>
      <c r="B64" s="1888"/>
      <c r="C64" s="558"/>
      <c r="D64" s="559"/>
      <c r="E64" s="559"/>
      <c r="F64" s="578"/>
      <c r="G64" s="583"/>
    </row>
    <row r="65" spans="1:7" ht="13.5" hidden="1" customHeight="1">
      <c r="A65" s="1984" t="str">
        <f>+'MANO DE OBRA'!$A$65</f>
        <v>Ayudante (Incl. Prestaciones)</v>
      </c>
      <c r="B65" s="1819"/>
      <c r="C65" s="613">
        <f>+'MANO DE OBRA'!$E$65</f>
        <v>10972.8125</v>
      </c>
      <c r="D65" s="614">
        <v>2</v>
      </c>
      <c r="E65" s="615">
        <v>0.8</v>
      </c>
      <c r="F65" s="564">
        <f>+(C65*D65)*E65</f>
        <v>17556.5</v>
      </c>
      <c r="G65" s="589"/>
    </row>
    <row r="66" spans="1:7" ht="13.5" hidden="1" customHeight="1">
      <c r="A66" s="1969" t="str">
        <f>+A61</f>
        <v>SUB-TOTAL</v>
      </c>
      <c r="B66" s="1601"/>
      <c r="C66" s="1601"/>
      <c r="D66" s="1601"/>
      <c r="E66" s="1601"/>
      <c r="F66" s="1801"/>
      <c r="G66" s="557">
        <f>SUM(F64:F65)</f>
        <v>17556.5</v>
      </c>
    </row>
    <row r="67" spans="1:7" ht="11.25" hidden="1" customHeight="1">
      <c r="A67" s="618"/>
      <c r="B67" s="619"/>
      <c r="C67" s="619"/>
      <c r="D67" s="619"/>
      <c r="E67" s="619"/>
      <c r="F67" s="630"/>
      <c r="G67" s="624"/>
    </row>
    <row r="68" spans="1:7" ht="13.5" hidden="1" customHeight="1">
      <c r="A68" s="1969" t="s">
        <v>1567</v>
      </c>
      <c r="B68" s="1601"/>
      <c r="C68" s="1601"/>
      <c r="D68" s="1601"/>
      <c r="E68" s="1601"/>
      <c r="F68" s="1801"/>
      <c r="G68" s="607">
        <f>ROUND(G49+G56+G61+G66,0)</f>
        <v>25557</v>
      </c>
    </row>
    <row r="69" spans="1:7" ht="13.5" hidden="1" customHeight="1">
      <c r="A69" s="616"/>
      <c r="B69" s="162"/>
      <c r="C69" s="162"/>
      <c r="D69" s="162"/>
      <c r="E69" s="162"/>
      <c r="F69" s="162"/>
      <c r="G69" s="162"/>
    </row>
    <row r="70" spans="1:7" ht="13.5" hidden="1" customHeight="1">
      <c r="A70" s="616"/>
      <c r="B70" s="162"/>
      <c r="C70" s="162"/>
      <c r="D70" s="162"/>
      <c r="E70" s="162"/>
      <c r="F70" s="162"/>
      <c r="G70" s="162"/>
    </row>
    <row r="71" spans="1:7" ht="27" hidden="1" customHeight="1">
      <c r="A71" s="1994" t="e">
        <f>+'ANALISIS BASICOS'!$A$7</f>
        <v>#REF!</v>
      </c>
      <c r="B71" s="1616"/>
      <c r="C71" s="1624"/>
      <c r="D71" s="567"/>
      <c r="E71" s="568"/>
      <c r="F71" s="568"/>
      <c r="G71" s="569"/>
    </row>
    <row r="72" spans="1:7" ht="19.5" hidden="1" customHeight="1">
      <c r="A72" s="1971"/>
      <c r="B72" s="1817"/>
      <c r="C72" s="1972"/>
      <c r="D72" s="570"/>
      <c r="E72" s="570"/>
      <c r="F72" s="570"/>
      <c r="G72" s="571"/>
    </row>
    <row r="73" spans="1:7" ht="13.5" hidden="1" customHeight="1">
      <c r="A73" s="618"/>
      <c r="B73" s="619"/>
      <c r="C73" s="619"/>
      <c r="D73" s="619"/>
      <c r="E73" s="619"/>
      <c r="F73" s="619"/>
      <c r="G73" s="619"/>
    </row>
    <row r="74" spans="1:7" ht="46.5" hidden="1" customHeight="1">
      <c r="A74" s="1991" t="e">
        <f>A10</f>
        <v>#REF!</v>
      </c>
      <c r="B74" s="1601"/>
      <c r="C74" s="1602"/>
      <c r="D74" s="1974" t="s">
        <v>1621</v>
      </c>
      <c r="E74" s="1601"/>
      <c r="F74" s="1601"/>
      <c r="G74" s="1602"/>
    </row>
    <row r="75" spans="1:7" ht="13.5" hidden="1" customHeight="1">
      <c r="A75" s="620"/>
      <c r="B75" s="620"/>
      <c r="C75" s="620"/>
      <c r="D75" s="620"/>
      <c r="E75" s="620"/>
      <c r="F75" s="620"/>
      <c r="G75" s="620"/>
    </row>
    <row r="76" spans="1:7" ht="12.75" hidden="1" customHeight="1">
      <c r="A76" s="572"/>
      <c r="B76" s="619"/>
      <c r="C76" s="162"/>
      <c r="D76" s="421" t="s">
        <v>1553</v>
      </c>
      <c r="E76" s="422" t="s">
        <v>228</v>
      </c>
      <c r="F76" s="572"/>
      <c r="G76" s="572"/>
    </row>
    <row r="77" spans="1:7" ht="13.5" hidden="1" customHeight="1">
      <c r="A77" s="621" t="s">
        <v>1555</v>
      </c>
      <c r="B77" s="619"/>
      <c r="C77" s="619"/>
      <c r="D77" s="619"/>
      <c r="E77" s="619"/>
      <c r="F77" s="619"/>
      <c r="G77" s="619"/>
    </row>
    <row r="78" spans="1:7" ht="13.5" hidden="1" customHeight="1">
      <c r="A78" s="1975" t="s">
        <v>1556</v>
      </c>
      <c r="B78" s="1601"/>
      <c r="C78" s="1801"/>
      <c r="D78" s="530" t="s">
        <v>1607</v>
      </c>
      <c r="E78" s="530" t="s">
        <v>1558</v>
      </c>
      <c r="F78" s="424" t="s">
        <v>1559</v>
      </c>
      <c r="G78" s="531"/>
    </row>
    <row r="79" spans="1:7" ht="13.5" hidden="1" customHeight="1">
      <c r="A79" s="1987" t="str">
        <f>+'LISTADO EQUIPOS'!$C$22</f>
        <v>HERRAMIENTA MENOR.</v>
      </c>
      <c r="B79" s="1811"/>
      <c r="C79" s="1967"/>
      <c r="D79" s="582">
        <f>+'LISTADO EQUIPOS'!$E$22/8</f>
        <v>2850</v>
      </c>
      <c r="E79" s="610">
        <f>+E96</f>
        <v>0.53876965708494251</v>
      </c>
      <c r="F79" s="604">
        <f>+E79*D79</f>
        <v>1535.4935226920861</v>
      </c>
      <c r="G79" s="594"/>
    </row>
    <row r="80" spans="1:7" ht="13.5" hidden="1" customHeight="1">
      <c r="A80" s="1996"/>
      <c r="B80" s="1807"/>
      <c r="C80" s="1819"/>
      <c r="D80" s="588"/>
      <c r="E80" s="622"/>
      <c r="F80" s="588"/>
      <c r="G80" s="596"/>
    </row>
    <row r="81" spans="1:7" ht="13.5" hidden="1" customHeight="1">
      <c r="A81" s="1969" t="s">
        <v>1560</v>
      </c>
      <c r="B81" s="1601"/>
      <c r="C81" s="1601"/>
      <c r="D81" s="1601"/>
      <c r="E81" s="1601"/>
      <c r="F81" s="1801"/>
      <c r="G81" s="557">
        <f>SUM(F79:F80)</f>
        <v>1535.4935226920861</v>
      </c>
    </row>
    <row r="82" spans="1:7" ht="13.5" hidden="1" customHeight="1">
      <c r="A82" s="621" t="s">
        <v>1561</v>
      </c>
      <c r="B82" s="619"/>
      <c r="C82" s="619"/>
      <c r="D82" s="619"/>
      <c r="E82" s="619"/>
      <c r="F82" s="619"/>
      <c r="G82" s="619"/>
    </row>
    <row r="83" spans="1:7" ht="13.5" hidden="1" customHeight="1">
      <c r="A83" s="1975" t="s">
        <v>1556</v>
      </c>
      <c r="B83" s="1801"/>
      <c r="C83" s="424" t="s">
        <v>6</v>
      </c>
      <c r="D83" s="424" t="s">
        <v>1562</v>
      </c>
      <c r="E83" s="424" t="s">
        <v>7</v>
      </c>
      <c r="F83" s="424" t="s">
        <v>1559</v>
      </c>
      <c r="G83" s="531"/>
    </row>
    <row r="84" spans="1:7" ht="13.5" hidden="1" customHeight="1">
      <c r="A84" s="1987"/>
      <c r="B84" s="1967"/>
      <c r="C84" s="581"/>
      <c r="D84" s="582"/>
      <c r="E84" s="581"/>
      <c r="F84" s="582"/>
      <c r="G84" s="594"/>
    </row>
    <row r="85" spans="1:7" ht="13.5" hidden="1" customHeight="1">
      <c r="A85" s="1995"/>
      <c r="B85" s="1611"/>
      <c r="C85" s="584"/>
      <c r="D85" s="585"/>
      <c r="E85" s="584"/>
      <c r="F85" s="585"/>
      <c r="G85" s="595"/>
    </row>
    <row r="86" spans="1:7" ht="13.5" hidden="1" customHeight="1">
      <c r="A86" s="1995"/>
      <c r="B86" s="1611"/>
      <c r="C86" s="584"/>
      <c r="D86" s="585"/>
      <c r="E86" s="584"/>
      <c r="F86" s="585"/>
      <c r="G86" s="595"/>
    </row>
    <row r="87" spans="1:7" ht="13.5" hidden="1" customHeight="1">
      <c r="A87" s="1996"/>
      <c r="B87" s="1819"/>
      <c r="C87" s="587"/>
      <c r="D87" s="588"/>
      <c r="E87" s="587"/>
      <c r="F87" s="588"/>
      <c r="G87" s="596"/>
    </row>
    <row r="88" spans="1:7" ht="13.5" hidden="1" customHeight="1">
      <c r="A88" s="1969" t="s">
        <v>1560</v>
      </c>
      <c r="B88" s="1601"/>
      <c r="C88" s="1601"/>
      <c r="D88" s="1601"/>
      <c r="E88" s="1601"/>
      <c r="F88" s="1801"/>
      <c r="G88" s="631"/>
    </row>
    <row r="89" spans="1:7" ht="13.5" hidden="1" customHeight="1">
      <c r="A89" s="621" t="s">
        <v>1563</v>
      </c>
      <c r="B89" s="619"/>
      <c r="C89" s="619"/>
      <c r="D89" s="619"/>
      <c r="E89" s="619"/>
      <c r="F89" s="619"/>
      <c r="G89" s="619"/>
    </row>
    <row r="90" spans="1:7" ht="13.5" hidden="1" customHeight="1">
      <c r="A90" s="1965" t="s">
        <v>1556</v>
      </c>
      <c r="B90" s="1801"/>
      <c r="C90" s="530" t="s">
        <v>6</v>
      </c>
      <c r="D90" s="530" t="s">
        <v>1562</v>
      </c>
      <c r="E90" s="530" t="s">
        <v>7</v>
      </c>
      <c r="F90" s="530" t="s">
        <v>1559</v>
      </c>
      <c r="G90" s="597"/>
    </row>
    <row r="91" spans="1:7" ht="13.5" hidden="1" customHeight="1">
      <c r="A91" s="1987" t="str">
        <f>+'LISTADO EQUIPOS'!$C$124</f>
        <v>VOLQUETA   (4.2 - 5)M3.</v>
      </c>
      <c r="B91" s="1967"/>
      <c r="C91" s="625" t="str">
        <f>+'LISTADO EQUIPOS'!$D$124</f>
        <v>VJ</v>
      </c>
      <c r="D91" s="582">
        <f>+'LISTADO EQUIPOS'!$E$124</f>
        <v>80000</v>
      </c>
      <c r="E91" s="626">
        <v>0.02</v>
      </c>
      <c r="F91" s="627">
        <f t="shared" ref="F91:F92" si="3">D91*E91</f>
        <v>1600</v>
      </c>
      <c r="G91" s="594"/>
    </row>
    <row r="92" spans="1:7" ht="13.5" hidden="1" customHeight="1">
      <c r="A92" s="1993"/>
      <c r="B92" s="1819"/>
      <c r="C92" s="625"/>
      <c r="D92" s="625"/>
      <c r="E92" s="588"/>
      <c r="F92" s="623">
        <f t="shared" si="3"/>
        <v>0</v>
      </c>
      <c r="G92" s="632"/>
    </row>
    <row r="93" spans="1:7" ht="13.5" hidden="1" customHeight="1">
      <c r="A93" s="1969" t="s">
        <v>1560</v>
      </c>
      <c r="B93" s="1601"/>
      <c r="C93" s="1601"/>
      <c r="D93" s="1601"/>
      <c r="E93" s="1601"/>
      <c r="F93" s="1801"/>
      <c r="G93" s="557">
        <f>SUM(F91:F92)</f>
        <v>1600</v>
      </c>
    </row>
    <row r="94" spans="1:7" ht="13.5" hidden="1" customHeight="1">
      <c r="A94" s="621" t="s">
        <v>1564</v>
      </c>
      <c r="B94" s="619"/>
      <c r="C94" s="619"/>
      <c r="D94" s="619"/>
      <c r="E94" s="619"/>
      <c r="F94" s="619"/>
      <c r="G94" s="619"/>
    </row>
    <row r="95" spans="1:7" ht="13.5" hidden="1" customHeight="1">
      <c r="A95" s="1965" t="s">
        <v>1565</v>
      </c>
      <c r="B95" s="1801"/>
      <c r="C95" s="424" t="s">
        <v>1566</v>
      </c>
      <c r="D95" s="530" t="s">
        <v>7</v>
      </c>
      <c r="E95" s="530" t="s">
        <v>1558</v>
      </c>
      <c r="F95" s="530" t="s">
        <v>1559</v>
      </c>
      <c r="G95" s="599"/>
    </row>
    <row r="96" spans="1:7" ht="13.5" hidden="1" customHeight="1">
      <c r="A96" s="1983" t="str">
        <f>+'MANO DE OBRA'!$A$64</f>
        <v>Oficial (Incl. Prestaciones)</v>
      </c>
      <c r="B96" s="1888"/>
      <c r="C96" s="558">
        <f>+'MANO DE OBRA'!$E$64</f>
        <v>15031.25</v>
      </c>
      <c r="D96" s="559">
        <v>0</v>
      </c>
      <c r="E96" s="559">
        <v>0.53876965708494251</v>
      </c>
      <c r="F96" s="578">
        <f t="shared" ref="F96:F97" si="4">+(C96*D96)*E96</f>
        <v>0</v>
      </c>
      <c r="G96" s="594"/>
    </row>
    <row r="97" spans="1:7" ht="13.5" hidden="1" customHeight="1">
      <c r="A97" s="1984" t="str">
        <f>+'MANO DE OBRA'!$A$65</f>
        <v>Ayudante (Incl. Prestaciones)</v>
      </c>
      <c r="B97" s="1819"/>
      <c r="C97" s="613">
        <f>+'MANO DE OBRA'!$E$65</f>
        <v>10972.8125</v>
      </c>
      <c r="D97" s="614">
        <v>2</v>
      </c>
      <c r="E97" s="615">
        <f>+E96</f>
        <v>0.53876965708494251</v>
      </c>
      <c r="F97" s="564">
        <f t="shared" si="4"/>
        <v>11823.636855764742</v>
      </c>
      <c r="G97" s="596"/>
    </row>
    <row r="98" spans="1:7" ht="13.5" hidden="1" customHeight="1">
      <c r="A98" s="1969" t="str">
        <f>+A93</f>
        <v>SUB-TOTAL</v>
      </c>
      <c r="B98" s="1601"/>
      <c r="C98" s="1601"/>
      <c r="D98" s="1601"/>
      <c r="E98" s="1601"/>
      <c r="F98" s="1801"/>
      <c r="G98" s="557">
        <f>SUM(F96:F97)</f>
        <v>11823.636855764742</v>
      </c>
    </row>
    <row r="99" spans="1:7" ht="11.25" hidden="1" customHeight="1">
      <c r="A99" s="618"/>
      <c r="B99" s="619"/>
      <c r="C99" s="619"/>
      <c r="D99" s="619"/>
      <c r="E99" s="619"/>
      <c r="F99" s="630"/>
      <c r="G99" s="619"/>
    </row>
    <row r="100" spans="1:7" ht="13.5" hidden="1" customHeight="1">
      <c r="A100" s="1969" t="s">
        <v>1567</v>
      </c>
      <c r="B100" s="1601"/>
      <c r="C100" s="1601"/>
      <c r="D100" s="1601"/>
      <c r="E100" s="1601"/>
      <c r="F100" s="1801"/>
      <c r="G100" s="633">
        <f>ROUND(G81+G88+G93+G98,0)</f>
        <v>14959</v>
      </c>
    </row>
    <row r="101" spans="1:7" ht="13.5" hidden="1" customHeight="1">
      <c r="A101" s="616"/>
      <c r="B101" s="162"/>
      <c r="C101" s="162"/>
      <c r="D101" s="162"/>
      <c r="E101" s="162"/>
      <c r="F101" s="162"/>
      <c r="G101" s="162"/>
    </row>
    <row r="102" spans="1:7" ht="13.5" hidden="1" customHeight="1">
      <c r="A102" s="616"/>
      <c r="B102" s="162"/>
      <c r="C102" s="162"/>
      <c r="D102" s="162"/>
      <c r="E102" s="162"/>
      <c r="F102" s="162"/>
      <c r="G102" s="162"/>
    </row>
    <row r="103" spans="1:7" ht="27" hidden="1" customHeight="1">
      <c r="A103" s="1994" t="e">
        <f>+'ANALISIS BASICOS'!$A$7</f>
        <v>#REF!</v>
      </c>
      <c r="B103" s="1616"/>
      <c r="C103" s="1624"/>
      <c r="D103" s="567"/>
      <c r="E103" s="568"/>
      <c r="F103" s="568"/>
      <c r="G103" s="569"/>
    </row>
    <row r="104" spans="1:7" ht="24" hidden="1" customHeight="1">
      <c r="A104" s="1971"/>
      <c r="B104" s="1817"/>
      <c r="C104" s="1972"/>
      <c r="D104" s="570"/>
      <c r="E104" s="570"/>
      <c r="F104" s="570"/>
      <c r="G104" s="571"/>
    </row>
    <row r="105" spans="1:7" ht="13.5" hidden="1" customHeight="1">
      <c r="A105" s="618"/>
      <c r="B105" s="619"/>
      <c r="C105" s="619"/>
      <c r="D105" s="619"/>
      <c r="E105" s="619"/>
      <c r="F105" s="619"/>
      <c r="G105" s="619"/>
    </row>
    <row r="106" spans="1:7" ht="54.75" hidden="1" customHeight="1">
      <c r="A106" s="1991" t="e">
        <f>A10</f>
        <v>#REF!</v>
      </c>
      <c r="B106" s="1601"/>
      <c r="C106" s="1602"/>
      <c r="D106" s="1974" t="s">
        <v>1622</v>
      </c>
      <c r="E106" s="1601"/>
      <c r="F106" s="1601"/>
      <c r="G106" s="1602"/>
    </row>
    <row r="107" spans="1:7" ht="13.5" hidden="1" customHeight="1">
      <c r="A107" s="620"/>
      <c r="B107" s="620"/>
      <c r="C107" s="620"/>
      <c r="D107" s="620"/>
      <c r="E107" s="620"/>
      <c r="F107" s="620"/>
      <c r="G107" s="620"/>
    </row>
    <row r="108" spans="1:7" ht="12.75" hidden="1" customHeight="1">
      <c r="A108" s="572"/>
      <c r="B108" s="619"/>
      <c r="C108" s="162"/>
      <c r="D108" s="421" t="s">
        <v>1553</v>
      </c>
      <c r="E108" s="422" t="s">
        <v>228</v>
      </c>
      <c r="F108" s="421" t="s">
        <v>1554</v>
      </c>
      <c r="G108" s="422"/>
    </row>
    <row r="109" spans="1:7" ht="13.5" hidden="1" customHeight="1">
      <c r="A109" s="621" t="s">
        <v>1555</v>
      </c>
      <c r="B109" s="619"/>
      <c r="C109" s="619"/>
      <c r="D109" s="619"/>
      <c r="E109" s="619"/>
      <c r="F109" s="619"/>
      <c r="G109" s="619"/>
    </row>
    <row r="110" spans="1:7" ht="13.5" hidden="1" customHeight="1">
      <c r="A110" s="1975" t="s">
        <v>1556</v>
      </c>
      <c r="B110" s="1601"/>
      <c r="C110" s="1801"/>
      <c r="D110" s="530" t="s">
        <v>208</v>
      </c>
      <c r="E110" s="530" t="s">
        <v>1558</v>
      </c>
      <c r="F110" s="424" t="s">
        <v>1559</v>
      </c>
      <c r="G110" s="531"/>
    </row>
    <row r="111" spans="1:7" ht="12.75" hidden="1" customHeight="1">
      <c r="A111" s="1987" t="str">
        <f>+'LISTADO EQUIPOS'!$C$22</f>
        <v>HERRAMIENTA MENOR.</v>
      </c>
      <c r="B111" s="1811"/>
      <c r="C111" s="1967"/>
      <c r="D111" s="582">
        <f>+'LISTADO EQUIPOS'!$E$22/8</f>
        <v>2850</v>
      </c>
      <c r="E111" s="610">
        <v>2</v>
      </c>
      <c r="F111" s="604">
        <f>+D111/E111</f>
        <v>1425</v>
      </c>
      <c r="G111" s="594"/>
    </row>
    <row r="112" spans="1:7" ht="13.5" hidden="1" customHeight="1">
      <c r="A112" s="1996"/>
      <c r="B112" s="1807"/>
      <c r="C112" s="1819"/>
      <c r="D112" s="588"/>
      <c r="E112" s="622"/>
      <c r="F112" s="623"/>
      <c r="G112" s="596"/>
    </row>
    <row r="113" spans="1:7" ht="13.5" hidden="1" customHeight="1">
      <c r="A113" s="1969" t="s">
        <v>1560</v>
      </c>
      <c r="B113" s="1601"/>
      <c r="C113" s="1601"/>
      <c r="D113" s="1601"/>
      <c r="E113" s="1601"/>
      <c r="F113" s="1801"/>
      <c r="G113" s="557">
        <f>SUM(F111:F112)</f>
        <v>1425</v>
      </c>
    </row>
    <row r="114" spans="1:7" ht="13.5" hidden="1" customHeight="1">
      <c r="A114" s="621" t="s">
        <v>1561</v>
      </c>
      <c r="B114" s="619"/>
      <c r="C114" s="619"/>
      <c r="D114" s="619"/>
      <c r="E114" s="619"/>
      <c r="F114" s="619"/>
      <c r="G114" s="624"/>
    </row>
    <row r="115" spans="1:7" ht="13.5" hidden="1" customHeight="1">
      <c r="A115" s="1975" t="s">
        <v>1556</v>
      </c>
      <c r="B115" s="1801"/>
      <c r="C115" s="424" t="s">
        <v>6</v>
      </c>
      <c r="D115" s="424" t="s">
        <v>1562</v>
      </c>
      <c r="E115" s="424" t="s">
        <v>7</v>
      </c>
      <c r="F115" s="424" t="s">
        <v>1559</v>
      </c>
      <c r="G115" s="541"/>
    </row>
    <row r="116" spans="1:7" ht="13.5" hidden="1" customHeight="1">
      <c r="A116" s="1976"/>
      <c r="B116" s="1967"/>
      <c r="C116" s="581"/>
      <c r="D116" s="582"/>
      <c r="E116" s="581"/>
      <c r="F116" s="582"/>
      <c r="G116" s="583"/>
    </row>
    <row r="117" spans="1:7" ht="15" hidden="1" customHeight="1">
      <c r="A117" s="1977"/>
      <c r="B117" s="1611"/>
      <c r="C117" s="584"/>
      <c r="D117" s="585"/>
      <c r="E117" s="584"/>
      <c r="F117" s="585"/>
      <c r="G117" s="586"/>
    </row>
    <row r="118" spans="1:7" ht="13.5" hidden="1" customHeight="1">
      <c r="A118" s="1977"/>
      <c r="B118" s="1611"/>
      <c r="C118" s="584"/>
      <c r="D118" s="585"/>
      <c r="E118" s="584"/>
      <c r="F118" s="585"/>
      <c r="G118" s="586"/>
    </row>
    <row r="119" spans="1:7" ht="13.5" hidden="1" customHeight="1">
      <c r="A119" s="1978"/>
      <c r="B119" s="1819"/>
      <c r="C119" s="587"/>
      <c r="D119" s="588"/>
      <c r="E119" s="587"/>
      <c r="F119" s="588"/>
      <c r="G119" s="589"/>
    </row>
    <row r="120" spans="1:7" ht="13.5" hidden="1" customHeight="1">
      <c r="A120" s="1969" t="s">
        <v>1560</v>
      </c>
      <c r="B120" s="1601"/>
      <c r="C120" s="1601"/>
      <c r="D120" s="1601"/>
      <c r="E120" s="1601"/>
      <c r="F120" s="1801"/>
      <c r="G120" s="557"/>
    </row>
    <row r="121" spans="1:7" ht="13.5" hidden="1" customHeight="1">
      <c r="A121" s="621" t="s">
        <v>1563</v>
      </c>
      <c r="B121" s="619"/>
      <c r="C121" s="619"/>
      <c r="D121" s="619"/>
      <c r="E121" s="619"/>
      <c r="F121" s="619"/>
      <c r="G121" s="624"/>
    </row>
    <row r="122" spans="1:7" ht="13.5" hidden="1" customHeight="1">
      <c r="A122" s="1965" t="s">
        <v>1556</v>
      </c>
      <c r="B122" s="1801"/>
      <c r="C122" s="530" t="s">
        <v>6</v>
      </c>
      <c r="D122" s="530" t="s">
        <v>1562</v>
      </c>
      <c r="E122" s="530" t="s">
        <v>7</v>
      </c>
      <c r="F122" s="530" t="s">
        <v>1559</v>
      </c>
      <c r="G122" s="552"/>
    </row>
    <row r="123" spans="1:7" ht="13.5" hidden="1" customHeight="1">
      <c r="A123" s="1987" t="str">
        <f>+'LISTADO EQUIPOS'!C124</f>
        <v>VOLQUETA   (4.2 - 5)M3.</v>
      </c>
      <c r="B123" s="1967"/>
      <c r="C123" s="625" t="str">
        <f>+'LISTADO EQUIPOS'!D124</f>
        <v>VJ</v>
      </c>
      <c r="D123" s="582">
        <f>+'LISTADO EQUIPOS'!E124</f>
        <v>80000</v>
      </c>
      <c r="E123" s="626">
        <v>3.4000000000000002E-2</v>
      </c>
      <c r="F123" s="627">
        <f>D123*E123</f>
        <v>2720</v>
      </c>
      <c r="G123" s="583"/>
    </row>
    <row r="124" spans="1:7" ht="13.5" hidden="1" customHeight="1">
      <c r="A124" s="1993"/>
      <c r="B124" s="1819"/>
      <c r="C124" s="625"/>
      <c r="D124" s="588"/>
      <c r="E124" s="634"/>
      <c r="F124" s="588"/>
      <c r="G124" s="629"/>
    </row>
    <row r="125" spans="1:7" ht="13.5" hidden="1" customHeight="1">
      <c r="A125" s="1969" t="s">
        <v>1560</v>
      </c>
      <c r="B125" s="1601"/>
      <c r="C125" s="1601"/>
      <c r="D125" s="1601"/>
      <c r="E125" s="1601"/>
      <c r="F125" s="1801"/>
      <c r="G125" s="557">
        <f>SUM(F123:F124)</f>
        <v>2720</v>
      </c>
    </row>
    <row r="126" spans="1:7" ht="13.5" hidden="1" customHeight="1">
      <c r="A126" s="621" t="s">
        <v>1564</v>
      </c>
      <c r="B126" s="619"/>
      <c r="C126" s="619"/>
      <c r="D126" s="619"/>
      <c r="E126" s="619"/>
      <c r="F126" s="619"/>
      <c r="G126" s="624"/>
    </row>
    <row r="127" spans="1:7" ht="13.5" hidden="1" customHeight="1">
      <c r="A127" s="1965" t="s">
        <v>1565</v>
      </c>
      <c r="B127" s="1801"/>
      <c r="C127" s="424" t="s">
        <v>1566</v>
      </c>
      <c r="D127" s="530" t="s">
        <v>7</v>
      </c>
      <c r="E127" s="530" t="s">
        <v>1558</v>
      </c>
      <c r="F127" s="530" t="s">
        <v>1559</v>
      </c>
      <c r="G127" s="557"/>
    </row>
    <row r="128" spans="1:7" ht="13.5" hidden="1" customHeight="1">
      <c r="A128" s="1983"/>
      <c r="B128" s="1888"/>
      <c r="C128" s="558"/>
      <c r="D128" s="559"/>
      <c r="E128" s="559"/>
      <c r="F128" s="578"/>
      <c r="G128" s="583"/>
    </row>
    <row r="129" spans="1:7" ht="13.5" hidden="1" customHeight="1">
      <c r="A129" s="1984" t="str">
        <f>+'MANO DE OBRA'!$A$65</f>
        <v>Ayudante (Incl. Prestaciones)</v>
      </c>
      <c r="B129" s="1819"/>
      <c r="C129" s="613">
        <f>+'MANO DE OBRA'!$E$65</f>
        <v>10972.8125</v>
      </c>
      <c r="D129" s="614">
        <v>2</v>
      </c>
      <c r="E129" s="615">
        <v>3.5</v>
      </c>
      <c r="F129" s="564">
        <f>+(C129*D129)/E129</f>
        <v>6270.1785714285716</v>
      </c>
      <c r="G129" s="589"/>
    </row>
    <row r="130" spans="1:7" ht="13.5" hidden="1" customHeight="1">
      <c r="A130" s="1969" t="str">
        <f>+A125</f>
        <v>SUB-TOTAL</v>
      </c>
      <c r="B130" s="1601"/>
      <c r="C130" s="1601"/>
      <c r="D130" s="1601"/>
      <c r="E130" s="1601"/>
      <c r="F130" s="1801"/>
      <c r="G130" s="557">
        <f>SUM(F128:F129)</f>
        <v>6270.1785714285716</v>
      </c>
    </row>
    <row r="131" spans="1:7" ht="11.25" hidden="1" customHeight="1">
      <c r="A131" s="618"/>
      <c r="B131" s="619"/>
      <c r="C131" s="619"/>
      <c r="D131" s="619"/>
      <c r="E131" s="619"/>
      <c r="F131" s="630"/>
      <c r="G131" s="624"/>
    </row>
    <row r="132" spans="1:7" ht="13.5" hidden="1" customHeight="1">
      <c r="A132" s="1969" t="s">
        <v>1567</v>
      </c>
      <c r="B132" s="1601"/>
      <c r="C132" s="1601"/>
      <c r="D132" s="1601"/>
      <c r="E132" s="1601"/>
      <c r="F132" s="1801"/>
      <c r="G132" s="607">
        <f>ROUND(G113+G120+G125+G130,0)</f>
        <v>10415</v>
      </c>
    </row>
    <row r="133" spans="1:7" ht="13.5" hidden="1" customHeight="1">
      <c r="A133" s="616"/>
      <c r="B133" s="162"/>
      <c r="C133" s="162"/>
      <c r="D133" s="162"/>
      <c r="E133" s="162"/>
      <c r="F133" s="162"/>
      <c r="G133" s="162"/>
    </row>
    <row r="134" spans="1:7" ht="13.5" customHeight="1">
      <c r="A134" s="616"/>
      <c r="B134" s="162"/>
      <c r="C134" s="162"/>
      <c r="D134" s="162"/>
      <c r="E134" s="162"/>
      <c r="F134" s="162"/>
      <c r="G134" s="162"/>
    </row>
    <row r="135" spans="1:7" ht="27" customHeight="1">
      <c r="A135" s="1989" t="e">
        <f>+'ANALISIS BASICOS'!$A$7</f>
        <v>#REF!</v>
      </c>
      <c r="B135" s="1616"/>
      <c r="C135" s="1624"/>
      <c r="D135" s="567"/>
      <c r="E135" s="568"/>
      <c r="F135" s="568"/>
      <c r="G135" s="569"/>
    </row>
    <row r="136" spans="1:7" ht="24" customHeight="1">
      <c r="A136" s="1971"/>
      <c r="B136" s="1817"/>
      <c r="C136" s="1972"/>
      <c r="D136" s="570"/>
      <c r="E136" s="570"/>
      <c r="F136" s="570"/>
      <c r="G136" s="571"/>
    </row>
    <row r="137" spans="1:7" ht="13.5" customHeight="1">
      <c r="A137" s="618"/>
      <c r="B137" s="619"/>
      <c r="C137" s="619"/>
      <c r="D137" s="619"/>
      <c r="E137" s="619"/>
      <c r="F137" s="619"/>
      <c r="G137" s="619"/>
    </row>
    <row r="138" spans="1:7" ht="47.25" customHeight="1">
      <c r="A138" s="1991" t="e">
        <f>A10</f>
        <v>#REF!</v>
      </c>
      <c r="B138" s="1601"/>
      <c r="C138" s="1602"/>
      <c r="D138" s="1974" t="s">
        <v>1623</v>
      </c>
      <c r="E138" s="1601"/>
      <c r="F138" s="1601"/>
      <c r="G138" s="1602"/>
    </row>
    <row r="139" spans="1:7" ht="13.5" customHeight="1">
      <c r="A139" s="620"/>
      <c r="B139" s="620"/>
      <c r="C139" s="620"/>
      <c r="D139" s="620"/>
      <c r="E139" s="620"/>
      <c r="F139" s="620"/>
      <c r="G139" s="620"/>
    </row>
    <row r="140" spans="1:7" ht="12.75" customHeight="1">
      <c r="A140" s="572"/>
      <c r="B140" s="619"/>
      <c r="C140" s="162"/>
      <c r="D140" s="421" t="s">
        <v>1553</v>
      </c>
      <c r="E140" s="422" t="s">
        <v>228</v>
      </c>
      <c r="F140" s="421" t="s">
        <v>1554</v>
      </c>
      <c r="G140" s="422" t="s">
        <v>14</v>
      </c>
    </row>
    <row r="141" spans="1:7" ht="13.5" customHeight="1">
      <c r="A141" s="621" t="s">
        <v>1555</v>
      </c>
      <c r="B141" s="619"/>
      <c r="C141" s="619"/>
      <c r="D141" s="619"/>
      <c r="E141" s="619"/>
      <c r="F141" s="619"/>
      <c r="G141" s="619"/>
    </row>
    <row r="142" spans="1:7" ht="13.5" customHeight="1">
      <c r="A142" s="1975" t="s">
        <v>1556</v>
      </c>
      <c r="B142" s="1601"/>
      <c r="C142" s="1801"/>
      <c r="D142" s="530" t="s">
        <v>208</v>
      </c>
      <c r="E142" s="530" t="s">
        <v>1558</v>
      </c>
      <c r="F142" s="424" t="s">
        <v>1559</v>
      </c>
      <c r="G142" s="531"/>
    </row>
    <row r="143" spans="1:7" ht="13.5" customHeight="1">
      <c r="A143" s="1987" t="str">
        <f>+'LISTADO EQUIPOS'!$C$11</f>
        <v>COMPRESOR 210 CFM-1 MARTILLO. 90 libras (Tipo Kaeser)</v>
      </c>
      <c r="B143" s="1811"/>
      <c r="C143" s="1967"/>
      <c r="D143" s="582">
        <f>+'LISTADO EQUIPOS'!$E$11</f>
        <v>60000</v>
      </c>
      <c r="E143" s="610">
        <f>+E160</f>
        <v>4.5</v>
      </c>
      <c r="F143" s="604">
        <f t="shared" ref="F143:F144" si="5">+D143/E143</f>
        <v>13333.333333333334</v>
      </c>
      <c r="G143" s="594"/>
    </row>
    <row r="144" spans="1:7" ht="13.5" customHeight="1">
      <c r="A144" s="1996" t="str">
        <f>+'LISTADO EQUIPOS'!$C$22</f>
        <v>HERRAMIENTA MENOR.</v>
      </c>
      <c r="B144" s="1807"/>
      <c r="C144" s="1819"/>
      <c r="D144" s="588">
        <f>+'LISTADO EQUIPOS'!$E$22/8</f>
        <v>2850</v>
      </c>
      <c r="E144" s="622">
        <f>+E143</f>
        <v>4.5</v>
      </c>
      <c r="F144" s="623">
        <f t="shared" si="5"/>
        <v>633.33333333333337</v>
      </c>
      <c r="G144" s="596"/>
    </row>
    <row r="145" spans="1:7" ht="13.5" customHeight="1">
      <c r="A145" s="1969" t="s">
        <v>1560</v>
      </c>
      <c r="B145" s="1601"/>
      <c r="C145" s="1601"/>
      <c r="D145" s="1601"/>
      <c r="E145" s="1601"/>
      <c r="F145" s="1801"/>
      <c r="G145" s="557">
        <f>SUM(F143:F144)</f>
        <v>13966.666666666668</v>
      </c>
    </row>
    <row r="146" spans="1:7" ht="13.5" customHeight="1">
      <c r="A146" s="621" t="s">
        <v>1561</v>
      </c>
      <c r="B146" s="619"/>
      <c r="C146" s="619"/>
      <c r="D146" s="619"/>
      <c r="E146" s="619"/>
      <c r="F146" s="619"/>
      <c r="G146" s="619"/>
    </row>
    <row r="147" spans="1:7" ht="13.5" customHeight="1">
      <c r="A147" s="1975" t="s">
        <v>1556</v>
      </c>
      <c r="B147" s="1801"/>
      <c r="C147" s="424" t="s">
        <v>6</v>
      </c>
      <c r="D147" s="424" t="s">
        <v>1562</v>
      </c>
      <c r="E147" s="424" t="s">
        <v>7</v>
      </c>
      <c r="F147" s="424" t="s">
        <v>1559</v>
      </c>
      <c r="G147" s="531"/>
    </row>
    <row r="148" spans="1:7" ht="13.5" customHeight="1">
      <c r="A148" s="1976"/>
      <c r="B148" s="1967"/>
      <c r="C148" s="581"/>
      <c r="D148" s="582"/>
      <c r="E148" s="581"/>
      <c r="F148" s="582"/>
      <c r="G148" s="594"/>
    </row>
    <row r="149" spans="1:7" ht="15" customHeight="1">
      <c r="A149" s="1977"/>
      <c r="B149" s="1611"/>
      <c r="C149" s="584"/>
      <c r="D149" s="585"/>
      <c r="E149" s="584"/>
      <c r="F149" s="585"/>
      <c r="G149" s="595"/>
    </row>
    <row r="150" spans="1:7" ht="13.5" customHeight="1">
      <c r="A150" s="1977"/>
      <c r="B150" s="1611"/>
      <c r="C150" s="584"/>
      <c r="D150" s="585"/>
      <c r="E150" s="584"/>
      <c r="F150" s="585"/>
      <c r="G150" s="595"/>
    </row>
    <row r="151" spans="1:7" ht="13.5" customHeight="1">
      <c r="A151" s="1978"/>
      <c r="B151" s="1819"/>
      <c r="C151" s="587"/>
      <c r="D151" s="588"/>
      <c r="E151" s="587"/>
      <c r="F151" s="588"/>
      <c r="G151" s="596"/>
    </row>
    <row r="152" spans="1:7" ht="13.5" customHeight="1">
      <c r="A152" s="1969" t="s">
        <v>1560</v>
      </c>
      <c r="B152" s="1601"/>
      <c r="C152" s="1601"/>
      <c r="D152" s="1601"/>
      <c r="E152" s="1601"/>
      <c r="F152" s="1801"/>
      <c r="G152" s="631"/>
    </row>
    <row r="153" spans="1:7" ht="13.5" customHeight="1">
      <c r="A153" s="621" t="s">
        <v>1563</v>
      </c>
      <c r="B153" s="619"/>
      <c r="C153" s="619"/>
      <c r="D153" s="619"/>
      <c r="E153" s="619"/>
      <c r="F153" s="619"/>
      <c r="G153" s="619"/>
    </row>
    <row r="154" spans="1:7" ht="13.5" customHeight="1">
      <c r="A154" s="1965" t="s">
        <v>1556</v>
      </c>
      <c r="B154" s="1801"/>
      <c r="C154" s="530" t="s">
        <v>6</v>
      </c>
      <c r="D154" s="530" t="s">
        <v>1562</v>
      </c>
      <c r="E154" s="530" t="s">
        <v>7</v>
      </c>
      <c r="F154" s="530" t="s">
        <v>1559</v>
      </c>
      <c r="G154" s="597"/>
    </row>
    <row r="155" spans="1:7" ht="13.5" customHeight="1">
      <c r="A155" s="1987" t="str">
        <f>+'LISTADO EQUIPOS'!$C$124</f>
        <v>VOLQUETA   (4.2 - 5)M3.</v>
      </c>
      <c r="B155" s="1967"/>
      <c r="C155" s="625" t="str">
        <f>+'LISTADO EQUIPOS'!$D$124</f>
        <v>VJ</v>
      </c>
      <c r="D155" s="582">
        <f>+'LISTADO EQUIPOS'!$E$124</f>
        <v>80000</v>
      </c>
      <c r="E155" s="626">
        <v>0.12</v>
      </c>
      <c r="F155" s="627">
        <f t="shared" ref="F155:F156" si="6">D155*E155</f>
        <v>9600</v>
      </c>
      <c r="G155" s="594"/>
    </row>
    <row r="156" spans="1:7" ht="13.5" customHeight="1">
      <c r="A156" s="1993"/>
      <c r="B156" s="1819"/>
      <c r="C156" s="625"/>
      <c r="D156" s="588"/>
      <c r="E156" s="634"/>
      <c r="F156" s="623">
        <f t="shared" si="6"/>
        <v>0</v>
      </c>
      <c r="G156" s="632"/>
    </row>
    <row r="157" spans="1:7" ht="13.5" customHeight="1">
      <c r="A157" s="1969" t="s">
        <v>1560</v>
      </c>
      <c r="B157" s="1601"/>
      <c r="C157" s="1601"/>
      <c r="D157" s="1601"/>
      <c r="E157" s="1601"/>
      <c r="F157" s="1801"/>
      <c r="G157" s="557">
        <f>SUM(F155:F156)</f>
        <v>9600</v>
      </c>
    </row>
    <row r="158" spans="1:7" ht="13.5" customHeight="1">
      <c r="A158" s="621" t="s">
        <v>1564</v>
      </c>
      <c r="B158" s="619"/>
      <c r="C158" s="619"/>
      <c r="D158" s="619"/>
      <c r="E158" s="619"/>
      <c r="F158" s="619"/>
      <c r="G158" s="624"/>
    </row>
    <row r="159" spans="1:7" ht="13.5" customHeight="1">
      <c r="A159" s="1965" t="s">
        <v>1565</v>
      </c>
      <c r="B159" s="1801"/>
      <c r="C159" s="424" t="s">
        <v>1566</v>
      </c>
      <c r="D159" s="530" t="s">
        <v>7</v>
      </c>
      <c r="E159" s="530" t="s">
        <v>1558</v>
      </c>
      <c r="F159" s="530" t="s">
        <v>1559</v>
      </c>
      <c r="G159" s="557"/>
    </row>
    <row r="160" spans="1:7" ht="13.5" customHeight="1">
      <c r="A160" s="1983" t="str">
        <f>+'MANO DE OBRA'!$A$65</f>
        <v>Ayudante (Incl. Prestaciones)</v>
      </c>
      <c r="B160" s="1888"/>
      <c r="C160" s="558">
        <f>+'MANO DE OBRA'!$E$65</f>
        <v>10972.8125</v>
      </c>
      <c r="D160" s="559">
        <v>2</v>
      </c>
      <c r="E160" s="559">
        <v>4.5</v>
      </c>
      <c r="F160" s="578">
        <f>+(C160*D160)/E160</f>
        <v>4876.8055555555557</v>
      </c>
      <c r="G160" s="583"/>
    </row>
    <row r="161" spans="1:7" ht="13.5" customHeight="1">
      <c r="A161" s="1984"/>
      <c r="B161" s="1819"/>
      <c r="C161" s="613"/>
      <c r="D161" s="614"/>
      <c r="E161" s="615"/>
      <c r="F161" s="635"/>
      <c r="G161" s="589"/>
    </row>
    <row r="162" spans="1:7" ht="13.5" customHeight="1">
      <c r="A162" s="1969" t="str">
        <f>+A157</f>
        <v>SUB-TOTAL</v>
      </c>
      <c r="B162" s="1601"/>
      <c r="C162" s="1601"/>
      <c r="D162" s="1601"/>
      <c r="E162" s="1601"/>
      <c r="F162" s="1801"/>
      <c r="G162" s="557">
        <f>SUM(F160:F161)</f>
        <v>4876.8055555555557</v>
      </c>
    </row>
    <row r="163" spans="1:7" ht="11.25" customHeight="1">
      <c r="A163" s="618"/>
      <c r="B163" s="619"/>
      <c r="C163" s="619"/>
      <c r="D163" s="619"/>
      <c r="E163" s="619"/>
      <c r="F163" s="630"/>
      <c r="G163" s="624"/>
    </row>
    <row r="164" spans="1:7" ht="13.5" customHeight="1">
      <c r="A164" s="1969" t="s">
        <v>1567</v>
      </c>
      <c r="B164" s="1601"/>
      <c r="C164" s="1601"/>
      <c r="D164" s="1601"/>
      <c r="E164" s="1601"/>
      <c r="F164" s="1801"/>
      <c r="G164" s="607">
        <f>ROUND(G145+G152+G157+G162,0)</f>
        <v>28443</v>
      </c>
    </row>
    <row r="165" spans="1:7" ht="13.5" customHeight="1">
      <c r="A165" s="616"/>
      <c r="B165" s="162"/>
      <c r="C165" s="162"/>
      <c r="D165" s="162"/>
      <c r="E165" s="162"/>
      <c r="F165" s="162"/>
      <c r="G165" s="162"/>
    </row>
    <row r="166" spans="1:7" ht="13.5" hidden="1" customHeight="1">
      <c r="A166" s="616"/>
      <c r="B166" s="162"/>
      <c r="C166" s="162"/>
      <c r="D166" s="162"/>
      <c r="E166" s="162"/>
      <c r="F166" s="162"/>
      <c r="G166" s="162"/>
    </row>
    <row r="167" spans="1:7" ht="27" hidden="1" customHeight="1">
      <c r="A167" s="1994" t="e">
        <f>+'ANALISIS BASICOS'!$A$7</f>
        <v>#REF!</v>
      </c>
      <c r="B167" s="1616"/>
      <c r="C167" s="1624"/>
      <c r="D167" s="567"/>
      <c r="E167" s="568"/>
      <c r="F167" s="568"/>
      <c r="G167" s="569"/>
    </row>
    <row r="168" spans="1:7" ht="24" hidden="1" customHeight="1">
      <c r="A168" s="1971"/>
      <c r="B168" s="1817"/>
      <c r="C168" s="1972"/>
      <c r="D168" s="570"/>
      <c r="E168" s="570"/>
      <c r="F168" s="570"/>
      <c r="G168" s="571"/>
    </row>
    <row r="169" spans="1:7" ht="13.5" hidden="1" customHeight="1">
      <c r="A169" s="618"/>
      <c r="B169" s="619"/>
      <c r="C169" s="619"/>
      <c r="D169" s="619"/>
      <c r="E169" s="619"/>
      <c r="F169" s="619"/>
      <c r="G169" s="619"/>
    </row>
    <row r="170" spans="1:7" ht="43.5" hidden="1" customHeight="1">
      <c r="A170" s="1991" t="e">
        <f>A10</f>
        <v>#REF!</v>
      </c>
      <c r="B170" s="1601"/>
      <c r="C170" s="1602"/>
      <c r="D170" s="1974" t="s">
        <v>1624</v>
      </c>
      <c r="E170" s="1601"/>
      <c r="F170" s="1601"/>
      <c r="G170" s="1602"/>
    </row>
    <row r="171" spans="1:7" ht="13.5" hidden="1" customHeight="1">
      <c r="A171" s="620"/>
      <c r="B171" s="620"/>
      <c r="C171" s="620"/>
      <c r="D171" s="620"/>
      <c r="E171" s="620"/>
      <c r="F171" s="620"/>
      <c r="G171" s="620"/>
    </row>
    <row r="172" spans="1:7" ht="12.75" hidden="1" customHeight="1">
      <c r="A172" s="572"/>
      <c r="B172" s="619"/>
      <c r="C172" s="162"/>
      <c r="D172" s="421" t="s">
        <v>1553</v>
      </c>
      <c r="E172" s="422" t="s">
        <v>116</v>
      </c>
      <c r="F172" s="421" t="s">
        <v>1554</v>
      </c>
      <c r="G172" s="422" t="s">
        <v>14</v>
      </c>
    </row>
    <row r="173" spans="1:7" ht="13.5" hidden="1" customHeight="1">
      <c r="A173" s="621" t="s">
        <v>1555</v>
      </c>
      <c r="B173" s="619"/>
      <c r="C173" s="619"/>
      <c r="D173" s="619"/>
      <c r="E173" s="619"/>
      <c r="F173" s="619"/>
      <c r="G173" s="619"/>
    </row>
    <row r="174" spans="1:7" ht="13.5" hidden="1" customHeight="1">
      <c r="A174" s="1975" t="s">
        <v>1556</v>
      </c>
      <c r="B174" s="1601"/>
      <c r="C174" s="1801"/>
      <c r="D174" s="530" t="s">
        <v>208</v>
      </c>
      <c r="E174" s="530" t="s">
        <v>1558</v>
      </c>
      <c r="F174" s="424" t="s">
        <v>1559</v>
      </c>
      <c r="G174" s="531"/>
    </row>
    <row r="175" spans="1:7" ht="12.75" hidden="1" customHeight="1">
      <c r="A175" s="1987" t="str">
        <f>+'LISTADO EQUIPOS'!$C$11</f>
        <v>COMPRESOR 210 CFM-1 MARTILLO. 90 libras (Tipo Kaeser)</v>
      </c>
      <c r="B175" s="1811"/>
      <c r="C175" s="1967"/>
      <c r="D175" s="582">
        <f>+'LISTADO EQUIPOS'!$E$11</f>
        <v>60000</v>
      </c>
      <c r="E175" s="610">
        <f>+E193</f>
        <v>1.1672788544734987</v>
      </c>
      <c r="F175" s="604">
        <f t="shared" ref="F175:F176" si="7">+E175*D175</f>
        <v>70036.731268409916</v>
      </c>
      <c r="G175" s="594"/>
    </row>
    <row r="176" spans="1:7" ht="12.75" hidden="1" customHeight="1">
      <c r="A176" s="1995" t="str">
        <f>+'LISTADO EQUIPOS'!$C$47</f>
        <v>ANDAMIO TUBULAR. 1.5 x 1.5 SECCIÓN</v>
      </c>
      <c r="B176" s="1610"/>
      <c r="C176" s="1611"/>
      <c r="D176" s="585">
        <f>+'LISTADO EQUIPOS'!$E$47</f>
        <v>1750</v>
      </c>
      <c r="E176" s="446">
        <f>+E193</f>
        <v>1.1672788544734987</v>
      </c>
      <c r="F176" s="627">
        <f t="shared" si="7"/>
        <v>2042.7379953286227</v>
      </c>
      <c r="G176" s="595"/>
    </row>
    <row r="177" spans="1:7" ht="13.5" hidden="1" customHeight="1">
      <c r="A177" s="1996" t="str">
        <f>+'LISTADO EQUIPOS'!$C$22</f>
        <v>HERRAMIENTA MENOR.</v>
      </c>
      <c r="B177" s="1807"/>
      <c r="C177" s="1819"/>
      <c r="D177" s="588">
        <f>+'LISTADO EQUIPOS'!$E$22/8</f>
        <v>2850</v>
      </c>
      <c r="E177" s="622">
        <f>+E193</f>
        <v>1.1672788544734987</v>
      </c>
      <c r="F177" s="623">
        <f>+D177*E177</f>
        <v>3326.744735249471</v>
      </c>
      <c r="G177" s="596"/>
    </row>
    <row r="178" spans="1:7" ht="13.5" hidden="1" customHeight="1">
      <c r="A178" s="1969" t="s">
        <v>1560</v>
      </c>
      <c r="B178" s="1601"/>
      <c r="C178" s="1601"/>
      <c r="D178" s="1601"/>
      <c r="E178" s="1601"/>
      <c r="F178" s="1801"/>
      <c r="G178" s="557">
        <f>SUM(F175:F177)</f>
        <v>75406.213998988009</v>
      </c>
    </row>
    <row r="179" spans="1:7" ht="13.5" hidden="1" customHeight="1">
      <c r="A179" s="621" t="s">
        <v>1561</v>
      </c>
      <c r="B179" s="619"/>
      <c r="C179" s="619"/>
      <c r="D179" s="619"/>
      <c r="E179" s="619"/>
      <c r="F179" s="619"/>
      <c r="G179" s="624"/>
    </row>
    <row r="180" spans="1:7" ht="13.5" hidden="1" customHeight="1">
      <c r="A180" s="1975" t="s">
        <v>1556</v>
      </c>
      <c r="B180" s="1801"/>
      <c r="C180" s="424" t="s">
        <v>6</v>
      </c>
      <c r="D180" s="424" t="s">
        <v>1562</v>
      </c>
      <c r="E180" s="424" t="s">
        <v>7</v>
      </c>
      <c r="F180" s="424" t="s">
        <v>1559</v>
      </c>
      <c r="G180" s="541"/>
    </row>
    <row r="181" spans="1:7" ht="13.5" hidden="1" customHeight="1">
      <c r="A181" s="1976"/>
      <c r="B181" s="1967"/>
      <c r="C181" s="581"/>
      <c r="D181" s="582"/>
      <c r="E181" s="581"/>
      <c r="F181" s="582"/>
      <c r="G181" s="583"/>
    </row>
    <row r="182" spans="1:7" ht="15" hidden="1" customHeight="1">
      <c r="A182" s="1977"/>
      <c r="B182" s="1611"/>
      <c r="C182" s="584"/>
      <c r="D182" s="585"/>
      <c r="E182" s="584"/>
      <c r="F182" s="585"/>
      <c r="G182" s="586"/>
    </row>
    <row r="183" spans="1:7" ht="13.5" hidden="1" customHeight="1">
      <c r="A183" s="1977"/>
      <c r="B183" s="1611"/>
      <c r="C183" s="584"/>
      <c r="D183" s="585"/>
      <c r="E183" s="584"/>
      <c r="F183" s="585"/>
      <c r="G183" s="586"/>
    </row>
    <row r="184" spans="1:7" ht="13.5" hidden="1" customHeight="1">
      <c r="A184" s="1978"/>
      <c r="B184" s="1819"/>
      <c r="C184" s="587"/>
      <c r="D184" s="588"/>
      <c r="E184" s="587"/>
      <c r="F184" s="588"/>
      <c r="G184" s="589"/>
    </row>
    <row r="185" spans="1:7" ht="13.5" hidden="1" customHeight="1">
      <c r="A185" s="1969" t="s">
        <v>1560</v>
      </c>
      <c r="B185" s="1601"/>
      <c r="C185" s="1601"/>
      <c r="D185" s="1601"/>
      <c r="E185" s="1601"/>
      <c r="F185" s="1801"/>
      <c r="G185" s="557">
        <f>SUM(F181:F184)</f>
        <v>0</v>
      </c>
    </row>
    <row r="186" spans="1:7" ht="13.5" hidden="1" customHeight="1">
      <c r="A186" s="621" t="s">
        <v>1563</v>
      </c>
      <c r="B186" s="619"/>
      <c r="C186" s="619"/>
      <c r="D186" s="619"/>
      <c r="E186" s="619"/>
      <c r="F186" s="619"/>
      <c r="G186" s="624"/>
    </row>
    <row r="187" spans="1:7" ht="13.5" hidden="1" customHeight="1">
      <c r="A187" s="1965" t="s">
        <v>1556</v>
      </c>
      <c r="B187" s="1801"/>
      <c r="C187" s="530" t="s">
        <v>6</v>
      </c>
      <c r="D187" s="530" t="s">
        <v>1562</v>
      </c>
      <c r="E187" s="530" t="s">
        <v>7</v>
      </c>
      <c r="F187" s="530" t="s">
        <v>1559</v>
      </c>
      <c r="G187" s="552"/>
    </row>
    <row r="188" spans="1:7" ht="13.5" hidden="1" customHeight="1">
      <c r="A188" s="1987" t="str">
        <f>+'LISTADO EQUIPOS'!$C$124</f>
        <v>VOLQUETA   (4.2 - 5)M3.</v>
      </c>
      <c r="B188" s="1967"/>
      <c r="C188" s="625" t="str">
        <f>+'LISTADO EQUIPOS'!$D$124</f>
        <v>VJ</v>
      </c>
      <c r="D188" s="582">
        <f>+'LISTADO EQUIPOS'!$E$124</f>
        <v>80000</v>
      </c>
      <c r="E188" s="626">
        <v>0.2</v>
      </c>
      <c r="F188" s="627">
        <f t="shared" ref="F188:F189" si="8">D188*E188</f>
        <v>16000</v>
      </c>
      <c r="G188" s="583"/>
    </row>
    <row r="189" spans="1:7" ht="13.5" hidden="1" customHeight="1">
      <c r="A189" s="1993"/>
      <c r="B189" s="1819"/>
      <c r="C189" s="625"/>
      <c r="D189" s="625"/>
      <c r="E189" s="588"/>
      <c r="F189" s="623">
        <f t="shared" si="8"/>
        <v>0</v>
      </c>
      <c r="G189" s="629"/>
    </row>
    <row r="190" spans="1:7" ht="13.5" hidden="1" customHeight="1">
      <c r="A190" s="1969" t="s">
        <v>1560</v>
      </c>
      <c r="B190" s="1601"/>
      <c r="C190" s="1601"/>
      <c r="D190" s="1601"/>
      <c r="E190" s="1601"/>
      <c r="F190" s="1801"/>
      <c r="G190" s="557">
        <f>SUM(F188:F189)</f>
        <v>16000</v>
      </c>
    </row>
    <row r="191" spans="1:7" ht="13.5" hidden="1" customHeight="1">
      <c r="A191" s="621" t="s">
        <v>1564</v>
      </c>
      <c r="B191" s="619"/>
      <c r="C191" s="619"/>
      <c r="D191" s="619"/>
      <c r="E191" s="619"/>
      <c r="F191" s="619"/>
      <c r="G191" s="624"/>
    </row>
    <row r="192" spans="1:7" ht="13.5" hidden="1" customHeight="1">
      <c r="A192" s="1965" t="s">
        <v>1565</v>
      </c>
      <c r="B192" s="1801"/>
      <c r="C192" s="424" t="s">
        <v>1566</v>
      </c>
      <c r="D192" s="530" t="s">
        <v>7</v>
      </c>
      <c r="E192" s="530" t="s">
        <v>1558</v>
      </c>
      <c r="F192" s="530" t="s">
        <v>1559</v>
      </c>
      <c r="G192" s="557"/>
    </row>
    <row r="193" spans="1:7" ht="13.5" hidden="1" customHeight="1">
      <c r="A193" s="1983" t="str">
        <f>+'MANO DE OBRA'!$A$65</f>
        <v>Ayudante (Incl. Prestaciones)</v>
      </c>
      <c r="B193" s="1888"/>
      <c r="C193" s="558">
        <f>+'MANO DE OBRA'!$E$65</f>
        <v>10972.8125</v>
      </c>
      <c r="D193" s="559">
        <v>2</v>
      </c>
      <c r="E193" s="559">
        <v>1.1672788544734987</v>
      </c>
      <c r="F193" s="578">
        <f>+(C193*D193)*E193</f>
        <v>25616.664010704975</v>
      </c>
      <c r="G193" s="583"/>
    </row>
    <row r="194" spans="1:7" ht="13.5" hidden="1" customHeight="1">
      <c r="A194" s="1984"/>
      <c r="B194" s="1819"/>
      <c r="C194" s="613"/>
      <c r="D194" s="614"/>
      <c r="E194" s="615"/>
      <c r="F194" s="635"/>
      <c r="G194" s="589"/>
    </row>
    <row r="195" spans="1:7" ht="13.5" hidden="1" customHeight="1">
      <c r="A195" s="1969" t="str">
        <f>+A190</f>
        <v>SUB-TOTAL</v>
      </c>
      <c r="B195" s="1601"/>
      <c r="C195" s="1601"/>
      <c r="D195" s="1601"/>
      <c r="E195" s="1601"/>
      <c r="F195" s="1801"/>
      <c r="G195" s="557">
        <f>SUM(F193:F194)</f>
        <v>25616.664010704975</v>
      </c>
    </row>
    <row r="196" spans="1:7" ht="11.25" hidden="1" customHeight="1">
      <c r="A196" s="618"/>
      <c r="B196" s="619"/>
      <c r="C196" s="619"/>
      <c r="D196" s="619"/>
      <c r="E196" s="619"/>
      <c r="F196" s="630"/>
      <c r="G196" s="624"/>
    </row>
    <row r="197" spans="1:7" ht="13.5" hidden="1" customHeight="1">
      <c r="A197" s="1969" t="s">
        <v>1567</v>
      </c>
      <c r="B197" s="1601"/>
      <c r="C197" s="1601"/>
      <c r="D197" s="1601"/>
      <c r="E197" s="1601"/>
      <c r="F197" s="1801"/>
      <c r="G197" s="607">
        <f>ROUND(G178+G185+G190+G195,0)</f>
        <v>117023</v>
      </c>
    </row>
    <row r="198" spans="1:7" ht="13.5" hidden="1" customHeight="1">
      <c r="A198" s="617"/>
      <c r="B198" s="1"/>
      <c r="C198" s="1"/>
      <c r="D198" s="1"/>
      <c r="E198" s="1"/>
      <c r="F198" s="1"/>
      <c r="G198" s="1"/>
    </row>
    <row r="199" spans="1:7" ht="13.5" hidden="1" customHeight="1">
      <c r="A199" s="616"/>
      <c r="B199" s="162"/>
      <c r="C199" s="162"/>
      <c r="D199" s="162"/>
      <c r="E199" s="162"/>
      <c r="F199" s="162"/>
      <c r="G199" s="162"/>
    </row>
    <row r="200" spans="1:7" ht="27" hidden="1" customHeight="1">
      <c r="A200" s="1994" t="e">
        <f>+'ANALISIS BASICOS'!$A$7</f>
        <v>#REF!</v>
      </c>
      <c r="B200" s="1616"/>
      <c r="C200" s="1624"/>
      <c r="D200" s="567"/>
      <c r="E200" s="568"/>
      <c r="F200" s="568"/>
      <c r="G200" s="569"/>
    </row>
    <row r="201" spans="1:7" ht="24" hidden="1" customHeight="1">
      <c r="A201" s="1971"/>
      <c r="B201" s="1817"/>
      <c r="C201" s="1972"/>
      <c r="D201" s="570"/>
      <c r="E201" s="570"/>
      <c r="F201" s="570"/>
      <c r="G201" s="571"/>
    </row>
    <row r="202" spans="1:7" ht="13.5" hidden="1" customHeight="1">
      <c r="A202" s="618"/>
      <c r="B202" s="619"/>
      <c r="C202" s="619"/>
      <c r="D202" s="619"/>
      <c r="E202" s="619"/>
      <c r="F202" s="619"/>
      <c r="G202" s="619"/>
    </row>
    <row r="203" spans="1:7" ht="51" hidden="1" customHeight="1">
      <c r="A203" s="1991" t="e">
        <f>A10</f>
        <v>#REF!</v>
      </c>
      <c r="B203" s="1601"/>
      <c r="C203" s="1602"/>
      <c r="D203" s="1974" t="s">
        <v>1625</v>
      </c>
      <c r="E203" s="1601"/>
      <c r="F203" s="1601"/>
      <c r="G203" s="1602"/>
    </row>
    <row r="204" spans="1:7" ht="13.5" hidden="1" customHeight="1">
      <c r="A204" s="620"/>
      <c r="B204" s="620"/>
      <c r="C204" s="620"/>
      <c r="D204" s="620"/>
      <c r="E204" s="620"/>
      <c r="F204" s="620"/>
      <c r="G204" s="620"/>
    </row>
    <row r="205" spans="1:7" ht="12.75" hidden="1" customHeight="1">
      <c r="A205" s="572"/>
      <c r="B205" s="619"/>
      <c r="C205" s="162"/>
      <c r="D205" s="421" t="s">
        <v>1553</v>
      </c>
      <c r="E205" s="422" t="s">
        <v>116</v>
      </c>
      <c r="F205" s="572"/>
      <c r="G205" s="572"/>
    </row>
    <row r="206" spans="1:7" ht="13.5" hidden="1" customHeight="1">
      <c r="A206" s="621" t="s">
        <v>1555</v>
      </c>
      <c r="B206" s="619"/>
      <c r="C206" s="619"/>
      <c r="D206" s="619"/>
      <c r="E206" s="619"/>
      <c r="F206" s="619"/>
      <c r="G206" s="619"/>
    </row>
    <row r="207" spans="1:7" ht="13.5" hidden="1" customHeight="1">
      <c r="A207" s="1975" t="s">
        <v>1556</v>
      </c>
      <c r="B207" s="1601"/>
      <c r="C207" s="1801"/>
      <c r="D207" s="530" t="s">
        <v>208</v>
      </c>
      <c r="E207" s="530" t="s">
        <v>1558</v>
      </c>
      <c r="F207" s="424" t="s">
        <v>1559</v>
      </c>
      <c r="G207" s="531"/>
    </row>
    <row r="208" spans="1:7" ht="12.75" hidden="1" customHeight="1">
      <c r="A208" s="1987" t="str">
        <f>+'LISTADO EQUIPOS'!$C$11</f>
        <v>COMPRESOR 210 CFM-1 MARTILLO. 90 libras (Tipo Kaeser)</v>
      </c>
      <c r="B208" s="1811"/>
      <c r="C208" s="1967"/>
      <c r="D208" s="582">
        <f>+'LISTADO EQUIPOS'!$E$11</f>
        <v>60000</v>
      </c>
      <c r="E208" s="610">
        <v>3</v>
      </c>
      <c r="F208" s="604">
        <f>+E208*D208</f>
        <v>180000</v>
      </c>
      <c r="G208" s="594"/>
    </row>
    <row r="209" spans="1:7" ht="13.5" hidden="1" customHeight="1">
      <c r="A209" s="1996" t="str">
        <f>+'LISTADO EQUIPOS'!$C$22</f>
        <v>HERRAMIENTA MENOR.</v>
      </c>
      <c r="B209" s="1807"/>
      <c r="C209" s="1819"/>
      <c r="D209" s="588">
        <f>+'LISTADO EQUIPOS'!$E$22/8</f>
        <v>2850</v>
      </c>
      <c r="E209" s="622">
        <f>+E225</f>
        <v>2.8287121367951471</v>
      </c>
      <c r="F209" s="623">
        <f>+D209*E209</f>
        <v>8061.829589866169</v>
      </c>
      <c r="G209" s="596"/>
    </row>
    <row r="210" spans="1:7" ht="13.5" hidden="1" customHeight="1">
      <c r="A210" s="1969" t="s">
        <v>1560</v>
      </c>
      <c r="B210" s="1601"/>
      <c r="C210" s="1601"/>
      <c r="D210" s="1601"/>
      <c r="E210" s="1601"/>
      <c r="F210" s="1801"/>
      <c r="G210" s="557">
        <f>SUM(F208:F209)</f>
        <v>188061.82958986616</v>
      </c>
    </row>
    <row r="211" spans="1:7" ht="13.5" hidden="1" customHeight="1">
      <c r="A211" s="621" t="s">
        <v>1561</v>
      </c>
      <c r="B211" s="619"/>
      <c r="C211" s="619"/>
      <c r="D211" s="619"/>
      <c r="E211" s="619"/>
      <c r="F211" s="619"/>
      <c r="G211" s="619"/>
    </row>
    <row r="212" spans="1:7" ht="13.5" hidden="1" customHeight="1">
      <c r="A212" s="1975" t="s">
        <v>1556</v>
      </c>
      <c r="B212" s="1801"/>
      <c r="C212" s="424" t="s">
        <v>6</v>
      </c>
      <c r="D212" s="424" t="s">
        <v>1562</v>
      </c>
      <c r="E212" s="424" t="s">
        <v>7</v>
      </c>
      <c r="F212" s="424" t="s">
        <v>1559</v>
      </c>
      <c r="G212" s="531"/>
    </row>
    <row r="213" spans="1:7" ht="13.5" hidden="1" customHeight="1">
      <c r="A213" s="1976"/>
      <c r="B213" s="1967"/>
      <c r="C213" s="581"/>
      <c r="D213" s="582"/>
      <c r="E213" s="581"/>
      <c r="F213" s="582"/>
      <c r="G213" s="594"/>
    </row>
    <row r="214" spans="1:7" ht="15" hidden="1" customHeight="1">
      <c r="A214" s="1977"/>
      <c r="B214" s="1611"/>
      <c r="C214" s="584"/>
      <c r="D214" s="585"/>
      <c r="E214" s="584"/>
      <c r="F214" s="585"/>
      <c r="G214" s="595"/>
    </row>
    <row r="215" spans="1:7" ht="13.5" hidden="1" customHeight="1">
      <c r="A215" s="1977"/>
      <c r="B215" s="1611"/>
      <c r="C215" s="584"/>
      <c r="D215" s="585"/>
      <c r="E215" s="584"/>
      <c r="F215" s="585"/>
      <c r="G215" s="595"/>
    </row>
    <row r="216" spans="1:7" ht="13.5" hidden="1" customHeight="1">
      <c r="A216" s="1978"/>
      <c r="B216" s="1819"/>
      <c r="C216" s="587"/>
      <c r="D216" s="588"/>
      <c r="E216" s="587"/>
      <c r="F216" s="588"/>
      <c r="G216" s="596"/>
    </row>
    <row r="217" spans="1:7" ht="13.5" hidden="1" customHeight="1">
      <c r="A217" s="1969" t="s">
        <v>1560</v>
      </c>
      <c r="B217" s="1601"/>
      <c r="C217" s="1601"/>
      <c r="D217" s="1601"/>
      <c r="E217" s="1601"/>
      <c r="F217" s="1801"/>
      <c r="G217" s="631"/>
    </row>
    <row r="218" spans="1:7" ht="13.5" hidden="1" customHeight="1">
      <c r="A218" s="621" t="s">
        <v>1563</v>
      </c>
      <c r="B218" s="619"/>
      <c r="C218" s="619"/>
      <c r="D218" s="619"/>
      <c r="E218" s="619"/>
      <c r="F218" s="619"/>
      <c r="G218" s="619"/>
    </row>
    <row r="219" spans="1:7" ht="13.5" hidden="1" customHeight="1">
      <c r="A219" s="1965" t="s">
        <v>1556</v>
      </c>
      <c r="B219" s="1801"/>
      <c r="C219" s="530" t="s">
        <v>6</v>
      </c>
      <c r="D219" s="530" t="s">
        <v>1562</v>
      </c>
      <c r="E219" s="530" t="s">
        <v>7</v>
      </c>
      <c r="F219" s="530" t="s">
        <v>1559</v>
      </c>
      <c r="G219" s="597"/>
    </row>
    <row r="220" spans="1:7" ht="13.5" hidden="1" customHeight="1">
      <c r="A220" s="1987" t="str">
        <f>+'LISTADO EQUIPOS'!$C$124</f>
        <v>VOLQUETA   (4.2 - 5)M3.</v>
      </c>
      <c r="B220" s="1967"/>
      <c r="C220" s="625" t="str">
        <f>+'LISTADO EQUIPOS'!$D$124</f>
        <v>VJ</v>
      </c>
      <c r="D220" s="582">
        <f>+'LISTADO EQUIPOS'!$E$124</f>
        <v>80000</v>
      </c>
      <c r="E220" s="626">
        <v>0.2</v>
      </c>
      <c r="F220" s="627">
        <f t="shared" ref="F220:F221" si="9">D220*E220</f>
        <v>16000</v>
      </c>
      <c r="G220" s="594"/>
    </row>
    <row r="221" spans="1:7" ht="13.5" hidden="1" customHeight="1">
      <c r="A221" s="1993"/>
      <c r="B221" s="1819"/>
      <c r="C221" s="625"/>
      <c r="D221" s="625"/>
      <c r="E221" s="588"/>
      <c r="F221" s="623">
        <f t="shared" si="9"/>
        <v>0</v>
      </c>
      <c r="G221" s="632"/>
    </row>
    <row r="222" spans="1:7" ht="13.5" hidden="1" customHeight="1">
      <c r="A222" s="1969" t="s">
        <v>1560</v>
      </c>
      <c r="B222" s="1601"/>
      <c r="C222" s="1601"/>
      <c r="D222" s="1601"/>
      <c r="E222" s="1601"/>
      <c r="F222" s="1801"/>
      <c r="G222" s="557">
        <f>SUM(F220:F221)</f>
        <v>16000</v>
      </c>
    </row>
    <row r="223" spans="1:7" ht="13.5" hidden="1" customHeight="1">
      <c r="A223" s="621" t="s">
        <v>1564</v>
      </c>
      <c r="B223" s="619"/>
      <c r="C223" s="619"/>
      <c r="D223" s="619"/>
      <c r="E223" s="619"/>
      <c r="F223" s="619"/>
      <c r="G223" s="619"/>
    </row>
    <row r="224" spans="1:7" ht="13.5" hidden="1" customHeight="1">
      <c r="A224" s="1965" t="s">
        <v>1565</v>
      </c>
      <c r="B224" s="1801"/>
      <c r="C224" s="424" t="s">
        <v>1566</v>
      </c>
      <c r="D224" s="530" t="s">
        <v>7</v>
      </c>
      <c r="E224" s="530" t="s">
        <v>1558</v>
      </c>
      <c r="F224" s="530" t="s">
        <v>1559</v>
      </c>
      <c r="G224" s="599"/>
    </row>
    <row r="225" spans="1:7" ht="13.5" hidden="1" customHeight="1">
      <c r="A225" s="1983" t="str">
        <f>+'MANO DE OBRA'!$A$65</f>
        <v>Ayudante (Incl. Prestaciones)</v>
      </c>
      <c r="B225" s="1888"/>
      <c r="C225" s="558">
        <f>+'MANO DE OBRA'!$E$65</f>
        <v>10972.8125</v>
      </c>
      <c r="D225" s="559">
        <v>2</v>
      </c>
      <c r="E225" s="559">
        <v>2.8287121367951471</v>
      </c>
      <c r="F225" s="578">
        <f>+(C225*D225)*E225</f>
        <v>62077.855787054999</v>
      </c>
      <c r="G225" s="594"/>
    </row>
    <row r="226" spans="1:7" ht="13.5" hidden="1" customHeight="1">
      <c r="A226" s="1984"/>
      <c r="B226" s="1819"/>
      <c r="C226" s="613"/>
      <c r="D226" s="614"/>
      <c r="E226" s="615"/>
      <c r="F226" s="635"/>
      <c r="G226" s="596"/>
    </row>
    <row r="227" spans="1:7" ht="13.5" hidden="1" customHeight="1">
      <c r="A227" s="1969" t="str">
        <f>+A222</f>
        <v>SUB-TOTAL</v>
      </c>
      <c r="B227" s="1601"/>
      <c r="C227" s="1601"/>
      <c r="D227" s="1601"/>
      <c r="E227" s="1601"/>
      <c r="F227" s="1801"/>
      <c r="G227" s="557">
        <f>SUM(F225:F226)</f>
        <v>62077.855787054999</v>
      </c>
    </row>
    <row r="228" spans="1:7" ht="11.25" hidden="1" customHeight="1">
      <c r="A228" s="618"/>
      <c r="B228" s="619"/>
      <c r="C228" s="619"/>
      <c r="D228" s="619"/>
      <c r="E228" s="619"/>
      <c r="F228" s="630"/>
      <c r="G228" s="624"/>
    </row>
    <row r="229" spans="1:7" ht="13.5" hidden="1" customHeight="1">
      <c r="A229" s="1969" t="s">
        <v>1567</v>
      </c>
      <c r="B229" s="1601"/>
      <c r="C229" s="1601"/>
      <c r="D229" s="1601"/>
      <c r="E229" s="1601"/>
      <c r="F229" s="1801"/>
      <c r="G229" s="607">
        <f>ROUND(G210+G217+G222+G227,0)</f>
        <v>266140</v>
      </c>
    </row>
    <row r="230" spans="1:7" ht="13.5" hidden="1" customHeight="1">
      <c r="A230" s="616"/>
      <c r="B230" s="162"/>
      <c r="C230" s="162"/>
      <c r="D230" s="162"/>
      <c r="E230" s="162"/>
      <c r="F230" s="162"/>
      <c r="G230" s="162"/>
    </row>
    <row r="231" spans="1:7" ht="13.5" hidden="1" customHeight="1">
      <c r="A231" s="616"/>
      <c r="B231" s="162"/>
      <c r="C231" s="162"/>
      <c r="D231" s="162"/>
      <c r="E231" s="162"/>
      <c r="F231" s="162"/>
      <c r="G231" s="162"/>
    </row>
    <row r="232" spans="1:7" ht="27" hidden="1" customHeight="1">
      <c r="A232" s="1994" t="e">
        <f>+'ANALISIS BASICOS'!$A$7</f>
        <v>#REF!</v>
      </c>
      <c r="B232" s="1616"/>
      <c r="C232" s="1624"/>
      <c r="D232" s="567"/>
      <c r="E232" s="568"/>
      <c r="F232" s="568"/>
      <c r="G232" s="569"/>
    </row>
    <row r="233" spans="1:7" ht="14.25" hidden="1" customHeight="1">
      <c r="A233" s="1971"/>
      <c r="B233" s="1817"/>
      <c r="C233" s="1972"/>
      <c r="D233" s="570"/>
      <c r="E233" s="570"/>
      <c r="F233" s="570"/>
      <c r="G233" s="571"/>
    </row>
    <row r="234" spans="1:7" ht="13.5" hidden="1" customHeight="1">
      <c r="A234" s="618"/>
      <c r="B234" s="619"/>
      <c r="C234" s="619"/>
      <c r="D234" s="619"/>
      <c r="E234" s="619"/>
      <c r="F234" s="619"/>
      <c r="G234" s="619"/>
    </row>
    <row r="235" spans="1:7" ht="48" hidden="1" customHeight="1">
      <c r="A235" s="1991" t="e">
        <f>A10</f>
        <v>#REF!</v>
      </c>
      <c r="B235" s="1601"/>
      <c r="C235" s="1602"/>
      <c r="D235" s="1974" t="s">
        <v>1626</v>
      </c>
      <c r="E235" s="1601"/>
      <c r="F235" s="1601"/>
      <c r="G235" s="1602"/>
    </row>
    <row r="236" spans="1:7" ht="13.5" hidden="1" customHeight="1">
      <c r="A236" s="620"/>
      <c r="B236" s="620"/>
      <c r="C236" s="620"/>
      <c r="D236" s="620"/>
      <c r="E236" s="620"/>
      <c r="F236" s="620"/>
      <c r="G236" s="620"/>
    </row>
    <row r="237" spans="1:7" ht="12.75" hidden="1" customHeight="1">
      <c r="A237" s="572"/>
      <c r="B237" s="619"/>
      <c r="C237" s="162"/>
      <c r="D237" s="421" t="s">
        <v>1553</v>
      </c>
      <c r="E237" s="422" t="s">
        <v>116</v>
      </c>
      <c r="F237" s="572"/>
      <c r="G237" s="572"/>
    </row>
    <row r="238" spans="1:7" ht="13.5" hidden="1" customHeight="1">
      <c r="A238" s="621" t="s">
        <v>1555</v>
      </c>
      <c r="B238" s="619"/>
      <c r="C238" s="619"/>
      <c r="D238" s="619"/>
      <c r="E238" s="619"/>
      <c r="F238" s="619"/>
      <c r="G238" s="619"/>
    </row>
    <row r="239" spans="1:7" ht="13.5" hidden="1" customHeight="1">
      <c r="A239" s="1975" t="s">
        <v>1556</v>
      </c>
      <c r="B239" s="1601"/>
      <c r="C239" s="1801"/>
      <c r="D239" s="530" t="s">
        <v>208</v>
      </c>
      <c r="E239" s="530" t="s">
        <v>1558</v>
      </c>
      <c r="F239" s="424" t="s">
        <v>1559</v>
      </c>
      <c r="G239" s="531"/>
    </row>
    <row r="240" spans="1:7" ht="12.75" hidden="1" customHeight="1">
      <c r="A240" s="1987" t="str">
        <f>+'LISTADO EQUIPOS'!$C$10</f>
        <v>COMPRESOR (185-250) CFM-2 MARTILLOS</v>
      </c>
      <c r="B240" s="1811"/>
      <c r="C240" s="1967"/>
      <c r="D240" s="582">
        <f>+'LISTADO EQUIPOS'!$E$10</f>
        <v>84000</v>
      </c>
      <c r="E240" s="610">
        <v>0.5</v>
      </c>
      <c r="F240" s="604">
        <f>+E240*D240</f>
        <v>42000</v>
      </c>
      <c r="G240" s="594"/>
    </row>
    <row r="241" spans="1:7" ht="13.5" hidden="1" customHeight="1">
      <c r="A241" s="1996" t="str">
        <f>+'LISTADO EQUIPOS'!$C$22</f>
        <v>HERRAMIENTA MENOR.</v>
      </c>
      <c r="B241" s="1807"/>
      <c r="C241" s="1819"/>
      <c r="D241" s="588">
        <f>+'LISTADO EQUIPOS'!$E$22/8</f>
        <v>2850</v>
      </c>
      <c r="E241" s="622">
        <f>+E257</f>
        <v>2.95</v>
      </c>
      <c r="F241" s="623">
        <f>+D241*E241</f>
        <v>8407.5</v>
      </c>
      <c r="G241" s="596"/>
    </row>
    <row r="242" spans="1:7" ht="13.5" hidden="1" customHeight="1">
      <c r="A242" s="1969" t="s">
        <v>1560</v>
      </c>
      <c r="B242" s="1601"/>
      <c r="C242" s="1601"/>
      <c r="D242" s="1601"/>
      <c r="E242" s="1601"/>
      <c r="F242" s="1801"/>
      <c r="G242" s="557">
        <f>SUM(F240:F241)</f>
        <v>50407.5</v>
      </c>
    </row>
    <row r="243" spans="1:7" ht="13.5" hidden="1" customHeight="1">
      <c r="A243" s="621" t="s">
        <v>1561</v>
      </c>
      <c r="B243" s="619"/>
      <c r="C243" s="619"/>
      <c r="D243" s="619"/>
      <c r="E243" s="619"/>
      <c r="F243" s="619"/>
      <c r="G243" s="619"/>
    </row>
    <row r="244" spans="1:7" ht="13.5" hidden="1" customHeight="1">
      <c r="A244" s="1975" t="s">
        <v>1556</v>
      </c>
      <c r="B244" s="1801"/>
      <c r="C244" s="424" t="s">
        <v>6</v>
      </c>
      <c r="D244" s="424" t="s">
        <v>1562</v>
      </c>
      <c r="E244" s="424" t="s">
        <v>7</v>
      </c>
      <c r="F244" s="424" t="s">
        <v>1559</v>
      </c>
      <c r="G244" s="531"/>
    </row>
    <row r="245" spans="1:7" ht="13.5" hidden="1" customHeight="1">
      <c r="A245" s="1976"/>
      <c r="B245" s="1967"/>
      <c r="C245" s="581"/>
      <c r="D245" s="582"/>
      <c r="E245" s="581"/>
      <c r="F245" s="582"/>
      <c r="G245" s="594"/>
    </row>
    <row r="246" spans="1:7" ht="15" hidden="1" customHeight="1">
      <c r="A246" s="1977"/>
      <c r="B246" s="1611"/>
      <c r="C246" s="584"/>
      <c r="D246" s="585"/>
      <c r="E246" s="584"/>
      <c r="F246" s="585"/>
      <c r="G246" s="595"/>
    </row>
    <row r="247" spans="1:7" ht="13.5" hidden="1" customHeight="1">
      <c r="A247" s="1977"/>
      <c r="B247" s="1611"/>
      <c r="C247" s="584"/>
      <c r="D247" s="585"/>
      <c r="E247" s="584"/>
      <c r="F247" s="585"/>
      <c r="G247" s="595"/>
    </row>
    <row r="248" spans="1:7" ht="13.5" hidden="1" customHeight="1">
      <c r="A248" s="1978"/>
      <c r="B248" s="1819"/>
      <c r="C248" s="587"/>
      <c r="D248" s="588"/>
      <c r="E248" s="587"/>
      <c r="F248" s="588"/>
      <c r="G248" s="596"/>
    </row>
    <row r="249" spans="1:7" ht="13.5" hidden="1" customHeight="1">
      <c r="A249" s="1969" t="s">
        <v>1560</v>
      </c>
      <c r="B249" s="1601"/>
      <c r="C249" s="1601"/>
      <c r="D249" s="1601"/>
      <c r="E249" s="1601"/>
      <c r="F249" s="1801"/>
      <c r="G249" s="631"/>
    </row>
    <row r="250" spans="1:7" ht="13.5" hidden="1" customHeight="1">
      <c r="A250" s="621" t="s">
        <v>1563</v>
      </c>
      <c r="B250" s="619"/>
      <c r="C250" s="619"/>
      <c r="D250" s="619"/>
      <c r="E250" s="619"/>
      <c r="F250" s="619"/>
      <c r="G250" s="619"/>
    </row>
    <row r="251" spans="1:7" ht="13.5" hidden="1" customHeight="1">
      <c r="A251" s="1965" t="s">
        <v>1556</v>
      </c>
      <c r="B251" s="1801"/>
      <c r="C251" s="530" t="s">
        <v>6</v>
      </c>
      <c r="D251" s="530" t="s">
        <v>1562</v>
      </c>
      <c r="E251" s="530" t="s">
        <v>7</v>
      </c>
      <c r="F251" s="530" t="s">
        <v>1559</v>
      </c>
      <c r="G251" s="597"/>
    </row>
    <row r="252" spans="1:7" ht="13.5" hidden="1" customHeight="1">
      <c r="A252" s="1987" t="str">
        <f>+'LISTADO EQUIPOS'!$C$124</f>
        <v>VOLQUETA   (4.2 - 5)M3.</v>
      </c>
      <c r="B252" s="1967"/>
      <c r="C252" s="625" t="str">
        <f>+'LISTADO EQUIPOS'!$D$124</f>
        <v>VJ</v>
      </c>
      <c r="D252" s="582">
        <f>+'LISTADO EQUIPOS'!$E$124</f>
        <v>80000</v>
      </c>
      <c r="E252" s="626">
        <v>0.2</v>
      </c>
      <c r="F252" s="627">
        <f t="shared" ref="F252:F253" si="10">D252*E252</f>
        <v>16000</v>
      </c>
      <c r="G252" s="594"/>
    </row>
    <row r="253" spans="1:7" ht="13.5" hidden="1" customHeight="1">
      <c r="A253" s="1993"/>
      <c r="B253" s="1819"/>
      <c r="C253" s="625"/>
      <c r="D253" s="625"/>
      <c r="E253" s="588"/>
      <c r="F253" s="623">
        <f t="shared" si="10"/>
        <v>0</v>
      </c>
      <c r="G253" s="632"/>
    </row>
    <row r="254" spans="1:7" ht="13.5" hidden="1" customHeight="1">
      <c r="A254" s="1969" t="s">
        <v>1560</v>
      </c>
      <c r="B254" s="1601"/>
      <c r="C254" s="1601"/>
      <c r="D254" s="1601"/>
      <c r="E254" s="1601"/>
      <c r="F254" s="1801"/>
      <c r="G254" s="557">
        <f>SUM(F252:F253)</f>
        <v>16000</v>
      </c>
    </row>
    <row r="255" spans="1:7" ht="13.5" hidden="1" customHeight="1">
      <c r="A255" s="621" t="s">
        <v>1564</v>
      </c>
      <c r="B255" s="619"/>
      <c r="C255" s="619"/>
      <c r="D255" s="619"/>
      <c r="E255" s="619"/>
      <c r="F255" s="619"/>
      <c r="G255" s="624"/>
    </row>
    <row r="256" spans="1:7" ht="13.5" hidden="1" customHeight="1">
      <c r="A256" s="1965" t="s">
        <v>1565</v>
      </c>
      <c r="B256" s="1801"/>
      <c r="C256" s="424" t="s">
        <v>1566</v>
      </c>
      <c r="D256" s="530" t="s">
        <v>7</v>
      </c>
      <c r="E256" s="530" t="s">
        <v>1558</v>
      </c>
      <c r="F256" s="530" t="s">
        <v>1559</v>
      </c>
      <c r="G256" s="557"/>
    </row>
    <row r="257" spans="1:7" ht="13.5" hidden="1" customHeight="1">
      <c r="A257" s="1983" t="str">
        <f>+'MANO DE OBRA'!$A$65</f>
        <v>Ayudante (Incl. Prestaciones)</v>
      </c>
      <c r="B257" s="1888"/>
      <c r="C257" s="558">
        <f>+'MANO DE OBRA'!$E$65</f>
        <v>10972.8125</v>
      </c>
      <c r="D257" s="559">
        <v>2</v>
      </c>
      <c r="E257" s="559">
        <v>2.95</v>
      </c>
      <c r="F257" s="578">
        <f>+(C257*D257)*E257</f>
        <v>64739.593750000007</v>
      </c>
      <c r="G257" s="583"/>
    </row>
    <row r="258" spans="1:7" ht="13.5" hidden="1" customHeight="1">
      <c r="A258" s="1984"/>
      <c r="B258" s="1819"/>
      <c r="C258" s="613"/>
      <c r="D258" s="614"/>
      <c r="E258" s="615"/>
      <c r="F258" s="635"/>
      <c r="G258" s="589"/>
    </row>
    <row r="259" spans="1:7" ht="13.5" hidden="1" customHeight="1">
      <c r="A259" s="1969" t="str">
        <f>+A254</f>
        <v>SUB-TOTAL</v>
      </c>
      <c r="B259" s="1601"/>
      <c r="C259" s="1601"/>
      <c r="D259" s="1601"/>
      <c r="E259" s="1601"/>
      <c r="F259" s="1801"/>
      <c r="G259" s="557">
        <f>SUM(F257:F258)</f>
        <v>64739.593750000007</v>
      </c>
    </row>
    <row r="260" spans="1:7" ht="11.25" hidden="1" customHeight="1">
      <c r="A260" s="618"/>
      <c r="B260" s="619"/>
      <c r="C260" s="619"/>
      <c r="D260" s="619"/>
      <c r="E260" s="619"/>
      <c r="F260" s="630"/>
      <c r="G260" s="624"/>
    </row>
    <row r="261" spans="1:7" ht="13.5" hidden="1" customHeight="1">
      <c r="A261" s="1969" t="s">
        <v>1567</v>
      </c>
      <c r="B261" s="1601"/>
      <c r="C261" s="1601"/>
      <c r="D261" s="1601"/>
      <c r="E261" s="1601"/>
      <c r="F261" s="1801"/>
      <c r="G261" s="607">
        <f>ROUND(G242+G249+G254+G259,0)</f>
        <v>131147</v>
      </c>
    </row>
    <row r="262" spans="1:7" ht="13.5" hidden="1" customHeight="1">
      <c r="A262" s="616"/>
      <c r="B262" s="162"/>
      <c r="C262" s="162"/>
      <c r="D262" s="162"/>
      <c r="E262" s="162"/>
      <c r="F262" s="162"/>
      <c r="G262" s="162"/>
    </row>
    <row r="263" spans="1:7" ht="13.5" hidden="1" customHeight="1">
      <c r="A263" s="616"/>
      <c r="B263" s="162"/>
      <c r="C263" s="162"/>
      <c r="D263" s="162"/>
      <c r="E263" s="162"/>
      <c r="F263" s="162"/>
      <c r="G263" s="162"/>
    </row>
    <row r="264" spans="1:7" ht="27" hidden="1" customHeight="1">
      <c r="A264" s="1994" t="e">
        <f>+'ANALISIS BASICOS'!$A$7</f>
        <v>#REF!</v>
      </c>
      <c r="B264" s="1616"/>
      <c r="C264" s="1624"/>
      <c r="D264" s="567"/>
      <c r="E264" s="568"/>
      <c r="F264" s="568"/>
      <c r="G264" s="569"/>
    </row>
    <row r="265" spans="1:7" ht="24" hidden="1" customHeight="1">
      <c r="A265" s="1971"/>
      <c r="B265" s="1817"/>
      <c r="C265" s="1972"/>
      <c r="D265" s="570"/>
      <c r="E265" s="570"/>
      <c r="F265" s="570"/>
      <c r="G265" s="571"/>
    </row>
    <row r="266" spans="1:7" ht="13.5" hidden="1" customHeight="1">
      <c r="A266" s="618"/>
      <c r="B266" s="619"/>
      <c r="C266" s="619"/>
      <c r="D266" s="619"/>
      <c r="E266" s="619"/>
      <c r="F266" s="619"/>
      <c r="G266" s="619"/>
    </row>
    <row r="267" spans="1:7" ht="45.75" hidden="1" customHeight="1">
      <c r="A267" s="1991" t="e">
        <f>A10</f>
        <v>#REF!</v>
      </c>
      <c r="B267" s="1601"/>
      <c r="C267" s="1602"/>
      <c r="D267" s="1974" t="s">
        <v>1627</v>
      </c>
      <c r="E267" s="1601"/>
      <c r="F267" s="1601"/>
      <c r="G267" s="1602"/>
    </row>
    <row r="268" spans="1:7" ht="13.5" hidden="1" customHeight="1">
      <c r="A268" s="620"/>
      <c r="B268" s="620"/>
      <c r="C268" s="620"/>
      <c r="D268" s="620"/>
      <c r="E268" s="620"/>
      <c r="F268" s="620"/>
      <c r="G268" s="620"/>
    </row>
    <row r="269" spans="1:7" ht="12.75" hidden="1" customHeight="1">
      <c r="A269" s="572"/>
      <c r="B269" s="619"/>
      <c r="C269" s="162"/>
      <c r="D269" s="421" t="s">
        <v>1553</v>
      </c>
      <c r="E269" s="422" t="s">
        <v>116</v>
      </c>
      <c r="F269" s="572"/>
      <c r="G269" s="572"/>
    </row>
    <row r="270" spans="1:7" ht="13.5" hidden="1" customHeight="1">
      <c r="A270" s="621" t="s">
        <v>1555</v>
      </c>
      <c r="B270" s="619"/>
      <c r="C270" s="619"/>
      <c r="D270" s="619"/>
      <c r="E270" s="619"/>
      <c r="F270" s="619"/>
      <c r="G270" s="619"/>
    </row>
    <row r="271" spans="1:7" ht="13.5" hidden="1" customHeight="1">
      <c r="A271" s="1975" t="s">
        <v>1556</v>
      </c>
      <c r="B271" s="1601"/>
      <c r="C271" s="1801"/>
      <c r="D271" s="530" t="s">
        <v>208</v>
      </c>
      <c r="E271" s="530" t="s">
        <v>1558</v>
      </c>
      <c r="F271" s="424" t="s">
        <v>1559</v>
      </c>
      <c r="G271" s="531"/>
    </row>
    <row r="272" spans="1:7" ht="12.75" hidden="1" customHeight="1">
      <c r="A272" s="1987" t="str">
        <f>+'LISTADO EQUIPOS'!$C$10</f>
        <v>COMPRESOR (185-250) CFM-2 MARTILLOS</v>
      </c>
      <c r="B272" s="1811"/>
      <c r="C272" s="1967"/>
      <c r="D272" s="582">
        <f>+'LISTADO EQUIPOS'!$E$10</f>
        <v>84000</v>
      </c>
      <c r="E272" s="610">
        <v>1</v>
      </c>
      <c r="F272" s="604">
        <f>+E272*D272</f>
        <v>84000</v>
      </c>
      <c r="G272" s="594"/>
    </row>
    <row r="273" spans="1:7" ht="13.5" hidden="1" customHeight="1">
      <c r="A273" s="1996" t="str">
        <f>+'LISTADO EQUIPOS'!$C$22</f>
        <v>HERRAMIENTA MENOR.</v>
      </c>
      <c r="B273" s="1807"/>
      <c r="C273" s="1819"/>
      <c r="D273" s="588">
        <f>+'LISTADO EQUIPOS'!$E$22/8</f>
        <v>2850</v>
      </c>
      <c r="E273" s="622">
        <f>+E289</f>
        <v>2.95</v>
      </c>
      <c r="F273" s="623">
        <f>+D273*E273</f>
        <v>8407.5</v>
      </c>
      <c r="G273" s="596"/>
    </row>
    <row r="274" spans="1:7" ht="13.5" hidden="1" customHeight="1">
      <c r="A274" s="1969" t="s">
        <v>1560</v>
      </c>
      <c r="B274" s="1601"/>
      <c r="C274" s="1601"/>
      <c r="D274" s="1601"/>
      <c r="E274" s="1601"/>
      <c r="F274" s="1801"/>
      <c r="G274" s="557">
        <f>SUM(F272:F273)</f>
        <v>92407.5</v>
      </c>
    </row>
    <row r="275" spans="1:7" ht="13.5" hidden="1" customHeight="1">
      <c r="A275" s="621" t="s">
        <v>1561</v>
      </c>
      <c r="B275" s="619"/>
      <c r="C275" s="619"/>
      <c r="D275" s="619"/>
      <c r="E275" s="619"/>
      <c r="F275" s="619"/>
      <c r="G275" s="624"/>
    </row>
    <row r="276" spans="1:7" ht="13.5" hidden="1" customHeight="1">
      <c r="A276" s="1975" t="s">
        <v>1556</v>
      </c>
      <c r="B276" s="1801"/>
      <c r="C276" s="424" t="s">
        <v>6</v>
      </c>
      <c r="D276" s="424" t="s">
        <v>1562</v>
      </c>
      <c r="E276" s="424" t="s">
        <v>7</v>
      </c>
      <c r="F276" s="424" t="s">
        <v>1559</v>
      </c>
      <c r="G276" s="541"/>
    </row>
    <row r="277" spans="1:7" ht="13.5" hidden="1" customHeight="1">
      <c r="A277" s="1976"/>
      <c r="B277" s="1967"/>
      <c r="C277" s="581"/>
      <c r="D277" s="582"/>
      <c r="E277" s="581"/>
      <c r="F277" s="582"/>
      <c r="G277" s="583"/>
    </row>
    <row r="278" spans="1:7" ht="15" hidden="1" customHeight="1">
      <c r="A278" s="1977"/>
      <c r="B278" s="1611"/>
      <c r="C278" s="584"/>
      <c r="D278" s="585"/>
      <c r="E278" s="584"/>
      <c r="F278" s="585"/>
      <c r="G278" s="586"/>
    </row>
    <row r="279" spans="1:7" ht="13.5" hidden="1" customHeight="1">
      <c r="A279" s="1977"/>
      <c r="B279" s="1611"/>
      <c r="C279" s="584"/>
      <c r="D279" s="585"/>
      <c r="E279" s="584"/>
      <c r="F279" s="585"/>
      <c r="G279" s="586"/>
    </row>
    <row r="280" spans="1:7" ht="13.5" hidden="1" customHeight="1">
      <c r="A280" s="1978"/>
      <c r="B280" s="1819"/>
      <c r="C280" s="587"/>
      <c r="D280" s="588"/>
      <c r="E280" s="587"/>
      <c r="F280" s="588"/>
      <c r="G280" s="589"/>
    </row>
    <row r="281" spans="1:7" ht="13.5" hidden="1" customHeight="1">
      <c r="A281" s="1969" t="s">
        <v>1560</v>
      </c>
      <c r="B281" s="1601"/>
      <c r="C281" s="1601"/>
      <c r="D281" s="1601"/>
      <c r="E281" s="1601"/>
      <c r="F281" s="1801"/>
      <c r="G281" s="557">
        <f>SUM(F277:F280)</f>
        <v>0</v>
      </c>
    </row>
    <row r="282" spans="1:7" ht="13.5" hidden="1" customHeight="1">
      <c r="A282" s="621" t="s">
        <v>1563</v>
      </c>
      <c r="B282" s="619"/>
      <c r="C282" s="619"/>
      <c r="D282" s="619"/>
      <c r="E282" s="619"/>
      <c r="F282" s="619"/>
      <c r="G282" s="624"/>
    </row>
    <row r="283" spans="1:7" ht="13.5" hidden="1" customHeight="1">
      <c r="A283" s="1965" t="s">
        <v>1556</v>
      </c>
      <c r="B283" s="1801"/>
      <c r="C283" s="530" t="s">
        <v>6</v>
      </c>
      <c r="D283" s="530" t="s">
        <v>1562</v>
      </c>
      <c r="E283" s="530" t="s">
        <v>7</v>
      </c>
      <c r="F283" s="530" t="s">
        <v>1559</v>
      </c>
      <c r="G283" s="552"/>
    </row>
    <row r="284" spans="1:7" ht="13.5" hidden="1" customHeight="1">
      <c r="A284" s="1987" t="str">
        <f>+'LISTADO EQUIPOS'!$C$124</f>
        <v>VOLQUETA   (4.2 - 5)M3.</v>
      </c>
      <c r="B284" s="1967"/>
      <c r="C284" s="625" t="str">
        <f>+'LISTADO EQUIPOS'!$D$124</f>
        <v>VJ</v>
      </c>
      <c r="D284" s="582">
        <f>+'LISTADO EQUIPOS'!$E$124</f>
        <v>80000</v>
      </c>
      <c r="E284" s="626">
        <v>0.2</v>
      </c>
      <c r="F284" s="627">
        <f t="shared" ref="F284:F285" si="11">D284*E284</f>
        <v>16000</v>
      </c>
      <c r="G284" s="583"/>
    </row>
    <row r="285" spans="1:7" ht="13.5" hidden="1" customHeight="1">
      <c r="A285" s="1993"/>
      <c r="B285" s="1819"/>
      <c r="C285" s="625"/>
      <c r="D285" s="625"/>
      <c r="E285" s="588"/>
      <c r="F285" s="623">
        <f t="shared" si="11"/>
        <v>0</v>
      </c>
      <c r="G285" s="629"/>
    </row>
    <row r="286" spans="1:7" ht="13.5" hidden="1" customHeight="1">
      <c r="A286" s="1969" t="s">
        <v>1560</v>
      </c>
      <c r="B286" s="1601"/>
      <c r="C286" s="1601"/>
      <c r="D286" s="1601"/>
      <c r="E286" s="1601"/>
      <c r="F286" s="1801"/>
      <c r="G286" s="557">
        <f>SUM(F284:F285)</f>
        <v>16000</v>
      </c>
    </row>
    <row r="287" spans="1:7" ht="13.5" hidden="1" customHeight="1">
      <c r="A287" s="621" t="s">
        <v>1564</v>
      </c>
      <c r="B287" s="619"/>
      <c r="C287" s="619"/>
      <c r="D287" s="619"/>
      <c r="E287" s="619"/>
      <c r="F287" s="619"/>
      <c r="G287" s="624"/>
    </row>
    <row r="288" spans="1:7" ht="13.5" hidden="1" customHeight="1">
      <c r="A288" s="1965" t="s">
        <v>1565</v>
      </c>
      <c r="B288" s="1801"/>
      <c r="C288" s="424" t="s">
        <v>1566</v>
      </c>
      <c r="D288" s="530" t="s">
        <v>7</v>
      </c>
      <c r="E288" s="530" t="s">
        <v>1558</v>
      </c>
      <c r="F288" s="530" t="s">
        <v>1559</v>
      </c>
      <c r="G288" s="557"/>
    </row>
    <row r="289" spans="1:7" ht="13.5" hidden="1" customHeight="1">
      <c r="A289" s="1983" t="str">
        <f>+'MANO DE OBRA'!$A$65</f>
        <v>Ayudante (Incl. Prestaciones)</v>
      </c>
      <c r="B289" s="1888"/>
      <c r="C289" s="558">
        <f>+'MANO DE OBRA'!$E$65</f>
        <v>10972.8125</v>
      </c>
      <c r="D289" s="559">
        <v>2</v>
      </c>
      <c r="E289" s="559">
        <v>2.95</v>
      </c>
      <c r="F289" s="578">
        <f>+(C289*D289)*E289</f>
        <v>64739.593750000007</v>
      </c>
      <c r="G289" s="583"/>
    </row>
    <row r="290" spans="1:7" ht="13.5" hidden="1" customHeight="1">
      <c r="A290" s="1984"/>
      <c r="B290" s="1819"/>
      <c r="C290" s="613"/>
      <c r="D290" s="614"/>
      <c r="E290" s="615"/>
      <c r="F290" s="635"/>
      <c r="G290" s="589"/>
    </row>
    <row r="291" spans="1:7" ht="13.5" hidden="1" customHeight="1">
      <c r="A291" s="1969" t="str">
        <f>+A286</f>
        <v>SUB-TOTAL</v>
      </c>
      <c r="B291" s="1601"/>
      <c r="C291" s="1601"/>
      <c r="D291" s="1601"/>
      <c r="E291" s="1601"/>
      <c r="F291" s="1801"/>
      <c r="G291" s="557">
        <f>SUM(F289:F290)</f>
        <v>64739.593750000007</v>
      </c>
    </row>
    <row r="292" spans="1:7" ht="11.25" hidden="1" customHeight="1">
      <c r="A292" s="618"/>
      <c r="B292" s="619"/>
      <c r="C292" s="619"/>
      <c r="D292" s="619"/>
      <c r="E292" s="619"/>
      <c r="F292" s="630"/>
      <c r="G292" s="624"/>
    </row>
    <row r="293" spans="1:7" ht="13.5" hidden="1" customHeight="1">
      <c r="A293" s="1969" t="s">
        <v>1567</v>
      </c>
      <c r="B293" s="1601"/>
      <c r="C293" s="1601"/>
      <c r="D293" s="1601"/>
      <c r="E293" s="1601"/>
      <c r="F293" s="1801"/>
      <c r="G293" s="607">
        <f>ROUND(G274+G281+G286+G291,0)</f>
        <v>173147</v>
      </c>
    </row>
    <row r="294" spans="1:7" ht="13.5" hidden="1" customHeight="1">
      <c r="A294" s="637"/>
      <c r="B294" s="638"/>
      <c r="C294" s="638"/>
      <c r="D294" s="638"/>
      <c r="E294" s="638"/>
      <c r="F294" s="638"/>
      <c r="G294" s="639"/>
    </row>
    <row r="295" spans="1:7" ht="13.5" hidden="1" customHeight="1">
      <c r="A295" s="637"/>
      <c r="B295" s="638"/>
      <c r="C295" s="638"/>
      <c r="D295" s="638"/>
      <c r="E295" s="638"/>
      <c r="F295" s="638"/>
      <c r="G295" s="639"/>
    </row>
    <row r="296" spans="1:7" ht="25.5" hidden="1" customHeight="1">
      <c r="A296" s="1994" t="e">
        <f>+'ANALISIS BASICOS'!$A$7</f>
        <v>#REF!</v>
      </c>
      <c r="B296" s="1616"/>
      <c r="C296" s="1624"/>
      <c r="D296" s="567"/>
      <c r="E296" s="568"/>
      <c r="F296" s="568"/>
      <c r="G296" s="569"/>
    </row>
    <row r="297" spans="1:7" ht="22.5" hidden="1" customHeight="1">
      <c r="A297" s="1971"/>
      <c r="B297" s="1817"/>
      <c r="C297" s="1972"/>
      <c r="D297" s="570"/>
      <c r="E297" s="570"/>
      <c r="F297" s="570"/>
      <c r="G297" s="571"/>
    </row>
    <row r="298" spans="1:7" ht="13.5" hidden="1" customHeight="1">
      <c r="A298" s="618"/>
      <c r="B298" s="619"/>
      <c r="C298" s="619"/>
      <c r="D298" s="619"/>
      <c r="E298" s="619"/>
      <c r="F298" s="619"/>
      <c r="G298" s="619"/>
    </row>
    <row r="299" spans="1:7" ht="50.25" hidden="1" customHeight="1">
      <c r="A299" s="1991" t="e">
        <f>A10</f>
        <v>#REF!</v>
      </c>
      <c r="B299" s="1601"/>
      <c r="C299" s="1602"/>
      <c r="D299" s="1974" t="s">
        <v>1628</v>
      </c>
      <c r="E299" s="1601"/>
      <c r="F299" s="1601"/>
      <c r="G299" s="1602"/>
    </row>
    <row r="300" spans="1:7" ht="13.5" hidden="1" customHeight="1">
      <c r="A300" s="620"/>
      <c r="B300" s="620"/>
      <c r="C300" s="620"/>
      <c r="D300" s="620"/>
      <c r="E300" s="620"/>
      <c r="F300" s="620"/>
      <c r="G300" s="620"/>
    </row>
    <row r="301" spans="1:7" ht="13.5" hidden="1" customHeight="1">
      <c r="A301" s="572"/>
      <c r="B301" s="619"/>
      <c r="C301" s="162"/>
      <c r="D301" s="421" t="s">
        <v>1553</v>
      </c>
      <c r="E301" s="422" t="s">
        <v>127</v>
      </c>
      <c r="F301" s="421" t="s">
        <v>1554</v>
      </c>
      <c r="G301" s="422" t="s">
        <v>380</v>
      </c>
    </row>
    <row r="302" spans="1:7" ht="13.5" hidden="1" customHeight="1">
      <c r="A302" s="621" t="s">
        <v>1555</v>
      </c>
      <c r="B302" s="619"/>
      <c r="C302" s="619"/>
      <c r="D302" s="619"/>
      <c r="E302" s="619"/>
      <c r="F302" s="619"/>
      <c r="G302" s="619"/>
    </row>
    <row r="303" spans="1:7" ht="13.5" hidden="1" customHeight="1">
      <c r="A303" s="417" t="s">
        <v>1556</v>
      </c>
      <c r="B303" s="640"/>
      <c r="C303" s="641"/>
      <c r="D303" s="530" t="s">
        <v>208</v>
      </c>
      <c r="E303" s="530" t="s">
        <v>1558</v>
      </c>
      <c r="F303" s="424" t="s">
        <v>1559</v>
      </c>
      <c r="G303" s="531"/>
    </row>
    <row r="304" spans="1:7" ht="14.25" hidden="1" customHeight="1">
      <c r="A304" s="1987" t="str">
        <f>+'LISTADO EQUIPOS'!$C$47</f>
        <v>ANDAMIO TUBULAR. 1.5 x 1.5 SECCIÓN</v>
      </c>
      <c r="B304" s="1811"/>
      <c r="C304" s="1967"/>
      <c r="D304" s="585">
        <f>+'LISTADO EQUIPOS'!$E$47</f>
        <v>1750</v>
      </c>
      <c r="E304" s="446">
        <v>0.1</v>
      </c>
      <c r="F304" s="627">
        <f>+E304*D304</f>
        <v>175</v>
      </c>
      <c r="G304" s="595"/>
    </row>
    <row r="305" spans="1:7" ht="14.25" hidden="1" customHeight="1">
      <c r="A305" s="1996" t="str">
        <f>+'LISTADO EQUIPOS'!$C$22</f>
        <v>HERRAMIENTA MENOR.</v>
      </c>
      <c r="B305" s="1807"/>
      <c r="C305" s="1819"/>
      <c r="D305" s="588">
        <f>+'LISTADO EQUIPOS'!$E$22/8</f>
        <v>2850</v>
      </c>
      <c r="E305" s="622">
        <f>+E321</f>
        <v>0.41716360805261771</v>
      </c>
      <c r="F305" s="623">
        <f>+D305*E305</f>
        <v>1188.9162829499605</v>
      </c>
      <c r="G305" s="596"/>
    </row>
    <row r="306" spans="1:7" ht="13.5" hidden="1" customHeight="1">
      <c r="A306" s="642" t="s">
        <v>1560</v>
      </c>
      <c r="B306" s="643"/>
      <c r="C306" s="643"/>
      <c r="D306" s="643"/>
      <c r="E306" s="643"/>
      <c r="F306" s="644"/>
      <c r="G306" s="557">
        <f>SUM(F304:F305)</f>
        <v>1363.9162829499605</v>
      </c>
    </row>
    <row r="307" spans="1:7" ht="30.75" hidden="1" customHeight="1">
      <c r="A307" s="621" t="s">
        <v>1561</v>
      </c>
      <c r="B307" s="619"/>
      <c r="C307" s="619"/>
      <c r="D307" s="619"/>
      <c r="E307" s="619"/>
      <c r="F307" s="619"/>
      <c r="G307" s="619"/>
    </row>
    <row r="308" spans="1:7" ht="13.5" hidden="1" customHeight="1">
      <c r="A308" s="417" t="s">
        <v>1556</v>
      </c>
      <c r="B308" s="641"/>
      <c r="C308" s="424" t="s">
        <v>6</v>
      </c>
      <c r="D308" s="424" t="s">
        <v>1562</v>
      </c>
      <c r="E308" s="424" t="s">
        <v>7</v>
      </c>
      <c r="F308" s="424" t="s">
        <v>1559</v>
      </c>
      <c r="G308" s="531"/>
    </row>
    <row r="309" spans="1:7" ht="12.75" hidden="1" customHeight="1">
      <c r="A309" s="608"/>
      <c r="B309" s="645"/>
      <c r="C309" s="581"/>
      <c r="D309" s="582"/>
      <c r="E309" s="581"/>
      <c r="F309" s="582"/>
      <c r="G309" s="594"/>
    </row>
    <row r="310" spans="1:7" ht="13.5" hidden="1" customHeight="1">
      <c r="A310" s="646"/>
      <c r="B310" s="647"/>
      <c r="C310" s="584"/>
      <c r="D310" s="585"/>
      <c r="E310" s="584"/>
      <c r="F310" s="585"/>
      <c r="G310" s="595"/>
    </row>
    <row r="311" spans="1:7" ht="13.5" hidden="1" customHeight="1">
      <c r="A311" s="646"/>
      <c r="B311" s="647"/>
      <c r="C311" s="584"/>
      <c r="D311" s="585"/>
      <c r="E311" s="584"/>
      <c r="F311" s="585"/>
      <c r="G311" s="595"/>
    </row>
    <row r="312" spans="1:7" ht="12.75" hidden="1" customHeight="1">
      <c r="A312" s="648"/>
      <c r="B312" s="649"/>
      <c r="C312" s="587"/>
      <c r="D312" s="588"/>
      <c r="E312" s="587"/>
      <c r="F312" s="588"/>
      <c r="G312" s="596"/>
    </row>
    <row r="313" spans="1:7" ht="13.5" hidden="1" customHeight="1">
      <c r="A313" s="642" t="s">
        <v>1560</v>
      </c>
      <c r="B313" s="643"/>
      <c r="C313" s="643"/>
      <c r="D313" s="643"/>
      <c r="E313" s="643"/>
      <c r="F313" s="644" t="s">
        <v>1629</v>
      </c>
      <c r="G313" s="631">
        <f>SUM(F309:F312)</f>
        <v>0</v>
      </c>
    </row>
    <row r="314" spans="1:7" ht="13.5" hidden="1" customHeight="1">
      <c r="A314" s="621" t="s">
        <v>1563</v>
      </c>
      <c r="B314" s="619"/>
      <c r="C314" s="619"/>
      <c r="D314" s="619"/>
      <c r="E314" s="619"/>
      <c r="F314" s="619"/>
      <c r="G314" s="619"/>
    </row>
    <row r="315" spans="1:7" ht="13.5" hidden="1" customHeight="1">
      <c r="A315" s="417" t="s">
        <v>1556</v>
      </c>
      <c r="B315" s="650" t="s">
        <v>1630</v>
      </c>
      <c r="C315" s="530" t="s">
        <v>6</v>
      </c>
      <c r="D315" s="530" t="s">
        <v>1562</v>
      </c>
      <c r="E315" s="530" t="s">
        <v>7</v>
      </c>
      <c r="F315" s="530" t="s">
        <v>1559</v>
      </c>
      <c r="G315" s="597"/>
    </row>
    <row r="316" spans="1:7" ht="13.5" hidden="1" customHeight="1">
      <c r="A316" s="2001" t="str">
        <f>+'LISTADO EQUIPOS'!$C$124</f>
        <v>VOLQUETA   (4.2 - 5)M3.</v>
      </c>
      <c r="B316" s="1967"/>
      <c r="C316" s="625" t="str">
        <f>+'LISTADO EQUIPOS'!$D$124</f>
        <v>VJ</v>
      </c>
      <c r="D316" s="582">
        <f>+'LISTADO EQUIPOS'!$E$124</f>
        <v>80000</v>
      </c>
      <c r="E316" s="626">
        <v>4.4999999999999998E-2</v>
      </c>
      <c r="F316" s="627">
        <f t="shared" ref="F316:F317" si="12">D316*E316</f>
        <v>3600</v>
      </c>
      <c r="G316" s="594"/>
    </row>
    <row r="317" spans="1:7" ht="13.5" hidden="1" customHeight="1">
      <c r="A317" s="628"/>
      <c r="B317" s="651"/>
      <c r="C317" s="625"/>
      <c r="D317" s="625"/>
      <c r="E317" s="588"/>
      <c r="F317" s="623">
        <f t="shared" si="12"/>
        <v>0</v>
      </c>
      <c r="G317" s="632"/>
    </row>
    <row r="318" spans="1:7" ht="15" hidden="1" customHeight="1">
      <c r="A318" s="1969" t="s">
        <v>1560</v>
      </c>
      <c r="B318" s="1601"/>
      <c r="C318" s="1601"/>
      <c r="D318" s="1601"/>
      <c r="E318" s="1601"/>
      <c r="F318" s="1801"/>
      <c r="G318" s="557">
        <f>SUM(F316:F317)</f>
        <v>3600</v>
      </c>
    </row>
    <row r="319" spans="1:7" ht="13.5" hidden="1" customHeight="1">
      <c r="A319" s="621" t="s">
        <v>1564</v>
      </c>
      <c r="B319" s="619"/>
      <c r="C319" s="619"/>
      <c r="D319" s="619"/>
      <c r="E319" s="619"/>
      <c r="F319" s="619"/>
      <c r="G319" s="619"/>
    </row>
    <row r="320" spans="1:7" ht="13.5" hidden="1" customHeight="1">
      <c r="A320" s="1965" t="s">
        <v>1565</v>
      </c>
      <c r="B320" s="1801"/>
      <c r="C320" s="424" t="s">
        <v>1566</v>
      </c>
      <c r="D320" s="530" t="s">
        <v>7</v>
      </c>
      <c r="E320" s="530" t="s">
        <v>1558</v>
      </c>
      <c r="F320" s="530" t="s">
        <v>1559</v>
      </c>
      <c r="G320" s="599"/>
    </row>
    <row r="321" spans="1:7" ht="13.5" hidden="1" customHeight="1">
      <c r="A321" s="1983" t="str">
        <f>+'MANO DE OBRA'!$A$65</f>
        <v>Ayudante (Incl. Prestaciones)</v>
      </c>
      <c r="B321" s="1888"/>
      <c r="C321" s="558">
        <f>+'MANO DE OBRA'!$E$65</f>
        <v>10972.8125</v>
      </c>
      <c r="D321" s="559">
        <v>2</v>
      </c>
      <c r="E321" s="559">
        <v>0.41716360805261771</v>
      </c>
      <c r="F321" s="578">
        <f>+(C321*D321)*E321</f>
        <v>9154.916105969729</v>
      </c>
      <c r="G321" s="594"/>
    </row>
    <row r="322" spans="1:7" ht="13.5" hidden="1" customHeight="1">
      <c r="A322" s="1984"/>
      <c r="B322" s="1819"/>
      <c r="C322" s="613"/>
      <c r="D322" s="614"/>
      <c r="E322" s="615"/>
      <c r="F322" s="564"/>
      <c r="G322" s="596"/>
    </row>
    <row r="323" spans="1:7" ht="13.5" hidden="1" customHeight="1">
      <c r="A323" s="1969" t="str">
        <f>+A318</f>
        <v>SUB-TOTAL</v>
      </c>
      <c r="B323" s="1601"/>
      <c r="C323" s="1601"/>
      <c r="D323" s="1601"/>
      <c r="E323" s="1601"/>
      <c r="F323" s="1801"/>
      <c r="G323" s="557">
        <f>SUM(F321:F322)</f>
        <v>9154.916105969729</v>
      </c>
    </row>
    <row r="324" spans="1:7" ht="12.75" hidden="1" customHeight="1">
      <c r="A324" s="618"/>
      <c r="B324" s="619"/>
      <c r="C324" s="619"/>
      <c r="D324" s="619"/>
      <c r="E324" s="619"/>
      <c r="F324" s="630"/>
      <c r="G324" s="619"/>
    </row>
    <row r="325" spans="1:7" ht="13.5" hidden="1" customHeight="1">
      <c r="A325" s="1969" t="s">
        <v>1567</v>
      </c>
      <c r="B325" s="1601"/>
      <c r="C325" s="1601"/>
      <c r="D325" s="1601"/>
      <c r="E325" s="1601"/>
      <c r="F325" s="1801"/>
      <c r="G325" s="633">
        <f>ROUND(G306+G313+G318+G323,0)</f>
        <v>14119</v>
      </c>
    </row>
    <row r="326" spans="1:7" ht="13.5" hidden="1" customHeight="1">
      <c r="A326" s="2002"/>
      <c r="B326" s="1605"/>
      <c r="C326" s="1605"/>
      <c r="D326" s="1605"/>
      <c r="E326" s="1605"/>
      <c r="F326" s="1605"/>
      <c r="G326" s="652"/>
    </row>
    <row r="327" spans="1:7" ht="13.5" hidden="1" customHeight="1">
      <c r="A327" s="616"/>
      <c r="B327" s="162"/>
      <c r="C327" s="162"/>
      <c r="D327" s="162"/>
      <c r="E327" s="162"/>
      <c r="F327" s="162"/>
      <c r="G327" s="162"/>
    </row>
    <row r="328" spans="1:7" ht="27.75" hidden="1" customHeight="1">
      <c r="A328" s="1994" t="e">
        <f>+'ANALISIS BASICOS'!$A$7</f>
        <v>#REF!</v>
      </c>
      <c r="B328" s="1616"/>
      <c r="C328" s="1624"/>
      <c r="D328" s="567"/>
      <c r="E328" s="568"/>
      <c r="F328" s="568"/>
      <c r="G328" s="569"/>
    </row>
    <row r="329" spans="1:7" ht="24.75" hidden="1" customHeight="1">
      <c r="A329" s="1971"/>
      <c r="B329" s="1817"/>
      <c r="C329" s="1972"/>
      <c r="D329" s="570"/>
      <c r="E329" s="570"/>
      <c r="F329" s="570"/>
      <c r="G329" s="571"/>
    </row>
    <row r="330" spans="1:7" ht="13.5" hidden="1" customHeight="1">
      <c r="A330" s="618"/>
      <c r="B330" s="619"/>
      <c r="C330" s="619"/>
      <c r="D330" s="619"/>
      <c r="E330" s="619"/>
      <c r="F330" s="619"/>
      <c r="G330" s="619"/>
    </row>
    <row r="331" spans="1:7" ht="49.5" hidden="1" customHeight="1">
      <c r="A331" s="1991" t="e">
        <f>A10</f>
        <v>#REF!</v>
      </c>
      <c r="B331" s="1601"/>
      <c r="C331" s="1602"/>
      <c r="D331" s="1974" t="s">
        <v>1631</v>
      </c>
      <c r="E331" s="1601"/>
      <c r="F331" s="1601"/>
      <c r="G331" s="1602"/>
    </row>
    <row r="332" spans="1:7" ht="13.5" hidden="1" customHeight="1">
      <c r="A332" s="620"/>
      <c r="B332" s="620"/>
      <c r="C332" s="620"/>
      <c r="D332" s="620"/>
      <c r="E332" s="620"/>
      <c r="F332" s="620"/>
      <c r="G332" s="620"/>
    </row>
    <row r="333" spans="1:7" ht="13.5" hidden="1" customHeight="1">
      <c r="A333" s="572"/>
      <c r="B333" s="619"/>
      <c r="C333" s="162"/>
      <c r="D333" s="421" t="s">
        <v>1553</v>
      </c>
      <c r="E333" s="422" t="s">
        <v>127</v>
      </c>
      <c r="F333" s="421" t="s">
        <v>1554</v>
      </c>
      <c r="G333" s="422" t="s">
        <v>384</v>
      </c>
    </row>
    <row r="334" spans="1:7" ht="13.5" hidden="1" customHeight="1">
      <c r="A334" s="621" t="s">
        <v>1555</v>
      </c>
      <c r="B334" s="619"/>
      <c r="C334" s="619"/>
      <c r="D334" s="619"/>
      <c r="E334" s="619"/>
      <c r="F334" s="619"/>
      <c r="G334" s="619"/>
    </row>
    <row r="335" spans="1:7" ht="27" hidden="1" customHeight="1">
      <c r="A335" s="1975" t="s">
        <v>1556</v>
      </c>
      <c r="B335" s="1601"/>
      <c r="C335" s="1801"/>
      <c r="D335" s="530" t="s">
        <v>208</v>
      </c>
      <c r="E335" s="530" t="s">
        <v>1558</v>
      </c>
      <c r="F335" s="424" t="s">
        <v>1559</v>
      </c>
      <c r="G335" s="531"/>
    </row>
    <row r="336" spans="1:7" ht="15.75" hidden="1" customHeight="1">
      <c r="A336" s="1995" t="str">
        <f>+'LISTADO EQUIPOS'!$C$22</f>
        <v>HERRAMIENTA MENOR.</v>
      </c>
      <c r="B336" s="1610"/>
      <c r="C336" s="1611"/>
      <c r="D336" s="585">
        <f>+'LISTADO EQUIPOS'!$E$22/8</f>
        <v>2850</v>
      </c>
      <c r="E336" s="446">
        <f>+E353</f>
        <v>0.66473699447775603</v>
      </c>
      <c r="F336" s="627">
        <f>+D336/E336</f>
        <v>4287.4099435959242</v>
      </c>
      <c r="G336" s="595"/>
    </row>
    <row r="337" spans="1:7" ht="15.75" hidden="1" customHeight="1">
      <c r="A337" s="1996"/>
      <c r="B337" s="1807"/>
      <c r="C337" s="1819"/>
      <c r="D337" s="588"/>
      <c r="E337" s="622"/>
      <c r="F337" s="588"/>
      <c r="G337" s="596"/>
    </row>
    <row r="338" spans="1:7" ht="13.5" hidden="1" customHeight="1">
      <c r="A338" s="1969" t="s">
        <v>1560</v>
      </c>
      <c r="B338" s="1601"/>
      <c r="C338" s="1601"/>
      <c r="D338" s="1601"/>
      <c r="E338" s="1601"/>
      <c r="F338" s="1801"/>
      <c r="G338" s="557">
        <f>SUM(F336:F337)</f>
        <v>4287.4099435959242</v>
      </c>
    </row>
    <row r="339" spans="1:7" ht="13.5" hidden="1" customHeight="1">
      <c r="A339" s="621" t="s">
        <v>1561</v>
      </c>
      <c r="B339" s="619"/>
      <c r="C339" s="619"/>
      <c r="D339" s="619"/>
      <c r="E339" s="619"/>
      <c r="F339" s="619"/>
      <c r="G339" s="624"/>
    </row>
    <row r="340" spans="1:7" ht="12.75" hidden="1" customHeight="1">
      <c r="A340" s="1975" t="s">
        <v>1556</v>
      </c>
      <c r="B340" s="1801"/>
      <c r="C340" s="424" t="s">
        <v>6</v>
      </c>
      <c r="D340" s="424" t="s">
        <v>1562</v>
      </c>
      <c r="E340" s="424" t="s">
        <v>7</v>
      </c>
      <c r="F340" s="424" t="s">
        <v>1559</v>
      </c>
      <c r="G340" s="541"/>
    </row>
    <row r="341" spans="1:7" ht="13.5" hidden="1" customHeight="1">
      <c r="A341" s="1976"/>
      <c r="B341" s="1967"/>
      <c r="C341" s="581"/>
      <c r="D341" s="582"/>
      <c r="E341" s="581"/>
      <c r="F341" s="582"/>
      <c r="G341" s="583"/>
    </row>
    <row r="342" spans="1:7" ht="13.5" hidden="1" customHeight="1">
      <c r="A342" s="1977"/>
      <c r="B342" s="1611"/>
      <c r="C342" s="584"/>
      <c r="D342" s="585"/>
      <c r="E342" s="584"/>
      <c r="F342" s="585"/>
      <c r="G342" s="586"/>
    </row>
    <row r="343" spans="1:7" ht="12.75" hidden="1" customHeight="1">
      <c r="A343" s="1977"/>
      <c r="B343" s="1611"/>
      <c r="C343" s="584"/>
      <c r="D343" s="585"/>
      <c r="E343" s="584"/>
      <c r="F343" s="585"/>
      <c r="G343" s="586"/>
    </row>
    <row r="344" spans="1:7" ht="13.5" hidden="1" customHeight="1">
      <c r="A344" s="1978"/>
      <c r="B344" s="1819"/>
      <c r="C344" s="587"/>
      <c r="D344" s="588"/>
      <c r="E344" s="587"/>
      <c r="F344" s="588"/>
      <c r="G344" s="589"/>
    </row>
    <row r="345" spans="1:7" ht="13.5" hidden="1" customHeight="1">
      <c r="A345" s="1969" t="s">
        <v>1560</v>
      </c>
      <c r="B345" s="1601"/>
      <c r="C345" s="1601"/>
      <c r="D345" s="1601"/>
      <c r="E345" s="1601"/>
      <c r="F345" s="1801"/>
      <c r="G345" s="557">
        <f>SUM(F341:F344)</f>
        <v>0</v>
      </c>
    </row>
    <row r="346" spans="1:7" ht="13.5" hidden="1" customHeight="1">
      <c r="A346" s="621" t="s">
        <v>1563</v>
      </c>
      <c r="B346" s="619"/>
      <c r="C346" s="619"/>
      <c r="D346" s="619"/>
      <c r="E346" s="619"/>
      <c r="F346" s="619"/>
      <c r="G346" s="624"/>
    </row>
    <row r="347" spans="1:7" ht="13.5" hidden="1" customHeight="1">
      <c r="A347" s="1965" t="s">
        <v>1556</v>
      </c>
      <c r="B347" s="1801"/>
      <c r="C347" s="530" t="s">
        <v>6</v>
      </c>
      <c r="D347" s="530" t="s">
        <v>1562</v>
      </c>
      <c r="E347" s="530" t="s">
        <v>7</v>
      </c>
      <c r="F347" s="530" t="s">
        <v>1559</v>
      </c>
      <c r="G347" s="552"/>
    </row>
    <row r="348" spans="1:7" ht="13.5" hidden="1" customHeight="1">
      <c r="A348" s="1987" t="str">
        <f>+'LISTADO EQUIPOS'!$C$125</f>
        <v>VOLQUETA (5-6)M3</v>
      </c>
      <c r="B348" s="1967"/>
      <c r="C348" s="625" t="str">
        <f>+'LISTADO EQUIPOS'!$D$125</f>
        <v>VJ</v>
      </c>
      <c r="D348" s="582">
        <f>+'LISTADO EQUIPOS'!$E$125</f>
        <v>90000</v>
      </c>
      <c r="E348" s="626">
        <v>0.05</v>
      </c>
      <c r="F348" s="627">
        <f>D348*E348</f>
        <v>4500</v>
      </c>
      <c r="G348" s="583"/>
    </row>
    <row r="349" spans="1:7" ht="15" hidden="1" customHeight="1">
      <c r="A349" s="1993"/>
      <c r="B349" s="1819"/>
      <c r="C349" s="625"/>
      <c r="D349" s="625"/>
      <c r="E349" s="588"/>
      <c r="F349" s="588"/>
      <c r="G349" s="629"/>
    </row>
    <row r="350" spans="1:7" ht="13.5" hidden="1" customHeight="1">
      <c r="A350" s="1969" t="s">
        <v>1560</v>
      </c>
      <c r="B350" s="1601"/>
      <c r="C350" s="1601"/>
      <c r="D350" s="1601"/>
      <c r="E350" s="1601"/>
      <c r="F350" s="1801"/>
      <c r="G350" s="557">
        <f>SUM(F348:F349)</f>
        <v>4500</v>
      </c>
    </row>
    <row r="351" spans="1:7" ht="13.5" hidden="1" customHeight="1">
      <c r="A351" s="621" t="s">
        <v>1564</v>
      </c>
      <c r="B351" s="619"/>
      <c r="C351" s="619"/>
      <c r="D351" s="619"/>
      <c r="E351" s="619"/>
      <c r="F351" s="619"/>
      <c r="G351" s="624"/>
    </row>
    <row r="352" spans="1:7" ht="13.5" hidden="1" customHeight="1">
      <c r="A352" s="1965" t="s">
        <v>1565</v>
      </c>
      <c r="B352" s="1801"/>
      <c r="C352" s="424" t="s">
        <v>1566</v>
      </c>
      <c r="D352" s="530" t="s">
        <v>7</v>
      </c>
      <c r="E352" s="530" t="s">
        <v>1558</v>
      </c>
      <c r="F352" s="530" t="s">
        <v>1559</v>
      </c>
      <c r="G352" s="557"/>
    </row>
    <row r="353" spans="1:7" ht="13.5" hidden="1" customHeight="1">
      <c r="A353" s="1983" t="str">
        <f>+'MANO DE OBRA'!$A$65</f>
        <v>Ayudante (Incl. Prestaciones)</v>
      </c>
      <c r="B353" s="1888"/>
      <c r="C353" s="558">
        <f>+'MANO DE OBRA'!$E$65</f>
        <v>10972.8125</v>
      </c>
      <c r="D353" s="559">
        <v>2</v>
      </c>
      <c r="E353" s="559">
        <v>0.66473699447775603</v>
      </c>
      <c r="F353" s="578">
        <f>+(C353*D353)/E353</f>
        <v>33013.996787167474</v>
      </c>
      <c r="G353" s="583"/>
    </row>
    <row r="354" spans="1:7" ht="13.5" hidden="1" customHeight="1">
      <c r="A354" s="1984"/>
      <c r="B354" s="1819"/>
      <c r="C354" s="613"/>
      <c r="D354" s="614"/>
      <c r="E354" s="615"/>
      <c r="F354" s="635"/>
      <c r="G354" s="589"/>
    </row>
    <row r="355" spans="1:7" ht="13.5" hidden="1" customHeight="1">
      <c r="A355" s="1969" t="str">
        <f>+A350</f>
        <v>SUB-TOTAL</v>
      </c>
      <c r="B355" s="1601"/>
      <c r="C355" s="1601"/>
      <c r="D355" s="1601"/>
      <c r="E355" s="1601"/>
      <c r="F355" s="1801"/>
      <c r="G355" s="557">
        <f>SUM(F353:F354)</f>
        <v>33013.996787167474</v>
      </c>
    </row>
    <row r="356" spans="1:7" ht="13.5" hidden="1" customHeight="1">
      <c r="A356" s="618"/>
      <c r="B356" s="619"/>
      <c r="C356" s="619"/>
      <c r="D356" s="619"/>
      <c r="E356" s="619"/>
      <c r="F356" s="630"/>
      <c r="G356" s="624"/>
    </row>
    <row r="357" spans="1:7" ht="13.5" hidden="1" customHeight="1">
      <c r="A357" s="1969" t="s">
        <v>1567</v>
      </c>
      <c r="B357" s="1601"/>
      <c r="C357" s="1601"/>
      <c r="D357" s="1601"/>
      <c r="E357" s="1601"/>
      <c r="F357" s="1801"/>
      <c r="G357" s="607">
        <f>ROUND(G338+G345+G350+G355,0)</f>
        <v>41801</v>
      </c>
    </row>
    <row r="358" spans="1:7" ht="13.5" hidden="1" customHeight="1">
      <c r="A358" s="616"/>
      <c r="B358" s="162"/>
      <c r="C358" s="162"/>
      <c r="D358" s="162"/>
      <c r="E358" s="162"/>
      <c r="F358" s="162"/>
      <c r="G358" s="162"/>
    </row>
    <row r="359" spans="1:7" ht="13.5" customHeight="1">
      <c r="A359" s="616"/>
      <c r="B359" s="162"/>
      <c r="C359" s="162"/>
      <c r="D359" s="162"/>
      <c r="E359" s="162"/>
      <c r="F359" s="162"/>
      <c r="G359" s="162"/>
    </row>
    <row r="360" spans="1:7" ht="26.25" customHeight="1">
      <c r="A360" s="1989" t="e">
        <f>+'ANALISIS BASICOS'!$A$7</f>
        <v>#REF!</v>
      </c>
      <c r="B360" s="1616"/>
      <c r="C360" s="1624"/>
      <c r="D360" s="567"/>
      <c r="E360" s="568"/>
      <c r="F360" s="568"/>
      <c r="G360" s="569"/>
    </row>
    <row r="361" spans="1:7" ht="24.75" customHeight="1">
      <c r="A361" s="1971"/>
      <c r="B361" s="1817"/>
      <c r="C361" s="1972"/>
      <c r="D361" s="570"/>
      <c r="E361" s="570"/>
      <c r="F361" s="570"/>
      <c r="G361" s="571"/>
    </row>
    <row r="362" spans="1:7" ht="13.5" customHeight="1">
      <c r="A362" s="618"/>
      <c r="B362" s="619"/>
      <c r="C362" s="619"/>
      <c r="D362" s="619"/>
      <c r="E362" s="619"/>
      <c r="F362" s="619"/>
      <c r="G362" s="619"/>
    </row>
    <row r="363" spans="1:7" ht="44.25" customHeight="1">
      <c r="A363" s="1991" t="e">
        <f>A10</f>
        <v>#REF!</v>
      </c>
      <c r="B363" s="1601"/>
      <c r="C363" s="1602"/>
      <c r="D363" s="1974" t="s">
        <v>1628</v>
      </c>
      <c r="E363" s="1601"/>
      <c r="F363" s="1601"/>
      <c r="G363" s="1602"/>
    </row>
    <row r="364" spans="1:7" ht="13.5" customHeight="1">
      <c r="A364" s="620"/>
      <c r="B364" s="620"/>
      <c r="C364" s="620"/>
      <c r="D364" s="620"/>
      <c r="E364" s="620"/>
      <c r="F364" s="620"/>
      <c r="G364" s="620"/>
    </row>
    <row r="365" spans="1:7" ht="13.5" customHeight="1">
      <c r="A365" s="572"/>
      <c r="B365" s="619"/>
      <c r="C365" s="162"/>
      <c r="D365" s="421" t="s">
        <v>1553</v>
      </c>
      <c r="E365" s="422" t="s">
        <v>127</v>
      </c>
      <c r="F365" s="421" t="s">
        <v>1554</v>
      </c>
      <c r="G365" s="422" t="s">
        <v>380</v>
      </c>
    </row>
    <row r="366" spans="1:7" ht="13.5" customHeight="1">
      <c r="A366" s="621" t="s">
        <v>1555</v>
      </c>
      <c r="B366" s="619"/>
      <c r="C366" s="619"/>
      <c r="D366" s="619"/>
      <c r="E366" s="619"/>
      <c r="F366" s="619"/>
      <c r="G366" s="619"/>
    </row>
    <row r="367" spans="1:7" ht="27" customHeight="1">
      <c r="A367" s="1975" t="s">
        <v>1556</v>
      </c>
      <c r="B367" s="1601"/>
      <c r="C367" s="1801"/>
      <c r="D367" s="530" t="s">
        <v>208</v>
      </c>
      <c r="E367" s="530" t="s">
        <v>1558</v>
      </c>
      <c r="F367" s="424" t="s">
        <v>1559</v>
      </c>
      <c r="G367" s="531"/>
    </row>
    <row r="368" spans="1:7" ht="14.25" customHeight="1">
      <c r="A368" s="1995" t="str">
        <f>+'LISTADO EQUIPOS'!$C$22</f>
        <v>HERRAMIENTA MENOR.</v>
      </c>
      <c r="B368" s="1610"/>
      <c r="C368" s="1611"/>
      <c r="D368" s="585">
        <f>+'LISTADO EQUIPOS'!$E$22/8</f>
        <v>2850</v>
      </c>
      <c r="E368" s="446">
        <f>+E385</f>
        <v>0.25</v>
      </c>
      <c r="F368" s="627">
        <f t="shared" ref="F368:F369" si="13">+D368/E368</f>
        <v>11400</v>
      </c>
      <c r="G368" s="595"/>
    </row>
    <row r="369" spans="1:7" ht="13.5" customHeight="1">
      <c r="A369" s="1996" t="str">
        <f>+'LISTADO EQUIPOS'!$C$96</f>
        <v>GRUA 5 TON.</v>
      </c>
      <c r="B369" s="1807"/>
      <c r="C369" s="1819"/>
      <c r="D369" s="588">
        <f>+'LISTADO EQUIPOS'!$E$96</f>
        <v>55000</v>
      </c>
      <c r="E369" s="622">
        <f>+E368</f>
        <v>0.25</v>
      </c>
      <c r="F369" s="588">
        <f t="shared" si="13"/>
        <v>220000</v>
      </c>
      <c r="G369" s="596"/>
    </row>
    <row r="370" spans="1:7" ht="13.5" customHeight="1">
      <c r="A370" s="1969" t="s">
        <v>1560</v>
      </c>
      <c r="B370" s="1601"/>
      <c r="C370" s="1601"/>
      <c r="D370" s="1601"/>
      <c r="E370" s="1601"/>
      <c r="F370" s="1801"/>
      <c r="G370" s="557">
        <f>SUM(F368:F369)</f>
        <v>231400</v>
      </c>
    </row>
    <row r="371" spans="1:7" ht="13.5" customHeight="1">
      <c r="A371" s="621" t="s">
        <v>1561</v>
      </c>
      <c r="B371" s="619"/>
      <c r="C371" s="619"/>
      <c r="D371" s="619"/>
      <c r="E371" s="619"/>
      <c r="F371" s="619"/>
      <c r="G371" s="624"/>
    </row>
    <row r="372" spans="1:7" ht="12.75" customHeight="1">
      <c r="A372" s="1975" t="s">
        <v>1556</v>
      </c>
      <c r="B372" s="1801"/>
      <c r="C372" s="424" t="s">
        <v>6</v>
      </c>
      <c r="D372" s="424" t="s">
        <v>1562</v>
      </c>
      <c r="E372" s="424" t="s">
        <v>7</v>
      </c>
      <c r="F372" s="424" t="s">
        <v>1559</v>
      </c>
      <c r="G372" s="541"/>
    </row>
    <row r="373" spans="1:7" ht="13.5" customHeight="1">
      <c r="A373" s="1976"/>
      <c r="B373" s="1967"/>
      <c r="C373" s="581"/>
      <c r="D373" s="582"/>
      <c r="E373" s="581"/>
      <c r="F373" s="582"/>
      <c r="G373" s="583"/>
    </row>
    <row r="374" spans="1:7" ht="13.5" customHeight="1">
      <c r="A374" s="1977"/>
      <c r="B374" s="1611"/>
      <c r="C374" s="584"/>
      <c r="D374" s="585"/>
      <c r="E374" s="584"/>
      <c r="F374" s="585"/>
      <c r="G374" s="586"/>
    </row>
    <row r="375" spans="1:7" ht="12.75" customHeight="1">
      <c r="A375" s="1977"/>
      <c r="B375" s="1611"/>
      <c r="C375" s="584"/>
      <c r="D375" s="585"/>
      <c r="E375" s="584"/>
      <c r="F375" s="585"/>
      <c r="G375" s="586"/>
    </row>
    <row r="376" spans="1:7" ht="13.5" customHeight="1">
      <c r="A376" s="1978"/>
      <c r="B376" s="1819"/>
      <c r="C376" s="587"/>
      <c r="D376" s="588"/>
      <c r="E376" s="587"/>
      <c r="F376" s="588"/>
      <c r="G376" s="589"/>
    </row>
    <row r="377" spans="1:7" ht="13.5" customHeight="1">
      <c r="A377" s="1969" t="s">
        <v>1560</v>
      </c>
      <c r="B377" s="1601"/>
      <c r="C377" s="1601"/>
      <c r="D377" s="1601"/>
      <c r="E377" s="1601"/>
      <c r="F377" s="1801"/>
      <c r="G377" s="557">
        <f>SUM(F373:F376)</f>
        <v>0</v>
      </c>
    </row>
    <row r="378" spans="1:7" ht="13.5" customHeight="1">
      <c r="A378" s="621" t="s">
        <v>1563</v>
      </c>
      <c r="B378" s="619"/>
      <c r="C378" s="619"/>
      <c r="D378" s="619"/>
      <c r="E378" s="619"/>
      <c r="F378" s="619"/>
      <c r="G378" s="624"/>
    </row>
    <row r="379" spans="1:7" ht="13.5" customHeight="1">
      <c r="A379" s="1965" t="s">
        <v>1556</v>
      </c>
      <c r="B379" s="1801"/>
      <c r="C379" s="530" t="s">
        <v>6</v>
      </c>
      <c r="D379" s="530" t="s">
        <v>1562</v>
      </c>
      <c r="E379" s="530" t="s">
        <v>7</v>
      </c>
      <c r="F379" s="530" t="s">
        <v>1559</v>
      </c>
      <c r="G379" s="552"/>
    </row>
    <row r="380" spans="1:7" ht="13.5" customHeight="1">
      <c r="A380" s="1987" t="str">
        <f>+'LISTADO EQUIPOS'!$C$125</f>
        <v>VOLQUETA (5-6)M3</v>
      </c>
      <c r="B380" s="1967"/>
      <c r="C380" s="625" t="str">
        <f>+'LISTADO EQUIPOS'!$D$125</f>
        <v>VJ</v>
      </c>
      <c r="D380" s="582">
        <f>+'LISTADO EQUIPOS'!$E$125</f>
        <v>90000</v>
      </c>
      <c r="E380" s="626">
        <v>0.05</v>
      </c>
      <c r="F380" s="627">
        <f>D380*E380</f>
        <v>4500</v>
      </c>
      <c r="G380" s="583"/>
    </row>
    <row r="381" spans="1:7" ht="15" customHeight="1">
      <c r="A381" s="1993"/>
      <c r="B381" s="1819"/>
      <c r="C381" s="625"/>
      <c r="D381" s="625"/>
      <c r="E381" s="588"/>
      <c r="F381" s="588"/>
      <c r="G381" s="629"/>
    </row>
    <row r="382" spans="1:7" ht="13.5" customHeight="1">
      <c r="A382" s="1969" t="s">
        <v>1560</v>
      </c>
      <c r="B382" s="1601"/>
      <c r="C382" s="1601"/>
      <c r="D382" s="1601"/>
      <c r="E382" s="1601"/>
      <c r="F382" s="1801"/>
      <c r="G382" s="557">
        <f>SUM(F380:F381)</f>
        <v>4500</v>
      </c>
    </row>
    <row r="383" spans="1:7" ht="13.5" customHeight="1">
      <c r="A383" s="621" t="s">
        <v>1564</v>
      </c>
      <c r="B383" s="619"/>
      <c r="C383" s="619"/>
      <c r="D383" s="619"/>
      <c r="E383" s="619"/>
      <c r="F383" s="619"/>
      <c r="G383" s="624"/>
    </row>
    <row r="384" spans="1:7" ht="13.5" customHeight="1">
      <c r="A384" s="1965" t="s">
        <v>1565</v>
      </c>
      <c r="B384" s="1801"/>
      <c r="C384" s="424" t="s">
        <v>1566</v>
      </c>
      <c r="D384" s="530" t="s">
        <v>7</v>
      </c>
      <c r="E384" s="530" t="s">
        <v>1558</v>
      </c>
      <c r="F384" s="530" t="s">
        <v>1559</v>
      </c>
      <c r="G384" s="557"/>
    </row>
    <row r="385" spans="1:7" ht="13.5" customHeight="1">
      <c r="A385" s="1983" t="str">
        <f>+'MANO DE OBRA'!$A$65</f>
        <v>Ayudante (Incl. Prestaciones)</v>
      </c>
      <c r="B385" s="1888"/>
      <c r="C385" s="558">
        <f>+'MANO DE OBRA'!$E$65</f>
        <v>10972.8125</v>
      </c>
      <c r="D385" s="559">
        <v>2</v>
      </c>
      <c r="E385" s="559">
        <v>0.25</v>
      </c>
      <c r="F385" s="578">
        <f>+(C385*D385)/E385</f>
        <v>87782.5</v>
      </c>
      <c r="G385" s="583"/>
    </row>
    <row r="386" spans="1:7" ht="13.5" customHeight="1">
      <c r="A386" s="1984"/>
      <c r="B386" s="1819"/>
      <c r="C386" s="613"/>
      <c r="D386" s="614"/>
      <c r="E386" s="615"/>
      <c r="F386" s="635"/>
      <c r="G386" s="589"/>
    </row>
    <row r="387" spans="1:7" ht="13.5" customHeight="1">
      <c r="A387" s="1969" t="str">
        <f>+A382</f>
        <v>SUB-TOTAL</v>
      </c>
      <c r="B387" s="1601"/>
      <c r="C387" s="1601"/>
      <c r="D387" s="1601"/>
      <c r="E387" s="1601"/>
      <c r="F387" s="1801"/>
      <c r="G387" s="557">
        <f>SUM(F385:F386)</f>
        <v>87782.5</v>
      </c>
    </row>
    <row r="388" spans="1:7" ht="13.5" customHeight="1">
      <c r="A388" s="618"/>
      <c r="B388" s="619"/>
      <c r="C388" s="619"/>
      <c r="D388" s="619"/>
      <c r="E388" s="619"/>
      <c r="F388" s="630"/>
      <c r="G388" s="624"/>
    </row>
    <row r="389" spans="1:7" ht="13.5" customHeight="1">
      <c r="A389" s="1969" t="s">
        <v>1567</v>
      </c>
      <c r="B389" s="1601"/>
      <c r="C389" s="1601"/>
      <c r="D389" s="1601"/>
      <c r="E389" s="1601"/>
      <c r="F389" s="1801"/>
      <c r="G389" s="607">
        <f>ROUND(G370+G377+G382+G387,0)</f>
        <v>323683</v>
      </c>
    </row>
    <row r="390" spans="1:7" ht="13.5" customHeight="1">
      <c r="A390" s="617"/>
      <c r="B390" s="1"/>
      <c r="C390" s="1"/>
      <c r="D390" s="1"/>
      <c r="E390" s="1"/>
      <c r="F390" s="1"/>
      <c r="G390" s="1"/>
    </row>
    <row r="391" spans="1:7" ht="13.5" hidden="1" customHeight="1">
      <c r="A391" s="616"/>
      <c r="B391" s="162"/>
      <c r="C391" s="162"/>
      <c r="D391" s="162"/>
      <c r="E391" s="162"/>
      <c r="F391" s="162"/>
      <c r="G391" s="162"/>
    </row>
    <row r="392" spans="1:7" ht="12.75" hidden="1" customHeight="1">
      <c r="A392" s="1994" t="e">
        <f>+'ANALISIS BASICOS'!$A$7</f>
        <v>#REF!</v>
      </c>
      <c r="B392" s="1616"/>
      <c r="C392" s="1624"/>
      <c r="D392" s="567"/>
      <c r="E392" s="568"/>
      <c r="F392" s="568"/>
      <c r="G392" s="569"/>
    </row>
    <row r="393" spans="1:7" ht="24.75" hidden="1" customHeight="1">
      <c r="A393" s="1971"/>
      <c r="B393" s="1817"/>
      <c r="C393" s="1972"/>
      <c r="D393" s="570"/>
      <c r="E393" s="570"/>
      <c r="F393" s="570"/>
      <c r="G393" s="571"/>
    </row>
    <row r="394" spans="1:7" ht="13.5" hidden="1" customHeight="1">
      <c r="A394" s="618"/>
      <c r="B394" s="619"/>
      <c r="C394" s="619"/>
      <c r="D394" s="619"/>
      <c r="E394" s="619"/>
      <c r="F394" s="619"/>
      <c r="G394" s="619"/>
    </row>
    <row r="395" spans="1:7" ht="48.75" hidden="1" customHeight="1">
      <c r="A395" s="1991" t="e">
        <f>A10</f>
        <v>#REF!</v>
      </c>
      <c r="B395" s="1601"/>
      <c r="C395" s="1602"/>
      <c r="D395" s="1974" t="s">
        <v>1632</v>
      </c>
      <c r="E395" s="1601"/>
      <c r="F395" s="1601"/>
      <c r="G395" s="1602"/>
    </row>
    <row r="396" spans="1:7" ht="13.5" hidden="1" customHeight="1">
      <c r="A396" s="620"/>
      <c r="B396" s="620"/>
      <c r="C396" s="620"/>
      <c r="D396" s="620"/>
      <c r="E396" s="620"/>
      <c r="F396" s="620"/>
      <c r="G396" s="620"/>
    </row>
    <row r="397" spans="1:7" ht="13.5" hidden="1" customHeight="1">
      <c r="A397" s="572"/>
      <c r="B397" s="619"/>
      <c r="C397" s="162"/>
      <c r="D397" s="421" t="s">
        <v>1553</v>
      </c>
      <c r="E397" s="422" t="s">
        <v>127</v>
      </c>
      <c r="F397" s="572"/>
      <c r="G397" s="572"/>
    </row>
    <row r="398" spans="1:7" ht="13.5" hidden="1" customHeight="1">
      <c r="A398" s="621" t="s">
        <v>1555</v>
      </c>
      <c r="B398" s="619"/>
      <c r="C398" s="619"/>
      <c r="D398" s="619"/>
      <c r="E398" s="619"/>
      <c r="F398" s="619"/>
      <c r="G398" s="619"/>
    </row>
    <row r="399" spans="1:7" ht="15" hidden="1" customHeight="1">
      <c r="A399" s="1975" t="s">
        <v>1556</v>
      </c>
      <c r="B399" s="1601"/>
      <c r="C399" s="1602"/>
      <c r="D399" s="650" t="s">
        <v>208</v>
      </c>
      <c r="E399" s="530" t="s">
        <v>1558</v>
      </c>
      <c r="F399" s="424" t="s">
        <v>1559</v>
      </c>
      <c r="G399" s="531"/>
    </row>
    <row r="400" spans="1:7" ht="13.5" hidden="1" customHeight="1">
      <c r="A400" s="1997" t="str">
        <f>+'LISTADO EQUIPOS'!$C$22</f>
        <v>HERRAMIENTA MENOR.</v>
      </c>
      <c r="B400" s="1608"/>
      <c r="C400" s="1888"/>
      <c r="D400" s="653" t="s">
        <v>16</v>
      </c>
      <c r="E400" s="654">
        <v>1</v>
      </c>
      <c r="F400" s="655">
        <f>+'LISTADO EQUIPOS'!$E$22/8</f>
        <v>2850</v>
      </c>
      <c r="G400" s="656"/>
    </row>
    <row r="401" spans="1:7" ht="13.5" hidden="1" customHeight="1">
      <c r="A401" s="1998" t="s">
        <v>1633</v>
      </c>
      <c r="B401" s="1610"/>
      <c r="C401" s="1611"/>
      <c r="D401" s="653">
        <v>20000</v>
      </c>
      <c r="E401" s="657">
        <v>1</v>
      </c>
      <c r="F401" s="655">
        <f>+D401*E401</f>
        <v>20000</v>
      </c>
      <c r="G401" s="595"/>
    </row>
    <row r="402" spans="1:7" ht="13.5" hidden="1" customHeight="1">
      <c r="A402" s="1999" t="s">
        <v>1634</v>
      </c>
      <c r="B402" s="1817"/>
      <c r="C402" s="2000"/>
      <c r="D402" s="564">
        <v>150000</v>
      </c>
      <c r="E402" s="658">
        <v>1</v>
      </c>
      <c r="F402" s="564">
        <f>D402</f>
        <v>150000</v>
      </c>
      <c r="G402" s="596"/>
    </row>
    <row r="403" spans="1:7" ht="13.5" hidden="1" customHeight="1">
      <c r="A403" s="1969" t="s">
        <v>1560</v>
      </c>
      <c r="B403" s="1601"/>
      <c r="C403" s="1601"/>
      <c r="D403" s="1601"/>
      <c r="E403" s="1601"/>
      <c r="F403" s="1801"/>
      <c r="G403" s="557">
        <f>F400+F401+F402</f>
        <v>172850</v>
      </c>
    </row>
    <row r="404" spans="1:7" ht="13.5" hidden="1" customHeight="1">
      <c r="A404" s="621" t="s">
        <v>1561</v>
      </c>
      <c r="B404" s="619"/>
      <c r="C404" s="619"/>
      <c r="D404" s="619"/>
      <c r="E404" s="619"/>
      <c r="F404" s="619"/>
      <c r="G404" s="619"/>
    </row>
    <row r="405" spans="1:7" ht="13.5" hidden="1" customHeight="1">
      <c r="A405" s="1975" t="s">
        <v>1556</v>
      </c>
      <c r="B405" s="1801"/>
      <c r="C405" s="424" t="s">
        <v>6</v>
      </c>
      <c r="D405" s="424" t="s">
        <v>1562</v>
      </c>
      <c r="E405" s="424" t="s">
        <v>7</v>
      </c>
      <c r="F405" s="424" t="s">
        <v>1559</v>
      </c>
      <c r="G405" s="531"/>
    </row>
    <row r="406" spans="1:7" ht="13.5" hidden="1" customHeight="1">
      <c r="A406" s="1976"/>
      <c r="B406" s="1967"/>
      <c r="C406" s="581"/>
      <c r="D406" s="582"/>
      <c r="E406" s="581"/>
      <c r="F406" s="582"/>
      <c r="G406" s="594"/>
    </row>
    <row r="407" spans="1:7" ht="13.5" hidden="1" customHeight="1">
      <c r="A407" s="1977"/>
      <c r="B407" s="1611"/>
      <c r="C407" s="584"/>
      <c r="D407" s="585"/>
      <c r="E407" s="584"/>
      <c r="F407" s="585"/>
      <c r="G407" s="595"/>
    </row>
    <row r="408" spans="1:7" ht="13.5" hidden="1" customHeight="1">
      <c r="A408" s="1977"/>
      <c r="B408" s="1611"/>
      <c r="C408" s="584"/>
      <c r="D408" s="585"/>
      <c r="E408" s="584"/>
      <c r="F408" s="585"/>
      <c r="G408" s="595"/>
    </row>
    <row r="409" spans="1:7" ht="13.5" hidden="1" customHeight="1">
      <c r="A409" s="1978"/>
      <c r="B409" s="1819"/>
      <c r="C409" s="587"/>
      <c r="D409" s="588"/>
      <c r="E409" s="587"/>
      <c r="F409" s="588"/>
      <c r="G409" s="596"/>
    </row>
    <row r="410" spans="1:7" ht="13.5" hidden="1" customHeight="1">
      <c r="A410" s="1969" t="s">
        <v>1560</v>
      </c>
      <c r="B410" s="1601"/>
      <c r="C410" s="1601"/>
      <c r="D410" s="1601"/>
      <c r="E410" s="1601"/>
      <c r="F410" s="1801"/>
      <c r="G410" s="631">
        <f>SUM(F406:F409)</f>
        <v>0</v>
      </c>
    </row>
    <row r="411" spans="1:7" ht="13.5" hidden="1" customHeight="1">
      <c r="A411" s="621" t="s">
        <v>1563</v>
      </c>
      <c r="B411" s="619"/>
      <c r="C411" s="619"/>
      <c r="D411" s="619"/>
      <c r="E411" s="619"/>
      <c r="F411" s="619"/>
      <c r="G411" s="619"/>
    </row>
    <row r="412" spans="1:7" ht="13.5" hidden="1" customHeight="1">
      <c r="A412" s="1965" t="s">
        <v>1556</v>
      </c>
      <c r="B412" s="1801"/>
      <c r="C412" s="530" t="s">
        <v>6</v>
      </c>
      <c r="D412" s="530" t="s">
        <v>1562</v>
      </c>
      <c r="E412" s="530" t="s">
        <v>7</v>
      </c>
      <c r="F412" s="530" t="s">
        <v>1559</v>
      </c>
      <c r="G412" s="597"/>
    </row>
    <row r="413" spans="1:7" ht="13.5" hidden="1" customHeight="1">
      <c r="A413" s="1987" t="s">
        <v>1635</v>
      </c>
      <c r="B413" s="1967"/>
      <c r="C413" s="625"/>
      <c r="D413" s="582"/>
      <c r="E413" s="626"/>
      <c r="F413" s="585"/>
      <c r="G413" s="583">
        <v>100000</v>
      </c>
    </row>
    <row r="414" spans="1:7" ht="13.5" hidden="1" customHeight="1">
      <c r="A414" s="1993"/>
      <c r="B414" s="1819"/>
      <c r="C414" s="625"/>
      <c r="D414" s="625"/>
      <c r="E414" s="588"/>
      <c r="F414" s="588"/>
      <c r="G414" s="632"/>
    </row>
    <row r="415" spans="1:7" ht="13.5" hidden="1" customHeight="1">
      <c r="A415" s="1969" t="s">
        <v>1560</v>
      </c>
      <c r="B415" s="1601"/>
      <c r="C415" s="1601"/>
      <c r="D415" s="1601"/>
      <c r="E415" s="1601"/>
      <c r="F415" s="1801"/>
      <c r="G415" s="557">
        <f>G413</f>
        <v>100000</v>
      </c>
    </row>
    <row r="416" spans="1:7" ht="13.5" hidden="1" customHeight="1">
      <c r="A416" s="621" t="s">
        <v>1564</v>
      </c>
      <c r="B416" s="619"/>
      <c r="C416" s="619"/>
      <c r="D416" s="619"/>
      <c r="E416" s="619"/>
      <c r="F416" s="619"/>
      <c r="G416" s="624"/>
    </row>
    <row r="417" spans="1:7" ht="13.5" hidden="1" customHeight="1">
      <c r="A417" s="1965" t="s">
        <v>1565</v>
      </c>
      <c r="B417" s="1801"/>
      <c r="C417" s="424" t="s">
        <v>1566</v>
      </c>
      <c r="D417" s="530" t="s">
        <v>7</v>
      </c>
      <c r="E417" s="530" t="s">
        <v>1558</v>
      </c>
      <c r="F417" s="530" t="s">
        <v>1559</v>
      </c>
      <c r="G417" s="557"/>
    </row>
    <row r="418" spans="1:7" ht="13.5" hidden="1" customHeight="1">
      <c r="A418" s="1983" t="str">
        <f>+'MANO DE OBRA'!$A$65</f>
        <v>Ayudante (Incl. Prestaciones)</v>
      </c>
      <c r="B418" s="1888"/>
      <c r="C418" s="659">
        <v>108000</v>
      </c>
      <c r="D418" s="559">
        <v>1</v>
      </c>
      <c r="E418" s="559">
        <v>1</v>
      </c>
      <c r="F418" s="578">
        <f>+(C418*D418)*E418</f>
        <v>108000</v>
      </c>
      <c r="G418" s="583"/>
    </row>
    <row r="419" spans="1:7" ht="13.5" hidden="1" customHeight="1">
      <c r="A419" s="1984" t="s">
        <v>1636</v>
      </c>
      <c r="B419" s="1819"/>
      <c r="C419" s="660">
        <v>73000</v>
      </c>
      <c r="D419" s="614">
        <v>1</v>
      </c>
      <c r="E419" s="615">
        <v>1</v>
      </c>
      <c r="F419" s="564">
        <f>C419*D419</f>
        <v>73000</v>
      </c>
      <c r="G419" s="589"/>
    </row>
    <row r="420" spans="1:7" ht="13.5" hidden="1" customHeight="1">
      <c r="A420" s="1969" t="str">
        <f>+A415</f>
        <v>SUB-TOTAL</v>
      </c>
      <c r="B420" s="1601"/>
      <c r="C420" s="1601"/>
      <c r="D420" s="1601"/>
      <c r="E420" s="1601"/>
      <c r="F420" s="1801"/>
      <c r="G420" s="557">
        <f>SUM(F418:F419)</f>
        <v>181000</v>
      </c>
    </row>
    <row r="421" spans="1:7" ht="13.5" hidden="1" customHeight="1">
      <c r="A421" s="618"/>
      <c r="B421" s="619"/>
      <c r="C421" s="619"/>
      <c r="D421" s="619"/>
      <c r="E421" s="619"/>
      <c r="F421" s="630"/>
      <c r="G421" s="624"/>
    </row>
    <row r="422" spans="1:7" ht="13.5" hidden="1" customHeight="1">
      <c r="A422" s="1969" t="s">
        <v>1567</v>
      </c>
      <c r="B422" s="1601"/>
      <c r="C422" s="1601"/>
      <c r="D422" s="1601"/>
      <c r="E422" s="1601"/>
      <c r="F422" s="1801"/>
      <c r="G422" s="607">
        <f>G403+G413+G420</f>
        <v>453850</v>
      </c>
    </row>
    <row r="423" spans="1:7" ht="13.5" hidden="1" customHeight="1">
      <c r="A423" s="616"/>
      <c r="B423" s="162"/>
      <c r="C423" s="162"/>
      <c r="D423" s="162"/>
      <c r="E423" s="162"/>
      <c r="F423" s="162"/>
      <c r="G423" s="162"/>
    </row>
    <row r="424" spans="1:7" ht="13.5" hidden="1" customHeight="1">
      <c r="A424" s="616"/>
      <c r="B424" s="162"/>
      <c r="C424" s="162"/>
      <c r="D424" s="162"/>
      <c r="E424" s="162"/>
      <c r="F424" s="162"/>
      <c r="G424" s="162"/>
    </row>
    <row r="425" spans="1:7" ht="12.75" hidden="1" customHeight="1">
      <c r="A425" s="1994" t="e">
        <f>+'ANALISIS BASICOS'!$A$7</f>
        <v>#REF!</v>
      </c>
      <c r="B425" s="1616"/>
      <c r="C425" s="1624"/>
      <c r="D425" s="567"/>
      <c r="E425" s="568"/>
      <c r="F425" s="568"/>
      <c r="G425" s="569"/>
    </row>
    <row r="426" spans="1:7" ht="29.25" hidden="1" customHeight="1">
      <c r="A426" s="1971"/>
      <c r="B426" s="1817"/>
      <c r="C426" s="1972"/>
      <c r="D426" s="570"/>
      <c r="E426" s="570"/>
      <c r="F426" s="570"/>
      <c r="G426" s="571"/>
    </row>
    <row r="427" spans="1:7" ht="13.5" hidden="1" customHeight="1">
      <c r="A427" s="618"/>
      <c r="B427" s="619"/>
      <c r="C427" s="619"/>
      <c r="D427" s="619"/>
      <c r="E427" s="619"/>
      <c r="F427" s="619"/>
      <c r="G427" s="619"/>
    </row>
    <row r="428" spans="1:7" ht="46.5" hidden="1" customHeight="1">
      <c r="A428" s="1991" t="e">
        <f>A10</f>
        <v>#REF!</v>
      </c>
      <c r="B428" s="1601"/>
      <c r="C428" s="1602"/>
      <c r="D428" s="1974" t="s">
        <v>1637</v>
      </c>
      <c r="E428" s="1601"/>
      <c r="F428" s="1601"/>
      <c r="G428" s="1602"/>
    </row>
    <row r="429" spans="1:7" ht="13.5" hidden="1" customHeight="1">
      <c r="A429" s="620"/>
      <c r="B429" s="620"/>
      <c r="C429" s="620"/>
      <c r="D429" s="620"/>
      <c r="E429" s="620"/>
      <c r="F429" s="620"/>
      <c r="G429" s="620"/>
    </row>
    <row r="430" spans="1:7" ht="13.5" hidden="1" customHeight="1">
      <c r="A430" s="572"/>
      <c r="B430" s="619"/>
      <c r="C430" s="162"/>
      <c r="D430" s="421" t="s">
        <v>1553</v>
      </c>
      <c r="E430" s="422" t="s">
        <v>228</v>
      </c>
      <c r="F430" s="572"/>
      <c r="G430" s="572"/>
    </row>
    <row r="431" spans="1:7" ht="13.5" hidden="1" customHeight="1">
      <c r="A431" s="621" t="s">
        <v>1555</v>
      </c>
      <c r="B431" s="619"/>
      <c r="C431" s="619"/>
      <c r="D431" s="619"/>
      <c r="E431" s="619"/>
      <c r="F431" s="619"/>
      <c r="G431" s="619"/>
    </row>
    <row r="432" spans="1:7" ht="13.5" hidden="1" customHeight="1">
      <c r="A432" s="1975" t="s">
        <v>1556</v>
      </c>
      <c r="B432" s="1601"/>
      <c r="C432" s="1801"/>
      <c r="D432" s="530" t="s">
        <v>208</v>
      </c>
      <c r="E432" s="530" t="s">
        <v>1558</v>
      </c>
      <c r="F432" s="424" t="s">
        <v>1559</v>
      </c>
      <c r="G432" s="531"/>
    </row>
    <row r="433" spans="1:7" ht="13.5" hidden="1" customHeight="1">
      <c r="A433" s="1995" t="str">
        <f>+'LISTADO EQUIPOS'!$C$22</f>
        <v>HERRAMIENTA MENOR.</v>
      </c>
      <c r="B433" s="1610"/>
      <c r="C433" s="1611"/>
      <c r="D433" s="585">
        <f>+'LISTADO EQUIPOS'!$E$22/8</f>
        <v>2850</v>
      </c>
      <c r="E433" s="446">
        <v>4</v>
      </c>
      <c r="F433" s="627">
        <f>+D433/E433</f>
        <v>712.5</v>
      </c>
      <c r="G433" s="595"/>
    </row>
    <row r="434" spans="1:7" ht="13.5" hidden="1" customHeight="1">
      <c r="A434" s="1996"/>
      <c r="B434" s="1807"/>
      <c r="C434" s="1819"/>
      <c r="D434" s="588"/>
      <c r="E434" s="622"/>
      <c r="F434" s="588"/>
      <c r="G434" s="596"/>
    </row>
    <row r="435" spans="1:7" ht="13.5" hidden="1" customHeight="1">
      <c r="A435" s="1969" t="s">
        <v>1560</v>
      </c>
      <c r="B435" s="1601"/>
      <c r="C435" s="1601"/>
      <c r="D435" s="1601"/>
      <c r="E435" s="1601"/>
      <c r="F435" s="1801"/>
      <c r="G435" s="557">
        <f>SUM(F433:F434)</f>
        <v>712.5</v>
      </c>
    </row>
    <row r="436" spans="1:7" ht="13.5" hidden="1" customHeight="1">
      <c r="A436" s="621" t="s">
        <v>1561</v>
      </c>
      <c r="B436" s="619"/>
      <c r="C436" s="619"/>
      <c r="D436" s="619"/>
      <c r="E436" s="619"/>
      <c r="F436" s="619"/>
      <c r="G436" s="624"/>
    </row>
    <row r="437" spans="1:7" ht="13.5" hidden="1" customHeight="1">
      <c r="A437" s="1975" t="s">
        <v>1556</v>
      </c>
      <c r="B437" s="1801"/>
      <c r="C437" s="424" t="s">
        <v>6</v>
      </c>
      <c r="D437" s="424" t="s">
        <v>1562</v>
      </c>
      <c r="E437" s="424" t="s">
        <v>7</v>
      </c>
      <c r="F437" s="424" t="s">
        <v>1559</v>
      </c>
      <c r="G437" s="541"/>
    </row>
    <row r="438" spans="1:7" ht="13.5" hidden="1" customHeight="1">
      <c r="A438" s="1976"/>
      <c r="B438" s="1967"/>
      <c r="C438" s="581"/>
      <c r="D438" s="582"/>
      <c r="E438" s="581"/>
      <c r="F438" s="582"/>
      <c r="G438" s="583"/>
    </row>
    <row r="439" spans="1:7" ht="13.5" hidden="1" customHeight="1">
      <c r="A439" s="1977"/>
      <c r="B439" s="1611"/>
      <c r="C439" s="584"/>
      <c r="D439" s="585"/>
      <c r="E439" s="584"/>
      <c r="F439" s="585"/>
      <c r="G439" s="586"/>
    </row>
    <row r="440" spans="1:7" ht="13.5" hidden="1" customHeight="1">
      <c r="A440" s="1977"/>
      <c r="B440" s="1611"/>
      <c r="C440" s="584"/>
      <c r="D440" s="585"/>
      <c r="E440" s="584"/>
      <c r="F440" s="585"/>
      <c r="G440" s="586"/>
    </row>
    <row r="441" spans="1:7" ht="13.5" hidden="1" customHeight="1">
      <c r="A441" s="1978"/>
      <c r="B441" s="1819"/>
      <c r="C441" s="587"/>
      <c r="D441" s="588"/>
      <c r="E441" s="587"/>
      <c r="F441" s="588"/>
      <c r="G441" s="589"/>
    </row>
    <row r="442" spans="1:7" ht="13.5" hidden="1" customHeight="1">
      <c r="A442" s="1969" t="s">
        <v>1560</v>
      </c>
      <c r="B442" s="1601"/>
      <c r="C442" s="1601"/>
      <c r="D442" s="1601"/>
      <c r="E442" s="1601"/>
      <c r="F442" s="1801"/>
      <c r="G442" s="557">
        <f>SUM(F438:F441)</f>
        <v>0</v>
      </c>
    </row>
    <row r="443" spans="1:7" ht="13.5" hidden="1" customHeight="1">
      <c r="A443" s="621" t="s">
        <v>1563</v>
      </c>
      <c r="B443" s="619"/>
      <c r="C443" s="619"/>
      <c r="D443" s="619"/>
      <c r="E443" s="619"/>
      <c r="F443" s="619"/>
      <c r="G443" s="624"/>
    </row>
    <row r="444" spans="1:7" ht="13.5" hidden="1" customHeight="1">
      <c r="A444" s="1965" t="s">
        <v>1556</v>
      </c>
      <c r="B444" s="1801"/>
      <c r="C444" s="530" t="s">
        <v>6</v>
      </c>
      <c r="D444" s="530" t="s">
        <v>1562</v>
      </c>
      <c r="E444" s="530" t="s">
        <v>7</v>
      </c>
      <c r="F444" s="530" t="s">
        <v>1559</v>
      </c>
      <c r="G444" s="552"/>
    </row>
    <row r="445" spans="1:7" ht="13.5" hidden="1" customHeight="1">
      <c r="A445" s="1987" t="s">
        <v>1638</v>
      </c>
      <c r="B445" s="1967"/>
      <c r="C445" s="625" t="s">
        <v>1639</v>
      </c>
      <c r="D445" s="582">
        <f>'LISTADO EQUIPOS'!E124</f>
        <v>80000</v>
      </c>
      <c r="E445" s="626">
        <v>0.05</v>
      </c>
      <c r="F445" s="627">
        <f>D445*E445</f>
        <v>4000</v>
      </c>
      <c r="G445" s="583"/>
    </row>
    <row r="446" spans="1:7" ht="13.5" hidden="1" customHeight="1">
      <c r="A446" s="1993"/>
      <c r="B446" s="1819"/>
      <c r="C446" s="625"/>
      <c r="D446" s="625"/>
      <c r="E446" s="588"/>
      <c r="F446" s="588"/>
      <c r="G446" s="629"/>
    </row>
    <row r="447" spans="1:7" ht="13.5" hidden="1" customHeight="1">
      <c r="A447" s="1969" t="s">
        <v>1560</v>
      </c>
      <c r="B447" s="1601"/>
      <c r="C447" s="1601"/>
      <c r="D447" s="1601"/>
      <c r="E447" s="1601"/>
      <c r="F447" s="1801"/>
      <c r="G447" s="557">
        <f>SUM(F445:F446)</f>
        <v>4000</v>
      </c>
    </row>
    <row r="448" spans="1:7" ht="13.5" hidden="1" customHeight="1">
      <c r="A448" s="621" t="s">
        <v>1564</v>
      </c>
      <c r="B448" s="619"/>
      <c r="C448" s="619"/>
      <c r="D448" s="619"/>
      <c r="E448" s="619"/>
      <c r="F448" s="619"/>
      <c r="G448" s="624"/>
    </row>
    <row r="449" spans="1:7" ht="13.5" hidden="1" customHeight="1">
      <c r="A449" s="1965" t="s">
        <v>1565</v>
      </c>
      <c r="B449" s="1801"/>
      <c r="C449" s="424" t="s">
        <v>1566</v>
      </c>
      <c r="D449" s="530" t="s">
        <v>7</v>
      </c>
      <c r="E449" s="530" t="s">
        <v>1558</v>
      </c>
      <c r="F449" s="530" t="s">
        <v>1559</v>
      </c>
      <c r="G449" s="557"/>
    </row>
    <row r="450" spans="1:7" ht="13.5" hidden="1" customHeight="1">
      <c r="A450" s="1983" t="str">
        <f>+'MANO DE OBRA'!$A$65</f>
        <v>Ayudante (Incl. Prestaciones)</v>
      </c>
      <c r="B450" s="1888"/>
      <c r="C450" s="558">
        <f>+'MANO DE OBRA'!$E$65</f>
        <v>10972.8125</v>
      </c>
      <c r="D450" s="559">
        <v>2</v>
      </c>
      <c r="E450" s="559">
        <v>4</v>
      </c>
      <c r="F450" s="578">
        <f>+(C450*D450)/E450</f>
        <v>5486.40625</v>
      </c>
      <c r="G450" s="583"/>
    </row>
    <row r="451" spans="1:7" ht="13.5" hidden="1" customHeight="1">
      <c r="A451" s="1984"/>
      <c r="B451" s="1819"/>
      <c r="C451" s="613"/>
      <c r="D451" s="614"/>
      <c r="E451" s="615"/>
      <c r="F451" s="635"/>
      <c r="G451" s="589"/>
    </row>
    <row r="452" spans="1:7" ht="13.5" hidden="1" customHeight="1">
      <c r="A452" s="1969" t="str">
        <f>+A447</f>
        <v>SUB-TOTAL</v>
      </c>
      <c r="B452" s="1601"/>
      <c r="C452" s="1601"/>
      <c r="D452" s="1601"/>
      <c r="E452" s="1601"/>
      <c r="F452" s="1801"/>
      <c r="G452" s="557">
        <f>SUM(F450:F451)</f>
        <v>5486.40625</v>
      </c>
    </row>
    <row r="453" spans="1:7" ht="13.5" hidden="1" customHeight="1">
      <c r="A453" s="618"/>
      <c r="B453" s="619"/>
      <c r="C453" s="619"/>
      <c r="D453" s="619"/>
      <c r="E453" s="619"/>
      <c r="F453" s="630"/>
      <c r="G453" s="624"/>
    </row>
    <row r="454" spans="1:7" ht="13.5" hidden="1" customHeight="1">
      <c r="A454" s="1969" t="s">
        <v>1567</v>
      </c>
      <c r="B454" s="1601"/>
      <c r="C454" s="1601"/>
      <c r="D454" s="1601"/>
      <c r="E454" s="1601"/>
      <c r="F454" s="1801"/>
      <c r="G454" s="607">
        <f>ROUND(G435+G442+G447+G452,0)</f>
        <v>10199</v>
      </c>
    </row>
    <row r="455" spans="1:7" ht="13.5" hidden="1" customHeight="1">
      <c r="A455" s="616"/>
      <c r="B455" s="162"/>
      <c r="C455" s="162"/>
      <c r="D455" s="162"/>
      <c r="E455" s="162"/>
      <c r="F455" s="162"/>
      <c r="G455" s="162"/>
    </row>
    <row r="456" spans="1:7" ht="13.5" hidden="1" customHeight="1">
      <c r="A456" s="616"/>
      <c r="B456" s="162"/>
      <c r="C456" s="162"/>
      <c r="D456" s="162"/>
      <c r="E456" s="162"/>
      <c r="F456" s="162"/>
      <c r="G456" s="162"/>
    </row>
    <row r="457" spans="1:7" ht="12.75" hidden="1" customHeight="1">
      <c r="A457" s="1994" t="e">
        <f>+'ANALISIS BASICOS'!$A$7</f>
        <v>#REF!</v>
      </c>
      <c r="B457" s="1616"/>
      <c r="C457" s="1624"/>
      <c r="D457" s="567"/>
      <c r="E457" s="568"/>
      <c r="F457" s="568"/>
      <c r="G457" s="569"/>
    </row>
    <row r="458" spans="1:7" ht="24.75" hidden="1" customHeight="1">
      <c r="A458" s="1971"/>
      <c r="B458" s="1817"/>
      <c r="C458" s="1972"/>
      <c r="D458" s="570"/>
      <c r="E458" s="570"/>
      <c r="F458" s="570"/>
      <c r="G458" s="571"/>
    </row>
    <row r="459" spans="1:7" ht="13.5" hidden="1" customHeight="1">
      <c r="A459" s="618"/>
      <c r="B459" s="619"/>
      <c r="C459" s="619"/>
      <c r="D459" s="619"/>
      <c r="E459" s="619"/>
      <c r="F459" s="619"/>
      <c r="G459" s="619"/>
    </row>
    <row r="460" spans="1:7" ht="49.5" hidden="1" customHeight="1">
      <c r="A460" s="1991" t="e">
        <f>A10</f>
        <v>#REF!</v>
      </c>
      <c r="B460" s="1601"/>
      <c r="C460" s="1602"/>
      <c r="D460" s="1974" t="s">
        <v>1640</v>
      </c>
      <c r="E460" s="1601"/>
      <c r="F460" s="1601"/>
      <c r="G460" s="1602"/>
    </row>
    <row r="461" spans="1:7" ht="13.5" hidden="1" customHeight="1">
      <c r="A461" s="620"/>
      <c r="B461" s="620"/>
      <c r="C461" s="620"/>
      <c r="D461" s="620"/>
      <c r="E461" s="620"/>
      <c r="F461" s="620"/>
      <c r="G461" s="620"/>
    </row>
    <row r="462" spans="1:7" ht="13.5" hidden="1" customHeight="1">
      <c r="A462" s="572"/>
      <c r="B462" s="619"/>
      <c r="C462" s="162"/>
      <c r="D462" s="421" t="s">
        <v>1553</v>
      </c>
      <c r="E462" s="422" t="s">
        <v>228</v>
      </c>
      <c r="F462" s="572"/>
      <c r="G462" s="572"/>
    </row>
    <row r="463" spans="1:7" ht="13.5" hidden="1" customHeight="1">
      <c r="A463" s="621" t="s">
        <v>1555</v>
      </c>
      <c r="B463" s="619"/>
      <c r="C463" s="619"/>
      <c r="D463" s="619"/>
      <c r="E463" s="619"/>
      <c r="F463" s="619"/>
      <c r="G463" s="619"/>
    </row>
    <row r="464" spans="1:7" ht="13.5" hidden="1" customHeight="1">
      <c r="A464" s="1975" t="s">
        <v>1556</v>
      </c>
      <c r="B464" s="1601"/>
      <c r="C464" s="1801"/>
      <c r="D464" s="530" t="s">
        <v>208</v>
      </c>
      <c r="E464" s="530" t="s">
        <v>1558</v>
      </c>
      <c r="F464" s="424" t="s">
        <v>1559</v>
      </c>
      <c r="G464" s="531"/>
    </row>
    <row r="465" spans="1:7" ht="13.5" hidden="1" customHeight="1">
      <c r="A465" s="1995" t="str">
        <f>+'LISTADO EQUIPOS'!$C$22</f>
        <v>HERRAMIENTA MENOR.</v>
      </c>
      <c r="B465" s="1610"/>
      <c r="C465" s="1611"/>
      <c r="D465" s="585">
        <f>+'LISTADO EQUIPOS'!$E$22/8</f>
        <v>2850</v>
      </c>
      <c r="E465" s="446">
        <v>0.14000000000000001</v>
      </c>
      <c r="F465" s="627">
        <f>+D465*E465</f>
        <v>399.00000000000006</v>
      </c>
      <c r="G465" s="595"/>
    </row>
    <row r="466" spans="1:7" ht="13.5" hidden="1" customHeight="1">
      <c r="A466" s="1996" t="str">
        <f>'LISTADO EQUIPOS'!C12</f>
        <v>CORTADORA DE PAVIMENTOS RÍGIDOS Y FLEXIBLES.</v>
      </c>
      <c r="B466" s="1807"/>
      <c r="C466" s="1819"/>
      <c r="D466" s="588">
        <f>'LISTADO EQUIPOS'!E12</f>
        <v>9000</v>
      </c>
      <c r="E466" s="622">
        <v>0.18</v>
      </c>
      <c r="F466" s="623">
        <f>D466*E466</f>
        <v>1620</v>
      </c>
      <c r="G466" s="596"/>
    </row>
    <row r="467" spans="1:7" ht="13.5" hidden="1" customHeight="1">
      <c r="A467" s="1969" t="s">
        <v>1560</v>
      </c>
      <c r="B467" s="1601"/>
      <c r="C467" s="1601"/>
      <c r="D467" s="1601"/>
      <c r="E467" s="1601"/>
      <c r="F467" s="1801"/>
      <c r="G467" s="557">
        <f>SUM(F465:F466)</f>
        <v>2019</v>
      </c>
    </row>
    <row r="468" spans="1:7" ht="13.5" hidden="1" customHeight="1">
      <c r="A468" s="621" t="s">
        <v>1561</v>
      </c>
      <c r="B468" s="619"/>
      <c r="C468" s="619"/>
      <c r="D468" s="619"/>
      <c r="E468" s="619"/>
      <c r="F468" s="619"/>
      <c r="G468" s="624"/>
    </row>
    <row r="469" spans="1:7" ht="13.5" hidden="1" customHeight="1">
      <c r="A469" s="1975" t="s">
        <v>1556</v>
      </c>
      <c r="B469" s="1801"/>
      <c r="C469" s="424" t="s">
        <v>6</v>
      </c>
      <c r="D469" s="424" t="s">
        <v>1562</v>
      </c>
      <c r="E469" s="424" t="s">
        <v>7</v>
      </c>
      <c r="F469" s="424" t="s">
        <v>1559</v>
      </c>
      <c r="G469" s="541"/>
    </row>
    <row r="470" spans="1:7" ht="13.5" hidden="1" customHeight="1">
      <c r="A470" s="1976"/>
      <c r="B470" s="1967"/>
      <c r="C470" s="581"/>
      <c r="D470" s="582"/>
      <c r="E470" s="581"/>
      <c r="F470" s="582"/>
      <c r="G470" s="583"/>
    </row>
    <row r="471" spans="1:7" ht="13.5" hidden="1" customHeight="1">
      <c r="A471" s="1977"/>
      <c r="B471" s="1611"/>
      <c r="C471" s="584"/>
      <c r="D471" s="585"/>
      <c r="E471" s="584"/>
      <c r="F471" s="585"/>
      <c r="G471" s="586"/>
    </row>
    <row r="472" spans="1:7" ht="13.5" hidden="1" customHeight="1">
      <c r="A472" s="1977"/>
      <c r="B472" s="1611"/>
      <c r="C472" s="584"/>
      <c r="D472" s="585"/>
      <c r="E472" s="584"/>
      <c r="F472" s="585"/>
      <c r="G472" s="586"/>
    </row>
    <row r="473" spans="1:7" ht="13.5" hidden="1" customHeight="1">
      <c r="A473" s="1978"/>
      <c r="B473" s="1819"/>
      <c r="C473" s="587"/>
      <c r="D473" s="588"/>
      <c r="E473" s="587"/>
      <c r="F473" s="588"/>
      <c r="G473" s="589"/>
    </row>
    <row r="474" spans="1:7" ht="13.5" hidden="1" customHeight="1">
      <c r="A474" s="1969" t="s">
        <v>1560</v>
      </c>
      <c r="B474" s="1601"/>
      <c r="C474" s="1601"/>
      <c r="D474" s="1601"/>
      <c r="E474" s="1601"/>
      <c r="F474" s="1801"/>
      <c r="G474" s="557"/>
    </row>
    <row r="475" spans="1:7" ht="13.5" hidden="1" customHeight="1">
      <c r="A475" s="621" t="s">
        <v>1563</v>
      </c>
      <c r="B475" s="619"/>
      <c r="C475" s="619"/>
      <c r="D475" s="619"/>
      <c r="E475" s="619"/>
      <c r="F475" s="619"/>
      <c r="G475" s="624"/>
    </row>
    <row r="476" spans="1:7" ht="13.5" hidden="1" customHeight="1">
      <c r="A476" s="1965" t="s">
        <v>1556</v>
      </c>
      <c r="B476" s="1801"/>
      <c r="C476" s="530" t="s">
        <v>6</v>
      </c>
      <c r="D476" s="530" t="s">
        <v>1562</v>
      </c>
      <c r="E476" s="530" t="s">
        <v>7</v>
      </c>
      <c r="F476" s="530" t="s">
        <v>1559</v>
      </c>
      <c r="G476" s="552"/>
    </row>
    <row r="477" spans="1:7" ht="13.5" hidden="1" customHeight="1">
      <c r="A477" s="1987"/>
      <c r="B477" s="1967"/>
      <c r="C477" s="625"/>
      <c r="D477" s="582"/>
      <c r="E477" s="626"/>
      <c r="F477" s="585"/>
      <c r="G477" s="583"/>
    </row>
    <row r="478" spans="1:7" ht="13.5" hidden="1" customHeight="1">
      <c r="A478" s="1993"/>
      <c r="B478" s="1819"/>
      <c r="C478" s="625"/>
      <c r="D478" s="625"/>
      <c r="E478" s="588"/>
      <c r="F478" s="588"/>
      <c r="G478" s="629"/>
    </row>
    <row r="479" spans="1:7" ht="13.5" hidden="1" customHeight="1">
      <c r="A479" s="1969" t="s">
        <v>1560</v>
      </c>
      <c r="B479" s="1601"/>
      <c r="C479" s="1601"/>
      <c r="D479" s="1601"/>
      <c r="E479" s="1601"/>
      <c r="F479" s="1801"/>
      <c r="G479" s="557"/>
    </row>
    <row r="480" spans="1:7" ht="13.5" hidden="1" customHeight="1">
      <c r="A480" s="621" t="s">
        <v>1564</v>
      </c>
      <c r="B480" s="619"/>
      <c r="C480" s="619"/>
      <c r="D480" s="619"/>
      <c r="E480" s="619"/>
      <c r="F480" s="619"/>
      <c r="G480" s="624"/>
    </row>
    <row r="481" spans="1:7" ht="13.5" hidden="1" customHeight="1">
      <c r="A481" s="1965" t="s">
        <v>1565</v>
      </c>
      <c r="B481" s="1801"/>
      <c r="C481" s="424" t="s">
        <v>1566</v>
      </c>
      <c r="D481" s="530" t="s">
        <v>7</v>
      </c>
      <c r="E481" s="530" t="s">
        <v>1558</v>
      </c>
      <c r="F481" s="530" t="s">
        <v>1559</v>
      </c>
      <c r="G481" s="557"/>
    </row>
    <row r="482" spans="1:7" ht="13.5" hidden="1" customHeight="1">
      <c r="A482" s="1983" t="str">
        <f>+'MANO DE OBRA'!$A$65</f>
        <v>Ayudante (Incl. Prestaciones)</v>
      </c>
      <c r="B482" s="1888"/>
      <c r="C482" s="558">
        <f>+'MANO DE OBRA'!$E$65</f>
        <v>10972.8125</v>
      </c>
      <c r="D482" s="559">
        <v>2</v>
      </c>
      <c r="E482" s="559">
        <v>0.14000000000000001</v>
      </c>
      <c r="F482" s="578">
        <f>+(C482*D482)*E482</f>
        <v>3072.3875000000003</v>
      </c>
      <c r="G482" s="583"/>
    </row>
    <row r="483" spans="1:7" ht="13.5" hidden="1" customHeight="1">
      <c r="A483" s="1984"/>
      <c r="B483" s="1819"/>
      <c r="C483" s="613"/>
      <c r="D483" s="614"/>
      <c r="E483" s="615"/>
      <c r="F483" s="635"/>
      <c r="G483" s="589"/>
    </row>
    <row r="484" spans="1:7" ht="13.5" hidden="1" customHeight="1">
      <c r="A484" s="1969" t="str">
        <f>+A479</f>
        <v>SUB-TOTAL</v>
      </c>
      <c r="B484" s="1601"/>
      <c r="C484" s="1601"/>
      <c r="D484" s="1601"/>
      <c r="E484" s="1601"/>
      <c r="F484" s="1801"/>
      <c r="G484" s="557">
        <f>SUM(F482:F483)</f>
        <v>3072.3875000000003</v>
      </c>
    </row>
    <row r="485" spans="1:7" ht="13.5" hidden="1" customHeight="1">
      <c r="A485" s="618"/>
      <c r="B485" s="619"/>
      <c r="C485" s="619"/>
      <c r="D485" s="619"/>
      <c r="E485" s="619"/>
      <c r="F485" s="630"/>
      <c r="G485" s="624"/>
    </row>
    <row r="486" spans="1:7" ht="13.5" hidden="1" customHeight="1">
      <c r="A486" s="1969" t="s">
        <v>1567</v>
      </c>
      <c r="B486" s="1601"/>
      <c r="C486" s="1601"/>
      <c r="D486" s="1601"/>
      <c r="E486" s="1601"/>
      <c r="F486" s="1801"/>
      <c r="G486" s="607">
        <f>ROUND(G467+G474+G479+G484,0)</f>
        <v>5091</v>
      </c>
    </row>
    <row r="487" spans="1:7" ht="13.5" hidden="1" customHeight="1">
      <c r="A487" s="616"/>
      <c r="B487" s="162"/>
      <c r="C487" s="162"/>
      <c r="D487" s="162"/>
      <c r="E487" s="162"/>
      <c r="F487" s="162"/>
      <c r="G487" s="162"/>
    </row>
    <row r="488" spans="1:7" ht="13.5" hidden="1" customHeight="1">
      <c r="A488" s="616"/>
      <c r="B488" s="162"/>
      <c r="C488" s="162"/>
      <c r="D488" s="162"/>
      <c r="E488" s="162"/>
      <c r="F488" s="162"/>
      <c r="G488" s="162"/>
    </row>
    <row r="489" spans="1:7" ht="27.75" hidden="1" customHeight="1">
      <c r="A489" s="1994" t="e">
        <f>+'ANALISIS BASICOS'!$A$7</f>
        <v>#REF!</v>
      </c>
      <c r="B489" s="1616"/>
      <c r="C489" s="1624"/>
      <c r="D489" s="567"/>
      <c r="E489" s="568"/>
      <c r="F489" s="568"/>
      <c r="G489" s="569"/>
    </row>
    <row r="490" spans="1:7" ht="21.75" hidden="1" customHeight="1">
      <c r="A490" s="1971"/>
      <c r="B490" s="1817"/>
      <c r="C490" s="1972"/>
      <c r="D490" s="570"/>
      <c r="E490" s="570"/>
      <c r="F490" s="570"/>
      <c r="G490" s="571"/>
    </row>
    <row r="491" spans="1:7" ht="13.5" hidden="1" customHeight="1">
      <c r="A491" s="618"/>
      <c r="B491" s="619"/>
      <c r="C491" s="619"/>
      <c r="D491" s="619"/>
      <c r="E491" s="619"/>
      <c r="F491" s="619"/>
      <c r="G491" s="619"/>
    </row>
    <row r="492" spans="1:7" ht="52.5" hidden="1" customHeight="1">
      <c r="A492" s="1991" t="e">
        <f>A10</f>
        <v>#REF!</v>
      </c>
      <c r="B492" s="1601"/>
      <c r="C492" s="1602"/>
      <c r="D492" s="1974" t="s">
        <v>1641</v>
      </c>
      <c r="E492" s="1601"/>
      <c r="F492" s="1601"/>
      <c r="G492" s="1602"/>
    </row>
    <row r="493" spans="1:7" ht="13.5" hidden="1" customHeight="1">
      <c r="A493" s="620"/>
      <c r="B493" s="620"/>
      <c r="C493" s="620"/>
      <c r="D493" s="620"/>
      <c r="E493" s="620"/>
      <c r="F493" s="620"/>
      <c r="G493" s="620"/>
    </row>
    <row r="494" spans="1:7" ht="13.5" hidden="1" customHeight="1">
      <c r="A494" s="572"/>
      <c r="B494" s="619"/>
      <c r="C494" s="162"/>
      <c r="D494" s="421" t="s">
        <v>1553</v>
      </c>
      <c r="E494" s="422" t="s">
        <v>228</v>
      </c>
      <c r="F494" s="421" t="s">
        <v>1554</v>
      </c>
      <c r="G494" s="422" t="s">
        <v>380</v>
      </c>
    </row>
    <row r="495" spans="1:7" ht="13.5" hidden="1" customHeight="1">
      <c r="A495" s="621" t="s">
        <v>1555</v>
      </c>
      <c r="B495" s="619"/>
      <c r="C495" s="619"/>
      <c r="D495" s="619"/>
      <c r="E495" s="619"/>
      <c r="F495" s="619"/>
      <c r="G495" s="619"/>
    </row>
    <row r="496" spans="1:7" ht="13.5" hidden="1" customHeight="1">
      <c r="A496" s="1975" t="s">
        <v>1556</v>
      </c>
      <c r="B496" s="1601"/>
      <c r="C496" s="1801"/>
      <c r="D496" s="530" t="s">
        <v>208</v>
      </c>
      <c r="E496" s="530" t="s">
        <v>1558</v>
      </c>
      <c r="F496" s="424" t="s">
        <v>1559</v>
      </c>
      <c r="G496" s="531"/>
    </row>
    <row r="497" spans="1:7" ht="13.5" hidden="1" customHeight="1">
      <c r="A497" s="1987" t="str">
        <f>+'LISTADO EQUIPOS'!$C$22</f>
        <v>HERRAMIENTA MENOR.</v>
      </c>
      <c r="B497" s="1811"/>
      <c r="C497" s="1967"/>
      <c r="D497" s="582">
        <f>+'LISTADO EQUIPOS'!$E$22/8</f>
        <v>2850</v>
      </c>
      <c r="E497" s="610">
        <f>+E515*10%</f>
        <v>0.10976306548437709</v>
      </c>
      <c r="F497" s="604">
        <f>+E497*D497</f>
        <v>312.82473663047472</v>
      </c>
      <c r="G497" s="594"/>
    </row>
    <row r="498" spans="1:7" ht="13.5" hidden="1" customHeight="1">
      <c r="A498" s="1996"/>
      <c r="B498" s="1807"/>
      <c r="C498" s="1819"/>
      <c r="D498" s="588"/>
      <c r="E498" s="622"/>
      <c r="F498" s="623"/>
      <c r="G498" s="596"/>
    </row>
    <row r="499" spans="1:7" ht="13.5" hidden="1" customHeight="1">
      <c r="A499" s="1969" t="s">
        <v>1560</v>
      </c>
      <c r="B499" s="1601"/>
      <c r="C499" s="1601"/>
      <c r="D499" s="1601"/>
      <c r="E499" s="1601"/>
      <c r="F499" s="1801"/>
      <c r="G499" s="557">
        <f>SUM(F497:F498)</f>
        <v>312.82473663047472</v>
      </c>
    </row>
    <row r="500" spans="1:7" ht="13.5" hidden="1" customHeight="1">
      <c r="A500" s="621" t="s">
        <v>1561</v>
      </c>
      <c r="B500" s="619"/>
      <c r="C500" s="619"/>
      <c r="D500" s="619"/>
      <c r="E500" s="619"/>
      <c r="F500" s="619"/>
      <c r="G500" s="624"/>
    </row>
    <row r="501" spans="1:7" ht="13.5" hidden="1" customHeight="1">
      <c r="A501" s="1975" t="s">
        <v>1556</v>
      </c>
      <c r="B501" s="1801"/>
      <c r="C501" s="424" t="s">
        <v>6</v>
      </c>
      <c r="D501" s="424" t="s">
        <v>1562</v>
      </c>
      <c r="E501" s="424" t="s">
        <v>7</v>
      </c>
      <c r="F501" s="424" t="s">
        <v>1559</v>
      </c>
      <c r="G501" s="541"/>
    </row>
    <row r="502" spans="1:7" ht="13.5" hidden="1" customHeight="1">
      <c r="A502" s="1987"/>
      <c r="B502" s="1967"/>
      <c r="C502" s="581"/>
      <c r="D502" s="582"/>
      <c r="E502" s="581"/>
      <c r="F502" s="582"/>
      <c r="G502" s="583"/>
    </row>
    <row r="503" spans="1:7" ht="13.5" hidden="1" customHeight="1">
      <c r="A503" s="1995"/>
      <c r="B503" s="1611"/>
      <c r="C503" s="584"/>
      <c r="D503" s="585"/>
      <c r="E503" s="584"/>
      <c r="F503" s="585"/>
      <c r="G503" s="586"/>
    </row>
    <row r="504" spans="1:7" ht="13.5" hidden="1" customHeight="1">
      <c r="A504" s="1995"/>
      <c r="B504" s="1611"/>
      <c r="C504" s="584"/>
      <c r="D504" s="585"/>
      <c r="E504" s="584"/>
      <c r="F504" s="585"/>
      <c r="G504" s="586"/>
    </row>
    <row r="505" spans="1:7" ht="13.5" hidden="1" customHeight="1">
      <c r="A505" s="1996"/>
      <c r="B505" s="1819"/>
      <c r="C505" s="587"/>
      <c r="D505" s="588"/>
      <c r="E505" s="587"/>
      <c r="F505" s="588"/>
      <c r="G505" s="589"/>
    </row>
    <row r="506" spans="1:7" ht="13.5" hidden="1" customHeight="1">
      <c r="A506" s="1969" t="s">
        <v>1560</v>
      </c>
      <c r="B506" s="1601"/>
      <c r="C506" s="1601"/>
      <c r="D506" s="1601"/>
      <c r="E506" s="1601"/>
      <c r="F506" s="1801"/>
      <c r="G506" s="557">
        <f>SUM(F502:F505)</f>
        <v>0</v>
      </c>
    </row>
    <row r="507" spans="1:7" ht="13.5" hidden="1" customHeight="1">
      <c r="A507" s="621" t="s">
        <v>1563</v>
      </c>
      <c r="B507" s="619"/>
      <c r="C507" s="619"/>
      <c r="D507" s="619"/>
      <c r="E507" s="619"/>
      <c r="F507" s="619"/>
      <c r="G507" s="624"/>
    </row>
    <row r="508" spans="1:7" ht="13.5" hidden="1" customHeight="1">
      <c r="A508" s="1965" t="s">
        <v>1556</v>
      </c>
      <c r="B508" s="1801"/>
      <c r="C508" s="530" t="s">
        <v>6</v>
      </c>
      <c r="D508" s="530" t="s">
        <v>1562</v>
      </c>
      <c r="E508" s="530" t="s">
        <v>7</v>
      </c>
      <c r="F508" s="530" t="s">
        <v>1559</v>
      </c>
      <c r="G508" s="552"/>
    </row>
    <row r="509" spans="1:7" ht="13.5" hidden="1" customHeight="1">
      <c r="A509" s="1987" t="str">
        <f>+'LISTADO EQUIPOS'!$C$125</f>
        <v>VOLQUETA (5-6)M3</v>
      </c>
      <c r="B509" s="1967"/>
      <c r="C509" s="625" t="str">
        <f>+'LISTADO EQUIPOS'!$D$125</f>
        <v>VJ</v>
      </c>
      <c r="D509" s="582">
        <f>+'LISTADO EQUIPOS'!$E$125</f>
        <v>90000</v>
      </c>
      <c r="E509" s="626">
        <v>0.05</v>
      </c>
      <c r="F509" s="627">
        <f>D509*E509</f>
        <v>4500</v>
      </c>
      <c r="G509" s="583"/>
    </row>
    <row r="510" spans="1:7" ht="13.5" hidden="1" customHeight="1">
      <c r="A510" s="1993"/>
      <c r="B510" s="1819"/>
      <c r="C510" s="625"/>
      <c r="D510" s="625"/>
      <c r="E510" s="588"/>
      <c r="F510" s="623"/>
      <c r="G510" s="629"/>
    </row>
    <row r="511" spans="1:7" ht="13.5" hidden="1" customHeight="1">
      <c r="A511" s="1969" t="s">
        <v>1560</v>
      </c>
      <c r="B511" s="1601"/>
      <c r="C511" s="1601"/>
      <c r="D511" s="1601"/>
      <c r="E511" s="1601"/>
      <c r="F511" s="1801"/>
      <c r="G511" s="557">
        <f>SUM(F509:F510)</f>
        <v>4500</v>
      </c>
    </row>
    <row r="512" spans="1:7" ht="13.5" hidden="1" customHeight="1">
      <c r="A512" s="621" t="s">
        <v>1564</v>
      </c>
      <c r="B512" s="619"/>
      <c r="C512" s="619"/>
      <c r="D512" s="619"/>
      <c r="E512" s="619"/>
      <c r="F512" s="619"/>
      <c r="G512" s="624"/>
    </row>
    <row r="513" spans="1:7" ht="13.5" hidden="1" customHeight="1">
      <c r="A513" s="1965" t="s">
        <v>1565</v>
      </c>
      <c r="B513" s="1801"/>
      <c r="C513" s="424" t="s">
        <v>1566</v>
      </c>
      <c r="D513" s="530" t="s">
        <v>7</v>
      </c>
      <c r="E513" s="530" t="s">
        <v>1558</v>
      </c>
      <c r="F513" s="530" t="s">
        <v>1559</v>
      </c>
      <c r="G513" s="557"/>
    </row>
    <row r="514" spans="1:7" ht="13.5" hidden="1" customHeight="1">
      <c r="A514" s="1983"/>
      <c r="B514" s="1888"/>
      <c r="C514" s="558"/>
      <c r="D514" s="559"/>
      <c r="E514" s="559"/>
      <c r="F514" s="578"/>
      <c r="G514" s="583"/>
    </row>
    <row r="515" spans="1:7" ht="13.5" hidden="1" customHeight="1">
      <c r="A515" s="1984" t="str">
        <f>+'MANO DE OBRA'!$A$65</f>
        <v>Ayudante (Incl. Prestaciones)</v>
      </c>
      <c r="B515" s="1819"/>
      <c r="C515" s="613">
        <f>+'MANO DE OBRA'!$E$65</f>
        <v>10972.8125</v>
      </c>
      <c r="D515" s="614">
        <v>2</v>
      </c>
      <c r="E515" s="615">
        <v>1.0976306548437709</v>
      </c>
      <c r="F515" s="564">
        <f>+(C515*D515)/E515</f>
        <v>19993.633471473688</v>
      </c>
      <c r="G515" s="589"/>
    </row>
    <row r="516" spans="1:7" ht="13.5" hidden="1" customHeight="1">
      <c r="A516" s="1969" t="str">
        <f>+A511</f>
        <v>SUB-TOTAL</v>
      </c>
      <c r="B516" s="1601"/>
      <c r="C516" s="1601"/>
      <c r="D516" s="1601"/>
      <c r="E516" s="1601"/>
      <c r="F516" s="1801"/>
      <c r="G516" s="557">
        <f>SUM(F514:F515)</f>
        <v>19993.633471473688</v>
      </c>
    </row>
    <row r="517" spans="1:7" ht="13.5" hidden="1" customHeight="1">
      <c r="A517" s="618"/>
      <c r="B517" s="619"/>
      <c r="C517" s="619"/>
      <c r="D517" s="619"/>
      <c r="E517" s="619"/>
      <c r="F517" s="630"/>
      <c r="G517" s="624"/>
    </row>
    <row r="518" spans="1:7" ht="13.5" hidden="1" customHeight="1">
      <c r="A518" s="1969" t="s">
        <v>1567</v>
      </c>
      <c r="B518" s="1601"/>
      <c r="C518" s="1601"/>
      <c r="D518" s="1601"/>
      <c r="E518" s="1601"/>
      <c r="F518" s="1801"/>
      <c r="G518" s="607">
        <f>ROUND(G499+G506+G511+G516,0)</f>
        <v>24806</v>
      </c>
    </row>
  </sheetData>
  <mergeCells count="345">
    <mergeCell ref="A318:F318"/>
    <mergeCell ref="A323:F323"/>
    <mergeCell ref="A325:F325"/>
    <mergeCell ref="A326:F326"/>
    <mergeCell ref="A328:C329"/>
    <mergeCell ref="D331:G331"/>
    <mergeCell ref="A331:C331"/>
    <mergeCell ref="A335:C335"/>
    <mergeCell ref="A320:B320"/>
    <mergeCell ref="A321:B321"/>
    <mergeCell ref="A322:B322"/>
    <mergeCell ref="A336:C336"/>
    <mergeCell ref="A337:C337"/>
    <mergeCell ref="A338:F338"/>
    <mergeCell ref="A340:B340"/>
    <mergeCell ref="A341:B341"/>
    <mergeCell ref="A349:B349"/>
    <mergeCell ref="A352:B352"/>
    <mergeCell ref="A353:B353"/>
    <mergeCell ref="A354:B354"/>
    <mergeCell ref="A342:B342"/>
    <mergeCell ref="A343:B343"/>
    <mergeCell ref="A344:B344"/>
    <mergeCell ref="A345:F345"/>
    <mergeCell ref="A347:B347"/>
    <mergeCell ref="A348:B348"/>
    <mergeCell ref="A350:F350"/>
    <mergeCell ref="A212:B212"/>
    <mergeCell ref="A213:B213"/>
    <mergeCell ref="A214:B214"/>
    <mergeCell ref="A215:B215"/>
    <mergeCell ref="A216:B216"/>
    <mergeCell ref="A217:F217"/>
    <mergeCell ref="A219:B219"/>
    <mergeCell ref="A220:B220"/>
    <mergeCell ref="A221:B221"/>
    <mergeCell ref="A247:B247"/>
    <mergeCell ref="A248:B248"/>
    <mergeCell ref="A222:F222"/>
    <mergeCell ref="A224:B224"/>
    <mergeCell ref="A225:B225"/>
    <mergeCell ref="A227:F227"/>
    <mergeCell ref="A229:F229"/>
    <mergeCell ref="A226:B226"/>
    <mergeCell ref="A232:C233"/>
    <mergeCell ref="A235:C235"/>
    <mergeCell ref="D235:G235"/>
    <mergeCell ref="A316:B316"/>
    <mergeCell ref="A273:C273"/>
    <mergeCell ref="A274:F274"/>
    <mergeCell ref="A276:B276"/>
    <mergeCell ref="A277:B277"/>
    <mergeCell ref="A278:B278"/>
    <mergeCell ref="A279:B279"/>
    <mergeCell ref="A281:F281"/>
    <mergeCell ref="A286:F286"/>
    <mergeCell ref="A291:F291"/>
    <mergeCell ref="A293:F293"/>
    <mergeCell ref="A296:C297"/>
    <mergeCell ref="A299:C299"/>
    <mergeCell ref="D299:G299"/>
    <mergeCell ref="A304:C304"/>
    <mergeCell ref="A280:B280"/>
    <mergeCell ref="A305:C305"/>
    <mergeCell ref="A288:B288"/>
    <mergeCell ref="A289:B289"/>
    <mergeCell ref="A290:B290"/>
    <mergeCell ref="A283:B283"/>
    <mergeCell ref="A284:B284"/>
    <mergeCell ref="A285:B285"/>
    <mergeCell ref="A355:F355"/>
    <mergeCell ref="A357:F357"/>
    <mergeCell ref="A360:C361"/>
    <mergeCell ref="A363:C363"/>
    <mergeCell ref="D363:G363"/>
    <mergeCell ref="A367:C367"/>
    <mergeCell ref="A368:C368"/>
    <mergeCell ref="A428:C428"/>
    <mergeCell ref="A432:C432"/>
    <mergeCell ref="A376:B376"/>
    <mergeCell ref="A379:B379"/>
    <mergeCell ref="A380:B380"/>
    <mergeCell ref="A381:B381"/>
    <mergeCell ref="A384:B384"/>
    <mergeCell ref="A385:B385"/>
    <mergeCell ref="A386:B386"/>
    <mergeCell ref="A369:C369"/>
    <mergeCell ref="A370:F370"/>
    <mergeCell ref="A372:B372"/>
    <mergeCell ref="A373:B373"/>
    <mergeCell ref="A374:B374"/>
    <mergeCell ref="A375:B375"/>
    <mergeCell ref="A377:F377"/>
    <mergeCell ref="A382:F382"/>
    <mergeCell ref="A433:C433"/>
    <mergeCell ref="A434:C434"/>
    <mergeCell ref="A435:F435"/>
    <mergeCell ref="A437:B437"/>
    <mergeCell ref="A438:B438"/>
    <mergeCell ref="A439:B439"/>
    <mergeCell ref="A440:B440"/>
    <mergeCell ref="A441:B441"/>
    <mergeCell ref="A442:F442"/>
    <mergeCell ref="A444:B444"/>
    <mergeCell ref="A445:B445"/>
    <mergeCell ref="A447:F447"/>
    <mergeCell ref="A460:C460"/>
    <mergeCell ref="D460:G460"/>
    <mergeCell ref="A464:C464"/>
    <mergeCell ref="A465:C465"/>
    <mergeCell ref="A466:C466"/>
    <mergeCell ref="A467:F467"/>
    <mergeCell ref="A446:B446"/>
    <mergeCell ref="A449:B449"/>
    <mergeCell ref="A450:B450"/>
    <mergeCell ref="A451:B451"/>
    <mergeCell ref="A452:F452"/>
    <mergeCell ref="A454:F454"/>
    <mergeCell ref="A457:C458"/>
    <mergeCell ref="A469:B469"/>
    <mergeCell ref="A470:B470"/>
    <mergeCell ref="A471:B471"/>
    <mergeCell ref="A472:B472"/>
    <mergeCell ref="A473:B473"/>
    <mergeCell ref="A474:F474"/>
    <mergeCell ref="A476:B476"/>
    <mergeCell ref="A477:B477"/>
    <mergeCell ref="A478:B478"/>
    <mergeCell ref="A479:F479"/>
    <mergeCell ref="A481:B481"/>
    <mergeCell ref="A482:B482"/>
    <mergeCell ref="A483:B483"/>
    <mergeCell ref="A484:F484"/>
    <mergeCell ref="A486:F486"/>
    <mergeCell ref="A489:C490"/>
    <mergeCell ref="A492:C492"/>
    <mergeCell ref="D492:G492"/>
    <mergeCell ref="A496:C496"/>
    <mergeCell ref="A497:C497"/>
    <mergeCell ref="A498:C498"/>
    <mergeCell ref="A499:F499"/>
    <mergeCell ref="A509:B509"/>
    <mergeCell ref="A510:B510"/>
    <mergeCell ref="A511:F511"/>
    <mergeCell ref="A513:B513"/>
    <mergeCell ref="A514:B514"/>
    <mergeCell ref="A515:B515"/>
    <mergeCell ref="A516:F516"/>
    <mergeCell ref="A518:F518"/>
    <mergeCell ref="A501:B501"/>
    <mergeCell ref="A502:B502"/>
    <mergeCell ref="A503:B503"/>
    <mergeCell ref="A504:B504"/>
    <mergeCell ref="A505:B505"/>
    <mergeCell ref="A506:F506"/>
    <mergeCell ref="A508:B508"/>
    <mergeCell ref="A387:F387"/>
    <mergeCell ref="A389:F389"/>
    <mergeCell ref="A392:C393"/>
    <mergeCell ref="A395:C395"/>
    <mergeCell ref="D395:G395"/>
    <mergeCell ref="A399:C399"/>
    <mergeCell ref="A400:C400"/>
    <mergeCell ref="A401:C401"/>
    <mergeCell ref="A402:C402"/>
    <mergeCell ref="A403:F403"/>
    <mergeCell ref="A405:B405"/>
    <mergeCell ref="A406:B406"/>
    <mergeCell ref="A407:B407"/>
    <mergeCell ref="A408:B408"/>
    <mergeCell ref="A409:B409"/>
    <mergeCell ref="A410:F410"/>
    <mergeCell ref="A412:B412"/>
    <mergeCell ref="A413:B413"/>
    <mergeCell ref="A414:B414"/>
    <mergeCell ref="A415:F415"/>
    <mergeCell ref="A417:B417"/>
    <mergeCell ref="A418:B418"/>
    <mergeCell ref="A419:B419"/>
    <mergeCell ref="A420:F420"/>
    <mergeCell ref="A422:F422"/>
    <mergeCell ref="A425:C426"/>
    <mergeCell ref="D428:G428"/>
    <mergeCell ref="A7:C8"/>
    <mergeCell ref="A10:C10"/>
    <mergeCell ref="D10:G10"/>
    <mergeCell ref="A14:C14"/>
    <mergeCell ref="A15:C15"/>
    <mergeCell ref="A16:C16"/>
    <mergeCell ref="A17:F17"/>
    <mergeCell ref="A19:B19"/>
    <mergeCell ref="A20:B20"/>
    <mergeCell ref="A21:B21"/>
    <mergeCell ref="A22:B22"/>
    <mergeCell ref="A23:B23"/>
    <mergeCell ref="A24:F24"/>
    <mergeCell ref="A26:B26"/>
    <mergeCell ref="A27:B27"/>
    <mergeCell ref="A28:B28"/>
    <mergeCell ref="A29:F29"/>
    <mergeCell ref="A31:B31"/>
    <mergeCell ref="A32:B32"/>
    <mergeCell ref="A34:F34"/>
    <mergeCell ref="A36:F36"/>
    <mergeCell ref="A33:B33"/>
    <mergeCell ref="A39:C40"/>
    <mergeCell ref="A42:C42"/>
    <mergeCell ref="D42:G42"/>
    <mergeCell ref="A46:C46"/>
    <mergeCell ref="A47:C47"/>
    <mergeCell ref="A80:C80"/>
    <mergeCell ref="A49:F49"/>
    <mergeCell ref="A48:C48"/>
    <mergeCell ref="A51:B51"/>
    <mergeCell ref="A52:B52"/>
    <mergeCell ref="A53:B53"/>
    <mergeCell ref="A54:B54"/>
    <mergeCell ref="A55:B55"/>
    <mergeCell ref="A56:F56"/>
    <mergeCell ref="A58:B58"/>
    <mergeCell ref="A59:B59"/>
    <mergeCell ref="A60:B60"/>
    <mergeCell ref="A61:F61"/>
    <mergeCell ref="A63:B63"/>
    <mergeCell ref="A64:B64"/>
    <mergeCell ref="A65:B65"/>
    <mergeCell ref="A66:F66"/>
    <mergeCell ref="A68:F68"/>
    <mergeCell ref="A71:C72"/>
    <mergeCell ref="A74:C74"/>
    <mergeCell ref="D74:G74"/>
    <mergeCell ref="A78:C78"/>
    <mergeCell ref="A79:C79"/>
    <mergeCell ref="A184:B184"/>
    <mergeCell ref="A142:C142"/>
    <mergeCell ref="A143:C143"/>
    <mergeCell ref="A144:C144"/>
    <mergeCell ref="A145:F145"/>
    <mergeCell ref="A147:B147"/>
    <mergeCell ref="A113:F113"/>
    <mergeCell ref="A115:B115"/>
    <mergeCell ref="A116:B116"/>
    <mergeCell ref="A117:B117"/>
    <mergeCell ref="A118:B118"/>
    <mergeCell ref="A119:B119"/>
    <mergeCell ref="A120:F120"/>
    <mergeCell ref="A122:B122"/>
    <mergeCell ref="A123:B123"/>
    <mergeCell ref="A124:B124"/>
    <mergeCell ref="A125:F125"/>
    <mergeCell ref="A127:B127"/>
    <mergeCell ref="A128:B128"/>
    <mergeCell ref="A129:B129"/>
    <mergeCell ref="A130:F130"/>
    <mergeCell ref="A138:C138"/>
    <mergeCell ref="D138:G138"/>
    <mergeCell ref="A151:B151"/>
    <mergeCell ref="A152:F152"/>
    <mergeCell ref="A154:B154"/>
    <mergeCell ref="A155:B155"/>
    <mergeCell ref="A156:B156"/>
    <mergeCell ref="A157:F157"/>
    <mergeCell ref="A98:F98"/>
    <mergeCell ref="A100:F100"/>
    <mergeCell ref="A103:C104"/>
    <mergeCell ref="A106:C106"/>
    <mergeCell ref="A81:F81"/>
    <mergeCell ref="A83:B83"/>
    <mergeCell ref="A84:B84"/>
    <mergeCell ref="A85:B85"/>
    <mergeCell ref="A86:B86"/>
    <mergeCell ref="A88:F88"/>
    <mergeCell ref="A93:F93"/>
    <mergeCell ref="A132:F132"/>
    <mergeCell ref="A135:C136"/>
    <mergeCell ref="D106:G106"/>
    <mergeCell ref="A110:C110"/>
    <mergeCell ref="A111:C111"/>
    <mergeCell ref="A112:C112"/>
    <mergeCell ref="A87:B87"/>
    <mergeCell ref="A90:B90"/>
    <mergeCell ref="A91:B91"/>
    <mergeCell ref="A92:B92"/>
    <mergeCell ref="A95:B95"/>
    <mergeCell ref="A96:B96"/>
    <mergeCell ref="A97:B97"/>
    <mergeCell ref="A209:C209"/>
    <mergeCell ref="A210:F210"/>
    <mergeCell ref="A259:F259"/>
    <mergeCell ref="A261:F261"/>
    <mergeCell ref="A264:C265"/>
    <mergeCell ref="A267:C267"/>
    <mergeCell ref="D267:G267"/>
    <mergeCell ref="A271:C271"/>
    <mergeCell ref="A272:C272"/>
    <mergeCell ref="A249:F249"/>
    <mergeCell ref="A251:B251"/>
    <mergeCell ref="A252:B252"/>
    <mergeCell ref="A253:B253"/>
    <mergeCell ref="A254:F254"/>
    <mergeCell ref="A256:B256"/>
    <mergeCell ref="A240:C240"/>
    <mergeCell ref="A242:F242"/>
    <mergeCell ref="A241:C241"/>
    <mergeCell ref="A244:B244"/>
    <mergeCell ref="A245:B245"/>
    <mergeCell ref="A246:B246"/>
    <mergeCell ref="A257:B257"/>
    <mergeCell ref="A258:B258"/>
    <mergeCell ref="A239:C239"/>
    <mergeCell ref="D170:G170"/>
    <mergeCell ref="A170:C170"/>
    <mergeCell ref="A174:C174"/>
    <mergeCell ref="A148:B148"/>
    <mergeCell ref="A149:B149"/>
    <mergeCell ref="A150:B150"/>
    <mergeCell ref="A200:C201"/>
    <mergeCell ref="A203:C203"/>
    <mergeCell ref="D203:G203"/>
    <mergeCell ref="A159:B159"/>
    <mergeCell ref="A160:B160"/>
    <mergeCell ref="A161:B161"/>
    <mergeCell ref="A162:F162"/>
    <mergeCell ref="A164:F164"/>
    <mergeCell ref="A167:C168"/>
    <mergeCell ref="A185:F185"/>
    <mergeCell ref="A175:C175"/>
    <mergeCell ref="A176:C176"/>
    <mergeCell ref="A177:C177"/>
    <mergeCell ref="A178:F178"/>
    <mergeCell ref="A180:B180"/>
    <mergeCell ref="A181:B181"/>
    <mergeCell ref="A182:B182"/>
    <mergeCell ref="A183:B183"/>
    <mergeCell ref="A207:C207"/>
    <mergeCell ref="A208:C208"/>
    <mergeCell ref="A197:F197"/>
    <mergeCell ref="A187:B187"/>
    <mergeCell ref="A188:B188"/>
    <mergeCell ref="A189:B189"/>
    <mergeCell ref="A190:F190"/>
    <mergeCell ref="A192:B192"/>
    <mergeCell ref="A193:B193"/>
    <mergeCell ref="A194:B194"/>
    <mergeCell ref="A195:F195"/>
  </mergeCells>
  <printOptions horizontalCentered="1"/>
  <pageMargins left="0.6692913385826772" right="0.55118110236220474" top="0.74803149606299213" bottom="1.2598425196850394" header="0" footer="0"/>
  <pageSetup orientation="portrait"/>
  <rowBreaks count="1" manualBreakCount="1">
    <brk id="165" man="1"/>
  </rowBreaks>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8:I600"/>
  <sheetViews>
    <sheetView workbookViewId="0">
      <pane ySplit="5" topLeftCell="A78" activePane="bottomLeft" state="frozen"/>
      <selection pane="bottomLeft" activeCell="L73" sqref="L73"/>
    </sheetView>
  </sheetViews>
  <sheetFormatPr baseColWidth="10" defaultColWidth="14.44140625" defaultRowHeight="15" customHeight="1"/>
  <cols>
    <col min="1" max="1" width="20.6640625" customWidth="1"/>
    <col min="2" max="2" width="11.33203125" customWidth="1"/>
    <col min="3" max="3" width="11.109375" customWidth="1"/>
    <col min="4" max="4" width="12.109375" customWidth="1"/>
    <col min="5" max="5" width="12.5546875" customWidth="1"/>
    <col min="6" max="10" width="11.44140625" customWidth="1"/>
    <col min="11" max="26" width="8.88671875" customWidth="1"/>
  </cols>
  <sheetData>
    <row r="8" spans="1:7" ht="27" hidden="1" customHeight="1">
      <c r="A8" s="2005" t="s">
        <v>1604</v>
      </c>
      <c r="B8" s="1616"/>
      <c r="C8" s="1624"/>
      <c r="D8" s="567"/>
      <c r="E8" s="567"/>
      <c r="F8" s="567"/>
      <c r="G8" s="668"/>
    </row>
    <row r="9" spans="1:7" ht="24" hidden="1" customHeight="1">
      <c r="A9" s="1971"/>
      <c r="B9" s="1817"/>
      <c r="C9" s="1972"/>
      <c r="D9" s="669"/>
      <c r="E9" s="669"/>
      <c r="F9" s="669"/>
      <c r="G9" s="670"/>
    </row>
    <row r="10" spans="1:7" ht="14.25" hidden="1" customHeight="1">
      <c r="A10" s="416"/>
      <c r="B10" s="416"/>
      <c r="C10" s="416"/>
      <c r="D10" s="416"/>
      <c r="E10" s="416"/>
      <c r="F10" s="416"/>
      <c r="G10" s="416"/>
    </row>
    <row r="11" spans="1:7" ht="39.75" hidden="1" customHeight="1">
      <c r="A11" s="1973" t="s">
        <v>1646</v>
      </c>
      <c r="B11" s="1601"/>
      <c r="C11" s="1602"/>
      <c r="D11" s="1974" t="s">
        <v>1647</v>
      </c>
      <c r="E11" s="1601"/>
      <c r="F11" s="1601"/>
      <c r="G11" s="1602"/>
    </row>
    <row r="12" spans="1:7" ht="14.25" hidden="1" customHeight="1">
      <c r="A12" s="418"/>
      <c r="B12" s="418"/>
      <c r="C12" s="418"/>
      <c r="D12" s="418"/>
      <c r="E12" s="418"/>
      <c r="F12" s="418"/>
      <c r="G12" s="418"/>
    </row>
    <row r="13" spans="1:7" ht="12.75" hidden="1" customHeight="1">
      <c r="A13" s="419"/>
      <c r="B13" s="416"/>
      <c r="C13" s="420"/>
      <c r="D13" s="421" t="s">
        <v>1553</v>
      </c>
      <c r="E13" s="422" t="s">
        <v>116</v>
      </c>
      <c r="F13" s="572"/>
      <c r="G13" s="572"/>
    </row>
    <row r="14" spans="1:7" ht="14.25" hidden="1" customHeight="1">
      <c r="A14" s="423" t="s">
        <v>1555</v>
      </c>
      <c r="B14" s="416"/>
      <c r="C14" s="416"/>
      <c r="D14" s="416"/>
      <c r="E14" s="416"/>
      <c r="F14" s="416"/>
      <c r="G14" s="416"/>
    </row>
    <row r="15" spans="1:7" ht="13.5" hidden="1" customHeight="1">
      <c r="A15" s="1975" t="s">
        <v>1556</v>
      </c>
      <c r="B15" s="1601"/>
      <c r="C15" s="1801"/>
      <c r="D15" s="424" t="s">
        <v>208</v>
      </c>
      <c r="E15" s="424" t="s">
        <v>1558</v>
      </c>
      <c r="F15" s="424" t="s">
        <v>1559</v>
      </c>
      <c r="G15" s="425"/>
    </row>
    <row r="16" spans="1:7" ht="14.25" hidden="1" customHeight="1">
      <c r="A16" s="1981" t="str">
        <f>+'LISTADO EQUIPOS'!$C$22</f>
        <v>HERRAMIENTA MENOR.</v>
      </c>
      <c r="B16" s="1811"/>
      <c r="C16" s="1967"/>
      <c r="D16" s="426" t="s">
        <v>1569</v>
      </c>
      <c r="E16" s="427"/>
      <c r="F16" s="428">
        <v>200</v>
      </c>
      <c r="G16" s="429"/>
    </row>
    <row r="17" spans="1:7" ht="13.5" hidden="1" customHeight="1">
      <c r="A17" s="1982"/>
      <c r="B17" s="1807"/>
      <c r="C17" s="1819"/>
      <c r="D17" s="451"/>
      <c r="E17" s="671"/>
      <c r="F17" s="451"/>
      <c r="G17" s="672"/>
    </row>
    <row r="18" spans="1:7" ht="14.25" hidden="1" customHeight="1">
      <c r="A18" s="2003" t="s">
        <v>1560</v>
      </c>
      <c r="B18" s="1601"/>
      <c r="C18" s="1601"/>
      <c r="D18" s="1601"/>
      <c r="E18" s="1601"/>
      <c r="F18" s="1801"/>
      <c r="G18" s="436">
        <f>SUM(F16:F17)</f>
        <v>200</v>
      </c>
    </row>
    <row r="19" spans="1:7" ht="14.25" hidden="1" customHeight="1">
      <c r="A19" s="423" t="s">
        <v>1561</v>
      </c>
      <c r="B19" s="416"/>
      <c r="C19" s="416"/>
      <c r="D19" s="416"/>
      <c r="E19" s="416"/>
      <c r="F19" s="416"/>
      <c r="G19" s="437"/>
    </row>
    <row r="20" spans="1:7" ht="14.25" hidden="1" customHeight="1">
      <c r="A20" s="1975" t="s">
        <v>1556</v>
      </c>
      <c r="B20" s="1801"/>
      <c r="C20" s="424" t="s">
        <v>6</v>
      </c>
      <c r="D20" s="424" t="s">
        <v>1562</v>
      </c>
      <c r="E20" s="424" t="s">
        <v>7</v>
      </c>
      <c r="F20" s="424" t="s">
        <v>1559</v>
      </c>
      <c r="G20" s="673"/>
    </row>
    <row r="21" spans="1:7" ht="25.5" hidden="1" customHeight="1">
      <c r="A21" s="1987" t="str">
        <f>+'ANALISIS BASICOS'!$A$132</f>
        <v xml:space="preserve">CONCRETO NORMAL - 1700 PSI (140 KG/CM2)  </v>
      </c>
      <c r="B21" s="1967"/>
      <c r="C21" s="674" t="str">
        <f>+'ANALISIS BASICOS'!$E$108</f>
        <v>M3</v>
      </c>
      <c r="D21" s="675">
        <f>+'ANALISIS BASICOS'!$G$132</f>
        <v>342401</v>
      </c>
      <c r="E21" s="674">
        <v>1</v>
      </c>
      <c r="F21" s="442">
        <f>+E21*D21</f>
        <v>342401</v>
      </c>
      <c r="G21" s="676"/>
    </row>
    <row r="22" spans="1:7" ht="13.5" hidden="1" customHeight="1">
      <c r="A22" s="1988"/>
      <c r="B22" s="1611"/>
      <c r="C22" s="677"/>
      <c r="D22" s="431"/>
      <c r="E22" s="677"/>
      <c r="F22" s="431"/>
      <c r="G22" s="445"/>
    </row>
    <row r="23" spans="1:7" ht="14.25" hidden="1" customHeight="1">
      <c r="A23" s="1988"/>
      <c r="B23" s="1611"/>
      <c r="C23" s="677"/>
      <c r="D23" s="431"/>
      <c r="E23" s="677"/>
      <c r="F23" s="431"/>
      <c r="G23" s="445"/>
    </row>
    <row r="24" spans="1:7" ht="14.25" hidden="1" customHeight="1">
      <c r="A24" s="1982"/>
      <c r="B24" s="1819"/>
      <c r="C24" s="678"/>
      <c r="D24" s="451"/>
      <c r="E24" s="678"/>
      <c r="F24" s="451"/>
      <c r="G24" s="456"/>
    </row>
    <row r="25" spans="1:7" ht="14.25" hidden="1" customHeight="1">
      <c r="A25" s="2003" t="s">
        <v>1560</v>
      </c>
      <c r="B25" s="1601"/>
      <c r="C25" s="1601"/>
      <c r="D25" s="1601"/>
      <c r="E25" s="1601"/>
      <c r="F25" s="1801"/>
      <c r="G25" s="436">
        <f>SUM(F21:F24)</f>
        <v>342401</v>
      </c>
    </row>
    <row r="26" spans="1:7" ht="14.25" hidden="1" customHeight="1">
      <c r="A26" s="423" t="s">
        <v>1563</v>
      </c>
      <c r="B26" s="416"/>
      <c r="C26" s="416"/>
      <c r="D26" s="416"/>
      <c r="E26" s="416"/>
      <c r="F26" s="416"/>
      <c r="G26" s="437"/>
    </row>
    <row r="27" spans="1:7" ht="14.25" hidden="1" customHeight="1">
      <c r="A27" s="1975" t="s">
        <v>1556</v>
      </c>
      <c r="B27" s="1801"/>
      <c r="C27" s="424" t="s">
        <v>6</v>
      </c>
      <c r="D27" s="424" t="s">
        <v>1562</v>
      </c>
      <c r="E27" s="424" t="s">
        <v>7</v>
      </c>
      <c r="F27" s="424" t="s">
        <v>1559</v>
      </c>
      <c r="G27" s="438"/>
    </row>
    <row r="28" spans="1:7" ht="14.25" hidden="1" customHeight="1">
      <c r="A28" s="1981"/>
      <c r="B28" s="1967"/>
      <c r="C28" s="448"/>
      <c r="D28" s="449"/>
      <c r="E28" s="450"/>
      <c r="F28" s="431"/>
      <c r="G28" s="443"/>
    </row>
    <row r="29" spans="1:7" ht="14.25" hidden="1" customHeight="1">
      <c r="A29" s="1982"/>
      <c r="B29" s="1819"/>
      <c r="C29" s="448"/>
      <c r="D29" s="451"/>
      <c r="E29" s="452"/>
      <c r="F29" s="451"/>
      <c r="G29" s="447"/>
    </row>
    <row r="30" spans="1:7" ht="14.25" hidden="1" customHeight="1">
      <c r="A30" s="2003" t="s">
        <v>1560</v>
      </c>
      <c r="B30" s="1601"/>
      <c r="C30" s="1601"/>
      <c r="D30" s="1601"/>
      <c r="E30" s="1601"/>
      <c r="F30" s="1801"/>
      <c r="G30" s="436"/>
    </row>
    <row r="31" spans="1:7" ht="14.25" hidden="1" customHeight="1">
      <c r="A31" s="423" t="s">
        <v>1564</v>
      </c>
      <c r="B31" s="416"/>
      <c r="C31" s="416"/>
      <c r="D31" s="416"/>
      <c r="E31" s="416"/>
      <c r="F31" s="416"/>
      <c r="G31" s="437"/>
    </row>
    <row r="32" spans="1:7" ht="14.25" hidden="1" customHeight="1">
      <c r="A32" s="1975" t="s">
        <v>1565</v>
      </c>
      <c r="B32" s="1801"/>
      <c r="C32" s="424" t="s">
        <v>1566</v>
      </c>
      <c r="D32" s="424" t="s">
        <v>6</v>
      </c>
      <c r="E32" s="424" t="s">
        <v>7</v>
      </c>
      <c r="F32" s="424" t="s">
        <v>1559</v>
      </c>
      <c r="G32" s="462"/>
    </row>
    <row r="33" spans="1:9" ht="14.25" hidden="1" customHeight="1">
      <c r="A33" s="2004" t="str">
        <f>+'MANO DE OBRA'!$A$64</f>
        <v>Oficial (Incl. Prestaciones)</v>
      </c>
      <c r="B33" s="1888"/>
      <c r="C33" s="679">
        <f>+'MANO DE OBRA'!$E$64</f>
        <v>15031.25</v>
      </c>
      <c r="D33" s="680">
        <v>1</v>
      </c>
      <c r="E33" s="680">
        <v>1</v>
      </c>
      <c r="F33" s="454">
        <f t="shared" ref="F33:F34" si="0">+(C33*D33)/E33</f>
        <v>15031.25</v>
      </c>
      <c r="G33" s="443"/>
      <c r="H33" s="420"/>
      <c r="I33" s="420"/>
    </row>
    <row r="34" spans="1:9" ht="14.25" hidden="1" customHeight="1">
      <c r="A34" s="1968" t="str">
        <f>+'MANO DE OBRA'!$A$65</f>
        <v>Ayudante (Incl. Prestaciones)</v>
      </c>
      <c r="B34" s="1819"/>
      <c r="C34" s="681">
        <f>+'MANO DE OBRA'!$E$65</f>
        <v>10972.8125</v>
      </c>
      <c r="D34" s="562">
        <v>2</v>
      </c>
      <c r="E34" s="562">
        <f>+E33</f>
        <v>1</v>
      </c>
      <c r="F34" s="455">
        <f t="shared" si="0"/>
        <v>21945.625</v>
      </c>
      <c r="G34" s="456"/>
      <c r="H34" s="420"/>
      <c r="I34" s="420"/>
    </row>
    <row r="35" spans="1:9" ht="14.25" hidden="1" customHeight="1">
      <c r="A35" s="2003" t="str">
        <f>+A30</f>
        <v>SUB-TOTAL</v>
      </c>
      <c r="B35" s="1601"/>
      <c r="C35" s="1601"/>
      <c r="D35" s="1601"/>
      <c r="E35" s="1601"/>
      <c r="F35" s="1801"/>
      <c r="G35" s="436">
        <f>SUM(F33:F34)</f>
        <v>36976.875</v>
      </c>
      <c r="H35" s="420"/>
      <c r="I35" s="420"/>
    </row>
    <row r="36" spans="1:9" ht="11.25" hidden="1" customHeight="1">
      <c r="A36" s="416"/>
      <c r="B36" s="416"/>
      <c r="C36" s="416"/>
      <c r="D36" s="416"/>
      <c r="E36" s="416"/>
      <c r="F36" s="458"/>
      <c r="G36" s="437"/>
      <c r="H36" s="420"/>
      <c r="I36" s="420"/>
    </row>
    <row r="37" spans="1:9" ht="14.25" hidden="1" customHeight="1">
      <c r="A37" s="2003" t="s">
        <v>1567</v>
      </c>
      <c r="B37" s="1601"/>
      <c r="C37" s="1601"/>
      <c r="D37" s="1601"/>
      <c r="E37" s="1601"/>
      <c r="F37" s="1801"/>
      <c r="G37" s="682">
        <f>ROUND(G18+G25+G30+G35,0)</f>
        <v>379578</v>
      </c>
      <c r="H37" s="420"/>
      <c r="I37" s="420"/>
    </row>
    <row r="38" spans="1:9" ht="14.25" hidden="1" customHeight="1">
      <c r="A38" s="420"/>
      <c r="B38" s="420"/>
      <c r="C38" s="420"/>
      <c r="D38" s="420"/>
      <c r="E38" s="420"/>
      <c r="F38" s="420"/>
      <c r="G38" s="420"/>
      <c r="H38" s="420"/>
      <c r="I38" s="420"/>
    </row>
    <row r="39" spans="1:9" ht="14.25" hidden="1" customHeight="1">
      <c r="A39" s="420"/>
      <c r="B39" s="420"/>
      <c r="C39" s="420"/>
      <c r="D39" s="420"/>
      <c r="E39" s="420"/>
      <c r="F39" s="420"/>
      <c r="G39" s="420"/>
      <c r="H39" s="420"/>
      <c r="I39" s="420"/>
    </row>
    <row r="40" spans="1:9" ht="27" customHeight="1">
      <c r="A40" s="1989" t="e">
        <f>+'ANALISIS BASICOS'!$A$7</f>
        <v>#REF!</v>
      </c>
      <c r="B40" s="1616"/>
      <c r="C40" s="1624"/>
      <c r="D40" s="1990" t="s">
        <v>1195</v>
      </c>
      <c r="E40" s="1616"/>
      <c r="F40" s="1616"/>
      <c r="G40" s="1624"/>
      <c r="H40" s="683"/>
      <c r="I40" s="420"/>
    </row>
    <row r="41" spans="1:9" ht="24" customHeight="1">
      <c r="A41" s="1971"/>
      <c r="B41" s="1817"/>
      <c r="C41" s="1972"/>
      <c r="D41" s="1971"/>
      <c r="E41" s="1817"/>
      <c r="F41" s="1817"/>
      <c r="G41" s="1972"/>
      <c r="H41" s="683"/>
      <c r="I41" s="420"/>
    </row>
    <row r="42" spans="1:9" ht="14.25" customHeight="1">
      <c r="A42" s="416"/>
      <c r="B42" s="416"/>
      <c r="C42" s="416"/>
      <c r="D42" s="416"/>
      <c r="E42" s="416"/>
      <c r="F42" s="416"/>
      <c r="G42" s="416"/>
      <c r="H42" s="683"/>
      <c r="I42" s="420"/>
    </row>
    <row r="43" spans="1:9" ht="48" customHeight="1">
      <c r="A43" s="1991" t="e">
        <f ca="1">+_xlfn.SINGLE(#REF!)</f>
        <v>#NAME?</v>
      </c>
      <c r="B43" s="1601"/>
      <c r="C43" s="1602"/>
      <c r="D43" s="2011" t="e">
        <f>#REF!</f>
        <v>#REF!</v>
      </c>
      <c r="E43" s="1601"/>
      <c r="F43" s="1601"/>
      <c r="G43" s="1602"/>
      <c r="H43" s="683"/>
      <c r="I43" s="684"/>
    </row>
    <row r="44" spans="1:9" ht="14.25" customHeight="1">
      <c r="A44" s="418"/>
      <c r="B44" s="418"/>
      <c r="C44" s="418"/>
      <c r="D44" s="418"/>
      <c r="E44" s="418"/>
      <c r="F44" s="418"/>
      <c r="G44" s="418"/>
      <c r="H44" s="683"/>
      <c r="I44" s="420"/>
    </row>
    <row r="45" spans="1:9" ht="12.75" customHeight="1">
      <c r="A45" s="419"/>
      <c r="B45" s="416"/>
      <c r="C45" s="420"/>
      <c r="D45" s="421" t="s">
        <v>1553</v>
      </c>
      <c r="E45" s="422" t="e">
        <f>#REF!</f>
        <v>#REF!</v>
      </c>
      <c r="F45" s="421" t="s">
        <v>1554</v>
      </c>
      <c r="G45" s="461" t="e">
        <f>#REF!</f>
        <v>#REF!</v>
      </c>
      <c r="H45" s="685" t="e">
        <f>#REF!</f>
        <v>#REF!</v>
      </c>
      <c r="I45" s="420"/>
    </row>
    <row r="46" spans="1:9" ht="14.25" customHeight="1">
      <c r="A46" s="423" t="s">
        <v>1555</v>
      </c>
      <c r="B46" s="416"/>
      <c r="C46" s="416"/>
      <c r="D46" s="416"/>
      <c r="E46" s="416"/>
      <c r="F46" s="416"/>
      <c r="G46" s="416"/>
      <c r="H46" s="683"/>
      <c r="I46" s="420"/>
    </row>
    <row r="47" spans="1:9" ht="13.5" customHeight="1">
      <c r="A47" s="1975" t="s">
        <v>1556</v>
      </c>
      <c r="B47" s="1601"/>
      <c r="C47" s="1801"/>
      <c r="D47" s="424" t="s">
        <v>208</v>
      </c>
      <c r="E47" s="424" t="s">
        <v>1558</v>
      </c>
      <c r="F47" s="424" t="s">
        <v>1559</v>
      </c>
      <c r="G47" s="425"/>
      <c r="H47" s="686"/>
      <c r="I47" s="616"/>
    </row>
    <row r="48" spans="1:9" ht="14.25" customHeight="1">
      <c r="A48" s="1981" t="e">
        <f>#REF!</f>
        <v>#REF!</v>
      </c>
      <c r="B48" s="1811"/>
      <c r="C48" s="1967"/>
      <c r="D48" s="449" t="e">
        <f>#REF!</f>
        <v>#REF!</v>
      </c>
      <c r="E48" s="427">
        <v>0.2</v>
      </c>
      <c r="F48" s="428" t="e">
        <f t="shared" ref="F48:F51" si="1">D48/E48</f>
        <v>#REF!</v>
      </c>
      <c r="G48" s="429"/>
      <c r="H48" s="683"/>
      <c r="I48" s="420"/>
    </row>
    <row r="49" spans="1:9" ht="14.25" customHeight="1">
      <c r="A49" s="1982" t="e">
        <f>#REF!</f>
        <v>#REF!</v>
      </c>
      <c r="B49" s="1807"/>
      <c r="C49" s="1819"/>
      <c r="D49" s="451" t="e">
        <f>#REF!</f>
        <v>#REF!</v>
      </c>
      <c r="E49" s="671">
        <v>1</v>
      </c>
      <c r="F49" s="428" t="e">
        <f t="shared" si="1"/>
        <v>#REF!</v>
      </c>
      <c r="G49" s="672"/>
      <c r="H49" s="661"/>
    </row>
    <row r="50" spans="1:9" ht="14.25" customHeight="1">
      <c r="A50" s="1982" t="e">
        <f>#REF!</f>
        <v>#REF!</v>
      </c>
      <c r="B50" s="1807"/>
      <c r="C50" s="1819"/>
      <c r="D50" s="451" t="e">
        <f>#REF!</f>
        <v>#REF!</v>
      </c>
      <c r="E50" s="671">
        <v>2</v>
      </c>
      <c r="F50" s="428" t="e">
        <f t="shared" si="1"/>
        <v>#REF!</v>
      </c>
      <c r="G50" s="672"/>
      <c r="H50" s="663"/>
    </row>
    <row r="51" spans="1:9" ht="14.25" customHeight="1">
      <c r="A51" s="2006" t="e">
        <f>#REF!</f>
        <v>#REF!</v>
      </c>
      <c r="B51" s="2007"/>
      <c r="C51" s="2008"/>
      <c r="D51" s="451" t="e">
        <f>#REF!</f>
        <v>#REF!</v>
      </c>
      <c r="E51" s="671">
        <v>2</v>
      </c>
      <c r="F51" s="428" t="e">
        <f t="shared" si="1"/>
        <v>#REF!</v>
      </c>
      <c r="G51" s="672"/>
      <c r="H51" s="661"/>
    </row>
    <row r="52" spans="1:9" ht="14.25" customHeight="1">
      <c r="A52" s="2003" t="s">
        <v>1560</v>
      </c>
      <c r="B52" s="1601"/>
      <c r="C52" s="1601"/>
      <c r="D52" s="1601"/>
      <c r="E52" s="1601"/>
      <c r="F52" s="1801"/>
      <c r="G52" s="436" t="e">
        <f>SUM(F48:F51)</f>
        <v>#REF!</v>
      </c>
      <c r="H52" s="663" t="e">
        <f>G52*H45</f>
        <v>#REF!</v>
      </c>
    </row>
    <row r="53" spans="1:9" ht="14.25" customHeight="1">
      <c r="A53" s="423" t="s">
        <v>1561</v>
      </c>
      <c r="B53" s="416"/>
      <c r="C53" s="416"/>
      <c r="D53" s="416"/>
      <c r="E53" s="416"/>
      <c r="F53" s="416"/>
      <c r="G53" s="416"/>
      <c r="H53" s="661"/>
    </row>
    <row r="54" spans="1:9" ht="14.25" customHeight="1">
      <c r="A54" s="1975" t="s">
        <v>1556</v>
      </c>
      <c r="B54" s="1801"/>
      <c r="C54" s="424" t="s">
        <v>6</v>
      </c>
      <c r="D54" s="424" t="s">
        <v>1562</v>
      </c>
      <c r="E54" s="424" t="s">
        <v>7</v>
      </c>
      <c r="F54" s="424" t="s">
        <v>1559</v>
      </c>
      <c r="G54" s="425"/>
      <c r="H54" s="686"/>
      <c r="I54" s="616" t="s">
        <v>1648</v>
      </c>
    </row>
    <row r="55" spans="1:9" ht="23.25" customHeight="1">
      <c r="A55" s="1987" t="e">
        <f>#REF!</f>
        <v>#REF!</v>
      </c>
      <c r="B55" s="1967"/>
      <c r="C55" s="674" t="e">
        <f>#REF!</f>
        <v>#REF!</v>
      </c>
      <c r="D55" s="675" t="e">
        <f>#REF!</f>
        <v>#REF!</v>
      </c>
      <c r="E55" s="687">
        <f>7/10</f>
        <v>0.7</v>
      </c>
      <c r="F55" s="442" t="e">
        <f t="shared" ref="F55:F58" si="2">+E55*D55</f>
        <v>#REF!</v>
      </c>
      <c r="G55" s="688"/>
      <c r="H55" s="686"/>
      <c r="I55" s="616"/>
    </row>
    <row r="56" spans="1:9" ht="14.25" customHeight="1">
      <c r="A56" s="2009" t="e">
        <f>#REF!</f>
        <v>#REF!</v>
      </c>
      <c r="B56" s="2010"/>
      <c r="C56" s="674" t="e">
        <f>#REF!</f>
        <v>#REF!</v>
      </c>
      <c r="D56" s="675" t="e">
        <f>#REF!</f>
        <v>#REF!</v>
      </c>
      <c r="E56" s="677">
        <f>0.84/10</f>
        <v>8.3999999999999991E-2</v>
      </c>
      <c r="F56" s="689" t="e">
        <f t="shared" si="2"/>
        <v>#REF!</v>
      </c>
      <c r="G56" s="432"/>
      <c r="H56" s="661"/>
    </row>
    <row r="57" spans="1:9" ht="14.25" customHeight="1">
      <c r="A57" s="1987" t="e">
        <f>#REF!</f>
        <v>#REF!</v>
      </c>
      <c r="B57" s="1967"/>
      <c r="C57" s="674" t="e">
        <f>#REF!</f>
        <v>#REF!</v>
      </c>
      <c r="D57" s="675" t="e">
        <f>#REF!</f>
        <v>#REF!</v>
      </c>
      <c r="E57" s="677">
        <f>0.55/10</f>
        <v>5.5000000000000007E-2</v>
      </c>
      <c r="F57" s="689" t="e">
        <f t="shared" si="2"/>
        <v>#REF!</v>
      </c>
      <c r="G57" s="432"/>
      <c r="H57" s="661"/>
    </row>
    <row r="58" spans="1:9" ht="14.25" customHeight="1">
      <c r="A58" s="1987" t="e">
        <f>#REF!</f>
        <v>#REF!</v>
      </c>
      <c r="B58" s="1967"/>
      <c r="C58" s="674" t="e">
        <f>#REF!</f>
        <v>#REF!</v>
      </c>
      <c r="D58" s="675" t="e">
        <f>#REF!</f>
        <v>#REF!</v>
      </c>
      <c r="E58" s="678">
        <f>170/10</f>
        <v>17</v>
      </c>
      <c r="F58" s="689" t="e">
        <f t="shared" si="2"/>
        <v>#REF!</v>
      </c>
      <c r="G58" s="672"/>
      <c r="H58" s="661"/>
    </row>
    <row r="59" spans="1:9" ht="14.25" customHeight="1">
      <c r="A59" s="2003" t="s">
        <v>1560</v>
      </c>
      <c r="B59" s="1601"/>
      <c r="C59" s="1601"/>
      <c r="D59" s="1601"/>
      <c r="E59" s="1601"/>
      <c r="F59" s="1801"/>
      <c r="G59" s="436" t="e">
        <f>SUM(F55:F58)</f>
        <v>#REF!</v>
      </c>
      <c r="H59" s="663" t="e">
        <f>G59*H45</f>
        <v>#REF!</v>
      </c>
    </row>
    <row r="60" spans="1:9" ht="14.25" customHeight="1">
      <c r="A60" s="423" t="s">
        <v>1563</v>
      </c>
      <c r="B60" s="416"/>
      <c r="C60" s="416"/>
      <c r="D60" s="416"/>
      <c r="E60" s="416"/>
      <c r="F60" s="416"/>
      <c r="G60" s="416"/>
      <c r="H60" s="661"/>
    </row>
    <row r="61" spans="1:9" ht="14.25" customHeight="1">
      <c r="A61" s="1975" t="s">
        <v>1556</v>
      </c>
      <c r="B61" s="1801"/>
      <c r="C61" s="424" t="s">
        <v>6</v>
      </c>
      <c r="D61" s="424" t="s">
        <v>1562</v>
      </c>
      <c r="E61" s="424" t="s">
        <v>7</v>
      </c>
      <c r="F61" s="424" t="s">
        <v>1559</v>
      </c>
      <c r="G61" s="690"/>
      <c r="H61" s="686"/>
      <c r="I61" s="616"/>
    </row>
    <row r="62" spans="1:9" ht="14.25" customHeight="1">
      <c r="A62" s="1981"/>
      <c r="B62" s="1967"/>
      <c r="C62" s="448"/>
      <c r="D62" s="449"/>
      <c r="E62" s="450"/>
      <c r="F62" s="431"/>
      <c r="G62" s="429"/>
      <c r="H62" s="661"/>
    </row>
    <row r="63" spans="1:9" ht="14.25" customHeight="1">
      <c r="A63" s="1982"/>
      <c r="B63" s="1819"/>
      <c r="C63" s="448"/>
      <c r="D63" s="451"/>
      <c r="E63" s="452"/>
      <c r="F63" s="451"/>
      <c r="G63" s="691"/>
      <c r="H63" s="661"/>
    </row>
    <row r="64" spans="1:9" ht="14.25" customHeight="1">
      <c r="A64" s="2003" t="s">
        <v>1560</v>
      </c>
      <c r="B64" s="1601"/>
      <c r="C64" s="1601"/>
      <c r="D64" s="1601"/>
      <c r="E64" s="1601"/>
      <c r="F64" s="1801"/>
      <c r="G64" s="692"/>
      <c r="H64" s="661"/>
    </row>
    <row r="65" spans="1:8" ht="14.25" customHeight="1">
      <c r="A65" s="423" t="s">
        <v>1564</v>
      </c>
      <c r="B65" s="416"/>
      <c r="C65" s="416"/>
      <c r="D65" s="416"/>
      <c r="E65" s="416"/>
      <c r="F65" s="416"/>
      <c r="G65" s="416"/>
      <c r="H65" s="661"/>
    </row>
    <row r="66" spans="1:8" ht="14.25" customHeight="1">
      <c r="A66" s="1975" t="s">
        <v>1565</v>
      </c>
      <c r="B66" s="1801"/>
      <c r="C66" s="424" t="s">
        <v>1566</v>
      </c>
      <c r="D66" s="424" t="s">
        <v>6</v>
      </c>
      <c r="E66" s="424" t="s">
        <v>7</v>
      </c>
      <c r="F66" s="424" t="s">
        <v>1559</v>
      </c>
      <c r="G66" s="693"/>
      <c r="H66" s="661"/>
    </row>
    <row r="67" spans="1:8" ht="14.25" customHeight="1">
      <c r="A67" s="2004" t="str">
        <f>+'MANO DE OBRA'!$A$64</f>
        <v>Oficial (Incl. Prestaciones)</v>
      </c>
      <c r="B67" s="1888"/>
      <c r="C67" s="679">
        <f>+'MANO DE OBRA'!$E$64</f>
        <v>15031.25</v>
      </c>
      <c r="D67" s="680">
        <v>1</v>
      </c>
      <c r="E67" s="680">
        <v>1</v>
      </c>
      <c r="F67" s="694">
        <f t="shared" ref="F67:F68" si="3">+(C67*D67)/E67</f>
        <v>15031.25</v>
      </c>
      <c r="G67" s="429"/>
      <c r="H67" s="661"/>
    </row>
    <row r="68" spans="1:8" ht="14.25" customHeight="1">
      <c r="A68" s="1968" t="str">
        <f>+'MANO DE OBRA'!$A$65</f>
        <v>Ayudante (Incl. Prestaciones)</v>
      </c>
      <c r="B68" s="1819"/>
      <c r="C68" s="681">
        <f>+'MANO DE OBRA'!$E$65</f>
        <v>10972.8125</v>
      </c>
      <c r="D68" s="562">
        <v>3</v>
      </c>
      <c r="E68" s="562">
        <v>1</v>
      </c>
      <c r="F68" s="695">
        <f t="shared" si="3"/>
        <v>32918.4375</v>
      </c>
      <c r="G68" s="672"/>
      <c r="H68" s="661"/>
    </row>
    <row r="69" spans="1:8" ht="14.25" customHeight="1">
      <c r="A69" s="2003" t="str">
        <f>+A64</f>
        <v>SUB-TOTAL</v>
      </c>
      <c r="B69" s="1601"/>
      <c r="C69" s="1601"/>
      <c r="D69" s="1601"/>
      <c r="E69" s="1601"/>
      <c r="F69" s="1801"/>
      <c r="G69" s="436">
        <f>SUM(F67:F68)</f>
        <v>47949.6875</v>
      </c>
      <c r="H69" s="663" t="e">
        <f>G69*H45</f>
        <v>#REF!</v>
      </c>
    </row>
    <row r="70" spans="1:8" ht="11.25" customHeight="1">
      <c r="A70" s="416"/>
      <c r="B70" s="416"/>
      <c r="C70" s="416"/>
      <c r="D70" s="416"/>
      <c r="E70" s="416"/>
      <c r="F70" s="458"/>
      <c r="G70" s="416"/>
      <c r="H70" s="661"/>
    </row>
    <row r="71" spans="1:8" ht="14.25" customHeight="1">
      <c r="A71" s="2003" t="s">
        <v>1567</v>
      </c>
      <c r="B71" s="1601"/>
      <c r="C71" s="1601"/>
      <c r="D71" s="1601"/>
      <c r="E71" s="1601"/>
      <c r="F71" s="1801"/>
      <c r="G71" s="696" t="e">
        <f>ROUND(G52+G59+G64+G69,0)</f>
        <v>#REF!</v>
      </c>
      <c r="H71" s="663" t="e">
        <f>H69+H59+H52</f>
        <v>#REF!</v>
      </c>
    </row>
    <row r="72" spans="1:8" ht="14.25" customHeight="1">
      <c r="A72" s="465"/>
      <c r="B72" s="465"/>
      <c r="C72" s="465"/>
      <c r="D72" s="465"/>
      <c r="E72" s="465"/>
      <c r="F72" s="465"/>
      <c r="G72" s="697"/>
      <c r="H72" s="661"/>
    </row>
    <row r="73" spans="1:8" ht="14.25" customHeight="1">
      <c r="A73" s="72" t="s">
        <v>271</v>
      </c>
      <c r="B73" s="363"/>
      <c r="C73" s="363"/>
      <c r="D73" s="1985" t="s">
        <v>272</v>
      </c>
      <c r="E73" s="1605"/>
      <c r="F73" s="363"/>
      <c r="G73" s="363"/>
      <c r="H73" s="661"/>
    </row>
    <row r="74" spans="1:8" ht="14.25" customHeight="1">
      <c r="A74" s="1986"/>
      <c r="B74" s="1605"/>
      <c r="C74" s="1605"/>
      <c r="D74" s="1605"/>
      <c r="H74" s="661"/>
    </row>
    <row r="75" spans="1:8" ht="14.25" customHeight="1">
      <c r="A75" s="123"/>
      <c r="B75" s="175"/>
      <c r="C75" s="123"/>
      <c r="D75" s="123"/>
      <c r="H75" s="661"/>
    </row>
    <row r="76" spans="1:8" ht="14.25" customHeight="1">
      <c r="H76" s="661"/>
    </row>
    <row r="77" spans="1:8" ht="14.25" customHeight="1">
      <c r="A77" s="1895" t="s">
        <v>273</v>
      </c>
      <c r="B77" s="1605"/>
      <c r="C77" s="1605"/>
      <c r="D77" s="1895" t="s">
        <v>274</v>
      </c>
      <c r="E77" s="1605"/>
      <c r="F77" s="1605"/>
      <c r="G77" s="1605"/>
      <c r="H77" s="661"/>
    </row>
    <row r="78" spans="1:8" ht="14.25" customHeight="1">
      <c r="A78" s="1890" t="s">
        <v>275</v>
      </c>
      <c r="B78" s="1605"/>
      <c r="C78" s="1605"/>
      <c r="D78" s="1890" t="s">
        <v>276</v>
      </c>
      <c r="E78" s="1605"/>
      <c r="F78" s="1605"/>
      <c r="G78" s="1605"/>
      <c r="H78" s="661"/>
    </row>
    <row r="79" spans="1:8" ht="14.25" customHeight="1">
      <c r="A79" s="420"/>
      <c r="B79" s="420"/>
      <c r="C79" s="420"/>
      <c r="D79" s="420"/>
      <c r="E79" s="420"/>
      <c r="F79" s="420"/>
      <c r="G79" s="420"/>
    </row>
    <row r="80" spans="1:8" ht="27" customHeight="1">
      <c r="A80" s="1989" t="e">
        <f>+'ANALISIS BASICOS'!$A$7</f>
        <v>#REF!</v>
      </c>
      <c r="B80" s="1616"/>
      <c r="C80" s="1624"/>
      <c r="D80" s="1990" t="s">
        <v>1195</v>
      </c>
      <c r="E80" s="1616"/>
      <c r="F80" s="1616"/>
      <c r="G80" s="1624"/>
    </row>
    <row r="81" spans="1:7" ht="24" customHeight="1">
      <c r="A81" s="1971"/>
      <c r="B81" s="1817"/>
      <c r="C81" s="1972"/>
      <c r="D81" s="1971"/>
      <c r="E81" s="1817"/>
      <c r="F81" s="1817"/>
      <c r="G81" s="1972"/>
    </row>
    <row r="82" spans="1:7" ht="14.25" customHeight="1">
      <c r="A82" s="416"/>
      <c r="B82" s="416"/>
      <c r="C82" s="416"/>
      <c r="D82" s="416"/>
      <c r="E82" s="416"/>
      <c r="F82" s="416"/>
      <c r="G82" s="416"/>
    </row>
    <row r="83" spans="1:7" ht="42" customHeight="1">
      <c r="A83" s="1991" t="e">
        <f ca="1">+A43</f>
        <v>#NAME?</v>
      </c>
      <c r="B83" s="1601"/>
      <c r="C83" s="1602"/>
      <c r="D83" s="1975" t="s">
        <v>1649</v>
      </c>
      <c r="E83" s="1601"/>
      <c r="F83" s="1601"/>
      <c r="G83" s="1602"/>
    </row>
    <row r="84" spans="1:7" ht="14.25" customHeight="1">
      <c r="A84" s="418"/>
      <c r="B84" s="418"/>
      <c r="C84" s="418"/>
      <c r="D84" s="418"/>
      <c r="E84" s="418"/>
      <c r="F84" s="418"/>
      <c r="G84" s="418"/>
    </row>
    <row r="85" spans="1:7" ht="12.75" customHeight="1">
      <c r="A85" s="419"/>
      <c r="B85" s="416"/>
      <c r="C85" s="420"/>
      <c r="D85" s="421" t="s">
        <v>1553</v>
      </c>
      <c r="E85" s="422" t="s">
        <v>116</v>
      </c>
      <c r="F85" s="421" t="s">
        <v>1554</v>
      </c>
      <c r="G85" s="422" t="s">
        <v>21</v>
      </c>
    </row>
    <row r="86" spans="1:7" ht="14.25" customHeight="1">
      <c r="A86" s="423" t="s">
        <v>1555</v>
      </c>
      <c r="B86" s="416"/>
      <c r="C86" s="416"/>
      <c r="D86" s="416"/>
      <c r="E86" s="416"/>
      <c r="F86" s="416"/>
      <c r="G86" s="416"/>
    </row>
    <row r="87" spans="1:7" ht="13.5" customHeight="1">
      <c r="A87" s="1975" t="s">
        <v>1556</v>
      </c>
      <c r="B87" s="1601"/>
      <c r="C87" s="1801"/>
      <c r="D87" s="424" t="s">
        <v>208</v>
      </c>
      <c r="E87" s="424" t="s">
        <v>1558</v>
      </c>
      <c r="F87" s="424" t="s">
        <v>1559</v>
      </c>
      <c r="G87" s="425"/>
    </row>
    <row r="88" spans="1:7" ht="14.25" customHeight="1">
      <c r="A88" s="1981" t="str">
        <f>+'LISTADO EQUIPOS'!$C$22</f>
        <v>HERRAMIENTA MENOR.</v>
      </c>
      <c r="B88" s="1811"/>
      <c r="C88" s="1967"/>
      <c r="D88" s="449">
        <f>+'LISTADO EQUIPOS'!$E$22/8</f>
        <v>2850</v>
      </c>
      <c r="E88" s="427">
        <f>+E105</f>
        <v>1.9685989090188307</v>
      </c>
      <c r="F88" s="428">
        <f t="shared" ref="F88:F89" si="4">+E88*D88</f>
        <v>5610.5068907036675</v>
      </c>
      <c r="G88" s="429"/>
    </row>
    <row r="89" spans="1:7" ht="14.25" customHeight="1">
      <c r="A89" s="1982" t="str">
        <f>+'LISTADO EQUIPOS'!$C$63</f>
        <v>FORMALETA PARA BASE DE ESTRUCTURAS.</v>
      </c>
      <c r="B89" s="1807"/>
      <c r="C89" s="1819"/>
      <c r="D89" s="451">
        <f>+INSUMOS!H50</f>
        <v>45681</v>
      </c>
      <c r="E89" s="671">
        <v>1</v>
      </c>
      <c r="F89" s="698">
        <f t="shared" si="4"/>
        <v>45681</v>
      </c>
      <c r="G89" s="672"/>
    </row>
    <row r="90" spans="1:7" ht="14.25" customHeight="1">
      <c r="A90" s="2003" t="s">
        <v>1560</v>
      </c>
      <c r="B90" s="1601"/>
      <c r="C90" s="1601"/>
      <c r="D90" s="1601"/>
      <c r="E90" s="1601"/>
      <c r="F90" s="1801"/>
      <c r="G90" s="436">
        <f>SUM(F88:F89)</f>
        <v>51291.506890703669</v>
      </c>
    </row>
    <row r="91" spans="1:7" ht="14.25" customHeight="1">
      <c r="A91" s="423" t="s">
        <v>1561</v>
      </c>
      <c r="B91" s="416"/>
      <c r="C91" s="416"/>
      <c r="D91" s="416"/>
      <c r="E91" s="416"/>
      <c r="F91" s="416"/>
      <c r="G91" s="416"/>
    </row>
    <row r="92" spans="1:7" ht="14.25" customHeight="1">
      <c r="A92" s="1975" t="s">
        <v>1556</v>
      </c>
      <c r="B92" s="1801"/>
      <c r="C92" s="424" t="s">
        <v>6</v>
      </c>
      <c r="D92" s="424" t="s">
        <v>1562</v>
      </c>
      <c r="E92" s="424" t="s">
        <v>7</v>
      </c>
      <c r="F92" s="424" t="s">
        <v>1559</v>
      </c>
      <c r="G92" s="425"/>
    </row>
    <row r="93" spans="1:7" ht="33" customHeight="1">
      <c r="A93" s="1981" t="str">
        <f>+'ANALISIS BASICOS'!A490</f>
        <v>CONCRETO CICLÓPEO - 2500 PSI (175 KG/CM2) 60% CONCRETO 2500 PSI + 40% PIEDRA MEDIA ZONGA</v>
      </c>
      <c r="B93" s="1967"/>
      <c r="C93" s="674" t="str">
        <f>+'ANALISIS BASICOS'!$E$108</f>
        <v>M3</v>
      </c>
      <c r="D93" s="675">
        <f>+INSUMOS!H71</f>
        <v>589650</v>
      </c>
      <c r="E93" s="674">
        <v>1.03</v>
      </c>
      <c r="F93" s="442">
        <f t="shared" ref="F93:F94" si="5">+E93*D93</f>
        <v>607339.5</v>
      </c>
      <c r="G93" s="429"/>
    </row>
    <row r="94" spans="1:7" ht="14.25" customHeight="1">
      <c r="A94" s="1988" t="str">
        <f>+'LISTADO MATERIALES'!$C$723</f>
        <v>AGUA</v>
      </c>
      <c r="B94" s="1611"/>
      <c r="C94" s="677" t="str">
        <f>+'LISTADO MATERIALES'!$D$723</f>
        <v>LT</v>
      </c>
      <c r="D94" s="431">
        <f>+INSUMOS!H7</f>
        <v>30</v>
      </c>
      <c r="E94" s="677">
        <v>50</v>
      </c>
      <c r="F94" s="689">
        <f t="shared" si="5"/>
        <v>1500</v>
      </c>
      <c r="G94" s="432"/>
    </row>
    <row r="95" spans="1:7" ht="14.25" customHeight="1">
      <c r="A95" s="1988"/>
      <c r="B95" s="1611"/>
      <c r="C95" s="677"/>
      <c r="D95" s="431"/>
      <c r="E95" s="677"/>
      <c r="F95" s="431"/>
      <c r="G95" s="432"/>
    </row>
    <row r="96" spans="1:7" ht="14.25" customHeight="1">
      <c r="A96" s="1982"/>
      <c r="B96" s="1819"/>
      <c r="C96" s="678"/>
      <c r="D96" s="451"/>
      <c r="E96" s="678"/>
      <c r="F96" s="451"/>
      <c r="G96" s="672"/>
    </row>
    <row r="97" spans="1:7" ht="14.25" customHeight="1">
      <c r="A97" s="2003" t="s">
        <v>1560</v>
      </c>
      <c r="B97" s="1601"/>
      <c r="C97" s="1601"/>
      <c r="D97" s="1601"/>
      <c r="E97" s="1601"/>
      <c r="F97" s="1801"/>
      <c r="G97" s="436">
        <f>SUM(F93:F96)</f>
        <v>608839.5</v>
      </c>
    </row>
    <row r="98" spans="1:7" ht="14.25" customHeight="1">
      <c r="A98" s="423" t="s">
        <v>1563</v>
      </c>
      <c r="B98" s="416"/>
      <c r="C98" s="416"/>
      <c r="D98" s="416"/>
      <c r="E98" s="416"/>
      <c r="F98" s="416"/>
      <c r="G98" s="416"/>
    </row>
    <row r="99" spans="1:7" ht="14.25" customHeight="1">
      <c r="A99" s="1975" t="s">
        <v>1556</v>
      </c>
      <c r="B99" s="1801"/>
      <c r="C99" s="424" t="s">
        <v>6</v>
      </c>
      <c r="D99" s="424" t="s">
        <v>1562</v>
      </c>
      <c r="E99" s="424" t="s">
        <v>7</v>
      </c>
      <c r="F99" s="424" t="s">
        <v>1559</v>
      </c>
      <c r="G99" s="690"/>
    </row>
    <row r="100" spans="1:7" ht="14.25" customHeight="1">
      <c r="A100" s="1981"/>
      <c r="B100" s="1967"/>
      <c r="C100" s="448"/>
      <c r="D100" s="449"/>
      <c r="E100" s="450"/>
      <c r="F100" s="431"/>
      <c r="G100" s="429"/>
    </row>
    <row r="101" spans="1:7" ht="14.25" customHeight="1">
      <c r="A101" s="1982"/>
      <c r="B101" s="1819"/>
      <c r="C101" s="448"/>
      <c r="D101" s="451"/>
      <c r="E101" s="452"/>
      <c r="F101" s="451"/>
      <c r="G101" s="691"/>
    </row>
    <row r="102" spans="1:7" ht="14.25" customHeight="1">
      <c r="A102" s="2003" t="s">
        <v>1560</v>
      </c>
      <c r="B102" s="1601"/>
      <c r="C102" s="1601"/>
      <c r="D102" s="1601"/>
      <c r="E102" s="1601"/>
      <c r="F102" s="1801"/>
      <c r="G102" s="692"/>
    </row>
    <row r="103" spans="1:7" ht="14.25" customHeight="1">
      <c r="A103" s="423" t="s">
        <v>1564</v>
      </c>
      <c r="B103" s="416"/>
      <c r="C103" s="416"/>
      <c r="D103" s="416"/>
      <c r="E103" s="416"/>
      <c r="F103" s="416"/>
      <c r="G103" s="416"/>
    </row>
    <row r="104" spans="1:7" ht="14.25" customHeight="1">
      <c r="A104" s="1975" t="s">
        <v>1565</v>
      </c>
      <c r="B104" s="1801"/>
      <c r="C104" s="424" t="s">
        <v>1566</v>
      </c>
      <c r="D104" s="424" t="s">
        <v>6</v>
      </c>
      <c r="E104" s="424" t="s">
        <v>7</v>
      </c>
      <c r="F104" s="424" t="s">
        <v>1559</v>
      </c>
      <c r="G104" s="693"/>
    </row>
    <row r="105" spans="1:7" ht="14.25" customHeight="1">
      <c r="A105" s="2004" t="str">
        <f>+'MANO DE OBRA'!$A$64</f>
        <v>Oficial (Incl. Prestaciones)</v>
      </c>
      <c r="B105" s="1888"/>
      <c r="C105" s="679">
        <f>+'MANO DE OBRA'!$E$64</f>
        <v>15031.25</v>
      </c>
      <c r="D105" s="680">
        <v>1</v>
      </c>
      <c r="E105" s="680">
        <v>1.9685989090188307</v>
      </c>
      <c r="F105" s="694">
        <f t="shared" ref="F105:F106" si="6">+(C105*D105)*E105</f>
        <v>29590.502351189298</v>
      </c>
      <c r="G105" s="429"/>
    </row>
    <row r="106" spans="1:7" ht="14.25" customHeight="1">
      <c r="A106" s="1968" t="str">
        <f>+'MANO DE OBRA'!$A$65</f>
        <v>Ayudante (Incl. Prestaciones)</v>
      </c>
      <c r="B106" s="1819"/>
      <c r="C106" s="681">
        <f>+'MANO DE OBRA'!$E$65</f>
        <v>10972.8125</v>
      </c>
      <c r="D106" s="562">
        <v>2</v>
      </c>
      <c r="E106" s="562">
        <f>+E105</f>
        <v>1.9685989090188307</v>
      </c>
      <c r="F106" s="695">
        <f t="shared" si="6"/>
        <v>43202.13343273638</v>
      </c>
      <c r="G106" s="672"/>
    </row>
    <row r="107" spans="1:7" ht="14.25" customHeight="1">
      <c r="A107" s="2003" t="str">
        <f>+A102</f>
        <v>SUB-TOTAL</v>
      </c>
      <c r="B107" s="1601"/>
      <c r="C107" s="1601"/>
      <c r="D107" s="1601"/>
      <c r="E107" s="1601"/>
      <c r="F107" s="1801"/>
      <c r="G107" s="436">
        <f>SUM(F105:F106)</f>
        <v>72792.635783925682</v>
      </c>
    </row>
    <row r="108" spans="1:7" ht="11.25" customHeight="1">
      <c r="A108" s="416"/>
      <c r="B108" s="416"/>
      <c r="C108" s="416"/>
      <c r="D108" s="416"/>
      <c r="E108" s="416"/>
      <c r="F108" s="458"/>
      <c r="G108" s="416"/>
    </row>
    <row r="109" spans="1:7" ht="14.25" customHeight="1">
      <c r="A109" s="2003" t="s">
        <v>1567</v>
      </c>
      <c r="B109" s="1601"/>
      <c r="C109" s="1601"/>
      <c r="D109" s="1601"/>
      <c r="E109" s="1601"/>
      <c r="F109" s="1801"/>
      <c r="G109" s="696">
        <f>ROUND(G90+G97+G102+G107,0)</f>
        <v>732924</v>
      </c>
    </row>
    <row r="110" spans="1:7" ht="14.25" customHeight="1"/>
    <row r="111" spans="1:7" ht="14.25" customHeight="1">
      <c r="A111" s="420"/>
      <c r="B111" s="420"/>
      <c r="C111" s="420"/>
      <c r="D111" s="420"/>
      <c r="E111" s="420"/>
      <c r="F111" s="420"/>
      <c r="G111" s="420"/>
    </row>
    <row r="112" spans="1:7" ht="27" customHeight="1">
      <c r="A112" s="2005" t="s">
        <v>1604</v>
      </c>
      <c r="B112" s="1616"/>
      <c r="C112" s="1624"/>
      <c r="D112" s="567"/>
      <c r="E112" s="567"/>
      <c r="F112" s="567"/>
      <c r="G112" s="668"/>
    </row>
    <row r="113" spans="1:7" ht="24" customHeight="1">
      <c r="A113" s="1971"/>
      <c r="B113" s="1817"/>
      <c r="C113" s="1972"/>
      <c r="D113" s="669"/>
      <c r="E113" s="669"/>
      <c r="F113" s="669"/>
      <c r="G113" s="670"/>
    </row>
    <row r="114" spans="1:7" ht="14.25" customHeight="1">
      <c r="A114" s="416"/>
      <c r="B114" s="416"/>
      <c r="C114" s="416"/>
      <c r="D114" s="416"/>
      <c r="E114" s="416"/>
      <c r="F114" s="416"/>
      <c r="G114" s="416"/>
    </row>
    <row r="115" spans="1:7" ht="30.75" customHeight="1">
      <c r="A115" s="1973" t="str">
        <f>A11</f>
        <v>PRECIOS UNITARIOS OFICIALES 2014</v>
      </c>
      <c r="B115" s="1601"/>
      <c r="C115" s="1602"/>
      <c r="D115" s="1974" t="s">
        <v>1650</v>
      </c>
      <c r="E115" s="1601"/>
      <c r="F115" s="1601"/>
      <c r="G115" s="1602"/>
    </row>
    <row r="116" spans="1:7" ht="14.25" customHeight="1">
      <c r="A116" s="418"/>
      <c r="B116" s="418"/>
      <c r="C116" s="418"/>
      <c r="D116" s="418"/>
      <c r="E116" s="418"/>
      <c r="F116" s="418"/>
      <c r="G116" s="418"/>
    </row>
    <row r="117" spans="1:7" ht="12.75" customHeight="1">
      <c r="A117" s="419"/>
      <c r="B117" s="416"/>
      <c r="C117" s="420"/>
      <c r="D117" s="421" t="s">
        <v>1553</v>
      </c>
      <c r="E117" s="422" t="s">
        <v>116</v>
      </c>
      <c r="F117" s="572"/>
      <c r="G117" s="572"/>
    </row>
    <row r="118" spans="1:7" ht="14.25" customHeight="1">
      <c r="A118" s="423" t="s">
        <v>1555</v>
      </c>
      <c r="B118" s="416"/>
      <c r="C118" s="416"/>
      <c r="D118" s="416"/>
      <c r="E118" s="416"/>
      <c r="F118" s="416"/>
      <c r="G118" s="416"/>
    </row>
    <row r="119" spans="1:7" ht="13.5" customHeight="1">
      <c r="A119" s="1975" t="s">
        <v>1556</v>
      </c>
      <c r="B119" s="1601"/>
      <c r="C119" s="1801"/>
      <c r="D119" s="424" t="s">
        <v>208</v>
      </c>
      <c r="E119" s="424" t="s">
        <v>1558</v>
      </c>
      <c r="F119" s="424" t="s">
        <v>1559</v>
      </c>
      <c r="G119" s="425"/>
    </row>
    <row r="120" spans="1:7" ht="14.25" customHeight="1">
      <c r="A120" s="1981" t="str">
        <f>+'LISTADO EQUIPOS'!$C$22</f>
        <v>HERRAMIENTA MENOR.</v>
      </c>
      <c r="B120" s="1811"/>
      <c r="C120" s="1967"/>
      <c r="D120" s="449">
        <f>+'LISTADO EQUIPOS'!$E$22/8</f>
        <v>2850</v>
      </c>
      <c r="E120" s="427">
        <f>+E137</f>
        <v>2</v>
      </c>
      <c r="F120" s="428">
        <f t="shared" ref="F120:F121" si="7">+E120*D120</f>
        <v>5700</v>
      </c>
      <c r="G120" s="429"/>
    </row>
    <row r="121" spans="1:7" ht="22.5" customHeight="1">
      <c r="A121" s="1982" t="str">
        <f>+'LISTADO EQUIPOS'!$C$65</f>
        <v>FORMALETA PARA ELEVACIONES DE ESTRUCTURAS.</v>
      </c>
      <c r="B121" s="1807"/>
      <c r="C121" s="1819"/>
      <c r="D121" s="451">
        <f>+'LISTADO EQUIPOS'!$E$65</f>
        <v>85000</v>
      </c>
      <c r="E121" s="671">
        <v>1</v>
      </c>
      <c r="F121" s="698">
        <f t="shared" si="7"/>
        <v>85000</v>
      </c>
      <c r="G121" s="672"/>
    </row>
    <row r="122" spans="1:7" ht="14.25" customHeight="1">
      <c r="A122" s="2003" t="s">
        <v>1560</v>
      </c>
      <c r="B122" s="1601"/>
      <c r="C122" s="1601"/>
      <c r="D122" s="1601"/>
      <c r="E122" s="1601"/>
      <c r="F122" s="1801"/>
      <c r="G122" s="436">
        <f>SUM(F120:F121)</f>
        <v>90700</v>
      </c>
    </row>
    <row r="123" spans="1:7" ht="14.25" customHeight="1">
      <c r="A123" s="423" t="s">
        <v>1561</v>
      </c>
      <c r="B123" s="416"/>
      <c r="C123" s="416"/>
      <c r="D123" s="416"/>
      <c r="E123" s="416"/>
      <c r="F123" s="416"/>
      <c r="G123" s="437"/>
    </row>
    <row r="124" spans="1:7" ht="14.25" customHeight="1">
      <c r="A124" s="1975" t="s">
        <v>1556</v>
      </c>
      <c r="B124" s="1801"/>
      <c r="C124" s="424" t="s">
        <v>6</v>
      </c>
      <c r="D124" s="424" t="s">
        <v>1562</v>
      </c>
      <c r="E124" s="424" t="s">
        <v>7</v>
      </c>
      <c r="F124" s="424" t="s">
        <v>1559</v>
      </c>
      <c r="G124" s="673"/>
    </row>
    <row r="125" spans="1:7" ht="24" customHeight="1">
      <c r="A125" s="1981" t="str">
        <f>+'ANALISIS BASICOS'!$A$132</f>
        <v xml:space="preserve">CONCRETO NORMAL - 1700 PSI (140 KG/CM2)  </v>
      </c>
      <c r="B125" s="1967"/>
      <c r="C125" s="699" t="str">
        <f>+'ANALISIS BASICOS'!$E$108</f>
        <v>M3</v>
      </c>
      <c r="D125" s="449">
        <f>+'ANALISIS BASICOS'!$G$132</f>
        <v>342401</v>
      </c>
      <c r="E125" s="699">
        <v>1.03</v>
      </c>
      <c r="F125" s="428">
        <f t="shared" ref="F125:F126" si="8">+E125*D125</f>
        <v>352673.03</v>
      </c>
      <c r="G125" s="443"/>
    </row>
    <row r="126" spans="1:7" ht="14.25" customHeight="1">
      <c r="A126" s="1988" t="str">
        <f>+'LISTADO MATERIALES'!$C$723</f>
        <v>AGUA</v>
      </c>
      <c r="B126" s="1611"/>
      <c r="C126" s="677" t="str">
        <f>+'LISTADO MATERIALES'!$D$723</f>
        <v>LT</v>
      </c>
      <c r="D126" s="431">
        <f>+'LISTADO MATERIALES'!$E$723</f>
        <v>21</v>
      </c>
      <c r="E126" s="677">
        <v>50</v>
      </c>
      <c r="F126" s="689">
        <f t="shared" si="8"/>
        <v>1050</v>
      </c>
      <c r="G126" s="445"/>
    </row>
    <row r="127" spans="1:7" ht="14.25" customHeight="1">
      <c r="A127" s="1988"/>
      <c r="B127" s="1611"/>
      <c r="C127" s="677"/>
      <c r="D127" s="431"/>
      <c r="E127" s="677"/>
      <c r="F127" s="431"/>
      <c r="G127" s="445"/>
    </row>
    <row r="128" spans="1:7" ht="14.25" customHeight="1">
      <c r="A128" s="1982"/>
      <c r="B128" s="1819"/>
      <c r="C128" s="678"/>
      <c r="D128" s="451"/>
      <c r="E128" s="678"/>
      <c r="F128" s="451"/>
      <c r="G128" s="456"/>
    </row>
    <row r="129" spans="1:7" ht="14.25" customHeight="1">
      <c r="A129" s="2003" t="s">
        <v>1560</v>
      </c>
      <c r="B129" s="1601"/>
      <c r="C129" s="1601"/>
      <c r="D129" s="1601"/>
      <c r="E129" s="1601"/>
      <c r="F129" s="1801"/>
      <c r="G129" s="436">
        <f>SUM(F125:F128)</f>
        <v>353723.03</v>
      </c>
    </row>
    <row r="130" spans="1:7" ht="14.25" customHeight="1">
      <c r="A130" s="423" t="s">
        <v>1563</v>
      </c>
      <c r="B130" s="416"/>
      <c r="C130" s="416"/>
      <c r="D130" s="416"/>
      <c r="E130" s="416"/>
      <c r="F130" s="416"/>
      <c r="G130" s="437"/>
    </row>
    <row r="131" spans="1:7" ht="14.25" customHeight="1">
      <c r="A131" s="1975" t="s">
        <v>1556</v>
      </c>
      <c r="B131" s="1801"/>
      <c r="C131" s="424" t="s">
        <v>6</v>
      </c>
      <c r="D131" s="424" t="s">
        <v>1562</v>
      </c>
      <c r="E131" s="424" t="s">
        <v>7</v>
      </c>
      <c r="F131" s="424" t="s">
        <v>1559</v>
      </c>
      <c r="G131" s="438"/>
    </row>
    <row r="132" spans="1:7" ht="14.25" customHeight="1">
      <c r="A132" s="1981"/>
      <c r="B132" s="1967"/>
      <c r="C132" s="448"/>
      <c r="D132" s="449"/>
      <c r="E132" s="450"/>
      <c r="F132" s="431"/>
      <c r="G132" s="443"/>
    </row>
    <row r="133" spans="1:7" ht="14.25" customHeight="1">
      <c r="A133" s="1982"/>
      <c r="B133" s="1819"/>
      <c r="C133" s="448"/>
      <c r="D133" s="451"/>
      <c r="E133" s="452"/>
      <c r="F133" s="451"/>
      <c r="G133" s="447"/>
    </row>
    <row r="134" spans="1:7" ht="14.25" customHeight="1">
      <c r="A134" s="2003" t="s">
        <v>1560</v>
      </c>
      <c r="B134" s="1601"/>
      <c r="C134" s="1601"/>
      <c r="D134" s="1601"/>
      <c r="E134" s="1601"/>
      <c r="F134" s="1801"/>
      <c r="G134" s="436"/>
    </row>
    <row r="135" spans="1:7" ht="14.25" customHeight="1">
      <c r="A135" s="423" t="s">
        <v>1564</v>
      </c>
      <c r="B135" s="416"/>
      <c r="C135" s="416"/>
      <c r="D135" s="416"/>
      <c r="E135" s="416"/>
      <c r="F135" s="416"/>
      <c r="G135" s="437"/>
    </row>
    <row r="136" spans="1:7" ht="14.25" customHeight="1">
      <c r="A136" s="1975" t="s">
        <v>1565</v>
      </c>
      <c r="B136" s="1801"/>
      <c r="C136" s="424" t="s">
        <v>1566</v>
      </c>
      <c r="D136" s="424" t="s">
        <v>6</v>
      </c>
      <c r="E136" s="424" t="s">
        <v>7</v>
      </c>
      <c r="F136" s="424" t="s">
        <v>1559</v>
      </c>
      <c r="G136" s="462"/>
    </row>
    <row r="137" spans="1:7" ht="14.25" customHeight="1">
      <c r="A137" s="2004" t="str">
        <f>+'MANO DE OBRA'!$A$64</f>
        <v>Oficial (Incl. Prestaciones)</v>
      </c>
      <c r="B137" s="1888"/>
      <c r="C137" s="679">
        <f>+'MANO DE OBRA'!$E$64</f>
        <v>15031.25</v>
      </c>
      <c r="D137" s="680">
        <v>1</v>
      </c>
      <c r="E137" s="680">
        <v>2</v>
      </c>
      <c r="F137" s="694">
        <f t="shared" ref="F137:F138" si="9">+(C137*D137)*E137</f>
        <v>30062.5</v>
      </c>
      <c r="G137" s="443"/>
    </row>
    <row r="138" spans="1:7" ht="14.25" customHeight="1">
      <c r="A138" s="1968" t="str">
        <f>+'MANO DE OBRA'!$A$65</f>
        <v>Ayudante (Incl. Prestaciones)</v>
      </c>
      <c r="B138" s="1819"/>
      <c r="C138" s="681">
        <f>+'MANO DE OBRA'!$E$65</f>
        <v>10972.8125</v>
      </c>
      <c r="D138" s="562">
        <v>2</v>
      </c>
      <c r="E138" s="562">
        <f>+E137</f>
        <v>2</v>
      </c>
      <c r="F138" s="695">
        <f t="shared" si="9"/>
        <v>43891.25</v>
      </c>
      <c r="G138" s="456"/>
    </row>
    <row r="139" spans="1:7" ht="14.25" customHeight="1">
      <c r="A139" s="2003" t="str">
        <f>+A134</f>
        <v>SUB-TOTAL</v>
      </c>
      <c r="B139" s="1601"/>
      <c r="C139" s="1601"/>
      <c r="D139" s="1601"/>
      <c r="E139" s="1601"/>
      <c r="F139" s="1801"/>
      <c r="G139" s="436">
        <f>SUM(F137:F138)</f>
        <v>73953.75</v>
      </c>
    </row>
    <row r="140" spans="1:7" ht="11.25" customHeight="1">
      <c r="A140" s="416"/>
      <c r="B140" s="416"/>
      <c r="C140" s="416"/>
      <c r="D140" s="416"/>
      <c r="E140" s="416"/>
      <c r="F140" s="458"/>
      <c r="G140" s="437"/>
    </row>
    <row r="141" spans="1:7" ht="14.25" customHeight="1">
      <c r="A141" s="2003" t="s">
        <v>1567</v>
      </c>
      <c r="B141" s="1601"/>
      <c r="C141" s="1601"/>
      <c r="D141" s="1601"/>
      <c r="E141" s="1601"/>
      <c r="F141" s="1801"/>
      <c r="G141" s="682">
        <f>ROUND(G122+G129+G134+G139,0)</f>
        <v>518377</v>
      </c>
    </row>
    <row r="142" spans="1:7" ht="14.25" customHeight="1">
      <c r="A142" s="420"/>
      <c r="B142" s="420"/>
      <c r="C142" s="420"/>
      <c r="D142" s="420"/>
      <c r="E142" s="420"/>
      <c r="F142" s="420"/>
      <c r="G142" s="420"/>
    </row>
    <row r="143" spans="1:7" ht="14.25" customHeight="1">
      <c r="A143" s="420"/>
      <c r="B143" s="420"/>
      <c r="C143" s="420"/>
      <c r="D143" s="420"/>
      <c r="E143" s="420"/>
      <c r="F143" s="420"/>
      <c r="G143" s="420"/>
    </row>
    <row r="144" spans="1:7" ht="27" customHeight="1">
      <c r="A144" s="2005" t="s">
        <v>1604</v>
      </c>
      <c r="B144" s="1616"/>
      <c r="C144" s="1624"/>
      <c r="D144" s="567"/>
      <c r="E144" s="567"/>
      <c r="F144" s="567"/>
      <c r="G144" s="668"/>
    </row>
    <row r="145" spans="1:7" ht="24" customHeight="1">
      <c r="A145" s="1971"/>
      <c r="B145" s="1817"/>
      <c r="C145" s="1972"/>
      <c r="D145" s="669"/>
      <c r="E145" s="669"/>
      <c r="F145" s="669"/>
      <c r="G145" s="670"/>
    </row>
    <row r="146" spans="1:7" ht="14.25" customHeight="1">
      <c r="A146" s="416"/>
      <c r="B146" s="416"/>
      <c r="C146" s="416"/>
      <c r="D146" s="416"/>
      <c r="E146" s="416"/>
      <c r="F146" s="416"/>
      <c r="G146" s="416"/>
    </row>
    <row r="147" spans="1:7" ht="30.75" customHeight="1">
      <c r="A147" s="1973" t="str">
        <f>A11</f>
        <v>PRECIOS UNITARIOS OFICIALES 2014</v>
      </c>
      <c r="B147" s="1601"/>
      <c r="C147" s="1602"/>
      <c r="D147" s="1974" t="s">
        <v>1651</v>
      </c>
      <c r="E147" s="1601"/>
      <c r="F147" s="1601"/>
      <c r="G147" s="1602"/>
    </row>
    <row r="148" spans="1:7" ht="14.25" customHeight="1">
      <c r="A148" s="418"/>
      <c r="B148" s="418"/>
      <c r="C148" s="418"/>
      <c r="D148" s="418"/>
      <c r="E148" s="418"/>
      <c r="F148" s="418"/>
      <c r="G148" s="418"/>
    </row>
    <row r="149" spans="1:7" ht="12.75" customHeight="1">
      <c r="A149" s="419"/>
      <c r="B149" s="416"/>
      <c r="C149" s="420"/>
      <c r="D149" s="421" t="s">
        <v>1553</v>
      </c>
      <c r="E149" s="422" t="s">
        <v>120</v>
      </c>
      <c r="F149" s="572"/>
      <c r="G149" s="572"/>
    </row>
    <row r="150" spans="1:7" ht="14.25" customHeight="1">
      <c r="A150" s="423" t="s">
        <v>1555</v>
      </c>
      <c r="B150" s="416"/>
      <c r="C150" s="416"/>
      <c r="D150" s="416"/>
      <c r="E150" s="416"/>
      <c r="F150" s="416"/>
      <c r="G150" s="416"/>
    </row>
    <row r="151" spans="1:7" ht="13.5" customHeight="1">
      <c r="A151" s="1975" t="s">
        <v>1556</v>
      </c>
      <c r="B151" s="1601"/>
      <c r="C151" s="1801"/>
      <c r="D151" s="424" t="s">
        <v>208</v>
      </c>
      <c r="E151" s="424" t="s">
        <v>1558</v>
      </c>
      <c r="F151" s="424" t="s">
        <v>1559</v>
      </c>
      <c r="G151" s="425"/>
    </row>
    <row r="152" spans="1:7" ht="14.25" customHeight="1">
      <c r="A152" s="1981" t="str">
        <f>+'LISTADO EQUIPOS'!$C$22</f>
        <v>HERRAMIENTA MENOR.</v>
      </c>
      <c r="B152" s="1811"/>
      <c r="C152" s="1967"/>
      <c r="D152" s="449">
        <f>+'LISTADO EQUIPOS'!$E$22/8</f>
        <v>2850</v>
      </c>
      <c r="E152" s="427">
        <f>+E169</f>
        <v>0.85</v>
      </c>
      <c r="F152" s="428">
        <f t="shared" ref="F152:F153" si="10">+E152*D152</f>
        <v>2422.5</v>
      </c>
      <c r="G152" s="429"/>
    </row>
    <row r="153" spans="1:7" ht="14.25" customHeight="1">
      <c r="A153" s="1982" t="str">
        <f>+'LISTADO EQUIPOS'!$C$63</f>
        <v>FORMALETA PARA BASE DE ESTRUCTURAS.</v>
      </c>
      <c r="B153" s="1807"/>
      <c r="C153" s="1819"/>
      <c r="D153" s="451">
        <f>+'LISTADO EQUIPOS'!$E$63</f>
        <v>45000</v>
      </c>
      <c r="E153" s="671">
        <v>0.05</v>
      </c>
      <c r="F153" s="698">
        <f t="shared" si="10"/>
        <v>2250</v>
      </c>
      <c r="G153" s="672"/>
    </row>
    <row r="154" spans="1:7" ht="14.25" customHeight="1">
      <c r="A154" s="2003" t="s">
        <v>1560</v>
      </c>
      <c r="B154" s="1601"/>
      <c r="C154" s="1601"/>
      <c r="D154" s="1601"/>
      <c r="E154" s="1601"/>
      <c r="F154" s="1801"/>
      <c r="G154" s="436">
        <f>SUM(F152:F153)</f>
        <v>4672.5</v>
      </c>
    </row>
    <row r="155" spans="1:7" ht="14.25" customHeight="1">
      <c r="A155" s="423" t="s">
        <v>1561</v>
      </c>
      <c r="B155" s="416"/>
      <c r="C155" s="416"/>
      <c r="D155" s="416"/>
      <c r="E155" s="416"/>
      <c r="F155" s="416"/>
      <c r="G155" s="437"/>
    </row>
    <row r="156" spans="1:7" ht="14.25" customHeight="1">
      <c r="A156" s="1975" t="s">
        <v>1556</v>
      </c>
      <c r="B156" s="1801"/>
      <c r="C156" s="424" t="s">
        <v>6</v>
      </c>
      <c r="D156" s="424" t="s">
        <v>1562</v>
      </c>
      <c r="E156" s="424" t="s">
        <v>7</v>
      </c>
      <c r="F156" s="424" t="s">
        <v>1559</v>
      </c>
      <c r="G156" s="673"/>
    </row>
    <row r="157" spans="1:7" ht="21.75" customHeight="1">
      <c r="A157" s="1987" t="str">
        <f>+'ANALISIS BASICOS'!$A$100</f>
        <v xml:space="preserve">CONCRETO NORMAL - 2500 PSI (175 KG/CM2)  </v>
      </c>
      <c r="B157" s="1967"/>
      <c r="C157" s="674" t="str">
        <f>+'ANALISIS BASICOS'!$E$76</f>
        <v>M3</v>
      </c>
      <c r="D157" s="675">
        <f>+'ANALISIS BASICOS'!$G$100</f>
        <v>483582</v>
      </c>
      <c r="E157" s="674">
        <v>6.5000000000000002E-2</v>
      </c>
      <c r="F157" s="442">
        <f t="shared" ref="F157:F158" si="11">+E157*D157</f>
        <v>31432.83</v>
      </c>
      <c r="G157" s="443"/>
    </row>
    <row r="158" spans="1:7" ht="14.25" customHeight="1">
      <c r="A158" s="1988" t="str">
        <f>+'LISTADO MATERIALES'!$C$723</f>
        <v>AGUA</v>
      </c>
      <c r="B158" s="1611"/>
      <c r="C158" s="677" t="str">
        <f>+'LISTADO MATERIALES'!$D$723</f>
        <v>LT</v>
      </c>
      <c r="D158" s="431">
        <f>+'LISTADO MATERIALES'!$E$723</f>
        <v>21</v>
      </c>
      <c r="E158" s="677">
        <v>5</v>
      </c>
      <c r="F158" s="689">
        <f t="shared" si="11"/>
        <v>105</v>
      </c>
      <c r="G158" s="445"/>
    </row>
    <row r="159" spans="1:7" ht="14.25" customHeight="1">
      <c r="A159" s="1988"/>
      <c r="B159" s="1611"/>
      <c r="C159" s="677"/>
      <c r="D159" s="431"/>
      <c r="E159" s="677"/>
      <c r="F159" s="431"/>
      <c r="G159" s="445"/>
    </row>
    <row r="160" spans="1:7" ht="14.25" customHeight="1">
      <c r="A160" s="1982"/>
      <c r="B160" s="1819"/>
      <c r="C160" s="678"/>
      <c r="D160" s="451"/>
      <c r="E160" s="678"/>
      <c r="F160" s="451"/>
      <c r="G160" s="456"/>
    </row>
    <row r="161" spans="1:7" ht="14.25" customHeight="1">
      <c r="A161" s="2003" t="s">
        <v>1560</v>
      </c>
      <c r="B161" s="1601"/>
      <c r="C161" s="1601"/>
      <c r="D161" s="1601"/>
      <c r="E161" s="1601"/>
      <c r="F161" s="1801"/>
      <c r="G161" s="436">
        <f>SUM(F157:F160)</f>
        <v>31537.83</v>
      </c>
    </row>
    <row r="162" spans="1:7" ht="14.25" customHeight="1">
      <c r="A162" s="423" t="s">
        <v>1563</v>
      </c>
      <c r="B162" s="416"/>
      <c r="C162" s="416"/>
      <c r="D162" s="416"/>
      <c r="E162" s="416"/>
      <c r="F162" s="416"/>
      <c r="G162" s="437"/>
    </row>
    <row r="163" spans="1:7" ht="14.25" customHeight="1">
      <c r="A163" s="1975" t="s">
        <v>1556</v>
      </c>
      <c r="B163" s="1801"/>
      <c r="C163" s="424" t="s">
        <v>6</v>
      </c>
      <c r="D163" s="424" t="s">
        <v>1562</v>
      </c>
      <c r="E163" s="424" t="s">
        <v>7</v>
      </c>
      <c r="F163" s="424" t="s">
        <v>1559</v>
      </c>
      <c r="G163" s="438"/>
    </row>
    <row r="164" spans="1:7" ht="14.25" customHeight="1">
      <c r="A164" s="1981"/>
      <c r="B164" s="1967"/>
      <c r="C164" s="448"/>
      <c r="D164" s="449"/>
      <c r="E164" s="450"/>
      <c r="F164" s="431"/>
      <c r="G164" s="443"/>
    </row>
    <row r="165" spans="1:7" ht="14.25" customHeight="1">
      <c r="A165" s="1982"/>
      <c r="B165" s="1819"/>
      <c r="C165" s="448"/>
      <c r="D165" s="451"/>
      <c r="E165" s="452"/>
      <c r="F165" s="451"/>
      <c r="G165" s="447"/>
    </row>
    <row r="166" spans="1:7" ht="14.25" customHeight="1">
      <c r="A166" s="2003"/>
      <c r="B166" s="1601"/>
      <c r="C166" s="1601"/>
      <c r="D166" s="1601"/>
      <c r="E166" s="1601"/>
      <c r="F166" s="1801"/>
      <c r="G166" s="436"/>
    </row>
    <row r="167" spans="1:7" ht="14.25" customHeight="1">
      <c r="A167" s="423" t="s">
        <v>1564</v>
      </c>
      <c r="B167" s="416"/>
      <c r="C167" s="416"/>
      <c r="D167" s="416"/>
      <c r="E167" s="416"/>
      <c r="F167" s="416"/>
      <c r="G167" s="437"/>
    </row>
    <row r="168" spans="1:7" ht="14.25" customHeight="1">
      <c r="A168" s="1975" t="s">
        <v>1565</v>
      </c>
      <c r="B168" s="1801"/>
      <c r="C168" s="424" t="s">
        <v>1566</v>
      </c>
      <c r="D168" s="424" t="s">
        <v>6</v>
      </c>
      <c r="E168" s="424" t="s">
        <v>7</v>
      </c>
      <c r="F168" s="424" t="s">
        <v>1559</v>
      </c>
      <c r="G168" s="462"/>
    </row>
    <row r="169" spans="1:7" ht="14.25" customHeight="1">
      <c r="A169" s="2004" t="str">
        <f>+'MANO DE OBRA'!$A$64</f>
        <v>Oficial (Incl. Prestaciones)</v>
      </c>
      <c r="B169" s="1888"/>
      <c r="C169" s="679">
        <f>+'MANO DE OBRA'!$E$64</f>
        <v>15031.25</v>
      </c>
      <c r="D169" s="680">
        <v>1</v>
      </c>
      <c r="E169" s="680">
        <v>0.85</v>
      </c>
      <c r="F169" s="694">
        <f t="shared" ref="F169:F170" si="12">+(C169*D169)*E169</f>
        <v>12776.5625</v>
      </c>
      <c r="G169" s="443"/>
    </row>
    <row r="170" spans="1:7" ht="14.25" customHeight="1">
      <c r="A170" s="1968" t="str">
        <f>+'MANO DE OBRA'!$A$65</f>
        <v>Ayudante (Incl. Prestaciones)</v>
      </c>
      <c r="B170" s="1819"/>
      <c r="C170" s="681">
        <f>+'MANO DE OBRA'!$E$65</f>
        <v>10972.8125</v>
      </c>
      <c r="D170" s="562">
        <v>1</v>
      </c>
      <c r="E170" s="562">
        <f>+E169</f>
        <v>0.85</v>
      </c>
      <c r="F170" s="695">
        <f t="shared" si="12"/>
        <v>9326.890625</v>
      </c>
      <c r="G170" s="456"/>
    </row>
    <row r="171" spans="1:7" ht="14.25" customHeight="1">
      <c r="A171" s="2003" t="s">
        <v>1560</v>
      </c>
      <c r="B171" s="1601"/>
      <c r="C171" s="1601"/>
      <c r="D171" s="1601"/>
      <c r="E171" s="1601"/>
      <c r="F171" s="1801"/>
      <c r="G171" s="436">
        <f>SUM(F169:F170)</f>
        <v>22103.453125</v>
      </c>
    </row>
    <row r="172" spans="1:7" ht="11.25" customHeight="1">
      <c r="A172" s="416"/>
      <c r="B172" s="416"/>
      <c r="C172" s="416"/>
      <c r="D172" s="416"/>
      <c r="E172" s="416"/>
      <c r="F172" s="458"/>
      <c r="G172" s="437"/>
    </row>
    <row r="173" spans="1:7" ht="14.25" customHeight="1">
      <c r="A173" s="2003" t="s">
        <v>1567</v>
      </c>
      <c r="B173" s="1601"/>
      <c r="C173" s="1601"/>
      <c r="D173" s="1601"/>
      <c r="E173" s="1601"/>
      <c r="F173" s="1801"/>
      <c r="G173" s="682">
        <f>ROUND(G154+G161+G166+G171,0)</f>
        <v>58314</v>
      </c>
    </row>
    <row r="174" spans="1:7" ht="14.25" customHeight="1">
      <c r="A174" s="420"/>
      <c r="B174" s="420"/>
      <c r="C174" s="420"/>
      <c r="D174" s="420"/>
      <c r="E174" s="420"/>
      <c r="F174" s="420"/>
      <c r="G174" s="420"/>
    </row>
    <row r="175" spans="1:7" ht="14.25" customHeight="1">
      <c r="A175" s="420"/>
      <c r="B175" s="420"/>
      <c r="C175" s="420"/>
      <c r="D175" s="420"/>
      <c r="E175" s="420"/>
      <c r="F175" s="420"/>
      <c r="G175" s="420"/>
    </row>
    <row r="176" spans="1:7" ht="27" customHeight="1">
      <c r="A176" s="2005" t="s">
        <v>1604</v>
      </c>
      <c r="B176" s="1616"/>
      <c r="C176" s="1624"/>
      <c r="D176" s="567"/>
      <c r="E176" s="567"/>
      <c r="F176" s="567"/>
      <c r="G176" s="668"/>
    </row>
    <row r="177" spans="1:7" ht="24" customHeight="1">
      <c r="A177" s="1971"/>
      <c r="B177" s="1817"/>
      <c r="C177" s="1972"/>
      <c r="D177" s="669"/>
      <c r="E177" s="669"/>
      <c r="F177" s="669"/>
      <c r="G177" s="670"/>
    </row>
    <row r="178" spans="1:7" ht="14.25" customHeight="1">
      <c r="A178" s="416"/>
      <c r="B178" s="416"/>
      <c r="C178" s="416"/>
      <c r="D178" s="416"/>
      <c r="E178" s="416"/>
      <c r="F178" s="416"/>
      <c r="G178" s="416"/>
    </row>
    <row r="179" spans="1:7" ht="30.75" customHeight="1">
      <c r="A179" s="1973" t="str">
        <f>A11</f>
        <v>PRECIOS UNITARIOS OFICIALES 2014</v>
      </c>
      <c r="B179" s="1601"/>
      <c r="C179" s="1602"/>
      <c r="D179" s="1974" t="s">
        <v>1652</v>
      </c>
      <c r="E179" s="1601"/>
      <c r="F179" s="1601"/>
      <c r="G179" s="1602"/>
    </row>
    <row r="180" spans="1:7" ht="14.25" customHeight="1">
      <c r="A180" s="418"/>
      <c r="B180" s="418"/>
      <c r="C180" s="418"/>
      <c r="D180" s="418"/>
      <c r="E180" s="418"/>
      <c r="F180" s="418"/>
      <c r="G180" s="418"/>
    </row>
    <row r="181" spans="1:7" ht="12.75" customHeight="1">
      <c r="A181" s="419"/>
      <c r="B181" s="416"/>
      <c r="C181" s="420"/>
      <c r="D181" s="421" t="s">
        <v>1553</v>
      </c>
      <c r="E181" s="422" t="s">
        <v>116</v>
      </c>
      <c r="F181" s="572"/>
      <c r="G181" s="572"/>
    </row>
    <row r="182" spans="1:7" ht="14.25" customHeight="1">
      <c r="A182" s="423" t="s">
        <v>1555</v>
      </c>
      <c r="B182" s="416"/>
      <c r="C182" s="416"/>
      <c r="D182" s="416"/>
      <c r="E182" s="416"/>
      <c r="F182" s="416"/>
      <c r="G182" s="416"/>
    </row>
    <row r="183" spans="1:7" ht="13.5" customHeight="1">
      <c r="A183" s="1975" t="s">
        <v>1556</v>
      </c>
      <c r="B183" s="1601"/>
      <c r="C183" s="1801"/>
      <c r="D183" s="424" t="s">
        <v>208</v>
      </c>
      <c r="E183" s="424" t="s">
        <v>1558</v>
      </c>
      <c r="F183" s="424" t="s">
        <v>1559</v>
      </c>
      <c r="G183" s="425"/>
    </row>
    <row r="184" spans="1:7" ht="14.25" customHeight="1">
      <c r="A184" s="1981" t="str">
        <f>+'LISTADO EQUIPOS'!$C$22</f>
        <v>HERRAMIENTA MENOR.</v>
      </c>
      <c r="B184" s="1811"/>
      <c r="C184" s="1967"/>
      <c r="D184" s="428">
        <f>+'LISTADO EQUIPOS'!$E$22/8</f>
        <v>2850</v>
      </c>
      <c r="E184" s="427">
        <f>+E201</f>
        <v>0.2</v>
      </c>
      <c r="F184" s="428">
        <f t="shared" ref="F184:F185" si="13">+E184*D184</f>
        <v>570</v>
      </c>
      <c r="G184" s="429"/>
    </row>
    <row r="185" spans="1:7" ht="24" customHeight="1">
      <c r="A185" s="1982" t="str">
        <f>+'LISTADO EQUIPOS'!$C$65</f>
        <v>FORMALETA PARA ELEVACIONES DE ESTRUCTURAS.</v>
      </c>
      <c r="B185" s="1807"/>
      <c r="C185" s="1819"/>
      <c r="D185" s="700">
        <f>+'LISTADO EQUIPOS'!$E$65</f>
        <v>85000</v>
      </c>
      <c r="E185" s="433">
        <v>0.05</v>
      </c>
      <c r="F185" s="700">
        <f t="shared" si="13"/>
        <v>4250</v>
      </c>
      <c r="G185" s="672"/>
    </row>
    <row r="186" spans="1:7" ht="14.25" customHeight="1">
      <c r="A186" s="2003" t="s">
        <v>1560</v>
      </c>
      <c r="B186" s="1601"/>
      <c r="C186" s="1601"/>
      <c r="D186" s="1601"/>
      <c r="E186" s="1601"/>
      <c r="F186" s="1801"/>
      <c r="G186" s="436">
        <f>SUM(F184:F185)</f>
        <v>4820</v>
      </c>
    </row>
    <row r="187" spans="1:7" ht="14.25" customHeight="1">
      <c r="A187" s="423" t="s">
        <v>1561</v>
      </c>
      <c r="B187" s="416"/>
      <c r="C187" s="416"/>
      <c r="D187" s="416"/>
      <c r="E187" s="416"/>
      <c r="F187" s="416"/>
      <c r="G187" s="416"/>
    </row>
    <row r="188" spans="1:7" ht="14.25" customHeight="1">
      <c r="A188" s="1975" t="s">
        <v>1556</v>
      </c>
      <c r="B188" s="1801"/>
      <c r="C188" s="424" t="s">
        <v>6</v>
      </c>
      <c r="D188" s="424" t="s">
        <v>1562</v>
      </c>
      <c r="E188" s="424" t="s">
        <v>7</v>
      </c>
      <c r="F188" s="424" t="s">
        <v>1559</v>
      </c>
      <c r="G188" s="425"/>
    </row>
    <row r="189" spans="1:7" ht="26.25" customHeight="1">
      <c r="A189" s="1981" t="str">
        <f>+'ANALISIS BASICOS'!$A$100</f>
        <v xml:space="preserve">CONCRETO NORMAL - 2500 PSI (175 KG/CM2)  </v>
      </c>
      <c r="B189" s="1967"/>
      <c r="C189" s="674" t="str">
        <f>+'ANALISIS BASICOS'!$E$76</f>
        <v>M3</v>
      </c>
      <c r="D189" s="442">
        <f>+'ANALISIS BASICOS'!$G$100</f>
        <v>483582</v>
      </c>
      <c r="E189" s="675">
        <v>1</v>
      </c>
      <c r="F189" s="442">
        <f t="shared" ref="F189:F190" si="14">+E189*D189</f>
        <v>483582</v>
      </c>
      <c r="G189" s="429"/>
    </row>
    <row r="190" spans="1:7" ht="14.25" customHeight="1">
      <c r="A190" s="1988" t="str">
        <f>+'LISTADO MATERIALES'!$C$723</f>
        <v>AGUA</v>
      </c>
      <c r="B190" s="1611"/>
      <c r="C190" s="677" t="str">
        <f>+'LISTADO MATERIALES'!$D$723</f>
        <v>LT</v>
      </c>
      <c r="D190" s="689">
        <f>+'LISTADO MATERIALES'!$E$723</f>
        <v>21</v>
      </c>
      <c r="E190" s="431">
        <v>50</v>
      </c>
      <c r="F190" s="689">
        <f t="shared" si="14"/>
        <v>1050</v>
      </c>
      <c r="G190" s="432"/>
    </row>
    <row r="191" spans="1:7" ht="14.25" customHeight="1">
      <c r="A191" s="1988"/>
      <c r="B191" s="1611"/>
      <c r="C191" s="677"/>
      <c r="D191" s="431"/>
      <c r="E191" s="677"/>
      <c r="F191" s="431"/>
      <c r="G191" s="432"/>
    </row>
    <row r="192" spans="1:7" ht="14.25" customHeight="1">
      <c r="A192" s="1982"/>
      <c r="B192" s="1819"/>
      <c r="C192" s="678"/>
      <c r="D192" s="451"/>
      <c r="E192" s="678"/>
      <c r="F192" s="451"/>
      <c r="G192" s="672"/>
    </row>
    <row r="193" spans="1:7" ht="14.25" customHeight="1">
      <c r="A193" s="2003" t="s">
        <v>1560</v>
      </c>
      <c r="B193" s="1601"/>
      <c r="C193" s="1601"/>
      <c r="D193" s="1601"/>
      <c r="E193" s="1601"/>
      <c r="F193" s="1801"/>
      <c r="G193" s="436">
        <f>SUM(F189:F192)</f>
        <v>484632</v>
      </c>
    </row>
    <row r="194" spans="1:7" ht="14.25" customHeight="1">
      <c r="A194" s="423" t="s">
        <v>1563</v>
      </c>
      <c r="B194" s="416"/>
      <c r="C194" s="416"/>
      <c r="D194" s="416"/>
      <c r="E194" s="416"/>
      <c r="F194" s="416"/>
      <c r="G194" s="416"/>
    </row>
    <row r="195" spans="1:7" ht="14.25" customHeight="1">
      <c r="A195" s="1975" t="s">
        <v>1556</v>
      </c>
      <c r="B195" s="1801"/>
      <c r="C195" s="424" t="s">
        <v>6</v>
      </c>
      <c r="D195" s="424" t="s">
        <v>1562</v>
      </c>
      <c r="E195" s="424" t="s">
        <v>7</v>
      </c>
      <c r="F195" s="424" t="s">
        <v>1559</v>
      </c>
      <c r="G195" s="690"/>
    </row>
    <row r="196" spans="1:7" ht="14.25" customHeight="1">
      <c r="A196" s="1981"/>
      <c r="B196" s="1967"/>
      <c r="C196" s="448"/>
      <c r="D196" s="449"/>
      <c r="E196" s="450"/>
      <c r="F196" s="431"/>
      <c r="G196" s="429"/>
    </row>
    <row r="197" spans="1:7" ht="14.25" customHeight="1">
      <c r="A197" s="1982"/>
      <c r="B197" s="1819"/>
      <c r="C197" s="448"/>
      <c r="D197" s="451"/>
      <c r="E197" s="452"/>
      <c r="F197" s="451"/>
      <c r="G197" s="691"/>
    </row>
    <row r="198" spans="1:7" ht="14.25" customHeight="1">
      <c r="A198" s="2003"/>
      <c r="B198" s="1601"/>
      <c r="C198" s="1601"/>
      <c r="D198" s="1601"/>
      <c r="E198" s="1601"/>
      <c r="F198" s="1801"/>
      <c r="G198" s="692"/>
    </row>
    <row r="199" spans="1:7" ht="14.25" customHeight="1">
      <c r="A199" s="423" t="s">
        <v>1564</v>
      </c>
      <c r="B199" s="416"/>
      <c r="C199" s="416"/>
      <c r="D199" s="416"/>
      <c r="E199" s="416"/>
      <c r="F199" s="416"/>
      <c r="G199" s="416"/>
    </row>
    <row r="200" spans="1:7" ht="14.25" customHeight="1">
      <c r="A200" s="1975" t="s">
        <v>1565</v>
      </c>
      <c r="B200" s="1801"/>
      <c r="C200" s="424" t="s">
        <v>1566</v>
      </c>
      <c r="D200" s="424" t="s">
        <v>6</v>
      </c>
      <c r="E200" s="424" t="s">
        <v>7</v>
      </c>
      <c r="F200" s="424" t="s">
        <v>1559</v>
      </c>
      <c r="G200" s="693"/>
    </row>
    <row r="201" spans="1:7" ht="14.25" customHeight="1">
      <c r="A201" s="2004" t="str">
        <f>+'MANO DE OBRA'!$A$64</f>
        <v>Oficial (Incl. Prestaciones)</v>
      </c>
      <c r="B201" s="1888"/>
      <c r="C201" s="679">
        <f>+'MANO DE OBRA'!$E$64</f>
        <v>15031.25</v>
      </c>
      <c r="D201" s="680">
        <v>1</v>
      </c>
      <c r="E201" s="680">
        <v>0.2</v>
      </c>
      <c r="F201" s="454">
        <f t="shared" ref="F201:F202" si="15">+(C201*D201)/E201</f>
        <v>75156.25</v>
      </c>
      <c r="G201" s="429"/>
    </row>
    <row r="202" spans="1:7" ht="14.25" customHeight="1">
      <c r="A202" s="1968" t="str">
        <f>+'MANO DE OBRA'!$A$65</f>
        <v>Ayudante (Incl. Prestaciones)</v>
      </c>
      <c r="B202" s="1819"/>
      <c r="C202" s="681">
        <f>+'MANO DE OBRA'!$E$65</f>
        <v>10972.8125</v>
      </c>
      <c r="D202" s="562">
        <v>2</v>
      </c>
      <c r="E202" s="562">
        <f>+E201</f>
        <v>0.2</v>
      </c>
      <c r="F202" s="455">
        <f t="shared" si="15"/>
        <v>109728.125</v>
      </c>
      <c r="G202" s="672"/>
    </row>
    <row r="203" spans="1:7" ht="14.25" customHeight="1">
      <c r="A203" s="2003" t="s">
        <v>1560</v>
      </c>
      <c r="B203" s="1601"/>
      <c r="C203" s="1601"/>
      <c r="D203" s="1601"/>
      <c r="E203" s="1601"/>
      <c r="F203" s="1801"/>
      <c r="G203" s="436">
        <f>SUM(F201:F202)</f>
        <v>184884.375</v>
      </c>
    </row>
    <row r="204" spans="1:7" ht="11.25" customHeight="1">
      <c r="A204" s="416"/>
      <c r="B204" s="416"/>
      <c r="C204" s="416"/>
      <c r="D204" s="416"/>
      <c r="E204" s="416"/>
      <c r="F204" s="458"/>
      <c r="G204" s="416"/>
    </row>
    <row r="205" spans="1:7" ht="14.25" customHeight="1">
      <c r="A205" s="2003" t="s">
        <v>1567</v>
      </c>
      <c r="B205" s="1601"/>
      <c r="C205" s="1601"/>
      <c r="D205" s="1601"/>
      <c r="E205" s="1601"/>
      <c r="F205" s="1801"/>
      <c r="G205" s="696">
        <f>ROUND(G186+G193+G198+G203,0)</f>
        <v>674336</v>
      </c>
    </row>
    <row r="206" spans="1:7" ht="14.25" customHeight="1">
      <c r="A206" s="420"/>
      <c r="B206" s="420"/>
      <c r="C206" s="420"/>
      <c r="D206" s="420"/>
      <c r="E206" s="420"/>
      <c r="F206" s="420"/>
      <c r="G206" s="420"/>
    </row>
    <row r="207" spans="1:7" ht="14.25" customHeight="1">
      <c r="A207" s="420"/>
      <c r="B207" s="420"/>
      <c r="C207" s="420"/>
      <c r="D207" s="420"/>
      <c r="E207" s="420"/>
      <c r="F207" s="420"/>
      <c r="G207" s="420"/>
    </row>
    <row r="208" spans="1:7" ht="27" customHeight="1">
      <c r="A208" s="2005" t="s">
        <v>1604</v>
      </c>
      <c r="B208" s="1616"/>
      <c r="C208" s="1624"/>
      <c r="D208" s="567"/>
      <c r="E208" s="567"/>
      <c r="F208" s="567"/>
      <c r="G208" s="668"/>
    </row>
    <row r="209" spans="1:7" ht="24" customHeight="1">
      <c r="A209" s="1971"/>
      <c r="B209" s="1817"/>
      <c r="C209" s="1972"/>
      <c r="D209" s="669"/>
      <c r="E209" s="669"/>
      <c r="F209" s="669"/>
      <c r="G209" s="670"/>
    </row>
    <row r="210" spans="1:7" ht="14.25" customHeight="1">
      <c r="A210" s="416"/>
      <c r="B210" s="416"/>
      <c r="C210" s="416"/>
      <c r="D210" s="416"/>
      <c r="E210" s="416"/>
      <c r="F210" s="416"/>
      <c r="G210" s="416"/>
    </row>
    <row r="211" spans="1:7" ht="30.75" customHeight="1">
      <c r="A211" s="1973" t="str">
        <f>A11</f>
        <v>PRECIOS UNITARIOS OFICIALES 2014</v>
      </c>
      <c r="B211" s="1601"/>
      <c r="C211" s="1602"/>
      <c r="D211" s="1974" t="s">
        <v>1653</v>
      </c>
      <c r="E211" s="1601"/>
      <c r="F211" s="1601"/>
      <c r="G211" s="1602"/>
    </row>
    <row r="212" spans="1:7" ht="14.25" customHeight="1">
      <c r="A212" s="418"/>
      <c r="B212" s="418"/>
      <c r="C212" s="418"/>
      <c r="D212" s="418"/>
      <c r="E212" s="418"/>
      <c r="F212" s="418"/>
      <c r="G212" s="418"/>
    </row>
    <row r="213" spans="1:7" ht="12.75" customHeight="1">
      <c r="A213" s="419"/>
      <c r="B213" s="416"/>
      <c r="C213" s="420"/>
      <c r="D213" s="421" t="s">
        <v>1553</v>
      </c>
      <c r="E213" s="422" t="s">
        <v>116</v>
      </c>
      <c r="F213" s="572"/>
      <c r="G213" s="572"/>
    </row>
    <row r="214" spans="1:7" ht="14.25" customHeight="1">
      <c r="A214" s="423" t="s">
        <v>1555</v>
      </c>
      <c r="B214" s="416"/>
      <c r="C214" s="416"/>
      <c r="D214" s="416"/>
      <c r="E214" s="416"/>
      <c r="F214" s="416"/>
      <c r="G214" s="416"/>
    </row>
    <row r="215" spans="1:7" ht="13.5" customHeight="1">
      <c r="A215" s="1975" t="s">
        <v>1556</v>
      </c>
      <c r="B215" s="1601"/>
      <c r="C215" s="1801"/>
      <c r="D215" s="424" t="s">
        <v>208</v>
      </c>
      <c r="E215" s="424" t="s">
        <v>1558</v>
      </c>
      <c r="F215" s="424" t="s">
        <v>1559</v>
      </c>
      <c r="G215" s="425"/>
    </row>
    <row r="216" spans="1:7" ht="14.25" customHeight="1">
      <c r="A216" s="1981" t="str">
        <f>+'LISTADO EQUIPOS'!$C$22</f>
        <v>HERRAMIENTA MENOR.</v>
      </c>
      <c r="B216" s="1811"/>
      <c r="C216" s="1967"/>
      <c r="D216" s="449">
        <f>+'LISTADO EQUIPOS'!$E$22/8</f>
        <v>2850</v>
      </c>
      <c r="E216" s="427">
        <v>1</v>
      </c>
      <c r="F216" s="428">
        <f t="shared" ref="F216:F217" si="16">+E216*D216</f>
        <v>2850</v>
      </c>
      <c r="G216" s="429"/>
    </row>
    <row r="217" spans="1:7" ht="14.25" customHeight="1">
      <c r="A217" s="1982" t="str">
        <f>+'LISTADO EQUIPOS'!$C$63</f>
        <v>FORMALETA PARA BASE DE ESTRUCTURAS.</v>
      </c>
      <c r="B217" s="1807"/>
      <c r="C217" s="1819"/>
      <c r="D217" s="451">
        <f>+'LISTADO EQUIPOS'!$E$63</f>
        <v>45000</v>
      </c>
      <c r="E217" s="671">
        <v>1</v>
      </c>
      <c r="F217" s="698">
        <f t="shared" si="16"/>
        <v>45000</v>
      </c>
      <c r="G217" s="672"/>
    </row>
    <row r="218" spans="1:7" ht="14.25" customHeight="1">
      <c r="A218" s="2003" t="s">
        <v>1560</v>
      </c>
      <c r="B218" s="1601"/>
      <c r="C218" s="1601"/>
      <c r="D218" s="1601"/>
      <c r="E218" s="1601"/>
      <c r="F218" s="1801"/>
      <c r="G218" s="436">
        <f>SUM(F216:F217)</f>
        <v>47850</v>
      </c>
    </row>
    <row r="219" spans="1:7" ht="14.25" customHeight="1">
      <c r="A219" s="423" t="s">
        <v>1561</v>
      </c>
      <c r="B219" s="416"/>
      <c r="C219" s="416"/>
      <c r="D219" s="416"/>
      <c r="E219" s="416"/>
      <c r="F219" s="416"/>
      <c r="G219" s="437"/>
    </row>
    <row r="220" spans="1:7" ht="14.25" customHeight="1">
      <c r="A220" s="1975" t="s">
        <v>1556</v>
      </c>
      <c r="B220" s="1801"/>
      <c r="C220" s="424" t="s">
        <v>6</v>
      </c>
      <c r="D220" s="424" t="s">
        <v>1562</v>
      </c>
      <c r="E220" s="424" t="s">
        <v>7</v>
      </c>
      <c r="F220" s="424" t="s">
        <v>1559</v>
      </c>
      <c r="G220" s="673"/>
    </row>
    <row r="221" spans="1:7" ht="23.25" customHeight="1">
      <c r="A221" s="1981" t="str">
        <f>+'ANALISIS BASICOS'!$A$36</f>
        <v xml:space="preserve">CONCRETO NORMAL - 3000 PSI (210 KG/CM2) </v>
      </c>
      <c r="B221" s="1967"/>
      <c r="C221" s="699" t="str">
        <f>+'ANALISIS BASICOS'!$E$12</f>
        <v>M3</v>
      </c>
      <c r="D221" s="449">
        <f>+'ANALISIS BASICOS'!$G$36</f>
        <v>468441</v>
      </c>
      <c r="E221" s="699">
        <v>1.03</v>
      </c>
      <c r="F221" s="428">
        <f t="shared" ref="F221:F222" si="17">+E221*D221</f>
        <v>482494.23000000004</v>
      </c>
      <c r="G221" s="443"/>
    </row>
    <row r="222" spans="1:7" ht="14.25" customHeight="1">
      <c r="A222" s="1988" t="str">
        <f>+'LISTADO MATERIALES'!$C$723</f>
        <v>AGUA</v>
      </c>
      <c r="B222" s="1611"/>
      <c r="C222" s="677" t="str">
        <f>+'LISTADO MATERIALES'!$D$723</f>
        <v>LT</v>
      </c>
      <c r="D222" s="431">
        <f>+'LISTADO MATERIALES'!$E$723</f>
        <v>21</v>
      </c>
      <c r="E222" s="677">
        <v>50</v>
      </c>
      <c r="F222" s="689">
        <f t="shared" si="17"/>
        <v>1050</v>
      </c>
      <c r="G222" s="445"/>
    </row>
    <row r="223" spans="1:7" ht="14.25" customHeight="1">
      <c r="A223" s="1988"/>
      <c r="B223" s="1611"/>
      <c r="C223" s="677"/>
      <c r="D223" s="431"/>
      <c r="E223" s="677"/>
      <c r="F223" s="431"/>
      <c r="G223" s="445"/>
    </row>
    <row r="224" spans="1:7" ht="14.25" customHeight="1">
      <c r="A224" s="1982"/>
      <c r="B224" s="1819"/>
      <c r="C224" s="678"/>
      <c r="D224" s="451"/>
      <c r="E224" s="678"/>
      <c r="F224" s="451"/>
      <c r="G224" s="456"/>
    </row>
    <row r="225" spans="1:7" ht="14.25" customHeight="1">
      <c r="A225" s="2003" t="s">
        <v>1560</v>
      </c>
      <c r="B225" s="1601"/>
      <c r="C225" s="1601"/>
      <c r="D225" s="1601"/>
      <c r="E225" s="1601"/>
      <c r="F225" s="1801"/>
      <c r="G225" s="436">
        <f>SUM(F221:F224)</f>
        <v>483544.23000000004</v>
      </c>
    </row>
    <row r="226" spans="1:7" ht="14.25" customHeight="1">
      <c r="A226" s="423" t="s">
        <v>1563</v>
      </c>
      <c r="B226" s="416"/>
      <c r="C226" s="416"/>
      <c r="D226" s="416"/>
      <c r="E226" s="416"/>
      <c r="F226" s="416"/>
      <c r="G226" s="437"/>
    </row>
    <row r="227" spans="1:7" ht="14.25" customHeight="1">
      <c r="A227" s="1975" t="s">
        <v>1556</v>
      </c>
      <c r="B227" s="1801"/>
      <c r="C227" s="424" t="s">
        <v>6</v>
      </c>
      <c r="D227" s="424" t="s">
        <v>1562</v>
      </c>
      <c r="E227" s="424" t="s">
        <v>7</v>
      </c>
      <c r="F227" s="424" t="s">
        <v>1559</v>
      </c>
      <c r="G227" s="438"/>
    </row>
    <row r="228" spans="1:7" ht="14.25" customHeight="1">
      <c r="A228" s="1981"/>
      <c r="B228" s="1967"/>
      <c r="C228" s="448"/>
      <c r="D228" s="449"/>
      <c r="E228" s="450"/>
      <c r="F228" s="431"/>
      <c r="G228" s="443"/>
    </row>
    <row r="229" spans="1:7" ht="14.25" customHeight="1">
      <c r="A229" s="1982"/>
      <c r="B229" s="1819"/>
      <c r="C229" s="448"/>
      <c r="D229" s="451"/>
      <c r="E229" s="452"/>
      <c r="F229" s="451"/>
      <c r="G229" s="447"/>
    </row>
    <row r="230" spans="1:7" ht="14.25" customHeight="1">
      <c r="A230" s="2003"/>
      <c r="B230" s="1601"/>
      <c r="C230" s="1601"/>
      <c r="D230" s="1601"/>
      <c r="E230" s="1601"/>
      <c r="F230" s="1801"/>
      <c r="G230" s="436"/>
    </row>
    <row r="231" spans="1:7" ht="14.25" customHeight="1">
      <c r="A231" s="423" t="s">
        <v>1564</v>
      </c>
      <c r="B231" s="416"/>
      <c r="C231" s="416"/>
      <c r="D231" s="416"/>
      <c r="E231" s="416"/>
      <c r="F231" s="416"/>
      <c r="G231" s="437"/>
    </row>
    <row r="232" spans="1:7" ht="14.25" customHeight="1">
      <c r="A232" s="1975" t="s">
        <v>1565</v>
      </c>
      <c r="B232" s="1801"/>
      <c r="C232" s="424" t="s">
        <v>1566</v>
      </c>
      <c r="D232" s="424" t="s">
        <v>6</v>
      </c>
      <c r="E232" s="424" t="s">
        <v>7</v>
      </c>
      <c r="F232" s="424" t="s">
        <v>1559</v>
      </c>
      <c r="G232" s="462"/>
    </row>
    <row r="233" spans="1:7" ht="14.25" customHeight="1">
      <c r="A233" s="2004" t="str">
        <f>+'MANO DE OBRA'!$A$64</f>
        <v>Oficial (Incl. Prestaciones)</v>
      </c>
      <c r="B233" s="1888"/>
      <c r="C233" s="679">
        <f>+'MANO DE OBRA'!$E$64</f>
        <v>15031.25</v>
      </c>
      <c r="D233" s="680">
        <v>1</v>
      </c>
      <c r="E233" s="680">
        <v>0.85</v>
      </c>
      <c r="F233" s="694">
        <f t="shared" ref="F233:F234" si="18">+(C233*D233)*E233</f>
        <v>12776.5625</v>
      </c>
      <c r="G233" s="443"/>
    </row>
    <row r="234" spans="1:7" ht="14.25" customHeight="1">
      <c r="A234" s="1968" t="str">
        <f>+'MANO DE OBRA'!$A$65</f>
        <v>Ayudante (Incl. Prestaciones)</v>
      </c>
      <c r="B234" s="1819"/>
      <c r="C234" s="681">
        <f>+'MANO DE OBRA'!$E$65</f>
        <v>10972.8125</v>
      </c>
      <c r="D234" s="562">
        <v>2</v>
      </c>
      <c r="E234" s="562">
        <f>+E233</f>
        <v>0.85</v>
      </c>
      <c r="F234" s="695">
        <f t="shared" si="18"/>
        <v>18653.78125</v>
      </c>
      <c r="G234" s="456"/>
    </row>
    <row r="235" spans="1:7" ht="14.25" customHeight="1">
      <c r="A235" s="2003" t="s">
        <v>1560</v>
      </c>
      <c r="B235" s="1601"/>
      <c r="C235" s="1601"/>
      <c r="D235" s="1601"/>
      <c r="E235" s="1601"/>
      <c r="F235" s="1801"/>
      <c r="G235" s="436">
        <f>SUM(F233:F234)</f>
        <v>31430.34375</v>
      </c>
    </row>
    <row r="236" spans="1:7" ht="11.25" customHeight="1">
      <c r="A236" s="416"/>
      <c r="B236" s="416"/>
      <c r="C236" s="416"/>
      <c r="D236" s="416"/>
      <c r="E236" s="416"/>
      <c r="F236" s="458"/>
      <c r="G236" s="437"/>
    </row>
    <row r="237" spans="1:7" ht="14.25" customHeight="1">
      <c r="A237" s="2003" t="s">
        <v>1567</v>
      </c>
      <c r="B237" s="1601"/>
      <c r="C237" s="1601"/>
      <c r="D237" s="1601"/>
      <c r="E237" s="1601"/>
      <c r="F237" s="1801"/>
      <c r="G237" s="682">
        <f>ROUND(G218+G225+G230+G235,0)</f>
        <v>562825</v>
      </c>
    </row>
    <row r="238" spans="1:7" ht="14.25" customHeight="1">
      <c r="A238" s="420"/>
      <c r="B238" s="420"/>
      <c r="C238" s="420"/>
      <c r="D238" s="420"/>
      <c r="E238" s="420"/>
      <c r="F238" s="420"/>
      <c r="G238" s="420"/>
    </row>
    <row r="239" spans="1:7" ht="14.25" customHeight="1">
      <c r="A239" s="420"/>
      <c r="B239" s="420"/>
      <c r="C239" s="420"/>
      <c r="D239" s="420"/>
      <c r="E239" s="420"/>
      <c r="F239" s="420"/>
      <c r="G239" s="420"/>
    </row>
    <row r="240" spans="1:7" ht="27" customHeight="1">
      <c r="A240" s="2005" t="s">
        <v>1604</v>
      </c>
      <c r="B240" s="1616"/>
      <c r="C240" s="1624"/>
      <c r="D240" s="567"/>
      <c r="E240" s="567"/>
      <c r="F240" s="567"/>
      <c r="G240" s="668"/>
    </row>
    <row r="241" spans="1:7" ht="24" customHeight="1">
      <c r="A241" s="1971"/>
      <c r="B241" s="1817"/>
      <c r="C241" s="1972"/>
      <c r="D241" s="669"/>
      <c r="E241" s="669"/>
      <c r="F241" s="669"/>
      <c r="G241" s="670"/>
    </row>
    <row r="242" spans="1:7" ht="14.25" customHeight="1">
      <c r="A242" s="416"/>
      <c r="B242" s="416"/>
      <c r="C242" s="416"/>
      <c r="D242" s="416"/>
      <c r="E242" s="416"/>
      <c r="F242" s="416"/>
      <c r="G242" s="416"/>
    </row>
    <row r="243" spans="1:7" ht="30.75" customHeight="1">
      <c r="A243" s="1973" t="str">
        <f>A11</f>
        <v>PRECIOS UNITARIOS OFICIALES 2014</v>
      </c>
      <c r="B243" s="1601"/>
      <c r="C243" s="1602"/>
      <c r="D243" s="1974" t="s">
        <v>1654</v>
      </c>
      <c r="E243" s="1601"/>
      <c r="F243" s="1601"/>
      <c r="G243" s="1602"/>
    </row>
    <row r="244" spans="1:7" ht="14.25" customHeight="1">
      <c r="A244" s="418"/>
      <c r="B244" s="418"/>
      <c r="C244" s="418"/>
      <c r="D244" s="418"/>
      <c r="E244" s="418"/>
      <c r="F244" s="418"/>
      <c r="G244" s="418"/>
    </row>
    <row r="245" spans="1:7" ht="12.75" customHeight="1">
      <c r="A245" s="419"/>
      <c r="B245" s="416"/>
      <c r="C245" s="420"/>
      <c r="D245" s="421" t="s">
        <v>1553</v>
      </c>
      <c r="E245" s="422" t="s">
        <v>116</v>
      </c>
      <c r="F245" s="572"/>
      <c r="G245" s="572"/>
    </row>
    <row r="246" spans="1:7" ht="14.25" customHeight="1">
      <c r="A246" s="423" t="s">
        <v>1555</v>
      </c>
      <c r="B246" s="416"/>
      <c r="C246" s="416"/>
      <c r="D246" s="416"/>
      <c r="E246" s="416"/>
      <c r="F246" s="416"/>
      <c r="G246" s="416"/>
    </row>
    <row r="247" spans="1:7" ht="13.5" customHeight="1">
      <c r="A247" s="1975" t="s">
        <v>1556</v>
      </c>
      <c r="B247" s="1601"/>
      <c r="C247" s="1801"/>
      <c r="D247" s="424" t="s">
        <v>208</v>
      </c>
      <c r="E247" s="424" t="s">
        <v>1558</v>
      </c>
      <c r="F247" s="424" t="s">
        <v>1559</v>
      </c>
      <c r="G247" s="425"/>
    </row>
    <row r="248" spans="1:7" ht="14.25" customHeight="1">
      <c r="A248" s="1981" t="str">
        <f>+'LISTADO EQUIPOS'!$C$22</f>
        <v>HERRAMIENTA MENOR.</v>
      </c>
      <c r="B248" s="1811"/>
      <c r="C248" s="1967"/>
      <c r="D248" s="449">
        <f>+'LISTADO EQUIPOS'!$E$22/8</f>
        <v>2850</v>
      </c>
      <c r="E248" s="427">
        <f>+E265</f>
        <v>2</v>
      </c>
      <c r="F248" s="428">
        <f t="shared" ref="F248:F249" si="19">+E248*D248</f>
        <v>5700</v>
      </c>
      <c r="G248" s="429"/>
    </row>
    <row r="249" spans="1:7" ht="24" customHeight="1">
      <c r="A249" s="1982" t="str">
        <f>+'LISTADO EQUIPOS'!$C$65</f>
        <v>FORMALETA PARA ELEVACIONES DE ESTRUCTURAS.</v>
      </c>
      <c r="B249" s="1807"/>
      <c r="C249" s="1819"/>
      <c r="D249" s="451">
        <f>+'LISTADO EQUIPOS'!$E$65</f>
        <v>85000</v>
      </c>
      <c r="E249" s="671">
        <v>1</v>
      </c>
      <c r="F249" s="698">
        <f t="shared" si="19"/>
        <v>85000</v>
      </c>
      <c r="G249" s="672"/>
    </row>
    <row r="250" spans="1:7" ht="14.25" customHeight="1">
      <c r="A250" s="2003" t="s">
        <v>1560</v>
      </c>
      <c r="B250" s="1601"/>
      <c r="C250" s="1601"/>
      <c r="D250" s="1601"/>
      <c r="E250" s="1601"/>
      <c r="F250" s="1801"/>
      <c r="G250" s="436">
        <f>SUM(F248:F249)</f>
        <v>90700</v>
      </c>
    </row>
    <row r="251" spans="1:7" ht="14.25" customHeight="1">
      <c r="A251" s="423" t="s">
        <v>1561</v>
      </c>
      <c r="B251" s="416"/>
      <c r="C251" s="416"/>
      <c r="D251" s="416"/>
      <c r="E251" s="416"/>
      <c r="F251" s="416"/>
      <c r="G251" s="437"/>
    </row>
    <row r="252" spans="1:7" ht="14.25" customHeight="1">
      <c r="A252" s="1975" t="s">
        <v>1556</v>
      </c>
      <c r="B252" s="1801"/>
      <c r="C252" s="424" t="s">
        <v>6</v>
      </c>
      <c r="D252" s="424" t="s">
        <v>1562</v>
      </c>
      <c r="E252" s="424" t="s">
        <v>7</v>
      </c>
      <c r="F252" s="424" t="s">
        <v>1559</v>
      </c>
      <c r="G252" s="673"/>
    </row>
    <row r="253" spans="1:7" ht="25.5" customHeight="1">
      <c r="A253" s="1981" t="str">
        <f>+'ANALISIS BASICOS'!$A$36</f>
        <v xml:space="preserve">CONCRETO NORMAL - 3000 PSI (210 KG/CM2) </v>
      </c>
      <c r="B253" s="1967"/>
      <c r="C253" s="699" t="str">
        <f>+'ANALISIS BASICOS'!$E$12</f>
        <v>M3</v>
      </c>
      <c r="D253" s="449">
        <f>+'ANALISIS BASICOS'!$G$36</f>
        <v>468441</v>
      </c>
      <c r="E253" s="699">
        <v>1.03</v>
      </c>
      <c r="F253" s="428">
        <f t="shared" ref="F253:F254" si="20">+E253*D253</f>
        <v>482494.23000000004</v>
      </c>
      <c r="G253" s="443"/>
    </row>
    <row r="254" spans="1:7" ht="14.25" customHeight="1">
      <c r="A254" s="1988" t="str">
        <f>+'LISTADO MATERIALES'!$C$723</f>
        <v>AGUA</v>
      </c>
      <c r="B254" s="1611"/>
      <c r="C254" s="677" t="str">
        <f>+'LISTADO MATERIALES'!$D$723</f>
        <v>LT</v>
      </c>
      <c r="D254" s="431">
        <f>+'LISTADO MATERIALES'!$E$723</f>
        <v>21</v>
      </c>
      <c r="E254" s="677">
        <v>50</v>
      </c>
      <c r="F254" s="689">
        <f t="shared" si="20"/>
        <v>1050</v>
      </c>
      <c r="G254" s="445"/>
    </row>
    <row r="255" spans="1:7" ht="14.25" customHeight="1">
      <c r="A255" s="1988"/>
      <c r="B255" s="1611"/>
      <c r="C255" s="677"/>
      <c r="D255" s="431"/>
      <c r="E255" s="677"/>
      <c r="F255" s="431"/>
      <c r="G255" s="445"/>
    </row>
    <row r="256" spans="1:7" ht="14.25" customHeight="1">
      <c r="A256" s="1982"/>
      <c r="B256" s="1819"/>
      <c r="C256" s="678"/>
      <c r="D256" s="451"/>
      <c r="E256" s="678"/>
      <c r="F256" s="451"/>
      <c r="G256" s="456"/>
    </row>
    <row r="257" spans="1:7" ht="14.25" customHeight="1">
      <c r="A257" s="2003" t="s">
        <v>1560</v>
      </c>
      <c r="B257" s="1601"/>
      <c r="C257" s="1601"/>
      <c r="D257" s="1601"/>
      <c r="E257" s="1601"/>
      <c r="F257" s="1801"/>
      <c r="G257" s="436">
        <f>SUM(F253:F256)</f>
        <v>483544.23000000004</v>
      </c>
    </row>
    <row r="258" spans="1:7" ht="14.25" customHeight="1">
      <c r="A258" s="423" t="s">
        <v>1563</v>
      </c>
      <c r="B258" s="416"/>
      <c r="C258" s="416"/>
      <c r="D258" s="416"/>
      <c r="E258" s="416"/>
      <c r="F258" s="416"/>
      <c r="G258" s="437"/>
    </row>
    <row r="259" spans="1:7" ht="14.25" customHeight="1">
      <c r="A259" s="1975" t="s">
        <v>1556</v>
      </c>
      <c r="B259" s="1801"/>
      <c r="C259" s="424" t="s">
        <v>6</v>
      </c>
      <c r="D259" s="424" t="s">
        <v>1562</v>
      </c>
      <c r="E259" s="424" t="s">
        <v>7</v>
      </c>
      <c r="F259" s="424" t="s">
        <v>1559</v>
      </c>
      <c r="G259" s="438"/>
    </row>
    <row r="260" spans="1:7" ht="14.25" customHeight="1">
      <c r="A260" s="1981"/>
      <c r="B260" s="1967"/>
      <c r="C260" s="448"/>
      <c r="D260" s="449"/>
      <c r="E260" s="450"/>
      <c r="F260" s="431"/>
      <c r="G260" s="443"/>
    </row>
    <row r="261" spans="1:7" ht="14.25" customHeight="1">
      <c r="A261" s="1982"/>
      <c r="B261" s="1819"/>
      <c r="C261" s="448"/>
      <c r="D261" s="451"/>
      <c r="E261" s="452"/>
      <c r="F261" s="451"/>
      <c r="G261" s="447"/>
    </row>
    <row r="262" spans="1:7" ht="14.25" customHeight="1">
      <c r="A262" s="2003"/>
      <c r="B262" s="1601"/>
      <c r="C262" s="1601"/>
      <c r="D262" s="1601"/>
      <c r="E262" s="1601"/>
      <c r="F262" s="1801"/>
      <c r="G262" s="436"/>
    </row>
    <row r="263" spans="1:7" ht="14.25" customHeight="1">
      <c r="A263" s="423" t="s">
        <v>1564</v>
      </c>
      <c r="B263" s="416"/>
      <c r="C263" s="416"/>
      <c r="D263" s="416"/>
      <c r="E263" s="416"/>
      <c r="F263" s="416"/>
      <c r="G263" s="437"/>
    </row>
    <row r="264" spans="1:7" ht="14.25" customHeight="1">
      <c r="A264" s="1975" t="s">
        <v>1565</v>
      </c>
      <c r="B264" s="1801"/>
      <c r="C264" s="424" t="s">
        <v>1566</v>
      </c>
      <c r="D264" s="424" t="s">
        <v>6</v>
      </c>
      <c r="E264" s="424" t="s">
        <v>7</v>
      </c>
      <c r="F264" s="424" t="s">
        <v>1559</v>
      </c>
      <c r="G264" s="462"/>
    </row>
    <row r="265" spans="1:7" ht="14.25" customHeight="1">
      <c r="A265" s="2004" t="str">
        <f>+'MANO DE OBRA'!$A$64</f>
        <v>Oficial (Incl. Prestaciones)</v>
      </c>
      <c r="B265" s="1888"/>
      <c r="C265" s="679">
        <f>+'MANO DE OBRA'!$E$64</f>
        <v>15031.25</v>
      </c>
      <c r="D265" s="680">
        <v>1</v>
      </c>
      <c r="E265" s="680">
        <v>2</v>
      </c>
      <c r="F265" s="694">
        <f t="shared" ref="F265:F266" si="21">+(C265*D265)*E265</f>
        <v>30062.5</v>
      </c>
      <c r="G265" s="443"/>
    </row>
    <row r="266" spans="1:7" ht="14.25" customHeight="1">
      <c r="A266" s="1968" t="str">
        <f>+'MANO DE OBRA'!$A$65</f>
        <v>Ayudante (Incl. Prestaciones)</v>
      </c>
      <c r="B266" s="1819"/>
      <c r="C266" s="681">
        <f>+'MANO DE OBRA'!$E$65</f>
        <v>10972.8125</v>
      </c>
      <c r="D266" s="562">
        <v>2</v>
      </c>
      <c r="E266" s="562">
        <f>+E265</f>
        <v>2</v>
      </c>
      <c r="F266" s="695">
        <f t="shared" si="21"/>
        <v>43891.25</v>
      </c>
      <c r="G266" s="456"/>
    </row>
    <row r="267" spans="1:7" ht="14.25" customHeight="1">
      <c r="A267" s="2003"/>
      <c r="B267" s="1601"/>
      <c r="C267" s="1601"/>
      <c r="D267" s="1601"/>
      <c r="E267" s="1601"/>
      <c r="F267" s="1801"/>
      <c r="G267" s="436">
        <f>SUM(F265:F266)</f>
        <v>73953.75</v>
      </c>
    </row>
    <row r="268" spans="1:7" ht="11.25" customHeight="1">
      <c r="A268" s="416"/>
      <c r="B268" s="416"/>
      <c r="C268" s="416"/>
      <c r="D268" s="416"/>
      <c r="E268" s="416"/>
      <c r="F268" s="458"/>
      <c r="G268" s="437"/>
    </row>
    <row r="269" spans="1:7" ht="14.25" customHeight="1">
      <c r="A269" s="2003" t="s">
        <v>1567</v>
      </c>
      <c r="B269" s="1601"/>
      <c r="C269" s="1601"/>
      <c r="D269" s="1601"/>
      <c r="E269" s="1601"/>
      <c r="F269" s="1801"/>
      <c r="G269" s="682">
        <f>ROUND(G250+G257+G262+G267,0)</f>
        <v>648198</v>
      </c>
    </row>
    <row r="270" spans="1:7" ht="14.25" customHeight="1">
      <c r="A270" s="420"/>
      <c r="B270" s="420"/>
      <c r="C270" s="420"/>
      <c r="D270" s="420"/>
      <c r="E270" s="420"/>
      <c r="F270" s="420"/>
      <c r="G270" s="420"/>
    </row>
    <row r="271" spans="1:7" ht="14.25" customHeight="1">
      <c r="A271" s="420"/>
      <c r="B271" s="420"/>
      <c r="C271" s="420"/>
      <c r="D271" s="420"/>
      <c r="E271" s="420"/>
      <c r="F271" s="420"/>
      <c r="G271" s="420"/>
    </row>
    <row r="272" spans="1:7" ht="27" customHeight="1">
      <c r="A272" s="1989" t="e">
        <f>+'ANALISIS BASICOS'!$A$7</f>
        <v>#REF!</v>
      </c>
      <c r="B272" s="1616"/>
      <c r="C272" s="1624"/>
      <c r="D272" s="1990" t="s">
        <v>1195</v>
      </c>
      <c r="E272" s="1616"/>
      <c r="F272" s="1616"/>
      <c r="G272" s="1624"/>
    </row>
    <row r="273" spans="1:7" ht="24" customHeight="1">
      <c r="A273" s="1971"/>
      <c r="B273" s="1817"/>
      <c r="C273" s="1972"/>
      <c r="D273" s="1971"/>
      <c r="E273" s="1817"/>
      <c r="F273" s="1817"/>
      <c r="G273" s="1972"/>
    </row>
    <row r="274" spans="1:7" ht="14.25" customHeight="1">
      <c r="A274" s="416"/>
      <c r="B274" s="416"/>
      <c r="C274" s="416"/>
      <c r="D274" s="416"/>
      <c r="E274" s="416"/>
      <c r="F274" s="416"/>
      <c r="G274" s="416"/>
    </row>
    <row r="275" spans="1:7" ht="48" customHeight="1">
      <c r="A275" s="1991" t="e">
        <f ca="1">+A43</f>
        <v>#NAME?</v>
      </c>
      <c r="B275" s="1601"/>
      <c r="C275" s="1602"/>
      <c r="D275" s="1975" t="s">
        <v>1655</v>
      </c>
      <c r="E275" s="1601"/>
      <c r="F275" s="1601"/>
      <c r="G275" s="1602"/>
    </row>
    <row r="276" spans="1:7" ht="14.25" customHeight="1">
      <c r="A276" s="418"/>
      <c r="B276" s="418"/>
      <c r="C276" s="418"/>
      <c r="D276" s="418"/>
      <c r="E276" s="418"/>
      <c r="F276" s="418"/>
      <c r="G276" s="418"/>
    </row>
    <row r="277" spans="1:7" ht="12.75" customHeight="1">
      <c r="A277" s="419"/>
      <c r="B277" s="416"/>
      <c r="C277" s="420"/>
      <c r="D277" s="421" t="s">
        <v>1553</v>
      </c>
      <c r="E277" s="422" t="s">
        <v>116</v>
      </c>
      <c r="F277" s="421" t="s">
        <v>1554</v>
      </c>
      <c r="G277" s="422" t="s">
        <v>23</v>
      </c>
    </row>
    <row r="278" spans="1:7" ht="14.25" customHeight="1">
      <c r="A278" s="423" t="s">
        <v>1555</v>
      </c>
      <c r="B278" s="416"/>
      <c r="C278" s="416"/>
      <c r="D278" s="416"/>
      <c r="E278" s="416"/>
      <c r="F278" s="416"/>
      <c r="G278" s="416"/>
    </row>
    <row r="279" spans="1:7" ht="13.5" customHeight="1">
      <c r="A279" s="1975" t="s">
        <v>1556</v>
      </c>
      <c r="B279" s="1601"/>
      <c r="C279" s="1801"/>
      <c r="D279" s="424" t="s">
        <v>208</v>
      </c>
      <c r="E279" s="424" t="s">
        <v>1558</v>
      </c>
      <c r="F279" s="424" t="s">
        <v>1559</v>
      </c>
      <c r="G279" s="425"/>
    </row>
    <row r="280" spans="1:7" ht="14.25" customHeight="1">
      <c r="A280" s="1981" t="str">
        <f>+'LISTADO EQUIPOS'!$C$22</f>
        <v>HERRAMIENTA MENOR.</v>
      </c>
      <c r="B280" s="1811"/>
      <c r="C280" s="1967"/>
      <c r="D280" s="449">
        <f>+'LISTADO EQUIPOS'!$E$22/8</f>
        <v>2850</v>
      </c>
      <c r="E280" s="427">
        <f>+E297</f>
        <v>10.883592041976387</v>
      </c>
      <c r="F280" s="428">
        <f t="shared" ref="F280:F282" si="22">+E280*D280</f>
        <v>31018.237319632703</v>
      </c>
      <c r="G280" s="429"/>
    </row>
    <row r="281" spans="1:7" ht="14.25" customHeight="1">
      <c r="A281" s="1988" t="str">
        <f>+'LISTADO EQUIPOS'!$C$63</f>
        <v>FORMALETA PARA BASE DE ESTRUCTURAS.</v>
      </c>
      <c r="B281" s="1610"/>
      <c r="C281" s="1611"/>
      <c r="D281" s="701">
        <f>+INSUMOS!H50</f>
        <v>45681</v>
      </c>
      <c r="E281" s="702">
        <v>0.75</v>
      </c>
      <c r="F281" s="703">
        <f t="shared" si="22"/>
        <v>34260.75</v>
      </c>
      <c r="G281" s="704"/>
    </row>
    <row r="282" spans="1:7" ht="14.25" customHeight="1">
      <c r="A282" s="1982" t="str">
        <f>+'LISTADO EQUIPOS'!$C$37</f>
        <v>VIBRADOR DE CONCRETO ELECTRICO O A GASOLINA.</v>
      </c>
      <c r="B282" s="1807"/>
      <c r="C282" s="1819"/>
      <c r="D282" s="451">
        <f>+INSUMOS!H19/8</f>
        <v>11156</v>
      </c>
      <c r="E282" s="671">
        <f>+E280</f>
        <v>10.883592041976387</v>
      </c>
      <c r="F282" s="698">
        <f t="shared" si="22"/>
        <v>121417.35282028858</v>
      </c>
      <c r="G282" s="672"/>
    </row>
    <row r="283" spans="1:7" ht="14.25" customHeight="1">
      <c r="A283" s="2003" t="s">
        <v>1560</v>
      </c>
      <c r="B283" s="1601"/>
      <c r="C283" s="1601"/>
      <c r="D283" s="1601"/>
      <c r="E283" s="1601"/>
      <c r="F283" s="1801"/>
      <c r="G283" s="436">
        <f>SUM(F280:F282)</f>
        <v>186696.34013992129</v>
      </c>
    </row>
    <row r="284" spans="1:7" ht="14.25" customHeight="1">
      <c r="A284" s="423" t="s">
        <v>1561</v>
      </c>
      <c r="B284" s="416"/>
      <c r="C284" s="416"/>
      <c r="D284" s="416"/>
      <c r="E284" s="416"/>
      <c r="F284" s="416"/>
      <c r="G284" s="437"/>
    </row>
    <row r="285" spans="1:7" ht="14.25" customHeight="1">
      <c r="A285" s="1975" t="s">
        <v>1556</v>
      </c>
      <c r="B285" s="1801"/>
      <c r="C285" s="424" t="s">
        <v>6</v>
      </c>
      <c r="D285" s="424" t="s">
        <v>1562</v>
      </c>
      <c r="E285" s="424" t="s">
        <v>7</v>
      </c>
      <c r="F285" s="424" t="s">
        <v>1559</v>
      </c>
      <c r="G285" s="673"/>
    </row>
    <row r="286" spans="1:7" ht="14.25" customHeight="1">
      <c r="A286" s="1987" t="str">
        <f>+'ANALISIS BASICOS'!$A$36</f>
        <v xml:space="preserve">CONCRETO NORMAL - 3000 PSI (210 KG/CM2) </v>
      </c>
      <c r="B286" s="1967"/>
      <c r="C286" s="674" t="str">
        <f>+'ANALISIS BASICOS'!$E$12</f>
        <v>M3</v>
      </c>
      <c r="D286" s="675">
        <f>+INSUMOS!R26</f>
        <v>737007.6</v>
      </c>
      <c r="E286" s="687">
        <v>1.03</v>
      </c>
      <c r="F286" s="442">
        <f t="shared" ref="F286:F287" si="23">+E286*D286</f>
        <v>759117.82799999998</v>
      </c>
      <c r="G286" s="443"/>
    </row>
    <row r="287" spans="1:7" ht="14.25" customHeight="1">
      <c r="A287" s="1988" t="str">
        <f>+'LISTADO MATERIALES'!$C$723</f>
        <v>AGUA</v>
      </c>
      <c r="B287" s="1611"/>
      <c r="C287" s="677" t="str">
        <f>+'LISTADO MATERIALES'!$D$723</f>
        <v>LT</v>
      </c>
      <c r="D287" s="431">
        <f>+INSUMOS!H7</f>
        <v>30</v>
      </c>
      <c r="E287" s="430">
        <v>20</v>
      </c>
      <c r="F287" s="689">
        <f t="shared" si="23"/>
        <v>600</v>
      </c>
      <c r="G287" s="445"/>
    </row>
    <row r="288" spans="1:7" ht="14.25" customHeight="1">
      <c r="A288" s="1982"/>
      <c r="B288" s="1819"/>
      <c r="C288" s="678"/>
      <c r="D288" s="451"/>
      <c r="E288" s="678"/>
      <c r="F288" s="451"/>
      <c r="G288" s="456"/>
    </row>
    <row r="289" spans="1:7" ht="14.25" customHeight="1">
      <c r="A289" s="2003" t="s">
        <v>1560</v>
      </c>
      <c r="B289" s="1601"/>
      <c r="C289" s="1601"/>
      <c r="D289" s="1601"/>
      <c r="E289" s="1601"/>
      <c r="F289" s="1801"/>
      <c r="G289" s="436">
        <f>SUM(F286:F288)</f>
        <v>759717.82799999998</v>
      </c>
    </row>
    <row r="290" spans="1:7" ht="14.25" customHeight="1">
      <c r="A290" s="423" t="s">
        <v>1563</v>
      </c>
      <c r="B290" s="416"/>
      <c r="C290" s="416"/>
      <c r="D290" s="416"/>
      <c r="E290" s="416"/>
      <c r="F290" s="416"/>
      <c r="G290" s="437"/>
    </row>
    <row r="291" spans="1:7" ht="14.25" customHeight="1">
      <c r="A291" s="1975" t="s">
        <v>1556</v>
      </c>
      <c r="B291" s="1801"/>
      <c r="C291" s="424" t="s">
        <v>6</v>
      </c>
      <c r="D291" s="424" t="s">
        <v>1562</v>
      </c>
      <c r="E291" s="424" t="s">
        <v>7</v>
      </c>
      <c r="F291" s="424" t="s">
        <v>1559</v>
      </c>
      <c r="G291" s="438"/>
    </row>
    <row r="292" spans="1:7" ht="14.25" customHeight="1">
      <c r="A292" s="1981"/>
      <c r="B292" s="1967"/>
      <c r="C292" s="448"/>
      <c r="D292" s="449"/>
      <c r="E292" s="450"/>
      <c r="F292" s="431"/>
      <c r="G292" s="443"/>
    </row>
    <row r="293" spans="1:7" ht="14.25" customHeight="1">
      <c r="A293" s="1982"/>
      <c r="B293" s="1819"/>
      <c r="C293" s="448"/>
      <c r="D293" s="451"/>
      <c r="E293" s="452"/>
      <c r="F293" s="451"/>
      <c r="G293" s="447"/>
    </row>
    <row r="294" spans="1:7" ht="14.25" customHeight="1">
      <c r="A294" s="2003"/>
      <c r="B294" s="1601"/>
      <c r="C294" s="1601"/>
      <c r="D294" s="1601"/>
      <c r="E294" s="1601"/>
      <c r="F294" s="1801"/>
      <c r="G294" s="436"/>
    </row>
    <row r="295" spans="1:7" ht="14.25" customHeight="1">
      <c r="A295" s="423" t="s">
        <v>1564</v>
      </c>
      <c r="B295" s="416"/>
      <c r="C295" s="416"/>
      <c r="D295" s="416"/>
      <c r="E295" s="416"/>
      <c r="F295" s="416"/>
      <c r="G295" s="437"/>
    </row>
    <row r="296" spans="1:7" ht="14.25" customHeight="1">
      <c r="A296" s="1975" t="s">
        <v>1565</v>
      </c>
      <c r="B296" s="1801"/>
      <c r="C296" s="424" t="s">
        <v>1566</v>
      </c>
      <c r="D296" s="424" t="s">
        <v>6</v>
      </c>
      <c r="E296" s="424" t="s">
        <v>7</v>
      </c>
      <c r="F296" s="424" t="s">
        <v>1559</v>
      </c>
      <c r="G296" s="462"/>
    </row>
    <row r="297" spans="1:7" ht="14.25" customHeight="1">
      <c r="A297" s="2004" t="str">
        <f>+'MANO DE OBRA'!$A$64</f>
        <v>Oficial (Incl. Prestaciones)</v>
      </c>
      <c r="B297" s="1888"/>
      <c r="C297" s="679">
        <f>+'MANO DE OBRA'!$E$64</f>
        <v>15031.25</v>
      </c>
      <c r="D297" s="680">
        <v>1</v>
      </c>
      <c r="E297" s="680">
        <v>10.883592041976387</v>
      </c>
      <c r="F297" s="694">
        <f t="shared" ref="F297:F298" si="24">+(C297*D297)*E297</f>
        <v>163593.99288095758</v>
      </c>
      <c r="G297" s="443"/>
    </row>
    <row r="298" spans="1:7" ht="14.25" customHeight="1">
      <c r="A298" s="1968" t="str">
        <f>+'MANO DE OBRA'!$A$65</f>
        <v>Ayudante (Incl. Prestaciones)</v>
      </c>
      <c r="B298" s="1819"/>
      <c r="C298" s="681">
        <f>+'MANO DE OBRA'!$E$65</f>
        <v>10972.8125</v>
      </c>
      <c r="D298" s="562">
        <v>1</v>
      </c>
      <c r="E298" s="562">
        <f>+E297</f>
        <v>10.883592041976387</v>
      </c>
      <c r="F298" s="695">
        <f t="shared" si="24"/>
        <v>119423.61480309903</v>
      </c>
      <c r="G298" s="456"/>
    </row>
    <row r="299" spans="1:7" ht="14.25" customHeight="1">
      <c r="A299" s="2003" t="s">
        <v>1560</v>
      </c>
      <c r="B299" s="1601"/>
      <c r="C299" s="1601"/>
      <c r="D299" s="1601"/>
      <c r="E299" s="1601"/>
      <c r="F299" s="1801"/>
      <c r="G299" s="436">
        <f>SUM(F297:F298)</f>
        <v>283017.60768405662</v>
      </c>
    </row>
    <row r="300" spans="1:7" ht="11.25" customHeight="1">
      <c r="A300" s="416"/>
      <c r="B300" s="416"/>
      <c r="C300" s="416"/>
      <c r="D300" s="416"/>
      <c r="E300" s="416"/>
      <c r="F300" s="458"/>
      <c r="G300" s="437"/>
    </row>
    <row r="301" spans="1:7" ht="14.25" customHeight="1">
      <c r="A301" s="2003" t="s">
        <v>1567</v>
      </c>
      <c r="B301" s="1601"/>
      <c r="C301" s="1601"/>
      <c r="D301" s="1601"/>
      <c r="E301" s="1601"/>
      <c r="F301" s="1801"/>
      <c r="G301" s="682">
        <f>ROUND(G283+G289+G294+G299,0)</f>
        <v>1229432</v>
      </c>
    </row>
    <row r="302" spans="1:7" ht="14.25" customHeight="1"/>
    <row r="303" spans="1:7" ht="14.25" customHeight="1">
      <c r="A303" s="420"/>
      <c r="B303" s="420"/>
      <c r="C303" s="420"/>
      <c r="D303" s="420"/>
      <c r="E303" s="420"/>
      <c r="F303" s="420"/>
      <c r="G303" s="420"/>
    </row>
    <row r="304" spans="1:7" ht="27" customHeight="1">
      <c r="A304" s="1989" t="e">
        <f>+'ANALISIS BASICOS'!$A$7</f>
        <v>#REF!</v>
      </c>
      <c r="B304" s="1616"/>
      <c r="C304" s="1624"/>
      <c r="D304" s="1990" t="s">
        <v>1195</v>
      </c>
      <c r="E304" s="1616"/>
      <c r="F304" s="1616"/>
      <c r="G304" s="1624"/>
    </row>
    <row r="305" spans="1:7" ht="24" customHeight="1">
      <c r="A305" s="1971"/>
      <c r="B305" s="1817"/>
      <c r="C305" s="1972"/>
      <c r="D305" s="1971"/>
      <c r="E305" s="1817"/>
      <c r="F305" s="1817"/>
      <c r="G305" s="1972"/>
    </row>
    <row r="306" spans="1:7" ht="14.25" customHeight="1">
      <c r="A306" s="416"/>
      <c r="B306" s="416"/>
      <c r="C306" s="416"/>
      <c r="D306" s="416"/>
      <c r="E306" s="416"/>
      <c r="F306" s="416"/>
      <c r="G306" s="416"/>
    </row>
    <row r="307" spans="1:7" ht="55.5" customHeight="1">
      <c r="A307" s="1991" t="e">
        <f ca="1">+A275</f>
        <v>#NAME?</v>
      </c>
      <c r="B307" s="1601"/>
      <c r="C307" s="1602"/>
      <c r="D307" s="1975" t="s">
        <v>1656</v>
      </c>
      <c r="E307" s="1601"/>
      <c r="F307" s="1601"/>
      <c r="G307" s="1602"/>
    </row>
    <row r="308" spans="1:7" ht="14.25" customHeight="1">
      <c r="A308" s="418"/>
      <c r="B308" s="418"/>
      <c r="C308" s="418"/>
      <c r="D308" s="418"/>
      <c r="E308" s="418"/>
      <c r="F308" s="418"/>
      <c r="G308" s="418"/>
    </row>
    <row r="309" spans="1:7" ht="12.75" customHeight="1">
      <c r="A309" s="419"/>
      <c r="B309" s="416"/>
      <c r="C309" s="420"/>
      <c r="D309" s="421" t="s">
        <v>1553</v>
      </c>
      <c r="E309" s="422" t="s">
        <v>116</v>
      </c>
      <c r="F309" s="421" t="s">
        <v>1554</v>
      </c>
      <c r="G309" s="422" t="s">
        <v>25</v>
      </c>
    </row>
    <row r="310" spans="1:7" ht="14.25" customHeight="1">
      <c r="A310" s="423" t="s">
        <v>1555</v>
      </c>
      <c r="B310" s="416"/>
      <c r="C310" s="416"/>
      <c r="D310" s="416"/>
      <c r="E310" s="416"/>
      <c r="F310" s="416"/>
      <c r="G310" s="416"/>
    </row>
    <row r="311" spans="1:7" ht="13.5" customHeight="1">
      <c r="A311" s="1975" t="s">
        <v>1556</v>
      </c>
      <c r="B311" s="1601"/>
      <c r="C311" s="1801"/>
      <c r="D311" s="424" t="s">
        <v>208</v>
      </c>
      <c r="E311" s="424" t="s">
        <v>1558</v>
      </c>
      <c r="F311" s="424" t="s">
        <v>1559</v>
      </c>
      <c r="G311" s="425"/>
    </row>
    <row r="312" spans="1:7" ht="14.25" customHeight="1">
      <c r="A312" s="1981" t="str">
        <f>+'LISTADO EQUIPOS'!$C$22</f>
        <v>HERRAMIENTA MENOR.</v>
      </c>
      <c r="B312" s="1811"/>
      <c r="C312" s="1967"/>
      <c r="D312" s="449">
        <f>+'LISTADO EQUIPOS'!$E$22/8</f>
        <v>2850</v>
      </c>
      <c r="E312" s="427">
        <f>+E330</f>
        <v>8.3209486999297262</v>
      </c>
      <c r="F312" s="428">
        <f t="shared" ref="F312:F314" si="25">+E312*D312</f>
        <v>23714.70379479972</v>
      </c>
      <c r="G312" s="429"/>
    </row>
    <row r="313" spans="1:7" ht="14.25" customHeight="1">
      <c r="A313" s="1988" t="str">
        <f>+'LISTADO EQUIPOS'!$C$79</f>
        <v>FORMALETA MADERA</v>
      </c>
      <c r="B313" s="1610"/>
      <c r="C313" s="1611"/>
      <c r="D313" s="701">
        <f>+INSUMOS!H50</f>
        <v>45681</v>
      </c>
      <c r="E313" s="702">
        <v>1</v>
      </c>
      <c r="F313" s="703">
        <f t="shared" si="25"/>
        <v>45681</v>
      </c>
      <c r="G313" s="704"/>
    </row>
    <row r="314" spans="1:7" ht="14.25" customHeight="1">
      <c r="A314" s="1982" t="str">
        <f>+'LISTADO EQUIPOS'!$C$37</f>
        <v>VIBRADOR DE CONCRETO ELECTRICO O A GASOLINA.</v>
      </c>
      <c r="B314" s="1807"/>
      <c r="C314" s="1819"/>
      <c r="D314" s="451">
        <f>+INSUMOS!H19/8</f>
        <v>11156</v>
      </c>
      <c r="E314" s="671">
        <f>+E312</f>
        <v>8.3209486999297262</v>
      </c>
      <c r="F314" s="698">
        <f t="shared" si="25"/>
        <v>92828.503696416024</v>
      </c>
      <c r="G314" s="672"/>
    </row>
    <row r="315" spans="1:7" ht="14.25" customHeight="1">
      <c r="A315" s="2003" t="s">
        <v>1560</v>
      </c>
      <c r="B315" s="1601"/>
      <c r="C315" s="1601"/>
      <c r="D315" s="1601"/>
      <c r="E315" s="1601"/>
      <c r="F315" s="1801"/>
      <c r="G315" s="436">
        <f>SUM(F312:F314)</f>
        <v>162224.20749121573</v>
      </c>
    </row>
    <row r="316" spans="1:7" ht="14.25" customHeight="1">
      <c r="A316" s="423" t="s">
        <v>1561</v>
      </c>
      <c r="B316" s="416"/>
      <c r="C316" s="416"/>
      <c r="D316" s="416"/>
      <c r="E316" s="416"/>
      <c r="F316" s="416"/>
      <c r="G316" s="437"/>
    </row>
    <row r="317" spans="1:7" ht="14.25" customHeight="1">
      <c r="A317" s="1975" t="s">
        <v>1556</v>
      </c>
      <c r="B317" s="1801"/>
      <c r="C317" s="424" t="s">
        <v>6</v>
      </c>
      <c r="D317" s="424" t="s">
        <v>1562</v>
      </c>
      <c r="E317" s="424" t="s">
        <v>7</v>
      </c>
      <c r="F317" s="424" t="s">
        <v>1559</v>
      </c>
      <c r="G317" s="673"/>
    </row>
    <row r="318" spans="1:7" ht="25.5" customHeight="1">
      <c r="A318" s="1987" t="str">
        <f>+'ANALISIS BASICOS'!$A$36</f>
        <v xml:space="preserve">CONCRETO NORMAL - 3000 PSI (210 KG/CM2) </v>
      </c>
      <c r="B318" s="1967"/>
      <c r="C318" s="674" t="str">
        <f>+'ANALISIS BASICOS'!$E$12</f>
        <v>M3</v>
      </c>
      <c r="D318" s="675">
        <f>+INSUMOS!R26</f>
        <v>737007.6</v>
      </c>
      <c r="E318" s="687">
        <v>1.03</v>
      </c>
      <c r="F318" s="442">
        <f>+E318*D318</f>
        <v>759117.82799999998</v>
      </c>
      <c r="G318" s="443"/>
    </row>
    <row r="319" spans="1:7" ht="12.75" customHeight="1">
      <c r="A319" s="1988"/>
      <c r="B319" s="1611"/>
      <c r="C319" s="677"/>
      <c r="D319" s="431"/>
      <c r="E319" s="430"/>
      <c r="F319" s="689"/>
      <c r="G319" s="445"/>
    </row>
    <row r="320" spans="1:7" ht="14.25" customHeight="1">
      <c r="A320" s="1988"/>
      <c r="B320" s="1611"/>
      <c r="C320" s="677"/>
      <c r="D320" s="431"/>
      <c r="E320" s="430"/>
      <c r="F320" s="431"/>
      <c r="G320" s="445"/>
    </row>
    <row r="321" spans="1:7" ht="13.5" customHeight="1">
      <c r="A321" s="1982"/>
      <c r="B321" s="1819"/>
      <c r="C321" s="678"/>
      <c r="D321" s="451"/>
      <c r="E321" s="678"/>
      <c r="F321" s="451"/>
      <c r="G321" s="456"/>
    </row>
    <row r="322" spans="1:7" ht="14.25" customHeight="1">
      <c r="A322" s="2003" t="s">
        <v>1560</v>
      </c>
      <c r="B322" s="1601"/>
      <c r="C322" s="1601"/>
      <c r="D322" s="1601"/>
      <c r="E322" s="1601"/>
      <c r="F322" s="1801"/>
      <c r="G322" s="436">
        <f>SUM(F318:F321)</f>
        <v>759117.82799999998</v>
      </c>
    </row>
    <row r="323" spans="1:7" ht="14.25" customHeight="1">
      <c r="A323" s="423" t="s">
        <v>1563</v>
      </c>
      <c r="B323" s="416"/>
      <c r="C323" s="416"/>
      <c r="D323" s="416"/>
      <c r="E323" s="416"/>
      <c r="F323" s="416"/>
      <c r="G323" s="437"/>
    </row>
    <row r="324" spans="1:7" ht="14.25" customHeight="1">
      <c r="A324" s="1975" t="s">
        <v>1556</v>
      </c>
      <c r="B324" s="1801"/>
      <c r="C324" s="424" t="s">
        <v>6</v>
      </c>
      <c r="D324" s="424" t="s">
        <v>1562</v>
      </c>
      <c r="E324" s="424" t="s">
        <v>7</v>
      </c>
      <c r="F324" s="424" t="s">
        <v>1559</v>
      </c>
      <c r="G324" s="438"/>
    </row>
    <row r="325" spans="1:7" ht="14.25" customHeight="1">
      <c r="A325" s="1981"/>
      <c r="B325" s="1967"/>
      <c r="C325" s="448"/>
      <c r="D325" s="449"/>
      <c r="E325" s="450"/>
      <c r="F325" s="431"/>
      <c r="G325" s="443"/>
    </row>
    <row r="326" spans="1:7" ht="14.25" customHeight="1">
      <c r="A326" s="1982"/>
      <c r="B326" s="1819"/>
      <c r="C326" s="448"/>
      <c r="D326" s="451"/>
      <c r="E326" s="452"/>
      <c r="F326" s="451"/>
      <c r="G326" s="447"/>
    </row>
    <row r="327" spans="1:7" ht="14.25" customHeight="1">
      <c r="A327" s="2003" t="s">
        <v>1560</v>
      </c>
      <c r="B327" s="1601"/>
      <c r="C327" s="1601"/>
      <c r="D327" s="1601"/>
      <c r="E327" s="1601"/>
      <c r="F327" s="1801"/>
      <c r="G327" s="436"/>
    </row>
    <row r="328" spans="1:7" ht="14.25" customHeight="1">
      <c r="A328" s="423" t="s">
        <v>1564</v>
      </c>
      <c r="B328" s="416"/>
      <c r="C328" s="416"/>
      <c r="D328" s="416"/>
      <c r="E328" s="416"/>
      <c r="F328" s="416"/>
      <c r="G328" s="437"/>
    </row>
    <row r="329" spans="1:7" ht="14.25" customHeight="1">
      <c r="A329" s="1975" t="s">
        <v>1565</v>
      </c>
      <c r="B329" s="1801"/>
      <c r="C329" s="424" t="s">
        <v>1566</v>
      </c>
      <c r="D329" s="424" t="s">
        <v>6</v>
      </c>
      <c r="E329" s="424" t="s">
        <v>7</v>
      </c>
      <c r="F329" s="424" t="s">
        <v>1559</v>
      </c>
      <c r="G329" s="462"/>
    </row>
    <row r="330" spans="1:7" ht="14.25" customHeight="1">
      <c r="A330" s="2004" t="str">
        <f>+'MANO DE OBRA'!$A$64</f>
        <v>Oficial (Incl. Prestaciones)</v>
      </c>
      <c r="B330" s="1888"/>
      <c r="C330" s="679">
        <f>+'MANO DE OBRA'!$E$64</f>
        <v>15031.25</v>
      </c>
      <c r="D330" s="680">
        <v>1</v>
      </c>
      <c r="E330" s="680">
        <v>8.3209486999297262</v>
      </c>
      <c r="F330" s="694">
        <f t="shared" ref="F330:F331" si="26">+(C330*D330)*E330</f>
        <v>125074.2601458187</v>
      </c>
      <c r="G330" s="443"/>
    </row>
    <row r="331" spans="1:7" ht="14.25" customHeight="1">
      <c r="A331" s="1968" t="str">
        <f>+'MANO DE OBRA'!$A$65</f>
        <v>Ayudante (Incl. Prestaciones)</v>
      </c>
      <c r="B331" s="1819"/>
      <c r="C331" s="681">
        <f>+'MANO DE OBRA'!$E$65</f>
        <v>10972.8125</v>
      </c>
      <c r="D331" s="562">
        <v>1</v>
      </c>
      <c r="E331" s="562">
        <f>+E330</f>
        <v>8.3209486999297262</v>
      </c>
      <c r="F331" s="695">
        <f t="shared" si="26"/>
        <v>91304.20990644765</v>
      </c>
      <c r="G331" s="456"/>
    </row>
    <row r="332" spans="1:7" ht="14.25" customHeight="1">
      <c r="A332" s="2003" t="str">
        <f>+A327</f>
        <v>SUB-TOTAL</v>
      </c>
      <c r="B332" s="1601"/>
      <c r="C332" s="1601"/>
      <c r="D332" s="1601"/>
      <c r="E332" s="1601"/>
      <c r="F332" s="1801"/>
      <c r="G332" s="436">
        <f>SUM(F330:F331)</f>
        <v>216378.47005226635</v>
      </c>
    </row>
    <row r="333" spans="1:7" ht="11.25" customHeight="1">
      <c r="A333" s="416"/>
      <c r="B333" s="416"/>
      <c r="C333" s="416"/>
      <c r="D333" s="416"/>
      <c r="E333" s="416"/>
      <c r="F333" s="458"/>
      <c r="G333" s="437"/>
    </row>
    <row r="334" spans="1:7" ht="14.25" customHeight="1">
      <c r="A334" s="2003" t="s">
        <v>1567</v>
      </c>
      <c r="B334" s="1601"/>
      <c r="C334" s="1601"/>
      <c r="D334" s="1601"/>
      <c r="E334" s="1601"/>
      <c r="F334" s="1801"/>
      <c r="G334" s="682">
        <f>ROUND(G315+G322+G327+G332,0)</f>
        <v>1137721</v>
      </c>
    </row>
    <row r="337" spans="1:7" ht="27" customHeight="1">
      <c r="A337" s="2005" t="s">
        <v>1604</v>
      </c>
      <c r="B337" s="1616"/>
      <c r="C337" s="1624"/>
      <c r="D337" s="567"/>
      <c r="E337" s="567"/>
      <c r="F337" s="567"/>
      <c r="G337" s="668"/>
    </row>
    <row r="338" spans="1:7" ht="24" customHeight="1">
      <c r="A338" s="1971"/>
      <c r="B338" s="1817"/>
      <c r="C338" s="1972"/>
      <c r="D338" s="669"/>
      <c r="E338" s="669"/>
      <c r="F338" s="669"/>
      <c r="G338" s="670"/>
    </row>
    <row r="339" spans="1:7" ht="14.25" customHeight="1">
      <c r="A339" s="416"/>
      <c r="B339" s="416"/>
      <c r="C339" s="416"/>
      <c r="D339" s="416"/>
      <c r="E339" s="416"/>
      <c r="F339" s="416"/>
      <c r="G339" s="416"/>
    </row>
    <row r="340" spans="1:7" ht="30.75" customHeight="1">
      <c r="A340" s="1973" t="str">
        <f>A11</f>
        <v>PRECIOS UNITARIOS OFICIALES 2014</v>
      </c>
      <c r="B340" s="1601"/>
      <c r="C340" s="1602"/>
      <c r="D340" s="1974" t="s">
        <v>1657</v>
      </c>
      <c r="E340" s="1601"/>
      <c r="F340" s="1601"/>
      <c r="G340" s="1602"/>
    </row>
    <row r="341" spans="1:7" ht="14.25" customHeight="1">
      <c r="A341" s="418"/>
      <c r="B341" s="418"/>
      <c r="C341" s="418"/>
      <c r="D341" s="418"/>
      <c r="E341" s="418"/>
      <c r="F341" s="418"/>
      <c r="G341" s="418"/>
    </row>
    <row r="342" spans="1:7" ht="12.75" customHeight="1">
      <c r="A342" s="419"/>
      <c r="B342" s="416"/>
      <c r="C342" s="420"/>
      <c r="D342" s="421" t="s">
        <v>1553</v>
      </c>
      <c r="E342" s="422" t="s">
        <v>120</v>
      </c>
      <c r="F342" s="572"/>
      <c r="G342" s="572"/>
    </row>
    <row r="343" spans="1:7" ht="14.25" customHeight="1">
      <c r="A343" s="423" t="s">
        <v>1555</v>
      </c>
      <c r="B343" s="416"/>
      <c r="C343" s="416"/>
      <c r="D343" s="416"/>
      <c r="E343" s="416"/>
      <c r="F343" s="416"/>
      <c r="G343" s="416"/>
    </row>
    <row r="344" spans="1:7" ht="13.5" customHeight="1">
      <c r="A344" s="1975" t="s">
        <v>1556</v>
      </c>
      <c r="B344" s="1601"/>
      <c r="C344" s="1801"/>
      <c r="D344" s="424" t="s">
        <v>208</v>
      </c>
      <c r="E344" s="424" t="s">
        <v>1558</v>
      </c>
      <c r="F344" s="424" t="s">
        <v>1559</v>
      </c>
      <c r="G344" s="425"/>
    </row>
    <row r="345" spans="1:7" ht="14.25" customHeight="1">
      <c r="A345" s="1981" t="str">
        <f>+'LISTADO EQUIPOS'!$C$22</f>
        <v>HERRAMIENTA MENOR.</v>
      </c>
      <c r="B345" s="1811"/>
      <c r="C345" s="1967"/>
      <c r="D345" s="449">
        <f>+'LISTADO EQUIPOS'!$E$22/8</f>
        <v>2850</v>
      </c>
      <c r="E345" s="427">
        <f>+E362</f>
        <v>0.8</v>
      </c>
      <c r="F345" s="428">
        <f t="shared" ref="F345:F346" si="27">+E345*D345</f>
        <v>2280</v>
      </c>
      <c r="G345" s="429"/>
    </row>
    <row r="346" spans="1:7" ht="24" customHeight="1">
      <c r="A346" s="1982" t="str">
        <f>+'LISTADO EQUIPOS'!$C$37</f>
        <v>VIBRADOR DE CONCRETO ELECTRICO O A GASOLINA.</v>
      </c>
      <c r="B346" s="1807"/>
      <c r="C346" s="1819"/>
      <c r="D346" s="451">
        <f>+'LISTADO EQUIPOS'!$E$37/8</f>
        <v>4950</v>
      </c>
      <c r="E346" s="671">
        <f>+E345</f>
        <v>0.8</v>
      </c>
      <c r="F346" s="698">
        <f t="shared" si="27"/>
        <v>3960</v>
      </c>
      <c r="G346" s="672"/>
    </row>
    <row r="347" spans="1:7" ht="14.25" customHeight="1">
      <c r="A347" s="2003" t="s">
        <v>1560</v>
      </c>
      <c r="B347" s="1601"/>
      <c r="C347" s="1601"/>
      <c r="D347" s="1601"/>
      <c r="E347" s="1601"/>
      <c r="F347" s="1801"/>
      <c r="G347" s="436">
        <f>SUM(F345:F346)</f>
        <v>6240</v>
      </c>
    </row>
    <row r="348" spans="1:7" ht="14.25" customHeight="1">
      <c r="A348" s="423" t="s">
        <v>1561</v>
      </c>
      <c r="B348" s="416"/>
      <c r="C348" s="416"/>
      <c r="D348" s="416"/>
      <c r="E348" s="416"/>
      <c r="F348" s="416"/>
      <c r="G348" s="437"/>
    </row>
    <row r="349" spans="1:7" ht="14.25" customHeight="1">
      <c r="A349" s="1975" t="s">
        <v>1556</v>
      </c>
      <c r="B349" s="1801"/>
      <c r="C349" s="424" t="s">
        <v>6</v>
      </c>
      <c r="D349" s="424" t="s">
        <v>1562</v>
      </c>
      <c r="E349" s="424" t="s">
        <v>7</v>
      </c>
      <c r="F349" s="424" t="s">
        <v>1559</v>
      </c>
      <c r="G349" s="673"/>
    </row>
    <row r="350" spans="1:7" ht="23.25" customHeight="1">
      <c r="A350" s="1987" t="str">
        <f>+'ANALISIS BASICOS'!$A$36</f>
        <v xml:space="preserve">CONCRETO NORMAL - 3000 PSI (210 KG/CM2) </v>
      </c>
      <c r="B350" s="1967"/>
      <c r="C350" s="674" t="str">
        <f>+'ANALISIS BASICOS'!$E$12</f>
        <v>M3</v>
      </c>
      <c r="D350" s="675">
        <f>+'ANALISIS BASICOS'!$G$36</f>
        <v>468441</v>
      </c>
      <c r="E350" s="687">
        <v>0.08</v>
      </c>
      <c r="F350" s="442">
        <f t="shared" ref="F350:F353" si="28">+E350*D350</f>
        <v>37475.279999999999</v>
      </c>
      <c r="G350" s="443"/>
    </row>
    <row r="351" spans="1:7" ht="12.75" customHeight="1">
      <c r="A351" s="1988" t="str">
        <f>+'ANALISIS BASICOS'!$A$360</f>
        <v>FORMALETA EN MADERA</v>
      </c>
      <c r="B351" s="1611"/>
      <c r="C351" s="677" t="str">
        <f>+'ANALISIS BASICOS'!$E$336</f>
        <v>M2</v>
      </c>
      <c r="D351" s="431">
        <f>+'ANALISIS BASICOS'!$G$360</f>
        <v>41998</v>
      </c>
      <c r="E351" s="430">
        <v>0.08</v>
      </c>
      <c r="F351" s="689">
        <f t="shared" si="28"/>
        <v>3359.84</v>
      </c>
      <c r="G351" s="445"/>
    </row>
    <row r="352" spans="1:7" ht="14.25" customHeight="1">
      <c r="A352" s="1988" t="str">
        <f>+'LISTADO MATERIALES'!C9</f>
        <v xml:space="preserve">ACERO Fy= 2400 Kg/cm2  </v>
      </c>
      <c r="B352" s="1611"/>
      <c r="C352" s="677" t="str">
        <f>+'LISTADO MATERIALES'!$D$9</f>
        <v>KG</v>
      </c>
      <c r="D352" s="431">
        <f>+'LISTADO MATERIALES'!$E$9</f>
        <v>2800</v>
      </c>
      <c r="E352" s="430">
        <v>3.36</v>
      </c>
      <c r="F352" s="689">
        <f t="shared" si="28"/>
        <v>9408</v>
      </c>
      <c r="G352" s="445"/>
    </row>
    <row r="353" spans="1:7" ht="13.5" customHeight="1">
      <c r="A353" s="1982" t="str">
        <f>+'LISTADO MATERIALES'!C10</f>
        <v xml:space="preserve">ACERO Fy= 4200 Kg/cm2   </v>
      </c>
      <c r="B353" s="1819"/>
      <c r="C353" s="678" t="str">
        <f>+'LISTADO MATERIALES'!$D$10</f>
        <v>KG</v>
      </c>
      <c r="D353" s="451">
        <f>+'LISTADO MATERIALES'!$E$10</f>
        <v>2800</v>
      </c>
      <c r="E353" s="678">
        <v>4.3099999999999996</v>
      </c>
      <c r="F353" s="698">
        <f t="shared" si="28"/>
        <v>12067.999999999998</v>
      </c>
      <c r="G353" s="456"/>
    </row>
    <row r="354" spans="1:7" ht="14.25" customHeight="1">
      <c r="A354" s="2003" t="s">
        <v>1560</v>
      </c>
      <c r="B354" s="1601"/>
      <c r="C354" s="1601"/>
      <c r="D354" s="1601"/>
      <c r="E354" s="1601"/>
      <c r="F354" s="1801"/>
      <c r="G354" s="436">
        <f>SUM(F350:F353)</f>
        <v>62311.119999999995</v>
      </c>
    </row>
    <row r="355" spans="1:7" ht="14.25" customHeight="1">
      <c r="A355" s="423" t="s">
        <v>1563</v>
      </c>
      <c r="B355" s="416"/>
      <c r="C355" s="416"/>
      <c r="D355" s="416"/>
      <c r="E355" s="416"/>
      <c r="F355" s="416"/>
      <c r="G355" s="437"/>
    </row>
    <row r="356" spans="1:7" ht="14.25" customHeight="1">
      <c r="A356" s="1975" t="s">
        <v>1556</v>
      </c>
      <c r="B356" s="1801"/>
      <c r="C356" s="424" t="s">
        <v>6</v>
      </c>
      <c r="D356" s="424" t="s">
        <v>1562</v>
      </c>
      <c r="E356" s="424" t="s">
        <v>7</v>
      </c>
      <c r="F356" s="424" t="s">
        <v>1559</v>
      </c>
      <c r="G356" s="438"/>
    </row>
    <row r="357" spans="1:7" ht="14.25" customHeight="1">
      <c r="A357" s="1981"/>
      <c r="B357" s="1967"/>
      <c r="C357" s="448"/>
      <c r="D357" s="449"/>
      <c r="E357" s="450"/>
      <c r="F357" s="431"/>
      <c r="G357" s="443"/>
    </row>
    <row r="358" spans="1:7" ht="14.25" customHeight="1">
      <c r="A358" s="1982"/>
      <c r="B358" s="1819"/>
      <c r="C358" s="448"/>
      <c r="D358" s="451"/>
      <c r="E358" s="452"/>
      <c r="F358" s="451"/>
      <c r="G358" s="447"/>
    </row>
    <row r="359" spans="1:7" ht="14.25" customHeight="1">
      <c r="A359" s="2003" t="s">
        <v>1560</v>
      </c>
      <c r="B359" s="1601"/>
      <c r="C359" s="1601"/>
      <c r="D359" s="1601"/>
      <c r="E359" s="1601"/>
      <c r="F359" s="1801"/>
      <c r="G359" s="436"/>
    </row>
    <row r="360" spans="1:7" ht="14.25" customHeight="1">
      <c r="A360" s="423" t="s">
        <v>1564</v>
      </c>
      <c r="B360" s="416"/>
      <c r="C360" s="416"/>
      <c r="D360" s="416"/>
      <c r="E360" s="416"/>
      <c r="F360" s="416"/>
      <c r="G360" s="437"/>
    </row>
    <row r="361" spans="1:7" ht="14.25" customHeight="1">
      <c r="A361" s="1975" t="s">
        <v>1565</v>
      </c>
      <c r="B361" s="1801"/>
      <c r="C361" s="424" t="s">
        <v>1566</v>
      </c>
      <c r="D361" s="424" t="s">
        <v>6</v>
      </c>
      <c r="E361" s="424" t="s">
        <v>7</v>
      </c>
      <c r="F361" s="424" t="s">
        <v>1559</v>
      </c>
      <c r="G361" s="462"/>
    </row>
    <row r="362" spans="1:7" ht="14.25" customHeight="1">
      <c r="A362" s="2004" t="str">
        <f>+'MANO DE OBRA'!$A$64</f>
        <v>Oficial (Incl. Prestaciones)</v>
      </c>
      <c r="B362" s="1888"/>
      <c r="C362" s="679">
        <f>+'MANO DE OBRA'!$E$64</f>
        <v>15031.25</v>
      </c>
      <c r="D362" s="680">
        <v>1</v>
      </c>
      <c r="E362" s="680">
        <v>0.8</v>
      </c>
      <c r="F362" s="694">
        <f t="shared" ref="F362:F363" si="29">+(C362*D362)*E362</f>
        <v>12025</v>
      </c>
      <c r="G362" s="443"/>
    </row>
    <row r="363" spans="1:7" ht="14.25" customHeight="1">
      <c r="A363" s="1968" t="str">
        <f>+'MANO DE OBRA'!$A$65</f>
        <v>Ayudante (Incl. Prestaciones)</v>
      </c>
      <c r="B363" s="1819"/>
      <c r="C363" s="681">
        <f>+'MANO DE OBRA'!$E$65</f>
        <v>10972.8125</v>
      </c>
      <c r="D363" s="562">
        <v>1</v>
      </c>
      <c r="E363" s="562">
        <f>+E362</f>
        <v>0.8</v>
      </c>
      <c r="F363" s="695">
        <f t="shared" si="29"/>
        <v>8778.25</v>
      </c>
      <c r="G363" s="456"/>
    </row>
    <row r="364" spans="1:7" ht="14.25" customHeight="1">
      <c r="A364" s="2003" t="str">
        <f>+A359</f>
        <v>SUB-TOTAL</v>
      </c>
      <c r="B364" s="1601"/>
      <c r="C364" s="1601"/>
      <c r="D364" s="1601"/>
      <c r="E364" s="1601"/>
      <c r="F364" s="1801"/>
      <c r="G364" s="436">
        <f>SUM(F362:F363)</f>
        <v>20803.25</v>
      </c>
    </row>
    <row r="365" spans="1:7" ht="11.25" customHeight="1">
      <c r="A365" s="416"/>
      <c r="B365" s="416"/>
      <c r="C365" s="416"/>
      <c r="D365" s="416"/>
      <c r="E365" s="416"/>
      <c r="F365" s="458"/>
      <c r="G365" s="437"/>
    </row>
    <row r="366" spans="1:7" ht="14.25" customHeight="1">
      <c r="A366" s="2003" t="s">
        <v>1567</v>
      </c>
      <c r="B366" s="1601"/>
      <c r="C366" s="1601"/>
      <c r="D366" s="1601"/>
      <c r="E366" s="1601"/>
      <c r="F366" s="1801"/>
      <c r="G366" s="682">
        <f>ROUND(G347+G354+G359+G364,0)</f>
        <v>89354</v>
      </c>
    </row>
    <row r="369" spans="1:7" ht="27" customHeight="1">
      <c r="A369" s="2005" t="s">
        <v>1604</v>
      </c>
      <c r="B369" s="1616"/>
      <c r="C369" s="1624"/>
      <c r="D369" s="567"/>
      <c r="E369" s="567"/>
      <c r="F369" s="567"/>
      <c r="G369" s="668"/>
    </row>
    <row r="370" spans="1:7" ht="24" customHeight="1">
      <c r="A370" s="1971"/>
      <c r="B370" s="1817"/>
      <c r="C370" s="1972"/>
      <c r="D370" s="669"/>
      <c r="E370" s="669"/>
      <c r="F370" s="669"/>
      <c r="G370" s="670"/>
    </row>
    <row r="371" spans="1:7" ht="14.25" customHeight="1">
      <c r="A371" s="416"/>
      <c r="B371" s="416"/>
      <c r="C371" s="416"/>
      <c r="D371" s="416"/>
      <c r="E371" s="416"/>
      <c r="F371" s="416"/>
      <c r="G371" s="416"/>
    </row>
    <row r="372" spans="1:7" ht="33.75" customHeight="1">
      <c r="A372" s="1973" t="str">
        <f>A11</f>
        <v>PRECIOS UNITARIOS OFICIALES 2014</v>
      </c>
      <c r="B372" s="1601"/>
      <c r="C372" s="1602"/>
      <c r="D372" s="1974" t="s">
        <v>1658</v>
      </c>
      <c r="E372" s="1601"/>
      <c r="F372" s="1601"/>
      <c r="G372" s="1602"/>
    </row>
    <row r="373" spans="1:7" ht="14.25" customHeight="1">
      <c r="A373" s="418"/>
      <c r="B373" s="418"/>
      <c r="C373" s="418"/>
      <c r="D373" s="418"/>
      <c r="E373" s="418"/>
      <c r="F373" s="418"/>
      <c r="G373" s="418"/>
    </row>
    <row r="374" spans="1:7" ht="12.75" customHeight="1">
      <c r="A374" s="419"/>
      <c r="B374" s="416"/>
      <c r="C374" s="420"/>
      <c r="D374" s="421" t="s">
        <v>1553</v>
      </c>
      <c r="E374" s="422" t="s">
        <v>120</v>
      </c>
      <c r="F374" s="572"/>
      <c r="G374" s="572"/>
    </row>
    <row r="375" spans="1:7" ht="14.25" customHeight="1">
      <c r="A375" s="423" t="s">
        <v>1555</v>
      </c>
      <c r="B375" s="416"/>
      <c r="C375" s="416"/>
      <c r="D375" s="416"/>
      <c r="E375" s="416"/>
      <c r="F375" s="416"/>
      <c r="G375" s="416"/>
    </row>
    <row r="376" spans="1:7" ht="13.5" customHeight="1">
      <c r="A376" s="1975" t="s">
        <v>1556</v>
      </c>
      <c r="B376" s="1601"/>
      <c r="C376" s="1801"/>
      <c r="D376" s="424" t="s">
        <v>208</v>
      </c>
      <c r="E376" s="424" t="s">
        <v>1558</v>
      </c>
      <c r="F376" s="424" t="s">
        <v>1559</v>
      </c>
      <c r="G376" s="425"/>
    </row>
    <row r="377" spans="1:7" ht="14.25" customHeight="1">
      <c r="A377" s="1981" t="str">
        <f>+'LISTADO EQUIPOS'!$C$22</f>
        <v>HERRAMIENTA MENOR.</v>
      </c>
      <c r="B377" s="1811"/>
      <c r="C377" s="1967"/>
      <c r="D377" s="449">
        <f>+'LISTADO EQUIPOS'!$E$22/8</f>
        <v>2850</v>
      </c>
      <c r="E377" s="427">
        <f>+E394</f>
        <v>0.8</v>
      </c>
      <c r="F377" s="428">
        <f t="shared" ref="F377:F378" si="30">+E377*D377</f>
        <v>2280</v>
      </c>
      <c r="G377" s="429"/>
    </row>
    <row r="378" spans="1:7" ht="22.5" customHeight="1">
      <c r="A378" s="1982" t="str">
        <f>+'LISTADO EQUIPOS'!$C$37</f>
        <v>VIBRADOR DE CONCRETO ELECTRICO O A GASOLINA.</v>
      </c>
      <c r="B378" s="1807"/>
      <c r="C378" s="1819"/>
      <c r="D378" s="451">
        <f>+'LISTADO EQUIPOS'!$E$37/8</f>
        <v>4950</v>
      </c>
      <c r="E378" s="671">
        <f>+E377</f>
        <v>0.8</v>
      </c>
      <c r="F378" s="698">
        <f t="shared" si="30"/>
        <v>3960</v>
      </c>
      <c r="G378" s="672"/>
    </row>
    <row r="379" spans="1:7" ht="14.25" customHeight="1">
      <c r="A379" s="2003" t="s">
        <v>1560</v>
      </c>
      <c r="B379" s="1601"/>
      <c r="C379" s="1601"/>
      <c r="D379" s="1601"/>
      <c r="E379" s="1601"/>
      <c r="F379" s="1801"/>
      <c r="G379" s="436">
        <f>SUM(F377:F378)</f>
        <v>6240</v>
      </c>
    </row>
    <row r="380" spans="1:7" ht="14.25" customHeight="1">
      <c r="A380" s="423" t="s">
        <v>1561</v>
      </c>
      <c r="B380" s="416"/>
      <c r="C380" s="416"/>
      <c r="D380" s="416"/>
      <c r="E380" s="416"/>
      <c r="F380" s="416"/>
      <c r="G380" s="437"/>
    </row>
    <row r="381" spans="1:7" ht="14.25" customHeight="1">
      <c r="A381" s="1975" t="s">
        <v>1556</v>
      </c>
      <c r="B381" s="1801"/>
      <c r="C381" s="424" t="s">
        <v>6</v>
      </c>
      <c r="D381" s="424" t="s">
        <v>1562</v>
      </c>
      <c r="E381" s="424" t="s">
        <v>7</v>
      </c>
      <c r="F381" s="424" t="s">
        <v>1559</v>
      </c>
      <c r="G381" s="673"/>
    </row>
    <row r="382" spans="1:7" ht="25.5" customHeight="1">
      <c r="A382" s="1981" t="str">
        <f>+'ANALISIS BASICOS'!$A$36</f>
        <v xml:space="preserve">CONCRETO NORMAL - 3000 PSI (210 KG/CM2) </v>
      </c>
      <c r="B382" s="1967"/>
      <c r="C382" s="699" t="str">
        <f>+'ANALISIS BASICOS'!$E$12</f>
        <v>M3</v>
      </c>
      <c r="D382" s="449">
        <f>+'ANALISIS BASICOS'!$G$36</f>
        <v>468441</v>
      </c>
      <c r="E382" s="427">
        <v>9.5000000000000001E-2</v>
      </c>
      <c r="F382" s="428">
        <f t="shared" ref="F382:F385" si="31">+E382*D382</f>
        <v>44501.895000000004</v>
      </c>
      <c r="G382" s="443"/>
    </row>
    <row r="383" spans="1:7" ht="12.75" customHeight="1">
      <c r="A383" s="1988" t="str">
        <f>+'ANALISIS BASICOS'!$A$360</f>
        <v>FORMALETA EN MADERA</v>
      </c>
      <c r="B383" s="1611"/>
      <c r="C383" s="677" t="str">
        <f>+'ANALISIS BASICOS'!$E$336</f>
        <v>M2</v>
      </c>
      <c r="D383" s="431">
        <f>+'ANALISIS BASICOS'!$G$360</f>
        <v>41998</v>
      </c>
      <c r="E383" s="430">
        <v>0.08</v>
      </c>
      <c r="F383" s="689">
        <f t="shared" si="31"/>
        <v>3359.84</v>
      </c>
      <c r="G383" s="445"/>
    </row>
    <row r="384" spans="1:7" ht="14.25" customHeight="1">
      <c r="A384" s="1988" t="str">
        <f>+'LISTADO MATERIALES'!C9</f>
        <v xml:space="preserve">ACERO Fy= 2400 Kg/cm2  </v>
      </c>
      <c r="B384" s="1611"/>
      <c r="C384" s="677" t="str">
        <f>+'LISTADO MATERIALES'!$D$9</f>
        <v>KG</v>
      </c>
      <c r="D384" s="431">
        <f>+'LISTADO MATERIALES'!$E$9</f>
        <v>2800</v>
      </c>
      <c r="E384" s="430">
        <v>4.2</v>
      </c>
      <c r="F384" s="689">
        <f t="shared" si="31"/>
        <v>11760</v>
      </c>
      <c r="G384" s="445"/>
    </row>
    <row r="385" spans="1:7" ht="13.5" customHeight="1">
      <c r="A385" s="1982" t="str">
        <f>+'LISTADO MATERIALES'!C9</f>
        <v xml:space="preserve">ACERO Fy= 2400 Kg/cm2  </v>
      </c>
      <c r="B385" s="1819"/>
      <c r="C385" s="678" t="str">
        <f>+'LISTADO MATERIALES'!$D$10</f>
        <v>KG</v>
      </c>
      <c r="D385" s="451">
        <f>+'LISTADO MATERIALES'!$E$10</f>
        <v>2800</v>
      </c>
      <c r="E385" s="678">
        <v>6.2</v>
      </c>
      <c r="F385" s="698">
        <f t="shared" si="31"/>
        <v>17360</v>
      </c>
      <c r="G385" s="456"/>
    </row>
    <row r="386" spans="1:7" ht="14.25" customHeight="1">
      <c r="A386" s="2003" t="s">
        <v>1560</v>
      </c>
      <c r="B386" s="1601"/>
      <c r="C386" s="1601"/>
      <c r="D386" s="1601"/>
      <c r="E386" s="1601"/>
      <c r="F386" s="1801"/>
      <c r="G386" s="436">
        <f>SUM(F382:F385)</f>
        <v>76981.735000000001</v>
      </c>
    </row>
    <row r="387" spans="1:7" ht="14.25" customHeight="1">
      <c r="A387" s="423" t="s">
        <v>1563</v>
      </c>
      <c r="B387" s="416"/>
      <c r="C387" s="416"/>
      <c r="D387" s="416"/>
      <c r="E387" s="416"/>
      <c r="F387" s="416"/>
      <c r="G387" s="437"/>
    </row>
    <row r="388" spans="1:7" ht="14.25" customHeight="1">
      <c r="A388" s="1975" t="s">
        <v>1556</v>
      </c>
      <c r="B388" s="1801"/>
      <c r="C388" s="424" t="s">
        <v>6</v>
      </c>
      <c r="D388" s="424" t="s">
        <v>1562</v>
      </c>
      <c r="E388" s="424" t="s">
        <v>7</v>
      </c>
      <c r="F388" s="424" t="s">
        <v>1559</v>
      </c>
      <c r="G388" s="438"/>
    </row>
    <row r="389" spans="1:7" ht="14.25" customHeight="1">
      <c r="A389" s="1981"/>
      <c r="B389" s="1967"/>
      <c r="C389" s="448"/>
      <c r="D389" s="449"/>
      <c r="E389" s="450"/>
      <c r="F389" s="431"/>
      <c r="G389" s="443"/>
    </row>
    <row r="390" spans="1:7" ht="14.25" customHeight="1">
      <c r="A390" s="1982"/>
      <c r="B390" s="1819"/>
      <c r="C390" s="448"/>
      <c r="D390" s="451"/>
      <c r="E390" s="452"/>
      <c r="F390" s="451"/>
      <c r="G390" s="447"/>
    </row>
    <row r="391" spans="1:7" ht="14.25" customHeight="1">
      <c r="A391" s="2003" t="s">
        <v>1560</v>
      </c>
      <c r="B391" s="1601"/>
      <c r="C391" s="1601"/>
      <c r="D391" s="1601"/>
      <c r="E391" s="1601"/>
      <c r="F391" s="1801"/>
      <c r="G391" s="436"/>
    </row>
    <row r="392" spans="1:7" ht="14.25" customHeight="1">
      <c r="A392" s="423" t="s">
        <v>1564</v>
      </c>
      <c r="B392" s="416"/>
      <c r="C392" s="416"/>
      <c r="D392" s="416"/>
      <c r="E392" s="416"/>
      <c r="F392" s="416"/>
      <c r="G392" s="437"/>
    </row>
    <row r="393" spans="1:7" ht="14.25" customHeight="1">
      <c r="A393" s="1975" t="s">
        <v>1565</v>
      </c>
      <c r="B393" s="1801"/>
      <c r="C393" s="424" t="s">
        <v>1566</v>
      </c>
      <c r="D393" s="424" t="s">
        <v>6</v>
      </c>
      <c r="E393" s="424" t="s">
        <v>7</v>
      </c>
      <c r="F393" s="424" t="s">
        <v>1559</v>
      </c>
      <c r="G393" s="462"/>
    </row>
    <row r="394" spans="1:7" ht="14.25" customHeight="1">
      <c r="A394" s="2004" t="str">
        <f>+'MANO DE OBRA'!$A$64</f>
        <v>Oficial (Incl. Prestaciones)</v>
      </c>
      <c r="B394" s="1888"/>
      <c r="C394" s="679">
        <f>+'MANO DE OBRA'!$E$64</f>
        <v>15031.25</v>
      </c>
      <c r="D394" s="680">
        <v>1</v>
      </c>
      <c r="E394" s="680">
        <v>0.8</v>
      </c>
      <c r="F394" s="694">
        <f t="shared" ref="F394:F395" si="32">+(C394*D394)*E394</f>
        <v>12025</v>
      </c>
      <c r="G394" s="443"/>
    </row>
    <row r="395" spans="1:7" ht="14.25" customHeight="1">
      <c r="A395" s="1968" t="str">
        <f>+'MANO DE OBRA'!$A$65</f>
        <v>Ayudante (Incl. Prestaciones)</v>
      </c>
      <c r="B395" s="1819"/>
      <c r="C395" s="681">
        <f>+'MANO DE OBRA'!$E$65</f>
        <v>10972.8125</v>
      </c>
      <c r="D395" s="562">
        <v>1</v>
      </c>
      <c r="E395" s="562">
        <f>+E394</f>
        <v>0.8</v>
      </c>
      <c r="F395" s="695">
        <f t="shared" si="32"/>
        <v>8778.25</v>
      </c>
      <c r="G395" s="456"/>
    </row>
    <row r="396" spans="1:7" ht="14.25" customHeight="1">
      <c r="A396" s="2003" t="str">
        <f>+A391</f>
        <v>SUB-TOTAL</v>
      </c>
      <c r="B396" s="1601"/>
      <c r="C396" s="1601"/>
      <c r="D396" s="1601"/>
      <c r="E396" s="1601"/>
      <c r="F396" s="1801"/>
      <c r="G396" s="436">
        <f>SUM(F394:F395)</f>
        <v>20803.25</v>
      </c>
    </row>
    <row r="397" spans="1:7" ht="11.25" customHeight="1">
      <c r="A397" s="416"/>
      <c r="B397" s="416"/>
      <c r="C397" s="416"/>
      <c r="D397" s="416"/>
      <c r="E397" s="416"/>
      <c r="F397" s="458"/>
      <c r="G397" s="437"/>
    </row>
    <row r="398" spans="1:7" ht="14.25" customHeight="1">
      <c r="A398" s="2003" t="s">
        <v>1567</v>
      </c>
      <c r="B398" s="1601"/>
      <c r="C398" s="1601"/>
      <c r="D398" s="1601"/>
      <c r="E398" s="1601"/>
      <c r="F398" s="1801"/>
      <c r="G398" s="682">
        <f>ROUND(G379+G386+G391+G396,0)</f>
        <v>104025</v>
      </c>
    </row>
    <row r="401" spans="1:7" ht="27" customHeight="1">
      <c r="A401" s="2005" t="s">
        <v>1604</v>
      </c>
      <c r="B401" s="1616"/>
      <c r="C401" s="1624"/>
      <c r="D401" s="567"/>
      <c r="E401" s="567"/>
      <c r="F401" s="567"/>
      <c r="G401" s="668"/>
    </row>
    <row r="402" spans="1:7" ht="24" customHeight="1">
      <c r="A402" s="1971"/>
      <c r="B402" s="1817"/>
      <c r="C402" s="1972"/>
      <c r="D402" s="669"/>
      <c r="E402" s="669"/>
      <c r="F402" s="669"/>
      <c r="G402" s="670"/>
    </row>
    <row r="403" spans="1:7" ht="14.25" customHeight="1">
      <c r="A403" s="416"/>
      <c r="B403" s="416"/>
      <c r="C403" s="416"/>
      <c r="D403" s="416"/>
      <c r="E403" s="416"/>
      <c r="F403" s="416"/>
      <c r="G403" s="416"/>
    </row>
    <row r="404" spans="1:7" ht="33.75" customHeight="1">
      <c r="A404" s="1973" t="str">
        <f>A11</f>
        <v>PRECIOS UNITARIOS OFICIALES 2014</v>
      </c>
      <c r="B404" s="1601"/>
      <c r="C404" s="1602"/>
      <c r="D404" s="1974" t="s">
        <v>1659</v>
      </c>
      <c r="E404" s="1601"/>
      <c r="F404" s="1601"/>
      <c r="G404" s="1602"/>
    </row>
    <row r="405" spans="1:7" ht="14.25" customHeight="1">
      <c r="A405" s="418"/>
      <c r="B405" s="418"/>
      <c r="C405" s="418"/>
      <c r="D405" s="418"/>
      <c r="E405" s="418"/>
      <c r="F405" s="418"/>
      <c r="G405" s="418"/>
    </row>
    <row r="406" spans="1:7" ht="12.75" customHeight="1">
      <c r="A406" s="419"/>
      <c r="B406" s="416"/>
      <c r="C406" s="420"/>
      <c r="D406" s="421" t="s">
        <v>1553</v>
      </c>
      <c r="E406" s="422" t="s">
        <v>120</v>
      </c>
      <c r="F406" s="572"/>
      <c r="G406" s="572"/>
    </row>
    <row r="407" spans="1:7" ht="14.25" customHeight="1">
      <c r="A407" s="423" t="s">
        <v>1555</v>
      </c>
      <c r="B407" s="416"/>
      <c r="C407" s="416"/>
      <c r="D407" s="416"/>
      <c r="E407" s="416"/>
      <c r="F407" s="416"/>
      <c r="G407" s="416"/>
    </row>
    <row r="408" spans="1:7" ht="13.5" customHeight="1">
      <c r="A408" s="1975" t="s">
        <v>1556</v>
      </c>
      <c r="B408" s="1601"/>
      <c r="C408" s="1801"/>
      <c r="D408" s="424" t="s">
        <v>208</v>
      </c>
      <c r="E408" s="424" t="s">
        <v>1558</v>
      </c>
      <c r="F408" s="424" t="s">
        <v>1559</v>
      </c>
      <c r="G408" s="425"/>
    </row>
    <row r="409" spans="1:7" ht="14.25" customHeight="1">
      <c r="A409" s="1981" t="str">
        <f>+'LISTADO EQUIPOS'!$C$22</f>
        <v>HERRAMIENTA MENOR.</v>
      </c>
      <c r="B409" s="1811"/>
      <c r="C409" s="1967"/>
      <c r="D409" s="449">
        <f>+'LISTADO EQUIPOS'!$E$22/8</f>
        <v>2850</v>
      </c>
      <c r="E409" s="427">
        <f>+E426</f>
        <v>0.8</v>
      </c>
      <c r="F409" s="428">
        <f t="shared" ref="F409:F410" si="33">+E409*D409</f>
        <v>2280</v>
      </c>
      <c r="G409" s="429"/>
    </row>
    <row r="410" spans="1:7" ht="24.75" customHeight="1">
      <c r="A410" s="1996" t="str">
        <f>+'LISTADO EQUIPOS'!$C$37</f>
        <v>VIBRADOR DE CONCRETO ELECTRICO O A GASOLINA.</v>
      </c>
      <c r="B410" s="1807"/>
      <c r="C410" s="1819"/>
      <c r="D410" s="434">
        <f>+'LISTADO EQUIPOS'!$E$37/8</f>
        <v>4950</v>
      </c>
      <c r="E410" s="433">
        <f>+E409</f>
        <v>0.8</v>
      </c>
      <c r="F410" s="700">
        <f t="shared" si="33"/>
        <v>3960</v>
      </c>
      <c r="G410" s="672"/>
    </row>
    <row r="411" spans="1:7" ht="14.25" customHeight="1">
      <c r="A411" s="2003" t="s">
        <v>1560</v>
      </c>
      <c r="B411" s="1601"/>
      <c r="C411" s="1601"/>
      <c r="D411" s="1601"/>
      <c r="E411" s="1601"/>
      <c r="F411" s="1801"/>
      <c r="G411" s="436">
        <f>SUM(F409:F410)</f>
        <v>6240</v>
      </c>
    </row>
    <row r="412" spans="1:7" ht="14.25" customHeight="1">
      <c r="A412" s="423" t="s">
        <v>1561</v>
      </c>
      <c r="B412" s="416"/>
      <c r="C412" s="416"/>
      <c r="D412" s="416"/>
      <c r="E412" s="416"/>
      <c r="F412" s="416"/>
      <c r="G412" s="416"/>
    </row>
    <row r="413" spans="1:7" ht="14.25" customHeight="1">
      <c r="A413" s="1975" t="s">
        <v>1556</v>
      </c>
      <c r="B413" s="1801"/>
      <c r="C413" s="424" t="s">
        <v>6</v>
      </c>
      <c r="D413" s="424" t="s">
        <v>1562</v>
      </c>
      <c r="E413" s="424" t="s">
        <v>7</v>
      </c>
      <c r="F413" s="424" t="s">
        <v>1559</v>
      </c>
      <c r="G413" s="425"/>
    </row>
    <row r="414" spans="1:7" ht="24.75" customHeight="1">
      <c r="A414" s="1987" t="str">
        <f>+'ANALISIS BASICOS'!$A$36</f>
        <v xml:space="preserve">CONCRETO NORMAL - 3000 PSI (210 KG/CM2) </v>
      </c>
      <c r="B414" s="1967"/>
      <c r="C414" s="674" t="str">
        <f>+'ANALISIS BASICOS'!$E$12</f>
        <v>M3</v>
      </c>
      <c r="D414" s="675">
        <f>+'ANALISIS BASICOS'!$G$36</f>
        <v>468441</v>
      </c>
      <c r="E414" s="687">
        <v>3.7999999999999999E-2</v>
      </c>
      <c r="F414" s="442">
        <f t="shared" ref="F414:F417" si="34">+E414*D414</f>
        <v>17800.757999999998</v>
      </c>
      <c r="G414" s="429"/>
    </row>
    <row r="415" spans="1:7" ht="12.75" customHeight="1">
      <c r="A415" s="1988" t="str">
        <f>+'ANALISIS BASICOS'!$A$360</f>
        <v>FORMALETA EN MADERA</v>
      </c>
      <c r="B415" s="1611"/>
      <c r="C415" s="677" t="str">
        <f>+'ANALISIS BASICOS'!$E$336</f>
        <v>M2</v>
      </c>
      <c r="D415" s="431">
        <f>+'ANALISIS BASICOS'!$G$360</f>
        <v>41998</v>
      </c>
      <c r="E415" s="430">
        <v>0.08</v>
      </c>
      <c r="F415" s="689">
        <f t="shared" si="34"/>
        <v>3359.84</v>
      </c>
      <c r="G415" s="432"/>
    </row>
    <row r="416" spans="1:7" ht="14.25" customHeight="1">
      <c r="A416" s="1988" t="str">
        <f>+'LISTADO MATERIALES'!C9</f>
        <v xml:space="preserve">ACERO Fy= 2400 Kg/cm2  </v>
      </c>
      <c r="B416" s="1611"/>
      <c r="C416" s="677" t="str">
        <f>+'LISTADO MATERIALES'!$D$9</f>
        <v>KG</v>
      </c>
      <c r="D416" s="431">
        <f>+'LISTADO MATERIALES'!$E$9</f>
        <v>2800</v>
      </c>
      <c r="E416" s="430">
        <v>2.2400000000000002</v>
      </c>
      <c r="F416" s="689">
        <f t="shared" si="34"/>
        <v>6272.0000000000009</v>
      </c>
      <c r="G416" s="432"/>
    </row>
    <row r="417" spans="1:7" ht="13.5" customHeight="1">
      <c r="A417" s="1982" t="str">
        <f>+'LISTADO MATERIALES'!C10</f>
        <v xml:space="preserve">ACERO Fy= 4200 Kg/cm2   </v>
      </c>
      <c r="B417" s="1819"/>
      <c r="C417" s="678" t="str">
        <f>+'LISTADO MATERIALES'!$D$10</f>
        <v>KG</v>
      </c>
      <c r="D417" s="451">
        <f>+'LISTADO MATERIALES'!$E$10</f>
        <v>2800</v>
      </c>
      <c r="E417" s="678">
        <v>4.3099999999999996</v>
      </c>
      <c r="F417" s="698">
        <f t="shared" si="34"/>
        <v>12067.999999999998</v>
      </c>
      <c r="G417" s="672"/>
    </row>
    <row r="418" spans="1:7" ht="14.25" customHeight="1">
      <c r="A418" s="2003" t="s">
        <v>1560</v>
      </c>
      <c r="B418" s="1601"/>
      <c r="C418" s="1601"/>
      <c r="D418" s="1601"/>
      <c r="E418" s="1601"/>
      <c r="F418" s="1801"/>
      <c r="G418" s="436">
        <f>SUM(F414:F417)</f>
        <v>39500.597999999998</v>
      </c>
    </row>
    <row r="419" spans="1:7" ht="14.25" customHeight="1">
      <c r="A419" s="423" t="s">
        <v>1563</v>
      </c>
      <c r="B419" s="416"/>
      <c r="C419" s="416"/>
      <c r="D419" s="416"/>
      <c r="E419" s="416"/>
      <c r="F419" s="416"/>
      <c r="G419" s="437"/>
    </row>
    <row r="420" spans="1:7" ht="14.25" customHeight="1">
      <c r="A420" s="1975" t="s">
        <v>1556</v>
      </c>
      <c r="B420" s="1801"/>
      <c r="C420" s="424" t="s">
        <v>6</v>
      </c>
      <c r="D420" s="424" t="s">
        <v>1562</v>
      </c>
      <c r="E420" s="424" t="s">
        <v>7</v>
      </c>
      <c r="F420" s="424" t="s">
        <v>1559</v>
      </c>
      <c r="G420" s="438"/>
    </row>
    <row r="421" spans="1:7" ht="14.25" customHeight="1">
      <c r="A421" s="1981"/>
      <c r="B421" s="1967"/>
      <c r="C421" s="448"/>
      <c r="D421" s="449"/>
      <c r="E421" s="450"/>
      <c r="F421" s="431"/>
      <c r="G421" s="443"/>
    </row>
    <row r="422" spans="1:7" ht="14.25" customHeight="1">
      <c r="A422" s="1982"/>
      <c r="B422" s="1819"/>
      <c r="C422" s="448"/>
      <c r="D422" s="451"/>
      <c r="E422" s="452"/>
      <c r="F422" s="451"/>
      <c r="G422" s="447"/>
    </row>
    <row r="423" spans="1:7" ht="14.25" customHeight="1">
      <c r="A423" s="2003" t="s">
        <v>1560</v>
      </c>
      <c r="B423" s="1601"/>
      <c r="C423" s="1601"/>
      <c r="D423" s="1601"/>
      <c r="E423" s="1601"/>
      <c r="F423" s="1801"/>
      <c r="G423" s="436"/>
    </row>
    <row r="424" spans="1:7" ht="14.25" customHeight="1">
      <c r="A424" s="423" t="s">
        <v>1564</v>
      </c>
      <c r="B424" s="416"/>
      <c r="C424" s="416"/>
      <c r="D424" s="416"/>
      <c r="E424" s="416"/>
      <c r="F424" s="416"/>
      <c r="G424" s="437"/>
    </row>
    <row r="425" spans="1:7" ht="14.25" customHeight="1">
      <c r="A425" s="1975" t="s">
        <v>1565</v>
      </c>
      <c r="B425" s="1801"/>
      <c r="C425" s="424" t="s">
        <v>1566</v>
      </c>
      <c r="D425" s="424" t="s">
        <v>6</v>
      </c>
      <c r="E425" s="424" t="s">
        <v>7</v>
      </c>
      <c r="F425" s="424" t="s">
        <v>1559</v>
      </c>
      <c r="G425" s="462"/>
    </row>
    <row r="426" spans="1:7" ht="14.25" customHeight="1">
      <c r="A426" s="2004" t="str">
        <f>+'MANO DE OBRA'!$A$64</f>
        <v>Oficial (Incl. Prestaciones)</v>
      </c>
      <c r="B426" s="1888"/>
      <c r="C426" s="679">
        <f>+'MANO DE OBRA'!$E$64</f>
        <v>15031.25</v>
      </c>
      <c r="D426" s="680">
        <v>1</v>
      </c>
      <c r="E426" s="680">
        <v>0.8</v>
      </c>
      <c r="F426" s="694">
        <f t="shared" ref="F426:F427" si="35">+(C426*D426)*E426</f>
        <v>12025</v>
      </c>
      <c r="G426" s="443"/>
    </row>
    <row r="427" spans="1:7" ht="14.25" customHeight="1">
      <c r="A427" s="1968" t="str">
        <f>+'MANO DE OBRA'!$A$65</f>
        <v>Ayudante (Incl. Prestaciones)</v>
      </c>
      <c r="B427" s="1819"/>
      <c r="C427" s="681">
        <f>+'MANO DE OBRA'!$E$65</f>
        <v>10972.8125</v>
      </c>
      <c r="D427" s="562">
        <v>1</v>
      </c>
      <c r="E427" s="562">
        <f>+E426</f>
        <v>0.8</v>
      </c>
      <c r="F427" s="695">
        <f t="shared" si="35"/>
        <v>8778.25</v>
      </c>
      <c r="G427" s="456"/>
    </row>
    <row r="428" spans="1:7" ht="14.25" customHeight="1">
      <c r="A428" s="2003" t="str">
        <f>+A423</f>
        <v>SUB-TOTAL</v>
      </c>
      <c r="B428" s="1601"/>
      <c r="C428" s="1601"/>
      <c r="D428" s="1601"/>
      <c r="E428" s="1601"/>
      <c r="F428" s="1801"/>
      <c r="G428" s="436">
        <f>SUM(F426:F427)</f>
        <v>20803.25</v>
      </c>
    </row>
    <row r="429" spans="1:7" ht="11.25" customHeight="1">
      <c r="A429" s="416"/>
      <c r="B429" s="416"/>
      <c r="C429" s="416"/>
      <c r="D429" s="416"/>
      <c r="E429" s="416"/>
      <c r="F429" s="458"/>
      <c r="G429" s="437"/>
    </row>
    <row r="430" spans="1:7" ht="14.25" customHeight="1">
      <c r="A430" s="2003" t="s">
        <v>1567</v>
      </c>
      <c r="B430" s="1601"/>
      <c r="C430" s="1601"/>
      <c r="D430" s="1601"/>
      <c r="E430" s="1601"/>
      <c r="F430" s="1801"/>
      <c r="G430" s="682">
        <f>ROUND(G411+G418+G423+G428,0)</f>
        <v>66544</v>
      </c>
    </row>
    <row r="433" spans="1:7" ht="27" customHeight="1">
      <c r="A433" s="2005" t="s">
        <v>1604</v>
      </c>
      <c r="B433" s="1616"/>
      <c r="C433" s="1624"/>
      <c r="D433" s="567"/>
      <c r="E433" s="567"/>
      <c r="F433" s="567"/>
      <c r="G433" s="668"/>
    </row>
    <row r="434" spans="1:7" ht="24" customHeight="1">
      <c r="A434" s="1971"/>
      <c r="B434" s="1817"/>
      <c r="C434" s="1972"/>
      <c r="D434" s="669"/>
      <c r="E434" s="669"/>
      <c r="F434" s="669"/>
      <c r="G434" s="670"/>
    </row>
    <row r="435" spans="1:7" ht="14.25" customHeight="1">
      <c r="A435" s="416"/>
      <c r="B435" s="416"/>
      <c r="C435" s="416"/>
      <c r="D435" s="416"/>
      <c r="E435" s="416"/>
      <c r="F435" s="416"/>
      <c r="G435" s="416"/>
    </row>
    <row r="436" spans="1:7" ht="33.75" customHeight="1">
      <c r="A436" s="1973" t="str">
        <f>A11</f>
        <v>PRECIOS UNITARIOS OFICIALES 2014</v>
      </c>
      <c r="B436" s="1601"/>
      <c r="C436" s="1602"/>
      <c r="D436" s="1974" t="s">
        <v>1660</v>
      </c>
      <c r="E436" s="1601"/>
      <c r="F436" s="1601"/>
      <c r="G436" s="1602"/>
    </row>
    <row r="437" spans="1:7" ht="14.25" customHeight="1">
      <c r="A437" s="418"/>
      <c r="B437" s="418"/>
      <c r="C437" s="418"/>
      <c r="D437" s="418"/>
      <c r="E437" s="418"/>
      <c r="F437" s="418"/>
      <c r="G437" s="418"/>
    </row>
    <row r="438" spans="1:7" ht="12.75" customHeight="1">
      <c r="A438" s="419"/>
      <c r="B438" s="416"/>
      <c r="C438" s="420"/>
      <c r="D438" s="421" t="s">
        <v>1553</v>
      </c>
      <c r="E438" s="422" t="s">
        <v>120</v>
      </c>
      <c r="F438" s="572"/>
      <c r="G438" s="572"/>
    </row>
    <row r="439" spans="1:7" ht="14.25" customHeight="1">
      <c r="A439" s="423" t="s">
        <v>1555</v>
      </c>
      <c r="B439" s="416"/>
      <c r="C439" s="416"/>
      <c r="D439" s="416"/>
      <c r="E439" s="416"/>
      <c r="F439" s="416"/>
      <c r="G439" s="416"/>
    </row>
    <row r="440" spans="1:7" ht="14.25" customHeight="1">
      <c r="A440" s="1981" t="str">
        <f>+'LISTADO EQUIPOS'!$C$22</f>
        <v>HERRAMIENTA MENOR.</v>
      </c>
      <c r="B440" s="1811"/>
      <c r="C440" s="1967"/>
      <c r="D440" s="449">
        <f>+'LISTADO EQUIPOS'!$E$22/8</f>
        <v>2850</v>
      </c>
      <c r="E440" s="427">
        <f>+E457</f>
        <v>0.80007207207207209</v>
      </c>
      <c r="F440" s="428">
        <f>+E440*D440</f>
        <v>2280.2054054054056</v>
      </c>
      <c r="G440" s="429"/>
    </row>
    <row r="441" spans="1:7" ht="14.25" customHeight="1">
      <c r="A441" s="1982"/>
      <c r="B441" s="1807"/>
      <c r="C441" s="1819"/>
      <c r="D441" s="451"/>
      <c r="E441" s="671"/>
      <c r="F441" s="451"/>
      <c r="G441" s="672"/>
    </row>
    <row r="442" spans="1:7" ht="14.25" customHeight="1">
      <c r="A442" s="2003" t="s">
        <v>1560</v>
      </c>
      <c r="B442" s="1601"/>
      <c r="C442" s="1601"/>
      <c r="D442" s="1601"/>
      <c r="E442" s="1601"/>
      <c r="F442" s="1801"/>
      <c r="G442" s="436">
        <f>SUM(F440:F441)</f>
        <v>2280.2054054054056</v>
      </c>
    </row>
    <row r="443" spans="1:7" ht="14.25" customHeight="1">
      <c r="A443" s="423" t="s">
        <v>1561</v>
      </c>
      <c r="B443" s="416"/>
      <c r="C443" s="416"/>
      <c r="D443" s="416"/>
      <c r="E443" s="416"/>
      <c r="F443" s="416"/>
      <c r="G443" s="437"/>
    </row>
    <row r="444" spans="1:7" ht="14.25" customHeight="1">
      <c r="A444" s="1975" t="s">
        <v>1556</v>
      </c>
      <c r="B444" s="1801"/>
      <c r="C444" s="424" t="s">
        <v>6</v>
      </c>
      <c r="D444" s="424" t="s">
        <v>1562</v>
      </c>
      <c r="E444" s="424" t="s">
        <v>7</v>
      </c>
      <c r="F444" s="424" t="s">
        <v>1559</v>
      </c>
      <c r="G444" s="673"/>
    </row>
    <row r="445" spans="1:7" ht="24.75" customHeight="1">
      <c r="A445" s="1987" t="str">
        <f>+'ANALISIS BASICOS'!$A$36</f>
        <v xml:space="preserve">CONCRETO NORMAL - 3000 PSI (210 KG/CM2) </v>
      </c>
      <c r="B445" s="1967"/>
      <c r="C445" s="674" t="str">
        <f>+'ANALISIS BASICOS'!$E$12</f>
        <v>M3</v>
      </c>
      <c r="D445" s="675">
        <f>+'ANALISIS BASICOS'!$G$36</f>
        <v>468441</v>
      </c>
      <c r="E445" s="687">
        <f>0.2*0.2</f>
        <v>4.0000000000000008E-2</v>
      </c>
      <c r="F445" s="442">
        <f t="shared" ref="F445:F448" si="36">+E445*D445</f>
        <v>18737.640000000003</v>
      </c>
      <c r="G445" s="443"/>
    </row>
    <row r="446" spans="1:7" ht="12.75" customHeight="1">
      <c r="A446" s="1988" t="str">
        <f>+'ANALISIS BASICOS'!$A$360</f>
        <v>FORMALETA EN MADERA</v>
      </c>
      <c r="B446" s="1611"/>
      <c r="C446" s="677" t="str">
        <f>+'ANALISIS BASICOS'!$E$336</f>
        <v>M2</v>
      </c>
      <c r="D446" s="431">
        <f>+'ANALISIS BASICOS'!$G$360</f>
        <v>41998</v>
      </c>
      <c r="E446" s="430">
        <v>0.08</v>
      </c>
      <c r="F446" s="689">
        <f t="shared" si="36"/>
        <v>3359.84</v>
      </c>
      <c r="G446" s="445"/>
    </row>
    <row r="447" spans="1:7" ht="14.25" customHeight="1">
      <c r="A447" s="1988" t="str">
        <f>+'LISTADO MATERIALES'!$C$9</f>
        <v xml:space="preserve">ACERO Fy= 2400 Kg/cm2  </v>
      </c>
      <c r="B447" s="1611"/>
      <c r="C447" s="677" t="str">
        <f>+'LISTADO MATERIALES'!$D$9</f>
        <v>KG</v>
      </c>
      <c r="D447" s="431">
        <f>+'LISTADO MATERIALES'!$E$9</f>
        <v>2800</v>
      </c>
      <c r="E447" s="430">
        <v>2.2400000000000002</v>
      </c>
      <c r="F447" s="689">
        <f t="shared" si="36"/>
        <v>6272.0000000000009</v>
      </c>
      <c r="G447" s="445"/>
    </row>
    <row r="448" spans="1:7" ht="13.5" customHeight="1">
      <c r="A448" s="1982" t="str">
        <f>+'LISTADO MATERIALES'!$C$10</f>
        <v xml:space="preserve">ACERO Fy= 4200 Kg/cm2   </v>
      </c>
      <c r="B448" s="1819"/>
      <c r="C448" s="678" t="str">
        <f>+'LISTADO MATERIALES'!$D$10</f>
        <v>KG</v>
      </c>
      <c r="D448" s="451">
        <f>+'LISTADO MATERIALES'!$E$10</f>
        <v>2800</v>
      </c>
      <c r="E448" s="678">
        <v>4.3099999999999996</v>
      </c>
      <c r="F448" s="698">
        <f t="shared" si="36"/>
        <v>12067.999999999998</v>
      </c>
      <c r="G448" s="456"/>
    </row>
    <row r="449" spans="1:7" ht="14.25" customHeight="1">
      <c r="A449" s="2003" t="s">
        <v>1560</v>
      </c>
      <c r="B449" s="1601"/>
      <c r="C449" s="1601"/>
      <c r="D449" s="1601"/>
      <c r="E449" s="1601"/>
      <c r="F449" s="1801"/>
      <c r="G449" s="436">
        <f>SUM(F445:F448)</f>
        <v>40437.480000000003</v>
      </c>
    </row>
    <row r="450" spans="1:7" ht="14.25" customHeight="1">
      <c r="A450" s="423" t="s">
        <v>1563</v>
      </c>
      <c r="B450" s="416"/>
      <c r="C450" s="416"/>
      <c r="D450" s="416"/>
      <c r="E450" s="416"/>
      <c r="F450" s="416"/>
      <c r="G450" s="437"/>
    </row>
    <row r="451" spans="1:7" ht="14.25" customHeight="1">
      <c r="A451" s="1975" t="s">
        <v>1556</v>
      </c>
      <c r="B451" s="1801"/>
      <c r="C451" s="424" t="s">
        <v>6</v>
      </c>
      <c r="D451" s="424" t="s">
        <v>1562</v>
      </c>
      <c r="E451" s="424" t="s">
        <v>7</v>
      </c>
      <c r="F451" s="424" t="s">
        <v>1559</v>
      </c>
      <c r="G451" s="438"/>
    </row>
    <row r="452" spans="1:7" ht="14.25" customHeight="1">
      <c r="A452" s="1981"/>
      <c r="B452" s="1967"/>
      <c r="C452" s="448"/>
      <c r="D452" s="449"/>
      <c r="E452" s="450"/>
      <c r="F452" s="431"/>
      <c r="G452" s="443"/>
    </row>
    <row r="453" spans="1:7" ht="14.25" customHeight="1">
      <c r="A453" s="1982"/>
      <c r="B453" s="1819"/>
      <c r="C453" s="448"/>
      <c r="D453" s="451"/>
      <c r="E453" s="452"/>
      <c r="F453" s="451"/>
      <c r="G453" s="447"/>
    </row>
    <row r="454" spans="1:7" ht="14.25" customHeight="1">
      <c r="A454" s="2003" t="s">
        <v>1560</v>
      </c>
      <c r="B454" s="1601"/>
      <c r="C454" s="1601"/>
      <c r="D454" s="1601"/>
      <c r="E454" s="1601"/>
      <c r="F454" s="1801"/>
      <c r="G454" s="436"/>
    </row>
    <row r="455" spans="1:7" ht="14.25" customHeight="1">
      <c r="A455" s="423" t="s">
        <v>1564</v>
      </c>
      <c r="B455" s="416"/>
      <c r="C455" s="416"/>
      <c r="D455" s="416"/>
      <c r="E455" s="416"/>
      <c r="F455" s="416"/>
      <c r="G455" s="437"/>
    </row>
    <row r="456" spans="1:7" ht="14.25" customHeight="1">
      <c r="A456" s="1975" t="s">
        <v>1565</v>
      </c>
      <c r="B456" s="1801"/>
      <c r="C456" s="424" t="s">
        <v>1566</v>
      </c>
      <c r="D456" s="424" t="s">
        <v>6</v>
      </c>
      <c r="E456" s="424" t="s">
        <v>7</v>
      </c>
      <c r="F456" s="424" t="s">
        <v>1559</v>
      </c>
      <c r="G456" s="462"/>
    </row>
    <row r="457" spans="1:7" ht="14.25" customHeight="1">
      <c r="A457" s="2004" t="str">
        <f>+'MANO DE OBRA'!$A$64</f>
        <v>Oficial (Incl. Prestaciones)</v>
      </c>
      <c r="B457" s="1888"/>
      <c r="C457" s="679">
        <f>+'MANO DE OBRA'!$E$64</f>
        <v>15031.25</v>
      </c>
      <c r="D457" s="680">
        <v>1</v>
      </c>
      <c r="E457" s="680">
        <v>0.80007207207207209</v>
      </c>
      <c r="F457" s="694">
        <f t="shared" ref="F457:F458" si="37">+(C457*D457)*E457</f>
        <v>12026.083333333334</v>
      </c>
      <c r="G457" s="443"/>
    </row>
    <row r="458" spans="1:7" ht="14.25" customHeight="1">
      <c r="A458" s="1968" t="str">
        <f>+'MANO DE OBRA'!$A$65</f>
        <v>Ayudante (Incl. Prestaciones)</v>
      </c>
      <c r="B458" s="1819"/>
      <c r="C458" s="681">
        <f>+'MANO DE OBRA'!$E$65</f>
        <v>10972.8125</v>
      </c>
      <c r="D458" s="562">
        <v>1</v>
      </c>
      <c r="E458" s="562">
        <f>+E457</f>
        <v>0.80007207207207209</v>
      </c>
      <c r="F458" s="695">
        <f t="shared" si="37"/>
        <v>8779.0408333333344</v>
      </c>
      <c r="G458" s="456"/>
    </row>
    <row r="459" spans="1:7" ht="14.25" customHeight="1">
      <c r="A459" s="2003" t="str">
        <f>+A454</f>
        <v>SUB-TOTAL</v>
      </c>
      <c r="B459" s="1601"/>
      <c r="C459" s="1601"/>
      <c r="D459" s="1601"/>
      <c r="E459" s="1601"/>
      <c r="F459" s="1801"/>
      <c r="G459" s="436">
        <f>SUM(F457:F458)</f>
        <v>20805.124166666668</v>
      </c>
    </row>
    <row r="460" spans="1:7" ht="11.25" customHeight="1">
      <c r="A460" s="416"/>
      <c r="B460" s="416"/>
      <c r="C460" s="416"/>
      <c r="D460" s="416"/>
      <c r="E460" s="416"/>
      <c r="F460" s="458"/>
      <c r="G460" s="437"/>
    </row>
    <row r="461" spans="1:7" ht="14.25" customHeight="1">
      <c r="A461" s="2003" t="s">
        <v>1567</v>
      </c>
      <c r="B461" s="1601"/>
      <c r="C461" s="1601"/>
      <c r="D461" s="1601"/>
      <c r="E461" s="1601"/>
      <c r="F461" s="1801"/>
      <c r="G461" s="682">
        <f>ROUND(G442+G449+G454+G459,0)</f>
        <v>63523</v>
      </c>
    </row>
    <row r="462" spans="1:7" ht="14.25" customHeight="1">
      <c r="A462" s="420"/>
      <c r="B462" s="420"/>
      <c r="C462" s="420"/>
      <c r="D462" s="420"/>
      <c r="E462" s="420"/>
      <c r="F462" s="420"/>
      <c r="G462" s="420"/>
    </row>
    <row r="463" spans="1:7" ht="14.25" customHeight="1">
      <c r="A463" s="420"/>
      <c r="B463" s="420"/>
      <c r="C463" s="420"/>
      <c r="D463" s="420"/>
      <c r="E463" s="420"/>
      <c r="F463" s="420"/>
      <c r="G463" s="420"/>
    </row>
    <row r="464" spans="1:7" ht="18.75" customHeight="1">
      <c r="A464" s="2005" t="s">
        <v>1604</v>
      </c>
      <c r="B464" s="1616"/>
      <c r="C464" s="1624"/>
      <c r="D464" s="567"/>
      <c r="E464" s="567"/>
      <c r="F464" s="567"/>
      <c r="G464" s="668"/>
    </row>
    <row r="465" spans="1:7" ht="24" customHeight="1">
      <c r="A465" s="1971"/>
      <c r="B465" s="1817"/>
      <c r="C465" s="1972"/>
      <c r="D465" s="669"/>
      <c r="E465" s="669"/>
      <c r="F465" s="669"/>
      <c r="G465" s="670"/>
    </row>
    <row r="466" spans="1:7" ht="14.25" customHeight="1">
      <c r="A466" s="416"/>
      <c r="B466" s="416"/>
      <c r="C466" s="416"/>
      <c r="D466" s="416"/>
      <c r="E466" s="416"/>
      <c r="F466" s="416"/>
      <c r="G466" s="416"/>
    </row>
    <row r="467" spans="1:7" ht="29.25" customHeight="1">
      <c r="A467" s="1973" t="str">
        <f>A11</f>
        <v>PRECIOS UNITARIOS OFICIALES 2014</v>
      </c>
      <c r="B467" s="1601"/>
      <c r="C467" s="1602"/>
      <c r="D467" s="1974" t="s">
        <v>1661</v>
      </c>
      <c r="E467" s="1601"/>
      <c r="F467" s="1601"/>
      <c r="G467" s="1602"/>
    </row>
    <row r="468" spans="1:7" ht="14.25" customHeight="1">
      <c r="A468" s="418"/>
      <c r="B468" s="418"/>
      <c r="C468" s="418"/>
      <c r="D468" s="418"/>
      <c r="E468" s="418"/>
      <c r="F468" s="418"/>
      <c r="G468" s="418"/>
    </row>
    <row r="469" spans="1:7" ht="14.25" customHeight="1">
      <c r="A469" s="419"/>
      <c r="B469" s="416"/>
      <c r="C469" s="420"/>
      <c r="D469" s="421" t="s">
        <v>1553</v>
      </c>
      <c r="E469" s="422" t="s">
        <v>228</v>
      </c>
      <c r="F469" s="572"/>
      <c r="G469" s="572"/>
    </row>
    <row r="470" spans="1:7" ht="14.25" customHeight="1">
      <c r="A470" s="423" t="s">
        <v>1555</v>
      </c>
      <c r="B470" s="416"/>
      <c r="C470" s="416"/>
      <c r="D470" s="416"/>
      <c r="E470" s="416"/>
      <c r="F470" s="416"/>
      <c r="G470" s="416"/>
    </row>
    <row r="471" spans="1:7" ht="14.25" customHeight="1">
      <c r="A471" s="1975" t="s">
        <v>1556</v>
      </c>
      <c r="B471" s="1601"/>
      <c r="C471" s="1801"/>
      <c r="D471" s="424" t="s">
        <v>208</v>
      </c>
      <c r="E471" s="424" t="s">
        <v>1558</v>
      </c>
      <c r="F471" s="424" t="s">
        <v>1559</v>
      </c>
      <c r="G471" s="425"/>
    </row>
    <row r="472" spans="1:7" ht="14.25" customHeight="1">
      <c r="A472" s="1981" t="str">
        <f>+'LISTADO EQUIPOS'!$C$22</f>
        <v>HERRAMIENTA MENOR.</v>
      </c>
      <c r="B472" s="1811"/>
      <c r="C472" s="1967"/>
      <c r="D472" s="449">
        <f>+'LISTADO EQUIPOS'!$E$22/8</f>
        <v>2850</v>
      </c>
      <c r="E472" s="427">
        <v>10</v>
      </c>
      <c r="F472" s="428">
        <f>+D472/E472</f>
        <v>285</v>
      </c>
      <c r="G472" s="429"/>
    </row>
    <row r="473" spans="1:7" ht="14.25" customHeight="1">
      <c r="A473" s="1982" t="str">
        <f>+'LISTADO EQUIPOS'!$C$63</f>
        <v>FORMALETA PARA BASE DE ESTRUCTURAS.</v>
      </c>
      <c r="B473" s="1807"/>
      <c r="C473" s="1819"/>
      <c r="D473" s="451">
        <f>+'LISTADO EQUIPOS'!$E$63</f>
        <v>45000</v>
      </c>
      <c r="E473" s="671">
        <v>0.05</v>
      </c>
      <c r="F473" s="698">
        <f>+E473*D473</f>
        <v>2250</v>
      </c>
      <c r="G473" s="672"/>
    </row>
    <row r="474" spans="1:7" ht="14.25" customHeight="1">
      <c r="A474" s="2003" t="s">
        <v>1560</v>
      </c>
      <c r="B474" s="1601"/>
      <c r="C474" s="1601"/>
      <c r="D474" s="1601"/>
      <c r="E474" s="1601"/>
      <c r="F474" s="1801"/>
      <c r="G474" s="436">
        <f>SUM(F472:F473)</f>
        <v>2535</v>
      </c>
    </row>
    <row r="475" spans="1:7" ht="14.25" customHeight="1">
      <c r="A475" s="423" t="s">
        <v>1561</v>
      </c>
      <c r="B475" s="416"/>
      <c r="C475" s="416"/>
      <c r="D475" s="416"/>
      <c r="E475" s="416"/>
      <c r="F475" s="416"/>
      <c r="G475" s="437"/>
    </row>
    <row r="476" spans="1:7" ht="14.25" customHeight="1">
      <c r="A476" s="1975" t="s">
        <v>1556</v>
      </c>
      <c r="B476" s="1801"/>
      <c r="C476" s="424" t="s">
        <v>6</v>
      </c>
      <c r="D476" s="424" t="s">
        <v>1562</v>
      </c>
      <c r="E476" s="424" t="s">
        <v>7</v>
      </c>
      <c r="F476" s="424" t="s">
        <v>1559</v>
      </c>
      <c r="G476" s="673"/>
    </row>
    <row r="477" spans="1:7" ht="23.25" customHeight="1">
      <c r="A477" s="1981" t="str">
        <f>+'ANALISIS BASICOS'!$A$100</f>
        <v xml:space="preserve">CONCRETO NORMAL - 2500 PSI (175 KG/CM2)  </v>
      </c>
      <c r="B477" s="1967"/>
      <c r="C477" s="674" t="str">
        <f>+'ANALISIS BASICOS'!$E$76</f>
        <v>M3</v>
      </c>
      <c r="D477" s="675">
        <f>+'ANALISIS BASICOS'!$G$100</f>
        <v>483582</v>
      </c>
      <c r="E477" s="674">
        <v>0.08</v>
      </c>
      <c r="F477" s="442">
        <f t="shared" ref="F477:F478" si="38">+E477*D477</f>
        <v>38686.559999999998</v>
      </c>
      <c r="G477" s="443"/>
    </row>
    <row r="478" spans="1:7" ht="14.25" customHeight="1">
      <c r="A478" s="1988" t="str">
        <f>+'LISTADO MATERIALES'!$C$723</f>
        <v>AGUA</v>
      </c>
      <c r="B478" s="1611"/>
      <c r="C478" s="677" t="str">
        <f>+'LISTADO MATERIALES'!$D$723</f>
        <v>LT</v>
      </c>
      <c r="D478" s="431">
        <f>+'LISTADO MATERIALES'!$E$723</f>
        <v>21</v>
      </c>
      <c r="E478" s="677">
        <v>5</v>
      </c>
      <c r="F478" s="689">
        <f t="shared" si="38"/>
        <v>105</v>
      </c>
      <c r="G478" s="445"/>
    </row>
    <row r="479" spans="1:7" ht="14.25" customHeight="1">
      <c r="A479" s="1988"/>
      <c r="B479" s="1611"/>
      <c r="C479" s="677"/>
      <c r="D479" s="431"/>
      <c r="E479" s="677"/>
      <c r="F479" s="431"/>
      <c r="G479" s="445"/>
    </row>
    <row r="480" spans="1:7" ht="14.25" customHeight="1">
      <c r="A480" s="1982"/>
      <c r="B480" s="1819"/>
      <c r="C480" s="678"/>
      <c r="D480" s="451"/>
      <c r="E480" s="678"/>
      <c r="F480" s="451"/>
      <c r="G480" s="456"/>
    </row>
    <row r="481" spans="1:7" ht="14.25" customHeight="1">
      <c r="A481" s="2003" t="s">
        <v>1560</v>
      </c>
      <c r="B481" s="1601"/>
      <c r="C481" s="1601"/>
      <c r="D481" s="1601"/>
      <c r="E481" s="1601"/>
      <c r="F481" s="1801"/>
      <c r="G481" s="436">
        <f>SUM(F477:F480)</f>
        <v>38791.56</v>
      </c>
    </row>
    <row r="482" spans="1:7" ht="14.25" customHeight="1">
      <c r="A482" s="423" t="s">
        <v>1563</v>
      </c>
      <c r="B482" s="416"/>
      <c r="C482" s="416"/>
      <c r="D482" s="416"/>
      <c r="E482" s="416"/>
      <c r="F482" s="416"/>
      <c r="G482" s="437"/>
    </row>
    <row r="483" spans="1:7" ht="14.25" customHeight="1">
      <c r="A483" s="1975" t="s">
        <v>1556</v>
      </c>
      <c r="B483" s="1801"/>
      <c r="C483" s="424" t="s">
        <v>6</v>
      </c>
      <c r="D483" s="424" t="s">
        <v>1562</v>
      </c>
      <c r="E483" s="424" t="s">
        <v>7</v>
      </c>
      <c r="F483" s="424" t="s">
        <v>1559</v>
      </c>
      <c r="G483" s="438"/>
    </row>
    <row r="484" spans="1:7" ht="14.25" customHeight="1">
      <c r="A484" s="1981"/>
      <c r="B484" s="1967"/>
      <c r="C484" s="448"/>
      <c r="D484" s="449"/>
      <c r="E484" s="450"/>
      <c r="F484" s="431"/>
      <c r="G484" s="443"/>
    </row>
    <row r="485" spans="1:7" ht="14.25" customHeight="1">
      <c r="A485" s="1982"/>
      <c r="B485" s="1819"/>
      <c r="C485" s="448"/>
      <c r="D485" s="451"/>
      <c r="E485" s="452"/>
      <c r="F485" s="451"/>
      <c r="G485" s="447"/>
    </row>
    <row r="486" spans="1:7" ht="14.25" customHeight="1">
      <c r="A486" s="2003"/>
      <c r="B486" s="1601"/>
      <c r="C486" s="1601"/>
      <c r="D486" s="1601"/>
      <c r="E486" s="1601"/>
      <c r="F486" s="1801"/>
      <c r="G486" s="436"/>
    </row>
    <row r="487" spans="1:7" ht="14.25" customHeight="1">
      <c r="A487" s="423" t="s">
        <v>1564</v>
      </c>
      <c r="B487" s="416"/>
      <c r="C487" s="416"/>
      <c r="D487" s="416"/>
      <c r="E487" s="416"/>
      <c r="F487" s="416"/>
      <c r="G487" s="437"/>
    </row>
    <row r="488" spans="1:7" ht="14.25" customHeight="1">
      <c r="A488" s="1975" t="s">
        <v>1565</v>
      </c>
      <c r="B488" s="1801"/>
      <c r="C488" s="424" t="s">
        <v>1566</v>
      </c>
      <c r="D488" s="424" t="s">
        <v>6</v>
      </c>
      <c r="E488" s="424" t="s">
        <v>7</v>
      </c>
      <c r="F488" s="424" t="s">
        <v>1559</v>
      </c>
      <c r="G488" s="462"/>
    </row>
    <row r="489" spans="1:7" ht="14.25" customHeight="1">
      <c r="A489" s="2004" t="str">
        <f>+'MANO DE OBRA'!$A$64</f>
        <v>Oficial (Incl. Prestaciones)</v>
      </c>
      <c r="B489" s="1888"/>
      <c r="C489" s="679">
        <f>+'MANO DE OBRA'!$E$64</f>
        <v>15031.25</v>
      </c>
      <c r="D489" s="680">
        <v>1</v>
      </c>
      <c r="E489" s="680">
        <v>2</v>
      </c>
      <c r="F489" s="694">
        <f t="shared" ref="F489:F490" si="39">+(C489*D489)/E489</f>
        <v>7515.625</v>
      </c>
      <c r="G489" s="443"/>
    </row>
    <row r="490" spans="1:7" ht="14.25" customHeight="1">
      <c r="A490" s="1968" t="str">
        <f>+'MANO DE OBRA'!$A$65</f>
        <v>Ayudante (Incl. Prestaciones)</v>
      </c>
      <c r="B490" s="1819"/>
      <c r="C490" s="681">
        <f>+'MANO DE OBRA'!$E$65</f>
        <v>10972.8125</v>
      </c>
      <c r="D490" s="562">
        <v>1</v>
      </c>
      <c r="E490" s="562">
        <f>+E489</f>
        <v>2</v>
      </c>
      <c r="F490" s="695">
        <f t="shared" si="39"/>
        <v>5486.40625</v>
      </c>
      <c r="G490" s="456"/>
    </row>
    <row r="491" spans="1:7" ht="14.25" customHeight="1">
      <c r="A491" s="2003" t="s">
        <v>1560</v>
      </c>
      <c r="B491" s="1601"/>
      <c r="C491" s="1601"/>
      <c r="D491" s="1601"/>
      <c r="E491" s="1601"/>
      <c r="F491" s="1801"/>
      <c r="G491" s="436">
        <f>SUM(F489:F490)</f>
        <v>13002.03125</v>
      </c>
    </row>
    <row r="492" spans="1:7" ht="14.25" customHeight="1">
      <c r="A492" s="416"/>
      <c r="B492" s="416"/>
      <c r="C492" s="416"/>
      <c r="D492" s="416"/>
      <c r="E492" s="416"/>
      <c r="F492" s="458"/>
      <c r="G492" s="437"/>
    </row>
    <row r="493" spans="1:7" ht="14.25" customHeight="1">
      <c r="A493" s="2003" t="s">
        <v>1567</v>
      </c>
      <c r="B493" s="1601"/>
      <c r="C493" s="1601"/>
      <c r="D493" s="1601"/>
      <c r="E493" s="1601"/>
      <c r="F493" s="1801"/>
      <c r="G493" s="682">
        <f>ROUND(G474+G481+G486+G491,0)</f>
        <v>54329</v>
      </c>
    </row>
    <row r="494" spans="1:7" ht="14.25" customHeight="1">
      <c r="A494" s="420"/>
      <c r="B494" s="420"/>
      <c r="C494" s="420"/>
      <c r="D494" s="420"/>
      <c r="E494" s="420"/>
      <c r="F494" s="420"/>
      <c r="G494" s="420"/>
    </row>
    <row r="495" spans="1:7" ht="14.25" customHeight="1">
      <c r="A495" s="420"/>
      <c r="B495" s="420"/>
      <c r="C495" s="420"/>
      <c r="D495" s="420"/>
      <c r="E495" s="420"/>
      <c r="F495" s="420"/>
      <c r="G495" s="420"/>
    </row>
    <row r="496" spans="1:7" ht="27.75" customHeight="1">
      <c r="A496" s="2005" t="s">
        <v>1604</v>
      </c>
      <c r="B496" s="1616"/>
      <c r="C496" s="1624"/>
      <c r="D496" s="567"/>
      <c r="E496" s="567"/>
      <c r="F496" s="567"/>
      <c r="G496" s="668"/>
    </row>
    <row r="497" spans="1:7" ht="27.75" customHeight="1">
      <c r="A497" s="1971"/>
      <c r="B497" s="1817"/>
      <c r="C497" s="1972"/>
      <c r="D497" s="669"/>
      <c r="E497" s="669"/>
      <c r="F497" s="669"/>
      <c r="G497" s="670"/>
    </row>
    <row r="498" spans="1:7" ht="14.25" customHeight="1">
      <c r="A498" s="416"/>
      <c r="B498" s="416"/>
      <c r="C498" s="416"/>
      <c r="D498" s="416"/>
      <c r="E498" s="416"/>
      <c r="F498" s="416"/>
      <c r="G498" s="416"/>
    </row>
    <row r="499" spans="1:7" ht="42.75" customHeight="1">
      <c r="A499" s="1973" t="str">
        <f>A11</f>
        <v>PRECIOS UNITARIOS OFICIALES 2014</v>
      </c>
      <c r="B499" s="1601"/>
      <c r="C499" s="1602"/>
      <c r="D499" s="1974" t="s">
        <v>1662</v>
      </c>
      <c r="E499" s="1601"/>
      <c r="F499" s="1601"/>
      <c r="G499" s="1602"/>
    </row>
    <row r="500" spans="1:7" ht="14.25" customHeight="1">
      <c r="A500" s="418"/>
      <c r="B500" s="418"/>
      <c r="C500" s="418"/>
      <c r="D500" s="418"/>
      <c r="E500" s="418"/>
      <c r="F500" s="418"/>
      <c r="G500" s="418"/>
    </row>
    <row r="501" spans="1:7" ht="14.25" customHeight="1">
      <c r="A501" s="419"/>
      <c r="B501" s="416"/>
      <c r="C501" s="420"/>
      <c r="D501" s="421" t="s">
        <v>1553</v>
      </c>
      <c r="E501" s="422" t="s">
        <v>120</v>
      </c>
      <c r="F501" s="572"/>
      <c r="G501" s="572"/>
    </row>
    <row r="502" spans="1:7" ht="14.25" customHeight="1">
      <c r="A502" s="423" t="s">
        <v>1555</v>
      </c>
      <c r="B502" s="416"/>
      <c r="C502" s="416"/>
      <c r="D502" s="416"/>
      <c r="E502" s="416"/>
      <c r="F502" s="416"/>
      <c r="G502" s="416"/>
    </row>
    <row r="503" spans="1:7" ht="14.25" customHeight="1">
      <c r="A503" s="1975" t="s">
        <v>1556</v>
      </c>
      <c r="B503" s="1601"/>
      <c r="C503" s="1801"/>
      <c r="D503" s="424" t="s">
        <v>208</v>
      </c>
      <c r="E503" s="424" t="s">
        <v>1558</v>
      </c>
      <c r="F503" s="424" t="s">
        <v>1559</v>
      </c>
      <c r="G503" s="425"/>
    </row>
    <row r="504" spans="1:7" ht="14.25" customHeight="1">
      <c r="A504" s="1981" t="str">
        <f>+'LISTADO EQUIPOS'!$C$22</f>
        <v>HERRAMIENTA MENOR.</v>
      </c>
      <c r="B504" s="1811"/>
      <c r="C504" s="1967"/>
      <c r="D504" s="449">
        <f>+'LISTADO EQUIPOS'!$E$22/8</f>
        <v>2850</v>
      </c>
      <c r="E504" s="427">
        <f>+E521</f>
        <v>0.8</v>
      </c>
      <c r="F504" s="428">
        <f t="shared" ref="F504:F505" si="40">+E504*D504</f>
        <v>2280</v>
      </c>
      <c r="G504" s="429"/>
    </row>
    <row r="505" spans="1:7" ht="24" customHeight="1">
      <c r="A505" s="1982" t="str">
        <f>+'LISTADO EQUIPOS'!$C$37</f>
        <v>VIBRADOR DE CONCRETO ELECTRICO O A GASOLINA.</v>
      </c>
      <c r="B505" s="1807"/>
      <c r="C505" s="1819"/>
      <c r="D505" s="451">
        <f>+'LISTADO EQUIPOS'!$E$37/8</f>
        <v>4950</v>
      </c>
      <c r="E505" s="671">
        <f>+E504</f>
        <v>0.8</v>
      </c>
      <c r="F505" s="698">
        <f t="shared" si="40"/>
        <v>3960</v>
      </c>
      <c r="G505" s="672"/>
    </row>
    <row r="506" spans="1:7" ht="14.25" customHeight="1">
      <c r="A506" s="2003" t="s">
        <v>1560</v>
      </c>
      <c r="B506" s="1601"/>
      <c r="C506" s="1601"/>
      <c r="D506" s="1601"/>
      <c r="E506" s="1601"/>
      <c r="F506" s="1801"/>
      <c r="G506" s="436">
        <f>SUM(F504:F505)</f>
        <v>6240</v>
      </c>
    </row>
    <row r="507" spans="1:7" ht="14.25" customHeight="1">
      <c r="A507" s="423" t="s">
        <v>1561</v>
      </c>
      <c r="B507" s="416"/>
      <c r="C507" s="416"/>
      <c r="D507" s="416"/>
      <c r="E507" s="416"/>
      <c r="F507" s="416"/>
      <c r="G507" s="437"/>
    </row>
    <row r="508" spans="1:7" ht="14.25" customHeight="1">
      <c r="A508" s="1975" t="s">
        <v>1556</v>
      </c>
      <c r="B508" s="1801"/>
      <c r="C508" s="424" t="s">
        <v>6</v>
      </c>
      <c r="D508" s="424" t="s">
        <v>1562</v>
      </c>
      <c r="E508" s="424" t="s">
        <v>7</v>
      </c>
      <c r="F508" s="424" t="s">
        <v>1559</v>
      </c>
      <c r="G508" s="673"/>
    </row>
    <row r="509" spans="1:7" ht="24" customHeight="1">
      <c r="A509" s="1987" t="str">
        <f>+'ANALISIS BASICOS'!$A$36</f>
        <v xml:space="preserve">CONCRETO NORMAL - 3000 PSI (210 KG/CM2) </v>
      </c>
      <c r="B509" s="1967"/>
      <c r="C509" s="674" t="str">
        <f>+'ANALISIS BASICOS'!$E$12</f>
        <v>M3</v>
      </c>
      <c r="D509" s="675">
        <f>+'ANALISIS BASICOS'!$G$36</f>
        <v>468441</v>
      </c>
      <c r="E509" s="687">
        <v>9.5000000000000001E-2</v>
      </c>
      <c r="F509" s="442">
        <f t="shared" ref="F509:F510" si="41">+E509*D509</f>
        <v>44501.895000000004</v>
      </c>
      <c r="G509" s="443"/>
    </row>
    <row r="510" spans="1:7" ht="14.25" customHeight="1">
      <c r="A510" s="1988" t="str">
        <f>+'ANALISIS BASICOS'!$A$360</f>
        <v>FORMALETA EN MADERA</v>
      </c>
      <c r="B510" s="1611"/>
      <c r="C510" s="677" t="str">
        <f>+'ANALISIS BASICOS'!$E$336</f>
        <v>M2</v>
      </c>
      <c r="D510" s="431">
        <f>+'ANALISIS BASICOS'!$G$360</f>
        <v>41998</v>
      </c>
      <c r="E510" s="430">
        <v>0.08</v>
      </c>
      <c r="F510" s="689">
        <f t="shared" si="41"/>
        <v>3359.84</v>
      </c>
      <c r="G510" s="445"/>
    </row>
    <row r="511" spans="1:7" ht="15.75" customHeight="1">
      <c r="A511" s="1988"/>
      <c r="B511" s="1611"/>
      <c r="C511" s="677"/>
      <c r="D511" s="431"/>
      <c r="E511" s="430"/>
      <c r="F511" s="431"/>
      <c r="G511" s="445"/>
    </row>
    <row r="512" spans="1:7" ht="15.75" customHeight="1">
      <c r="A512" s="1982"/>
      <c r="B512" s="1819"/>
      <c r="C512" s="678"/>
      <c r="D512" s="451"/>
      <c r="E512" s="678"/>
      <c r="F512" s="451"/>
      <c r="G512" s="456"/>
    </row>
    <row r="513" spans="1:7" ht="14.25" customHeight="1">
      <c r="A513" s="2003" t="s">
        <v>1560</v>
      </c>
      <c r="B513" s="1601"/>
      <c r="C513" s="1601"/>
      <c r="D513" s="1601"/>
      <c r="E513" s="1601"/>
      <c r="F513" s="1801"/>
      <c r="G513" s="436">
        <f>SUM(F509:F512)</f>
        <v>47861.735000000001</v>
      </c>
    </row>
    <row r="514" spans="1:7" ht="14.25" customHeight="1">
      <c r="A514" s="423" t="s">
        <v>1563</v>
      </c>
      <c r="B514" s="416"/>
      <c r="C514" s="416"/>
      <c r="D514" s="416"/>
      <c r="E514" s="416"/>
      <c r="F514" s="416"/>
      <c r="G514" s="437"/>
    </row>
    <row r="515" spans="1:7" ht="14.25" customHeight="1">
      <c r="A515" s="1975" t="s">
        <v>1556</v>
      </c>
      <c r="B515" s="1801"/>
      <c r="C515" s="424" t="s">
        <v>6</v>
      </c>
      <c r="D515" s="424" t="s">
        <v>1562</v>
      </c>
      <c r="E515" s="424" t="s">
        <v>7</v>
      </c>
      <c r="F515" s="424" t="s">
        <v>1559</v>
      </c>
      <c r="G515" s="438"/>
    </row>
    <row r="516" spans="1:7" ht="14.25" customHeight="1">
      <c r="A516" s="1981"/>
      <c r="B516" s="1967"/>
      <c r="C516" s="448"/>
      <c r="D516" s="449"/>
      <c r="E516" s="450"/>
      <c r="F516" s="431"/>
      <c r="G516" s="443"/>
    </row>
    <row r="517" spans="1:7" ht="14.25" customHeight="1">
      <c r="A517" s="1982"/>
      <c r="B517" s="1819"/>
      <c r="C517" s="448"/>
      <c r="D517" s="451"/>
      <c r="E517" s="452"/>
      <c r="F517" s="451"/>
      <c r="G517" s="447"/>
    </row>
    <row r="518" spans="1:7" ht="14.25" customHeight="1">
      <c r="A518" s="2003" t="s">
        <v>1560</v>
      </c>
      <c r="B518" s="1601"/>
      <c r="C518" s="1601"/>
      <c r="D518" s="1601"/>
      <c r="E518" s="1601"/>
      <c r="F518" s="1801"/>
      <c r="G518" s="436"/>
    </row>
    <row r="519" spans="1:7" ht="14.25" customHeight="1">
      <c r="A519" s="423" t="s">
        <v>1564</v>
      </c>
      <c r="B519" s="416"/>
      <c r="C519" s="416"/>
      <c r="D519" s="416"/>
      <c r="E519" s="416"/>
      <c r="F519" s="416"/>
      <c r="G519" s="437"/>
    </row>
    <row r="520" spans="1:7" ht="14.25" customHeight="1">
      <c r="A520" s="1975" t="s">
        <v>1565</v>
      </c>
      <c r="B520" s="1801"/>
      <c r="C520" s="424" t="s">
        <v>1566</v>
      </c>
      <c r="D520" s="424" t="s">
        <v>6</v>
      </c>
      <c r="E520" s="424" t="s">
        <v>7</v>
      </c>
      <c r="F520" s="424" t="s">
        <v>1559</v>
      </c>
      <c r="G520" s="462"/>
    </row>
    <row r="521" spans="1:7" ht="14.25" customHeight="1">
      <c r="A521" s="2004" t="str">
        <f>+'MANO DE OBRA'!$A$64</f>
        <v>Oficial (Incl. Prestaciones)</v>
      </c>
      <c r="B521" s="1888"/>
      <c r="C521" s="679">
        <f>+'MANO DE OBRA'!$E$64</f>
        <v>15031.25</v>
      </c>
      <c r="D521" s="680">
        <v>1</v>
      </c>
      <c r="E521" s="680">
        <v>0.8</v>
      </c>
      <c r="F521" s="694">
        <f t="shared" ref="F521:F522" si="42">+(C521*D521)*E521</f>
        <v>12025</v>
      </c>
      <c r="G521" s="443"/>
    </row>
    <row r="522" spans="1:7" ht="14.25" customHeight="1">
      <c r="A522" s="1968" t="str">
        <f>+'MANO DE OBRA'!$A$65</f>
        <v>Ayudante (Incl. Prestaciones)</v>
      </c>
      <c r="B522" s="1819"/>
      <c r="C522" s="681">
        <f>+'MANO DE OBRA'!$E$65</f>
        <v>10972.8125</v>
      </c>
      <c r="D522" s="562">
        <v>1</v>
      </c>
      <c r="E522" s="562">
        <f>+E521</f>
        <v>0.8</v>
      </c>
      <c r="F522" s="695">
        <f t="shared" si="42"/>
        <v>8778.25</v>
      </c>
      <c r="G522" s="456"/>
    </row>
    <row r="523" spans="1:7" ht="14.25" customHeight="1">
      <c r="A523" s="2003" t="str">
        <f>+A518</f>
        <v>SUB-TOTAL</v>
      </c>
      <c r="B523" s="1601"/>
      <c r="C523" s="1601"/>
      <c r="D523" s="1601"/>
      <c r="E523" s="1601"/>
      <c r="F523" s="1801"/>
      <c r="G523" s="436">
        <f>SUM(F521:F522)</f>
        <v>20803.25</v>
      </c>
    </row>
    <row r="524" spans="1:7" ht="14.25" customHeight="1">
      <c r="A524" s="416"/>
      <c r="B524" s="416"/>
      <c r="C524" s="416"/>
      <c r="D524" s="416"/>
      <c r="E524" s="416"/>
      <c r="F524" s="458"/>
      <c r="G524" s="437"/>
    </row>
    <row r="525" spans="1:7" ht="14.25" customHeight="1">
      <c r="A525" s="2003" t="s">
        <v>1567</v>
      </c>
      <c r="B525" s="1601"/>
      <c r="C525" s="1601"/>
      <c r="D525" s="1601"/>
      <c r="E525" s="1601"/>
      <c r="F525" s="1801"/>
      <c r="G525" s="682">
        <f>ROUND(G506+G513+G518+G523,0)</f>
        <v>74905</v>
      </c>
    </row>
    <row r="526" spans="1:7" ht="14.25" customHeight="1">
      <c r="A526" s="420"/>
      <c r="B526" s="420"/>
      <c r="C526" s="420"/>
      <c r="D526" s="420"/>
      <c r="E526" s="420"/>
      <c r="F526" s="420"/>
      <c r="G526" s="420"/>
    </row>
    <row r="527" spans="1:7" ht="14.25" customHeight="1">
      <c r="A527" s="420"/>
      <c r="B527" s="420"/>
      <c r="C527" s="420"/>
      <c r="D527" s="420"/>
      <c r="E527" s="420"/>
      <c r="F527" s="420"/>
      <c r="G527" s="420"/>
    </row>
    <row r="528" spans="1:7" ht="21.75" customHeight="1">
      <c r="A528" s="2005" t="s">
        <v>1604</v>
      </c>
      <c r="B528" s="1616"/>
      <c r="C528" s="1624"/>
      <c r="D528" s="567"/>
      <c r="E528" s="567"/>
      <c r="F528" s="567"/>
      <c r="G528" s="668"/>
    </row>
    <row r="529" spans="1:7" ht="27.75" customHeight="1">
      <c r="A529" s="1971"/>
      <c r="B529" s="1817"/>
      <c r="C529" s="1972"/>
      <c r="D529" s="669"/>
      <c r="E529" s="669"/>
      <c r="F529" s="669"/>
      <c r="G529" s="670"/>
    </row>
    <row r="530" spans="1:7" ht="14.25" customHeight="1">
      <c r="A530" s="416"/>
      <c r="B530" s="416"/>
      <c r="C530" s="416"/>
      <c r="D530" s="416"/>
      <c r="E530" s="416"/>
      <c r="F530" s="416"/>
      <c r="G530" s="416"/>
    </row>
    <row r="531" spans="1:7" ht="34.5" customHeight="1">
      <c r="A531" s="1973" t="str">
        <f>A11</f>
        <v>PRECIOS UNITARIOS OFICIALES 2014</v>
      </c>
      <c r="B531" s="1601"/>
      <c r="C531" s="1602"/>
      <c r="D531" s="1974" t="s">
        <v>1663</v>
      </c>
      <c r="E531" s="1601"/>
      <c r="F531" s="1601"/>
      <c r="G531" s="1602"/>
    </row>
    <row r="532" spans="1:7" ht="14.25" customHeight="1">
      <c r="A532" s="418"/>
      <c r="B532" s="418"/>
      <c r="C532" s="418"/>
      <c r="D532" s="418"/>
      <c r="E532" s="418"/>
      <c r="F532" s="418"/>
      <c r="G532" s="418"/>
    </row>
    <row r="533" spans="1:7" ht="14.25" customHeight="1">
      <c r="A533" s="419"/>
      <c r="B533" s="416"/>
      <c r="C533" s="420"/>
      <c r="D533" s="421" t="s">
        <v>1553</v>
      </c>
      <c r="E533" s="422" t="s">
        <v>127</v>
      </c>
      <c r="F533" s="572"/>
      <c r="G533" s="572"/>
    </row>
    <row r="534" spans="1:7" ht="14.25" customHeight="1">
      <c r="A534" s="423" t="s">
        <v>1555</v>
      </c>
      <c r="B534" s="416"/>
      <c r="C534" s="416"/>
      <c r="D534" s="416"/>
      <c r="E534" s="416"/>
      <c r="F534" s="416"/>
      <c r="G534" s="416"/>
    </row>
    <row r="535" spans="1:7" ht="14.25" customHeight="1">
      <c r="A535" s="1975" t="s">
        <v>1556</v>
      </c>
      <c r="B535" s="1601"/>
      <c r="C535" s="1801"/>
      <c r="D535" s="424" t="s">
        <v>208</v>
      </c>
      <c r="E535" s="424" t="s">
        <v>1558</v>
      </c>
      <c r="F535" s="424" t="s">
        <v>1559</v>
      </c>
      <c r="G535" s="425"/>
    </row>
    <row r="536" spans="1:7" ht="14.25" customHeight="1">
      <c r="A536" s="1981" t="str">
        <f>+'LISTADO EQUIPOS'!$C$22</f>
        <v>HERRAMIENTA MENOR.</v>
      </c>
      <c r="B536" s="1811"/>
      <c r="C536" s="1967"/>
      <c r="D536" s="449">
        <f>+'LISTADO EQUIPOS'!$E$22/8</f>
        <v>2850</v>
      </c>
      <c r="E536" s="427">
        <f>+E552</f>
        <v>5</v>
      </c>
      <c r="F536" s="428">
        <f>+E536*D536</f>
        <v>14250</v>
      </c>
      <c r="G536" s="429"/>
    </row>
    <row r="537" spans="1:7" ht="14.25" customHeight="1">
      <c r="A537" s="1982"/>
      <c r="B537" s="1807"/>
      <c r="C537" s="1819"/>
      <c r="D537" s="451"/>
      <c r="E537" s="671"/>
      <c r="F537" s="451"/>
      <c r="G537" s="672"/>
    </row>
    <row r="538" spans="1:7" ht="14.25" customHeight="1">
      <c r="A538" s="2003" t="s">
        <v>1560</v>
      </c>
      <c r="B538" s="1601"/>
      <c r="C538" s="1601"/>
      <c r="D538" s="1601"/>
      <c r="E538" s="1601"/>
      <c r="F538" s="1801"/>
      <c r="G538" s="436">
        <f>SUM(F536:F537)</f>
        <v>14250</v>
      </c>
    </row>
    <row r="539" spans="1:7" ht="14.25" customHeight="1">
      <c r="A539" s="423" t="s">
        <v>1561</v>
      </c>
      <c r="B539" s="416"/>
      <c r="C539" s="416"/>
      <c r="D539" s="416"/>
      <c r="E539" s="416"/>
      <c r="F539" s="416"/>
      <c r="G539" s="437"/>
    </row>
    <row r="540" spans="1:7" ht="14.25" customHeight="1">
      <c r="A540" s="1975" t="s">
        <v>1556</v>
      </c>
      <c r="B540" s="1801"/>
      <c r="C540" s="424" t="s">
        <v>6</v>
      </c>
      <c r="D540" s="424" t="s">
        <v>1562</v>
      </c>
      <c r="E540" s="424" t="s">
        <v>7</v>
      </c>
      <c r="F540" s="424" t="s">
        <v>1559</v>
      </c>
      <c r="G540" s="673"/>
    </row>
    <row r="541" spans="1:7" ht="24" customHeight="1">
      <c r="A541" s="1981" t="str">
        <f>+'ANALISIS BASICOS'!$A$36</f>
        <v xml:space="preserve">CONCRETO NORMAL - 3000 PSI (210 KG/CM2) </v>
      </c>
      <c r="B541" s="1967"/>
      <c r="C541" s="674" t="str">
        <f>+'ANALISIS BASICOS'!$E$12</f>
        <v>M3</v>
      </c>
      <c r="D541" s="675">
        <f>+'ANALISIS BASICOS'!$G$36</f>
        <v>468441</v>
      </c>
      <c r="E541" s="687">
        <v>0.4</v>
      </c>
      <c r="F541" s="442">
        <f t="shared" ref="F541:F542" si="43">+E541*D541</f>
        <v>187376.40000000002</v>
      </c>
      <c r="G541" s="443"/>
    </row>
    <row r="542" spans="1:7" ht="14.25" customHeight="1">
      <c r="A542" s="1988" t="str">
        <f>+'LISTADO MATERIALES'!$C$723</f>
        <v>AGUA</v>
      </c>
      <c r="B542" s="1611"/>
      <c r="C542" s="677" t="str">
        <f>+'LISTADO MATERIALES'!$D$723</f>
        <v>LT</v>
      </c>
      <c r="D542" s="431">
        <f>+'LISTADO MATERIALES'!$E$723</f>
        <v>21</v>
      </c>
      <c r="E542" s="430">
        <v>50</v>
      </c>
      <c r="F542" s="689">
        <f t="shared" si="43"/>
        <v>1050</v>
      </c>
      <c r="G542" s="445"/>
    </row>
    <row r="543" spans="1:7" ht="14.25" customHeight="1">
      <c r="A543" s="1982"/>
      <c r="B543" s="1819"/>
      <c r="C543" s="678"/>
      <c r="D543" s="451"/>
      <c r="E543" s="678"/>
      <c r="F543" s="451"/>
      <c r="G543" s="456"/>
    </row>
    <row r="544" spans="1:7" ht="14.25" customHeight="1">
      <c r="A544" s="2003" t="s">
        <v>1560</v>
      </c>
      <c r="B544" s="1601"/>
      <c r="C544" s="1601"/>
      <c r="D544" s="1601"/>
      <c r="E544" s="1601"/>
      <c r="F544" s="1801"/>
      <c r="G544" s="436">
        <f>SUM(F541:F543)</f>
        <v>188426.40000000002</v>
      </c>
    </row>
    <row r="545" spans="1:7" ht="14.25" customHeight="1">
      <c r="A545" s="423" t="s">
        <v>1563</v>
      </c>
      <c r="B545" s="416"/>
      <c r="C545" s="416"/>
      <c r="D545" s="416"/>
      <c r="E545" s="416"/>
      <c r="F545" s="416"/>
      <c r="G545" s="437"/>
    </row>
    <row r="546" spans="1:7" ht="14.25" customHeight="1">
      <c r="A546" s="1975" t="s">
        <v>1556</v>
      </c>
      <c r="B546" s="1801"/>
      <c r="C546" s="424" t="s">
        <v>6</v>
      </c>
      <c r="D546" s="424" t="s">
        <v>1562</v>
      </c>
      <c r="E546" s="424" t="s">
        <v>7</v>
      </c>
      <c r="F546" s="424" t="s">
        <v>1559</v>
      </c>
      <c r="G546" s="438"/>
    </row>
    <row r="547" spans="1:7" ht="14.25" customHeight="1">
      <c r="A547" s="1981"/>
      <c r="B547" s="1967"/>
      <c r="C547" s="448"/>
      <c r="D547" s="449"/>
      <c r="E547" s="450"/>
      <c r="F547" s="431"/>
      <c r="G547" s="443"/>
    </row>
    <row r="548" spans="1:7" ht="14.25" customHeight="1">
      <c r="A548" s="1982"/>
      <c r="B548" s="1819"/>
      <c r="C548" s="448"/>
      <c r="D548" s="451"/>
      <c r="E548" s="452"/>
      <c r="F548" s="451"/>
      <c r="G548" s="447"/>
    </row>
    <row r="549" spans="1:7" ht="14.25" customHeight="1">
      <c r="A549" s="2003"/>
      <c r="B549" s="1601"/>
      <c r="C549" s="1601"/>
      <c r="D549" s="1601"/>
      <c r="E549" s="1601"/>
      <c r="F549" s="1801"/>
      <c r="G549" s="436"/>
    </row>
    <row r="550" spans="1:7" ht="14.25" customHeight="1">
      <c r="A550" s="423" t="s">
        <v>1564</v>
      </c>
      <c r="B550" s="416"/>
      <c r="C550" s="416"/>
      <c r="D550" s="416"/>
      <c r="E550" s="416"/>
      <c r="F550" s="416"/>
      <c r="G550" s="437"/>
    </row>
    <row r="551" spans="1:7" ht="14.25" customHeight="1">
      <c r="A551" s="1975" t="s">
        <v>1565</v>
      </c>
      <c r="B551" s="1801"/>
      <c r="C551" s="424" t="s">
        <v>1566</v>
      </c>
      <c r="D551" s="424" t="s">
        <v>6</v>
      </c>
      <c r="E551" s="424" t="s">
        <v>7</v>
      </c>
      <c r="F551" s="424" t="s">
        <v>1559</v>
      </c>
      <c r="G551" s="462"/>
    </row>
    <row r="552" spans="1:7" ht="12.75" customHeight="1">
      <c r="A552" s="2004" t="str">
        <f>+'MANO DE OBRA'!$A$64</f>
        <v>Oficial (Incl. Prestaciones)</v>
      </c>
      <c r="B552" s="1888"/>
      <c r="C552" s="679">
        <f>+'MANO DE OBRA'!$E$64</f>
        <v>15031.25</v>
      </c>
      <c r="D552" s="680">
        <v>1</v>
      </c>
      <c r="E552" s="680">
        <v>5</v>
      </c>
      <c r="F552" s="694">
        <f t="shared" ref="F552:F553" si="44">+(C552*D552)*E552</f>
        <v>75156.25</v>
      </c>
      <c r="G552" s="443"/>
    </row>
    <row r="553" spans="1:7" ht="13.5" customHeight="1">
      <c r="A553" s="1968" t="str">
        <f>+'MANO DE OBRA'!$A$65</f>
        <v>Ayudante (Incl. Prestaciones)</v>
      </c>
      <c r="B553" s="1819"/>
      <c r="C553" s="681">
        <f>+'MANO DE OBRA'!$E$65</f>
        <v>10972.8125</v>
      </c>
      <c r="D553" s="562">
        <v>2</v>
      </c>
      <c r="E553" s="562">
        <f>+E552</f>
        <v>5</v>
      </c>
      <c r="F553" s="695">
        <f t="shared" si="44"/>
        <v>109728.125</v>
      </c>
      <c r="G553" s="456"/>
    </row>
    <row r="554" spans="1:7" ht="14.25" customHeight="1">
      <c r="A554" s="2003" t="s">
        <v>1560</v>
      </c>
      <c r="B554" s="1601"/>
      <c r="C554" s="1601"/>
      <c r="D554" s="1601"/>
      <c r="E554" s="1601"/>
      <c r="F554" s="1801"/>
      <c r="G554" s="436">
        <f>SUM(F552:F553)</f>
        <v>184884.375</v>
      </c>
    </row>
    <row r="555" spans="1:7" ht="14.25" customHeight="1">
      <c r="A555" s="416"/>
      <c r="B555" s="416"/>
      <c r="C555" s="416"/>
      <c r="D555" s="416"/>
      <c r="E555" s="416"/>
      <c r="F555" s="458"/>
      <c r="G555" s="437"/>
    </row>
    <row r="556" spans="1:7" ht="14.25" customHeight="1">
      <c r="A556" s="2003" t="s">
        <v>1567</v>
      </c>
      <c r="B556" s="1601"/>
      <c r="C556" s="1601"/>
      <c r="D556" s="1601"/>
      <c r="E556" s="1601"/>
      <c r="F556" s="1801"/>
      <c r="G556" s="682">
        <f>ROUND(G538+G544+G549+G554,0)</f>
        <v>387561</v>
      </c>
    </row>
    <row r="557" spans="1:7" ht="14.25" customHeight="1">
      <c r="A557" s="420"/>
      <c r="B557" s="420"/>
      <c r="C557" s="420"/>
      <c r="D557" s="420"/>
      <c r="E557" s="420"/>
      <c r="F557" s="420"/>
      <c r="G557" s="420"/>
    </row>
    <row r="558" spans="1:7" ht="14.25" customHeight="1">
      <c r="A558" s="420"/>
      <c r="B558" s="420"/>
      <c r="C558" s="420"/>
      <c r="D558" s="420"/>
      <c r="E558" s="420"/>
      <c r="F558" s="420"/>
      <c r="G558" s="420"/>
    </row>
    <row r="559" spans="1:7" ht="24" customHeight="1">
      <c r="A559" s="2005" t="s">
        <v>1604</v>
      </c>
      <c r="B559" s="1616"/>
      <c r="C559" s="1624"/>
      <c r="D559" s="567"/>
      <c r="E559" s="567"/>
      <c r="F559" s="567"/>
      <c r="G559" s="668"/>
    </row>
    <row r="560" spans="1:7" ht="33.75" customHeight="1">
      <c r="A560" s="1971"/>
      <c r="B560" s="1817"/>
      <c r="C560" s="1972"/>
      <c r="D560" s="669"/>
      <c r="E560" s="669"/>
      <c r="F560" s="669"/>
      <c r="G560" s="670"/>
    </row>
    <row r="562" spans="1:7" ht="33" customHeight="1">
      <c r="A562" s="1973" t="str">
        <f>A11</f>
        <v>PRECIOS UNITARIOS OFICIALES 2014</v>
      </c>
      <c r="B562" s="1601"/>
      <c r="C562" s="1602"/>
      <c r="D562" s="1974" t="s">
        <v>1664</v>
      </c>
      <c r="E562" s="1601"/>
      <c r="F562" s="1601"/>
      <c r="G562" s="1602"/>
    </row>
    <row r="563" spans="1:7" ht="14.25" customHeight="1">
      <c r="A563" s="418"/>
      <c r="B563" s="418"/>
      <c r="C563" s="418"/>
      <c r="D563" s="418"/>
      <c r="E563" s="418"/>
      <c r="F563" s="418"/>
      <c r="G563" s="418"/>
    </row>
    <row r="564" spans="1:7" ht="14.25" customHeight="1">
      <c r="A564" s="419"/>
      <c r="B564" s="416"/>
      <c r="C564" s="420"/>
      <c r="D564" s="421" t="s">
        <v>1553</v>
      </c>
      <c r="E564" s="422" t="s">
        <v>228</v>
      </c>
      <c r="F564" s="572"/>
      <c r="G564" s="572"/>
    </row>
    <row r="565" spans="1:7" ht="14.25" customHeight="1">
      <c r="A565" s="423" t="s">
        <v>1555</v>
      </c>
      <c r="B565" s="416"/>
      <c r="C565" s="416"/>
      <c r="D565" s="416"/>
      <c r="E565" s="416"/>
      <c r="F565" s="416"/>
      <c r="G565" s="416"/>
    </row>
    <row r="566" spans="1:7" ht="14.25" customHeight="1">
      <c r="A566" s="1975" t="s">
        <v>1556</v>
      </c>
      <c r="B566" s="1601"/>
      <c r="C566" s="1801"/>
      <c r="D566" s="424" t="s">
        <v>208</v>
      </c>
      <c r="E566" s="424" t="s">
        <v>1558</v>
      </c>
      <c r="F566" s="424" t="s">
        <v>1559</v>
      </c>
      <c r="G566" s="425"/>
    </row>
    <row r="567" spans="1:7" ht="14.25" customHeight="1">
      <c r="A567" s="1981" t="str">
        <f>+'LISTADO EQUIPOS'!$C$22</f>
        <v>HERRAMIENTA MENOR.</v>
      </c>
      <c r="B567" s="1811"/>
      <c r="C567" s="1967"/>
      <c r="D567" s="449">
        <f>+'LISTADO EQUIPOS'!$E$22/8</f>
        <v>2850</v>
      </c>
      <c r="E567" s="427">
        <f>+E591</f>
        <v>0.5</v>
      </c>
      <c r="F567" s="428">
        <f t="shared" ref="F567:F568" si="45">+E567*D567</f>
        <v>1425</v>
      </c>
      <c r="G567" s="429"/>
    </row>
    <row r="568" spans="1:7" ht="14.25" customHeight="1">
      <c r="A568" s="1982">
        <f>+'LISTADO EQUIPOS'!C583</f>
        <v>0</v>
      </c>
      <c r="B568" s="1807"/>
      <c r="C568" s="1819"/>
      <c r="D568" s="451">
        <f>+'LISTADO EQUIPOS'!E583*0.05</f>
        <v>0</v>
      </c>
      <c r="E568" s="671">
        <v>1</v>
      </c>
      <c r="F568" s="451">
        <f t="shared" si="45"/>
        <v>0</v>
      </c>
      <c r="G568" s="672"/>
    </row>
    <row r="569" spans="1:7" ht="14.25" customHeight="1">
      <c r="A569" s="2003" t="s">
        <v>1560</v>
      </c>
      <c r="B569" s="1601"/>
      <c r="C569" s="1601"/>
      <c r="D569" s="1601"/>
      <c r="E569" s="1601"/>
      <c r="F569" s="1801"/>
      <c r="G569" s="436">
        <f>SUM(F567:F568)</f>
        <v>1425</v>
      </c>
    </row>
    <row r="577" spans="1:7" ht="14.25" customHeight="1">
      <c r="A577" s="423" t="s">
        <v>1561</v>
      </c>
      <c r="B577" s="416"/>
      <c r="C577" s="416"/>
      <c r="D577" s="416"/>
      <c r="E577" s="416"/>
      <c r="F577" s="416"/>
      <c r="G577" s="437"/>
    </row>
    <row r="578" spans="1:7" ht="14.25" customHeight="1">
      <c r="A578" s="1975" t="s">
        <v>1556</v>
      </c>
      <c r="B578" s="1801"/>
      <c r="C578" s="424" t="s">
        <v>6</v>
      </c>
      <c r="D578" s="424" t="s">
        <v>1562</v>
      </c>
      <c r="E578" s="424" t="s">
        <v>7</v>
      </c>
      <c r="F578" s="424" t="s">
        <v>1559</v>
      </c>
      <c r="G578" s="673"/>
    </row>
    <row r="579" spans="1:7" ht="26.25" customHeight="1">
      <c r="A579" s="1987" t="str">
        <f>+'ANALISIS BASICOS'!$A$132</f>
        <v xml:space="preserve">CONCRETO NORMAL - 1700 PSI (140 KG/CM2)  </v>
      </c>
      <c r="B579" s="1967"/>
      <c r="C579" s="674" t="str">
        <f>+'ANALISIS BASICOS'!$E$108</f>
        <v>M3</v>
      </c>
      <c r="D579" s="675">
        <f>+'ANALISIS BASICOS'!$G$132</f>
        <v>342401</v>
      </c>
      <c r="E579" s="687">
        <f>1*0.05</f>
        <v>0.05</v>
      </c>
      <c r="F579" s="442">
        <f t="shared" ref="F579:F580" si="46">+E579*D579</f>
        <v>17120.05</v>
      </c>
      <c r="G579" s="676"/>
    </row>
    <row r="580" spans="1:7" ht="14.25" customHeight="1">
      <c r="A580" s="1988" t="str">
        <f>+'LISTADO MATERIALES'!$C$723</f>
        <v>AGUA</v>
      </c>
      <c r="B580" s="1611"/>
      <c r="C580" s="677" t="str">
        <f>+'LISTADO MATERIALES'!$D$723</f>
        <v>LT</v>
      </c>
      <c r="D580" s="431">
        <f>+'LISTADO MATERIALES'!$E$723</f>
        <v>21</v>
      </c>
      <c r="E580" s="677">
        <f>50*0.05</f>
        <v>2.5</v>
      </c>
      <c r="F580" s="689">
        <f t="shared" si="46"/>
        <v>52.5</v>
      </c>
      <c r="G580" s="445"/>
    </row>
    <row r="581" spans="1:7" ht="14.25" customHeight="1">
      <c r="A581" s="1988"/>
      <c r="B581" s="1611"/>
      <c r="C581" s="677"/>
      <c r="D581" s="431"/>
      <c r="E581" s="677"/>
      <c r="F581" s="431"/>
      <c r="G581" s="445"/>
    </row>
    <row r="582" spans="1:7" ht="14.25" customHeight="1">
      <c r="A582" s="1982"/>
      <c r="B582" s="1819"/>
      <c r="C582" s="678"/>
      <c r="D582" s="451"/>
      <c r="E582" s="678"/>
      <c r="F582" s="451"/>
      <c r="G582" s="456"/>
    </row>
    <row r="583" spans="1:7" ht="14.25" customHeight="1">
      <c r="A583" s="2003" t="s">
        <v>1560</v>
      </c>
      <c r="B583" s="1601"/>
      <c r="C583" s="1601"/>
      <c r="D583" s="1601"/>
      <c r="E583" s="1601"/>
      <c r="F583" s="1801"/>
      <c r="G583" s="436">
        <f>SUM(F579:F582)</f>
        <v>17172.55</v>
      </c>
    </row>
    <row r="584" spans="1:7" ht="14.25" customHeight="1">
      <c r="A584" s="423" t="s">
        <v>1563</v>
      </c>
      <c r="B584" s="416"/>
      <c r="C584" s="416"/>
      <c r="D584" s="416"/>
      <c r="E584" s="416"/>
      <c r="F584" s="416"/>
      <c r="G584" s="437"/>
    </row>
    <row r="585" spans="1:7" ht="14.25" customHeight="1">
      <c r="A585" s="1975" t="s">
        <v>1556</v>
      </c>
      <c r="B585" s="1801"/>
      <c r="C585" s="424" t="s">
        <v>6</v>
      </c>
      <c r="D585" s="424" t="s">
        <v>1562</v>
      </c>
      <c r="E585" s="424" t="s">
        <v>7</v>
      </c>
      <c r="F585" s="424" t="s">
        <v>1559</v>
      </c>
      <c r="G585" s="438"/>
    </row>
    <row r="586" spans="1:7" ht="14.25" customHeight="1">
      <c r="A586" s="1981"/>
      <c r="B586" s="1967"/>
      <c r="C586" s="448"/>
      <c r="D586" s="449"/>
      <c r="E586" s="450"/>
      <c r="F586" s="431"/>
      <c r="G586" s="443"/>
    </row>
    <row r="587" spans="1:7" ht="14.25" customHeight="1">
      <c r="A587" s="1982"/>
      <c r="B587" s="1819"/>
      <c r="C587" s="448"/>
      <c r="D587" s="451"/>
      <c r="E587" s="452"/>
      <c r="F587" s="451"/>
      <c r="G587" s="447"/>
    </row>
    <row r="588" spans="1:7" ht="14.25" customHeight="1">
      <c r="A588" s="2003" t="s">
        <v>1560</v>
      </c>
      <c r="B588" s="1601"/>
      <c r="C588" s="1601"/>
      <c r="D588" s="1601"/>
      <c r="E588" s="1601"/>
      <c r="F588" s="1801"/>
      <c r="G588" s="436"/>
    </row>
    <row r="589" spans="1:7" ht="14.25" customHeight="1">
      <c r="A589" s="423" t="s">
        <v>1564</v>
      </c>
      <c r="B589" s="416"/>
      <c r="C589" s="416"/>
      <c r="D589" s="416"/>
      <c r="E589" s="416"/>
      <c r="F589" s="416"/>
      <c r="G589" s="437"/>
    </row>
    <row r="590" spans="1:7" ht="14.25" customHeight="1">
      <c r="A590" s="1975" t="s">
        <v>1565</v>
      </c>
      <c r="B590" s="1801"/>
      <c r="C590" s="424" t="s">
        <v>1566</v>
      </c>
      <c r="D590" s="424" t="s">
        <v>6</v>
      </c>
      <c r="E590" s="424" t="s">
        <v>7</v>
      </c>
      <c r="F590" s="424" t="s">
        <v>1559</v>
      </c>
      <c r="G590" s="462"/>
    </row>
    <row r="591" spans="1:7" ht="14.25" customHeight="1">
      <c r="A591" s="2004" t="str">
        <f>+'MANO DE OBRA'!$A$64</f>
        <v>Oficial (Incl. Prestaciones)</v>
      </c>
      <c r="B591" s="1888"/>
      <c r="C591" s="679">
        <f>+'MANO DE OBRA'!$E$64</f>
        <v>15031.25</v>
      </c>
      <c r="D591" s="680">
        <v>1</v>
      </c>
      <c r="E591" s="680">
        <v>0.5</v>
      </c>
      <c r="F591" s="694">
        <f t="shared" ref="F591:F592" si="47">+(C591*D591)*E591</f>
        <v>7515.625</v>
      </c>
      <c r="G591" s="443"/>
    </row>
    <row r="592" spans="1:7" ht="14.25" customHeight="1">
      <c r="A592" s="1968" t="str">
        <f>+'MANO DE OBRA'!$A$65</f>
        <v>Ayudante (Incl. Prestaciones)</v>
      </c>
      <c r="B592" s="1819"/>
      <c r="C592" s="681">
        <f>+'MANO DE OBRA'!$E$65</f>
        <v>10972.8125</v>
      </c>
      <c r="D592" s="562">
        <v>1</v>
      </c>
      <c r="E592" s="562">
        <f>+E591</f>
        <v>0.5</v>
      </c>
      <c r="F592" s="695">
        <f t="shared" si="47"/>
        <v>5486.40625</v>
      </c>
      <c r="G592" s="456"/>
    </row>
    <row r="593" spans="1:7" ht="14.25" customHeight="1">
      <c r="A593" s="2003" t="str">
        <f>+A588</f>
        <v>SUB-TOTAL</v>
      </c>
      <c r="B593" s="1601"/>
      <c r="C593" s="1601"/>
      <c r="D593" s="1601"/>
      <c r="E593" s="1601"/>
      <c r="F593" s="1801"/>
      <c r="G593" s="436">
        <f>SUM(F591:F592)</f>
        <v>13002.03125</v>
      </c>
    </row>
    <row r="594" spans="1:7" ht="14.25" customHeight="1">
      <c r="A594" s="416"/>
      <c r="B594" s="416"/>
      <c r="C594" s="416"/>
      <c r="D594" s="416"/>
      <c r="E594" s="416"/>
      <c r="F594" s="458"/>
      <c r="G594" s="437"/>
    </row>
    <row r="595" spans="1:7" ht="14.25" customHeight="1">
      <c r="A595" s="2003" t="s">
        <v>1567</v>
      </c>
      <c r="B595" s="1601"/>
      <c r="C595" s="1601"/>
      <c r="D595" s="1601"/>
      <c r="E595" s="1601"/>
      <c r="F595" s="1801"/>
      <c r="G595" s="696">
        <f>ROUND(G569+G583+G588+G593,0)</f>
        <v>31600</v>
      </c>
    </row>
    <row r="596" spans="1:7" ht="14.25" customHeight="1">
      <c r="A596" s="420"/>
      <c r="B596" s="420"/>
      <c r="C596" s="420"/>
      <c r="D596" s="420"/>
      <c r="E596" s="420"/>
      <c r="F596" s="420"/>
      <c r="G596" s="420"/>
    </row>
    <row r="597" spans="1:7" ht="14.25" customHeight="1">
      <c r="A597" s="420"/>
      <c r="B597" s="420"/>
      <c r="C597" s="420"/>
      <c r="D597" s="420"/>
      <c r="E597" s="420"/>
      <c r="F597" s="420"/>
      <c r="G597" s="420"/>
    </row>
    <row r="598" spans="1:7" ht="14.25" customHeight="1">
      <c r="A598" s="420"/>
      <c r="B598" s="420"/>
      <c r="C598" s="420"/>
      <c r="D598" s="420"/>
      <c r="E598" s="420"/>
      <c r="F598" s="420"/>
      <c r="G598" s="420"/>
    </row>
    <row r="599" spans="1:7" ht="14.25" customHeight="1">
      <c r="A599" s="420"/>
      <c r="B599" s="420"/>
      <c r="C599" s="420"/>
      <c r="D599" s="420"/>
      <c r="E599" s="420"/>
      <c r="F599" s="420"/>
      <c r="G599" s="420"/>
    </row>
    <row r="600" spans="1:7" ht="14.25" customHeight="1">
      <c r="A600" s="1986"/>
      <c r="B600" s="1605"/>
      <c r="C600" s="1605"/>
      <c r="D600" s="1605"/>
    </row>
  </sheetData>
  <mergeCells count="408">
    <mergeCell ref="A344:C344"/>
    <mergeCell ref="A364:F364"/>
    <mergeCell ref="A366:F366"/>
    <mergeCell ref="A369:C370"/>
    <mergeCell ref="A372:C372"/>
    <mergeCell ref="D372:G372"/>
    <mergeCell ref="A376:C376"/>
    <mergeCell ref="A377:C377"/>
    <mergeCell ref="A378:C378"/>
    <mergeCell ref="A345:C345"/>
    <mergeCell ref="A347:F347"/>
    <mergeCell ref="A346:C346"/>
    <mergeCell ref="A349:B349"/>
    <mergeCell ref="A350:B350"/>
    <mergeCell ref="A351:B351"/>
    <mergeCell ref="A352:B352"/>
    <mergeCell ref="A353:B353"/>
    <mergeCell ref="A354:F354"/>
    <mergeCell ref="A356:B356"/>
    <mergeCell ref="A357:B357"/>
    <mergeCell ref="A358:B358"/>
    <mergeCell ref="A359:F359"/>
    <mergeCell ref="A361:B361"/>
    <mergeCell ref="A362:B362"/>
    <mergeCell ref="A327:F327"/>
    <mergeCell ref="A329:B329"/>
    <mergeCell ref="A330:B330"/>
    <mergeCell ref="A332:F332"/>
    <mergeCell ref="A334:F334"/>
    <mergeCell ref="A331:B331"/>
    <mergeCell ref="A337:C338"/>
    <mergeCell ref="A340:C340"/>
    <mergeCell ref="D340:G340"/>
    <mergeCell ref="A317:B317"/>
    <mergeCell ref="A318:B318"/>
    <mergeCell ref="A319:B319"/>
    <mergeCell ref="A320:B320"/>
    <mergeCell ref="A321:B321"/>
    <mergeCell ref="A322:F322"/>
    <mergeCell ref="A324:B324"/>
    <mergeCell ref="A325:B325"/>
    <mergeCell ref="A326:B326"/>
    <mergeCell ref="A363:B363"/>
    <mergeCell ref="A385:B385"/>
    <mergeCell ref="A388:B388"/>
    <mergeCell ref="A381:B381"/>
    <mergeCell ref="A382:B382"/>
    <mergeCell ref="A383:B383"/>
    <mergeCell ref="A384:B384"/>
    <mergeCell ref="A386:F386"/>
    <mergeCell ref="A379:F379"/>
    <mergeCell ref="A389:B389"/>
    <mergeCell ref="A390:B390"/>
    <mergeCell ref="A393:B393"/>
    <mergeCell ref="A394:B394"/>
    <mergeCell ref="A395:B395"/>
    <mergeCell ref="A391:F391"/>
    <mergeCell ref="A396:F396"/>
    <mergeCell ref="A398:F398"/>
    <mergeCell ref="A401:C402"/>
    <mergeCell ref="A404:C404"/>
    <mergeCell ref="D404:G404"/>
    <mergeCell ref="A408:C408"/>
    <mergeCell ref="A488:B488"/>
    <mergeCell ref="A489:B489"/>
    <mergeCell ref="A490:B490"/>
    <mergeCell ref="A491:F491"/>
    <mergeCell ref="A493:F493"/>
    <mergeCell ref="A496:C497"/>
    <mergeCell ref="A409:C409"/>
    <mergeCell ref="A410:C410"/>
    <mergeCell ref="A411:F411"/>
    <mergeCell ref="A413:B413"/>
    <mergeCell ref="A414:B414"/>
    <mergeCell ref="A415:B415"/>
    <mergeCell ref="A416:B416"/>
    <mergeCell ref="A417:B417"/>
    <mergeCell ref="A418:F418"/>
    <mergeCell ref="A420:B420"/>
    <mergeCell ref="A421:B421"/>
    <mergeCell ref="A422:B422"/>
    <mergeCell ref="A423:F423"/>
    <mergeCell ref="A425:B425"/>
    <mergeCell ref="A426:B426"/>
    <mergeCell ref="D499:G499"/>
    <mergeCell ref="A499:C499"/>
    <mergeCell ref="A503:C503"/>
    <mergeCell ref="A504:C504"/>
    <mergeCell ref="A505:C505"/>
    <mergeCell ref="A506:F506"/>
    <mergeCell ref="A508:B508"/>
    <mergeCell ref="A509:B509"/>
    <mergeCell ref="A517:B517"/>
    <mergeCell ref="A520:B520"/>
    <mergeCell ref="A521:B521"/>
    <mergeCell ref="A522:B522"/>
    <mergeCell ref="A510:B510"/>
    <mergeCell ref="A511:B511"/>
    <mergeCell ref="A512:B512"/>
    <mergeCell ref="A513:F513"/>
    <mergeCell ref="A515:B515"/>
    <mergeCell ref="A516:B516"/>
    <mergeCell ref="A518:F518"/>
    <mergeCell ref="A523:F523"/>
    <mergeCell ref="A525:F525"/>
    <mergeCell ref="A528:C529"/>
    <mergeCell ref="A531:C531"/>
    <mergeCell ref="D531:G531"/>
    <mergeCell ref="A535:C535"/>
    <mergeCell ref="A536:C536"/>
    <mergeCell ref="A537:C537"/>
    <mergeCell ref="A538:F538"/>
    <mergeCell ref="A540:B540"/>
    <mergeCell ref="A541:B541"/>
    <mergeCell ref="A542:B542"/>
    <mergeCell ref="A543:B543"/>
    <mergeCell ref="A544:F544"/>
    <mergeCell ref="A554:F554"/>
    <mergeCell ref="A556:F556"/>
    <mergeCell ref="A559:C560"/>
    <mergeCell ref="A562:C562"/>
    <mergeCell ref="D562:G562"/>
    <mergeCell ref="A546:B546"/>
    <mergeCell ref="A547:B547"/>
    <mergeCell ref="A548:B548"/>
    <mergeCell ref="A549:F549"/>
    <mergeCell ref="A551:B551"/>
    <mergeCell ref="A552:B552"/>
    <mergeCell ref="A553:B553"/>
    <mergeCell ref="A566:C566"/>
    <mergeCell ref="A567:C567"/>
    <mergeCell ref="A582:B582"/>
    <mergeCell ref="A585:B585"/>
    <mergeCell ref="A586:B586"/>
    <mergeCell ref="A587:B587"/>
    <mergeCell ref="A590:B590"/>
    <mergeCell ref="A591:B591"/>
    <mergeCell ref="A592:B592"/>
    <mergeCell ref="A588:F588"/>
    <mergeCell ref="A593:F593"/>
    <mergeCell ref="A595:F595"/>
    <mergeCell ref="A600:D600"/>
    <mergeCell ref="A568:C568"/>
    <mergeCell ref="A569:F569"/>
    <mergeCell ref="A578:B578"/>
    <mergeCell ref="A579:B579"/>
    <mergeCell ref="A580:B580"/>
    <mergeCell ref="A581:B581"/>
    <mergeCell ref="A583:F583"/>
    <mergeCell ref="A451:B451"/>
    <mergeCell ref="A452:B452"/>
    <mergeCell ref="A453:B453"/>
    <mergeCell ref="A427:B427"/>
    <mergeCell ref="A428:F428"/>
    <mergeCell ref="A430:F430"/>
    <mergeCell ref="A433:C434"/>
    <mergeCell ref="A436:C436"/>
    <mergeCell ref="D436:G436"/>
    <mergeCell ref="A440:C440"/>
    <mergeCell ref="A441:C441"/>
    <mergeCell ref="A442:F442"/>
    <mergeCell ref="A8:C9"/>
    <mergeCell ref="A11:C11"/>
    <mergeCell ref="D11:G11"/>
    <mergeCell ref="A15:C15"/>
    <mergeCell ref="A16:C16"/>
    <mergeCell ref="A17:C17"/>
    <mergeCell ref="A18:F18"/>
    <mergeCell ref="A20:B20"/>
    <mergeCell ref="A21:B21"/>
    <mergeCell ref="A22:B22"/>
    <mergeCell ref="A23:B23"/>
    <mergeCell ref="A24:B24"/>
    <mergeCell ref="A25:F25"/>
    <mergeCell ref="A27:B27"/>
    <mergeCell ref="A28:B28"/>
    <mergeCell ref="A29:B29"/>
    <mergeCell ref="A30:F30"/>
    <mergeCell ref="A32:B32"/>
    <mergeCell ref="A33:B33"/>
    <mergeCell ref="A35:F35"/>
    <mergeCell ref="A37:F37"/>
    <mergeCell ref="A34:B34"/>
    <mergeCell ref="A40:C41"/>
    <mergeCell ref="D40:G41"/>
    <mergeCell ref="A43:C43"/>
    <mergeCell ref="D43:G43"/>
    <mergeCell ref="A47:C47"/>
    <mergeCell ref="A48:C48"/>
    <mergeCell ref="A49:C49"/>
    <mergeCell ref="A50:C50"/>
    <mergeCell ref="A51:C51"/>
    <mergeCell ref="A52:F52"/>
    <mergeCell ref="A54:B54"/>
    <mergeCell ref="A55:B55"/>
    <mergeCell ref="A56:B56"/>
    <mergeCell ref="A57:B57"/>
    <mergeCell ref="A58:B58"/>
    <mergeCell ref="A59:F59"/>
    <mergeCell ref="A61:B61"/>
    <mergeCell ref="A62:B62"/>
    <mergeCell ref="A63:B63"/>
    <mergeCell ref="A64:F64"/>
    <mergeCell ref="A66:B66"/>
    <mergeCell ref="A67:B67"/>
    <mergeCell ref="A68:B68"/>
    <mergeCell ref="A69:F69"/>
    <mergeCell ref="A71:F71"/>
    <mergeCell ref="D73:E73"/>
    <mergeCell ref="A74:D74"/>
    <mergeCell ref="A77:C77"/>
    <mergeCell ref="D77:G77"/>
    <mergeCell ref="A78:C78"/>
    <mergeCell ref="D78:G78"/>
    <mergeCell ref="A80:C81"/>
    <mergeCell ref="D80:G81"/>
    <mergeCell ref="D83:G83"/>
    <mergeCell ref="A83:C83"/>
    <mergeCell ref="A87:C87"/>
    <mergeCell ref="A88:C88"/>
    <mergeCell ref="A89:C89"/>
    <mergeCell ref="A90:F90"/>
    <mergeCell ref="A92:B92"/>
    <mergeCell ref="A93:B93"/>
    <mergeCell ref="A101:B101"/>
    <mergeCell ref="A104:B104"/>
    <mergeCell ref="A105:B105"/>
    <mergeCell ref="A106:B106"/>
    <mergeCell ref="A94:B94"/>
    <mergeCell ref="A95:B95"/>
    <mergeCell ref="A96:B96"/>
    <mergeCell ref="A97:F97"/>
    <mergeCell ref="A99:B99"/>
    <mergeCell ref="A100:B100"/>
    <mergeCell ref="A102:F102"/>
    <mergeCell ref="A107:F107"/>
    <mergeCell ref="A109:F109"/>
    <mergeCell ref="A112:C113"/>
    <mergeCell ref="A115:C115"/>
    <mergeCell ref="D115:G115"/>
    <mergeCell ref="A119:C119"/>
    <mergeCell ref="A120:C120"/>
    <mergeCell ref="A128:B128"/>
    <mergeCell ref="A131:B131"/>
    <mergeCell ref="A132:B132"/>
    <mergeCell ref="A133:B133"/>
    <mergeCell ref="A136:B136"/>
    <mergeCell ref="A137:B137"/>
    <mergeCell ref="A138:B138"/>
    <mergeCell ref="A121:C121"/>
    <mergeCell ref="A122:F122"/>
    <mergeCell ref="A124:B124"/>
    <mergeCell ref="A125:B125"/>
    <mergeCell ref="A126:B126"/>
    <mergeCell ref="A127:B127"/>
    <mergeCell ref="A129:F129"/>
    <mergeCell ref="A134:F134"/>
    <mergeCell ref="A228:B228"/>
    <mergeCell ref="A230:F230"/>
    <mergeCell ref="A200:B200"/>
    <mergeCell ref="A201:B201"/>
    <mergeCell ref="A202:B202"/>
    <mergeCell ref="A203:F203"/>
    <mergeCell ref="A205:F205"/>
    <mergeCell ref="A208:C209"/>
    <mergeCell ref="D211:G211"/>
    <mergeCell ref="A211:C211"/>
    <mergeCell ref="A215:C215"/>
    <mergeCell ref="A139:F139"/>
    <mergeCell ref="A141:F141"/>
    <mergeCell ref="A144:C145"/>
    <mergeCell ref="A147:C147"/>
    <mergeCell ref="D147:G147"/>
    <mergeCell ref="A151:C151"/>
    <mergeCell ref="A152:C152"/>
    <mergeCell ref="A153:C153"/>
    <mergeCell ref="A154:F154"/>
    <mergeCell ref="A156:B156"/>
    <mergeCell ref="A157:B157"/>
    <mergeCell ref="A158:B158"/>
    <mergeCell ref="A159:B159"/>
    <mergeCell ref="A160:B160"/>
    <mergeCell ref="A161:F161"/>
    <mergeCell ref="A163:B163"/>
    <mergeCell ref="A164:B164"/>
    <mergeCell ref="A165:B165"/>
    <mergeCell ref="A166:F166"/>
    <mergeCell ref="A168:B168"/>
    <mergeCell ref="A169:B169"/>
    <mergeCell ref="A170:B170"/>
    <mergeCell ref="A171:F171"/>
    <mergeCell ref="A173:F173"/>
    <mergeCell ref="A176:C177"/>
    <mergeCell ref="A179:C179"/>
    <mergeCell ref="D179:G179"/>
    <mergeCell ref="A183:C183"/>
    <mergeCell ref="A184:C184"/>
    <mergeCell ref="A185:C185"/>
    <mergeCell ref="A186:F186"/>
    <mergeCell ref="A188:B188"/>
    <mergeCell ref="A189:B189"/>
    <mergeCell ref="A190:B190"/>
    <mergeCell ref="A191:B191"/>
    <mergeCell ref="A192:B192"/>
    <mergeCell ref="A193:F193"/>
    <mergeCell ref="A195:B195"/>
    <mergeCell ref="A196:B196"/>
    <mergeCell ref="A197:B197"/>
    <mergeCell ref="A198:F198"/>
    <mergeCell ref="A235:F235"/>
    <mergeCell ref="A237:F237"/>
    <mergeCell ref="A240:C241"/>
    <mergeCell ref="A243:C243"/>
    <mergeCell ref="D243:G243"/>
    <mergeCell ref="A216:C216"/>
    <mergeCell ref="A217:C217"/>
    <mergeCell ref="A218:F218"/>
    <mergeCell ref="A220:B220"/>
    <mergeCell ref="A221:B221"/>
    <mergeCell ref="A229:B229"/>
    <mergeCell ref="A232:B232"/>
    <mergeCell ref="A233:B233"/>
    <mergeCell ref="A234:B234"/>
    <mergeCell ref="A222:B222"/>
    <mergeCell ref="A223:B223"/>
    <mergeCell ref="A224:B224"/>
    <mergeCell ref="A225:F225"/>
    <mergeCell ref="A227:B227"/>
    <mergeCell ref="A247:C247"/>
    <mergeCell ref="A248:C248"/>
    <mergeCell ref="A256:B256"/>
    <mergeCell ref="A259:B259"/>
    <mergeCell ref="A260:B260"/>
    <mergeCell ref="A261:B261"/>
    <mergeCell ref="A264:B264"/>
    <mergeCell ref="A265:B265"/>
    <mergeCell ref="A266:B266"/>
    <mergeCell ref="A249:C249"/>
    <mergeCell ref="A250:F250"/>
    <mergeCell ref="A252:B252"/>
    <mergeCell ref="A253:B253"/>
    <mergeCell ref="A254:B254"/>
    <mergeCell ref="A255:B255"/>
    <mergeCell ref="A257:F257"/>
    <mergeCell ref="A262:F262"/>
    <mergeCell ref="A267:F267"/>
    <mergeCell ref="A269:F269"/>
    <mergeCell ref="A272:C273"/>
    <mergeCell ref="D272:G273"/>
    <mergeCell ref="A275:C275"/>
    <mergeCell ref="D275:G275"/>
    <mergeCell ref="A279:C279"/>
    <mergeCell ref="A280:C280"/>
    <mergeCell ref="A281:C281"/>
    <mergeCell ref="A282:C282"/>
    <mergeCell ref="A283:F283"/>
    <mergeCell ref="A285:B285"/>
    <mergeCell ref="A286:B286"/>
    <mergeCell ref="A287:B287"/>
    <mergeCell ref="A288:B288"/>
    <mergeCell ref="A289:F289"/>
    <mergeCell ref="A291:B291"/>
    <mergeCell ref="A292:B292"/>
    <mergeCell ref="A293:B293"/>
    <mergeCell ref="A294:F294"/>
    <mergeCell ref="A296:B296"/>
    <mergeCell ref="A297:B297"/>
    <mergeCell ref="A298:B298"/>
    <mergeCell ref="A299:F299"/>
    <mergeCell ref="A301:F301"/>
    <mergeCell ref="A304:C305"/>
    <mergeCell ref="D304:G305"/>
    <mergeCell ref="A307:C307"/>
    <mergeCell ref="D307:G307"/>
    <mergeCell ref="A311:C311"/>
    <mergeCell ref="A312:C312"/>
    <mergeCell ref="A313:C313"/>
    <mergeCell ref="A314:C314"/>
    <mergeCell ref="A315:F315"/>
    <mergeCell ref="A471:C471"/>
    <mergeCell ref="A472:C472"/>
    <mergeCell ref="A454:F454"/>
    <mergeCell ref="A456:B456"/>
    <mergeCell ref="A457:B457"/>
    <mergeCell ref="A458:B458"/>
    <mergeCell ref="A459:F459"/>
    <mergeCell ref="A461:F461"/>
    <mergeCell ref="A464:C465"/>
    <mergeCell ref="A467:C467"/>
    <mergeCell ref="D467:G467"/>
    <mergeCell ref="A444:B444"/>
    <mergeCell ref="A445:B445"/>
    <mergeCell ref="A446:B446"/>
    <mergeCell ref="A447:B447"/>
    <mergeCell ref="A448:B448"/>
    <mergeCell ref="A449:F449"/>
    <mergeCell ref="A484:B484"/>
    <mergeCell ref="A485:B485"/>
    <mergeCell ref="A486:F486"/>
    <mergeCell ref="A473:C473"/>
    <mergeCell ref="A474:F474"/>
    <mergeCell ref="A476:B476"/>
    <mergeCell ref="A477:B477"/>
    <mergeCell ref="A478:B478"/>
    <mergeCell ref="A479:B479"/>
    <mergeCell ref="A480:B480"/>
    <mergeCell ref="A481:F481"/>
    <mergeCell ref="A483:B483"/>
  </mergeCells>
  <printOptions horizontalCentered="1"/>
  <pageMargins left="0.6692913385826772" right="0.55118110236220474" top="0.74803149606299213" bottom="1.5354330708661419" header="0" footer="0"/>
  <pageSetup orientation="portrait"/>
  <rowBreaks count="3" manualBreakCount="3">
    <brk id="302" man="1"/>
    <brk id="110" man="1"/>
    <brk id="78" man="1"/>
  </rowBreaks>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7:I577"/>
  <sheetViews>
    <sheetView workbookViewId="0">
      <pane ySplit="5" topLeftCell="A547" activePane="bottomLeft" state="frozen"/>
      <selection pane="bottomLeft" activeCell="I553" sqref="I553"/>
    </sheetView>
  </sheetViews>
  <sheetFormatPr baseColWidth="10" defaultColWidth="14.44140625" defaultRowHeight="15" customHeight="1"/>
  <cols>
    <col min="1" max="1" width="20.6640625" customWidth="1"/>
    <col min="2" max="2" width="11.33203125" customWidth="1"/>
    <col min="3" max="3" width="11.109375" customWidth="1"/>
    <col min="4" max="4" width="12.109375" customWidth="1"/>
    <col min="5" max="5" width="12.5546875" customWidth="1"/>
    <col min="6" max="6" width="11" customWidth="1"/>
    <col min="7" max="7" width="11.6640625" customWidth="1"/>
    <col min="8" max="26" width="11.44140625" customWidth="1"/>
  </cols>
  <sheetData>
    <row r="7" spans="1:7" ht="27" hidden="1" customHeight="1">
      <c r="A7" s="2005" t="s">
        <v>1604</v>
      </c>
      <c r="B7" s="1616"/>
      <c r="C7" s="1624"/>
      <c r="D7" s="567"/>
      <c r="E7" s="567"/>
      <c r="F7" s="567"/>
      <c r="G7" s="668"/>
    </row>
    <row r="8" spans="1:7" ht="24" hidden="1" customHeight="1">
      <c r="A8" s="1971"/>
      <c r="B8" s="1817"/>
      <c r="C8" s="1972"/>
      <c r="D8" s="669"/>
      <c r="E8" s="669"/>
      <c r="F8" s="669"/>
      <c r="G8" s="670"/>
    </row>
    <row r="9" spans="1:7" ht="13.5" hidden="1" customHeight="1">
      <c r="A9" s="416"/>
      <c r="B9" s="416"/>
      <c r="C9" s="416"/>
      <c r="D9" s="416"/>
      <c r="E9" s="416"/>
      <c r="F9" s="416"/>
      <c r="G9" s="416"/>
    </row>
    <row r="10" spans="1:7" ht="30.75" hidden="1" customHeight="1">
      <c r="A10" s="1973" t="s">
        <v>1646</v>
      </c>
      <c r="B10" s="1601"/>
      <c r="C10" s="1602"/>
      <c r="D10" s="1974" t="s">
        <v>1666</v>
      </c>
      <c r="E10" s="1601"/>
      <c r="F10" s="1601"/>
      <c r="G10" s="1602"/>
    </row>
    <row r="11" spans="1:7" ht="13.5" hidden="1" customHeight="1">
      <c r="A11" s="418"/>
      <c r="B11" s="418"/>
      <c r="C11" s="418"/>
      <c r="D11" s="418"/>
      <c r="E11" s="418"/>
      <c r="F11" s="418"/>
      <c r="G11" s="418"/>
    </row>
    <row r="12" spans="1:7" ht="12.75" hidden="1" customHeight="1">
      <c r="A12" s="419"/>
      <c r="B12" s="416"/>
      <c r="C12" s="420"/>
      <c r="D12" s="421" t="s">
        <v>1553</v>
      </c>
      <c r="E12" s="422" t="s">
        <v>228</v>
      </c>
      <c r="F12" s="572"/>
      <c r="G12" s="572"/>
    </row>
    <row r="13" spans="1:7" ht="13.5" hidden="1" customHeight="1">
      <c r="A13" s="423" t="s">
        <v>1555</v>
      </c>
      <c r="B13" s="416"/>
      <c r="C13" s="416"/>
      <c r="D13" s="416"/>
      <c r="E13" s="416"/>
      <c r="F13" s="416"/>
      <c r="G13" s="416"/>
    </row>
    <row r="14" spans="1:7" ht="13.5" hidden="1" customHeight="1">
      <c r="A14" s="1975" t="s">
        <v>1556</v>
      </c>
      <c r="B14" s="1601"/>
      <c r="C14" s="1801"/>
      <c r="D14" s="424" t="s">
        <v>208</v>
      </c>
      <c r="E14" s="424" t="s">
        <v>1558</v>
      </c>
      <c r="F14" s="424" t="s">
        <v>1559</v>
      </c>
      <c r="G14" s="425"/>
    </row>
    <row r="15" spans="1:7" ht="13.5" hidden="1" customHeight="1">
      <c r="A15" s="1981" t="str">
        <f>+'LISTADO EQUIPOS'!$C$22</f>
        <v>HERRAMIENTA MENOR.</v>
      </c>
      <c r="B15" s="1811"/>
      <c r="C15" s="1967"/>
      <c r="D15" s="449">
        <f>+'LISTADO EQUIPOS'!$E$22/8</f>
        <v>2850</v>
      </c>
      <c r="E15" s="427">
        <v>13</v>
      </c>
      <c r="F15" s="428">
        <f>+D15/E15</f>
        <v>219.23076923076923</v>
      </c>
      <c r="G15" s="429"/>
    </row>
    <row r="16" spans="1:7" ht="13.5" hidden="1" customHeight="1">
      <c r="A16" s="1982" t="str">
        <f>+'LISTADO EQUIPOS'!$C$47</f>
        <v>ANDAMIO TUBULAR. 1.5 x 1.5 SECCIÓN</v>
      </c>
      <c r="B16" s="1807"/>
      <c r="C16" s="1819"/>
      <c r="D16" s="451">
        <f>+'LISTADO EQUIPOS'!$E$47</f>
        <v>1750</v>
      </c>
      <c r="E16" s="671">
        <v>0.11</v>
      </c>
      <c r="F16" s="698">
        <f>+E16*D16</f>
        <v>192.5</v>
      </c>
      <c r="G16" s="672"/>
    </row>
    <row r="17" spans="1:7" ht="13.5" hidden="1" customHeight="1">
      <c r="A17" s="2003" t="s">
        <v>1560</v>
      </c>
      <c r="B17" s="1601"/>
      <c r="C17" s="1601"/>
      <c r="D17" s="1601"/>
      <c r="E17" s="1601"/>
      <c r="F17" s="1801"/>
      <c r="G17" s="436">
        <f>SUM(F15:F16)</f>
        <v>411.73076923076923</v>
      </c>
    </row>
    <row r="18" spans="1:7" ht="13.5" hidden="1" customHeight="1">
      <c r="A18" s="423" t="s">
        <v>1561</v>
      </c>
      <c r="B18" s="416"/>
      <c r="C18" s="416"/>
      <c r="D18" s="416"/>
      <c r="E18" s="416"/>
      <c r="F18" s="416"/>
      <c r="G18" s="437"/>
    </row>
    <row r="19" spans="1:7" ht="13.5" hidden="1" customHeight="1">
      <c r="A19" s="1975" t="s">
        <v>1556</v>
      </c>
      <c r="B19" s="1801"/>
      <c r="C19" s="424" t="s">
        <v>6</v>
      </c>
      <c r="D19" s="424" t="s">
        <v>1562</v>
      </c>
      <c r="E19" s="424" t="s">
        <v>7</v>
      </c>
      <c r="F19" s="424" t="s">
        <v>1559</v>
      </c>
      <c r="G19" s="673"/>
    </row>
    <row r="20" spans="1:7" ht="13.5" hidden="1" customHeight="1">
      <c r="A20" s="1987" t="str">
        <f>+'LISTADO MATERIALES'!$C$387</f>
        <v>LADRILLO TOLETE COMÚN</v>
      </c>
      <c r="B20" s="1967"/>
      <c r="C20" s="674" t="str">
        <f>+'LISTADO MATERIALES'!$D$387</f>
        <v>UND</v>
      </c>
      <c r="D20" s="675">
        <f>+'LISTADO MATERIALES'!$E$387</f>
        <v>368</v>
      </c>
      <c r="E20" s="687">
        <v>35</v>
      </c>
      <c r="F20" s="442">
        <f t="shared" ref="F20:F22" si="0">+E20*D20</f>
        <v>12880</v>
      </c>
      <c r="G20" s="676"/>
    </row>
    <row r="21" spans="1:7" ht="13.5" hidden="1" customHeight="1">
      <c r="A21" s="1988" t="str">
        <f>+'ANALISIS BASICOS'!$A$164</f>
        <v xml:space="preserve">MORTERO 1:3 </v>
      </c>
      <c r="B21" s="1611"/>
      <c r="C21" s="677" t="str">
        <f>+'ANALISIS BASICOS'!$E$140</f>
        <v>M3</v>
      </c>
      <c r="D21" s="431">
        <f>+'ANALISIS BASICOS'!$G$164</f>
        <v>434608</v>
      </c>
      <c r="E21" s="737">
        <v>8.0000000000000002E-3</v>
      </c>
      <c r="F21" s="689">
        <f t="shared" si="0"/>
        <v>3476.864</v>
      </c>
      <c r="G21" s="445"/>
    </row>
    <row r="22" spans="1:7" ht="13.5" hidden="1" customHeight="1">
      <c r="A22" s="1988" t="str">
        <f>+'LISTADO MATERIALES'!$C$723</f>
        <v>AGUA</v>
      </c>
      <c r="B22" s="1611"/>
      <c r="C22" s="677" t="str">
        <f>+'LISTADO MATERIALES'!$D$723</f>
        <v>LT</v>
      </c>
      <c r="D22" s="431">
        <f>+'LISTADO MATERIALES'!$E$723</f>
        <v>21</v>
      </c>
      <c r="E22" s="430">
        <v>5</v>
      </c>
      <c r="F22" s="689">
        <f t="shared" si="0"/>
        <v>105</v>
      </c>
      <c r="G22" s="445"/>
    </row>
    <row r="23" spans="1:7" ht="13.5" hidden="1" customHeight="1">
      <c r="A23" s="1982"/>
      <c r="B23" s="1819"/>
      <c r="C23" s="678"/>
      <c r="D23" s="451"/>
      <c r="E23" s="678"/>
      <c r="F23" s="451"/>
      <c r="G23" s="456"/>
    </row>
    <row r="24" spans="1:7" ht="13.5" hidden="1" customHeight="1">
      <c r="A24" s="2003" t="s">
        <v>1560</v>
      </c>
      <c r="B24" s="1601"/>
      <c r="C24" s="1601"/>
      <c r="D24" s="1601"/>
      <c r="E24" s="1601"/>
      <c r="F24" s="1801"/>
      <c r="G24" s="436">
        <f>SUM(F20:F23)</f>
        <v>16461.864000000001</v>
      </c>
    </row>
    <row r="25" spans="1:7" ht="13.5" hidden="1" customHeight="1">
      <c r="A25" s="423" t="s">
        <v>1563</v>
      </c>
      <c r="B25" s="416"/>
      <c r="C25" s="416"/>
      <c r="D25" s="416"/>
      <c r="E25" s="416"/>
      <c r="F25" s="416"/>
      <c r="G25" s="437"/>
    </row>
    <row r="26" spans="1:7" ht="13.5" hidden="1" customHeight="1">
      <c r="A26" s="1975" t="s">
        <v>1556</v>
      </c>
      <c r="B26" s="1801"/>
      <c r="C26" s="424" t="s">
        <v>6</v>
      </c>
      <c r="D26" s="424" t="s">
        <v>1562</v>
      </c>
      <c r="E26" s="424" t="s">
        <v>7</v>
      </c>
      <c r="F26" s="424" t="s">
        <v>1559</v>
      </c>
      <c r="G26" s="438"/>
    </row>
    <row r="27" spans="1:7" ht="13.5" hidden="1" customHeight="1">
      <c r="A27" s="1981"/>
      <c r="B27" s="1967"/>
      <c r="C27" s="448"/>
      <c r="D27" s="449"/>
      <c r="E27" s="450"/>
      <c r="F27" s="431"/>
      <c r="G27" s="443"/>
    </row>
    <row r="28" spans="1:7" ht="13.5" hidden="1" customHeight="1">
      <c r="A28" s="1982"/>
      <c r="B28" s="1819"/>
      <c r="C28" s="448"/>
      <c r="D28" s="451"/>
      <c r="E28" s="452"/>
      <c r="F28" s="451"/>
      <c r="G28" s="447"/>
    </row>
    <row r="29" spans="1:7" ht="13.5" hidden="1" customHeight="1">
      <c r="A29" s="2003" t="s">
        <v>1560</v>
      </c>
      <c r="B29" s="1601"/>
      <c r="C29" s="1601"/>
      <c r="D29" s="1601"/>
      <c r="E29" s="1601"/>
      <c r="F29" s="1801"/>
      <c r="G29" s="436"/>
    </row>
    <row r="30" spans="1:7" ht="13.5" hidden="1" customHeight="1">
      <c r="A30" s="423" t="s">
        <v>1564</v>
      </c>
      <c r="B30" s="416"/>
      <c r="C30" s="416"/>
      <c r="D30" s="416"/>
      <c r="E30" s="416"/>
      <c r="F30" s="416"/>
      <c r="G30" s="437"/>
    </row>
    <row r="31" spans="1:7" ht="13.5" hidden="1" customHeight="1">
      <c r="A31" s="1975" t="s">
        <v>1565</v>
      </c>
      <c r="B31" s="1801"/>
      <c r="C31" s="424" t="s">
        <v>1566</v>
      </c>
      <c r="D31" s="424" t="s">
        <v>6</v>
      </c>
      <c r="E31" s="424" t="s">
        <v>7</v>
      </c>
      <c r="F31" s="424" t="s">
        <v>1559</v>
      </c>
      <c r="G31" s="462"/>
    </row>
    <row r="32" spans="1:7" ht="13.5" hidden="1" customHeight="1">
      <c r="A32" s="2004" t="str">
        <f>+'MANO DE OBRA'!$A$64</f>
        <v>Oficial (Incl. Prestaciones)</v>
      </c>
      <c r="B32" s="1888"/>
      <c r="C32" s="679">
        <f>+'MANO DE OBRA'!$E$64</f>
        <v>15031.25</v>
      </c>
      <c r="D32" s="680">
        <v>1</v>
      </c>
      <c r="E32" s="680">
        <v>1.4</v>
      </c>
      <c r="F32" s="454">
        <f t="shared" ref="F32:F33" si="1">+(C32*D32)/E32</f>
        <v>10736.607142857143</v>
      </c>
      <c r="G32" s="443"/>
    </row>
    <row r="33" spans="1:7" ht="13.5" hidden="1" customHeight="1">
      <c r="A33" s="1968" t="str">
        <f>+'MANO DE OBRA'!$A$65</f>
        <v>Ayudante (Incl. Prestaciones)</v>
      </c>
      <c r="B33" s="1819"/>
      <c r="C33" s="681">
        <f>+'MANO DE OBRA'!$E$65</f>
        <v>10972.8125</v>
      </c>
      <c r="D33" s="562">
        <v>2</v>
      </c>
      <c r="E33" s="562">
        <f>+E32</f>
        <v>1.4</v>
      </c>
      <c r="F33" s="455">
        <f t="shared" si="1"/>
        <v>15675.446428571429</v>
      </c>
      <c r="G33" s="456"/>
    </row>
    <row r="34" spans="1:7" ht="13.5" hidden="1" customHeight="1">
      <c r="A34" s="2003" t="str">
        <f>+A29</f>
        <v>SUB-TOTAL</v>
      </c>
      <c r="B34" s="1601"/>
      <c r="C34" s="1601"/>
      <c r="D34" s="1601"/>
      <c r="E34" s="1601"/>
      <c r="F34" s="1801"/>
      <c r="G34" s="436">
        <f>SUM(F32:F33)</f>
        <v>26412.053571428572</v>
      </c>
    </row>
    <row r="35" spans="1:7" ht="11.25" hidden="1" customHeight="1">
      <c r="A35" s="416"/>
      <c r="B35" s="416"/>
      <c r="C35" s="416"/>
      <c r="D35" s="416"/>
      <c r="E35" s="416"/>
      <c r="F35" s="458"/>
      <c r="G35" s="437"/>
    </row>
    <row r="36" spans="1:7" ht="13.5" hidden="1" customHeight="1">
      <c r="A36" s="2003" t="s">
        <v>1567</v>
      </c>
      <c r="B36" s="1601"/>
      <c r="C36" s="1601"/>
      <c r="D36" s="1601"/>
      <c r="E36" s="1601"/>
      <c r="F36" s="1801"/>
      <c r="G36" s="682">
        <f>ROUND(G17+G24+G29+G34,0)</f>
        <v>43286</v>
      </c>
    </row>
    <row r="37" spans="1:7" ht="13.5" hidden="1" customHeight="1">
      <c r="A37" s="420"/>
      <c r="B37" s="420"/>
      <c r="C37" s="420"/>
      <c r="D37" s="420"/>
      <c r="E37" s="420"/>
      <c r="F37" s="420"/>
      <c r="G37" s="420"/>
    </row>
    <row r="38" spans="1:7" ht="13.5" hidden="1" customHeight="1">
      <c r="A38" s="420"/>
      <c r="B38" s="420"/>
      <c r="C38" s="420"/>
      <c r="D38" s="420"/>
      <c r="E38" s="420"/>
      <c r="F38" s="420"/>
      <c r="G38" s="420"/>
    </row>
    <row r="39" spans="1:7" ht="24.75" hidden="1" customHeight="1">
      <c r="A39" s="1994" t="e">
        <f>+'ANALISIS BASICOS'!$A$7</f>
        <v>#REF!</v>
      </c>
      <c r="B39" s="1616"/>
      <c r="C39" s="1624"/>
      <c r="D39" s="1990"/>
      <c r="E39" s="1616"/>
      <c r="F39" s="1616"/>
      <c r="G39" s="1624"/>
    </row>
    <row r="40" spans="1:7" ht="26.25" hidden="1" customHeight="1">
      <c r="A40" s="1971"/>
      <c r="B40" s="1817"/>
      <c r="C40" s="1972"/>
      <c r="D40" s="1971"/>
      <c r="E40" s="1817"/>
      <c r="F40" s="1817"/>
      <c r="G40" s="1972"/>
    </row>
    <row r="41" spans="1:7" ht="13.5" hidden="1" customHeight="1">
      <c r="A41" s="416"/>
      <c r="B41" s="416"/>
      <c r="C41" s="416"/>
      <c r="D41" s="416"/>
      <c r="E41" s="416"/>
      <c r="F41" s="416"/>
      <c r="G41" s="416"/>
    </row>
    <row r="42" spans="1:7" ht="53.25" hidden="1" customHeight="1">
      <c r="A42" s="1991" t="e">
        <f ca="1">+_xlfn.SINGLE(#REF!)</f>
        <v>#NAME?</v>
      </c>
      <c r="B42" s="1601"/>
      <c r="C42" s="1602"/>
      <c r="D42" s="1974" t="s">
        <v>1667</v>
      </c>
      <c r="E42" s="1601"/>
      <c r="F42" s="1601"/>
      <c r="G42" s="1602"/>
    </row>
    <row r="43" spans="1:7" ht="13.5" hidden="1" customHeight="1">
      <c r="A43" s="418"/>
      <c r="B43" s="418"/>
      <c r="C43" s="418"/>
      <c r="D43" s="418"/>
      <c r="E43" s="418"/>
      <c r="F43" s="418"/>
      <c r="G43" s="418"/>
    </row>
    <row r="44" spans="1:7" ht="12.75" hidden="1" customHeight="1">
      <c r="A44" s="419"/>
      <c r="B44" s="416"/>
      <c r="C44" s="420"/>
      <c r="D44" s="421" t="s">
        <v>1553</v>
      </c>
      <c r="E44" s="422" t="s">
        <v>228</v>
      </c>
      <c r="F44" s="421" t="s">
        <v>1554</v>
      </c>
      <c r="G44" s="422" t="s">
        <v>54</v>
      </c>
    </row>
    <row r="45" spans="1:7" ht="13.5" hidden="1" customHeight="1">
      <c r="A45" s="423" t="s">
        <v>1555</v>
      </c>
      <c r="B45" s="416"/>
      <c r="C45" s="416"/>
      <c r="D45" s="416"/>
      <c r="E45" s="416"/>
      <c r="F45" s="416"/>
      <c r="G45" s="416"/>
    </row>
    <row r="46" spans="1:7" ht="13.5" hidden="1" customHeight="1">
      <c r="A46" s="1975" t="s">
        <v>1556</v>
      </c>
      <c r="B46" s="1601"/>
      <c r="C46" s="1801"/>
      <c r="D46" s="424" t="s">
        <v>208</v>
      </c>
      <c r="E46" s="424" t="s">
        <v>1558</v>
      </c>
      <c r="F46" s="424" t="s">
        <v>1559</v>
      </c>
      <c r="G46" s="425"/>
    </row>
    <row r="47" spans="1:7" ht="13.5" hidden="1" customHeight="1">
      <c r="A47" s="1981" t="str">
        <f>+'LISTADO EQUIPOS'!$C$22</f>
        <v>HERRAMIENTA MENOR.</v>
      </c>
      <c r="B47" s="1811"/>
      <c r="C47" s="1967"/>
      <c r="D47" s="449">
        <f>+'LISTADO EQUIPOS'!$E$22/8</f>
        <v>2850</v>
      </c>
      <c r="E47" s="427">
        <v>13</v>
      </c>
      <c r="F47" s="428">
        <f>+D47/E47</f>
        <v>219.23076923076923</v>
      </c>
      <c r="G47" s="429"/>
    </row>
    <row r="48" spans="1:7" ht="13.5" hidden="1" customHeight="1">
      <c r="A48" s="1982" t="str">
        <f>+'LISTADO EQUIPOS'!$C$47</f>
        <v>ANDAMIO TUBULAR. 1.5 x 1.5 SECCIÓN</v>
      </c>
      <c r="B48" s="1807"/>
      <c r="C48" s="1819"/>
      <c r="D48" s="451">
        <f>+'LISTADO EQUIPOS'!$E$47</f>
        <v>1750</v>
      </c>
      <c r="E48" s="671">
        <v>0.11</v>
      </c>
      <c r="F48" s="698">
        <f>+D48*E48</f>
        <v>192.5</v>
      </c>
      <c r="G48" s="672"/>
    </row>
    <row r="49" spans="1:7" ht="13.5" hidden="1" customHeight="1">
      <c r="A49" s="2003" t="s">
        <v>1560</v>
      </c>
      <c r="B49" s="1601"/>
      <c r="C49" s="1601"/>
      <c r="D49" s="1601"/>
      <c r="E49" s="1601"/>
      <c r="F49" s="1801"/>
      <c r="G49" s="436">
        <f>SUM(F47:F48)</f>
        <v>411.73076923076923</v>
      </c>
    </row>
    <row r="50" spans="1:7" ht="13.5" hidden="1" customHeight="1">
      <c r="A50" s="423" t="s">
        <v>1561</v>
      </c>
      <c r="B50" s="416"/>
      <c r="C50" s="416"/>
      <c r="D50" s="416"/>
      <c r="E50" s="416"/>
      <c r="F50" s="416"/>
      <c r="G50" s="437"/>
    </row>
    <row r="51" spans="1:7" ht="13.5" hidden="1" customHeight="1">
      <c r="A51" s="1975" t="s">
        <v>1556</v>
      </c>
      <c r="B51" s="1801"/>
      <c r="C51" s="424" t="s">
        <v>6</v>
      </c>
      <c r="D51" s="424" t="s">
        <v>1562</v>
      </c>
      <c r="E51" s="424" t="s">
        <v>7</v>
      </c>
      <c r="F51" s="424" t="s">
        <v>1559</v>
      </c>
      <c r="G51" s="673"/>
    </row>
    <row r="52" spans="1:7" ht="12.75" hidden="1" customHeight="1">
      <c r="A52" s="1987" t="str">
        <f>+'LISTADO MATERIALES'!$C$387</f>
        <v>LADRILLO TOLETE COMÚN</v>
      </c>
      <c r="B52" s="1967"/>
      <c r="C52" s="674" t="str">
        <f>+'LISTADO MATERIALES'!$D$387</f>
        <v>UND</v>
      </c>
      <c r="D52" s="675">
        <f>+'LISTADO MATERIALES'!$E$387</f>
        <v>368</v>
      </c>
      <c r="E52" s="687">
        <v>56</v>
      </c>
      <c r="F52" s="442">
        <f t="shared" ref="F52:F54" si="2">+E52*D52</f>
        <v>20608</v>
      </c>
      <c r="G52" s="676"/>
    </row>
    <row r="53" spans="1:7" ht="13.5" hidden="1" customHeight="1">
      <c r="A53" s="1988" t="str">
        <f>+'ANALISIS BASICOS'!$A$164</f>
        <v xml:space="preserve">MORTERO 1:3 </v>
      </c>
      <c r="B53" s="1611"/>
      <c r="C53" s="677" t="str">
        <f>+'ANALISIS BASICOS'!$E$140</f>
        <v>M3</v>
      </c>
      <c r="D53" s="431">
        <f>+'ANALISIS BASICOS'!$G$164</f>
        <v>434608</v>
      </c>
      <c r="E53" s="737">
        <v>2.1000000000000001E-2</v>
      </c>
      <c r="F53" s="689">
        <f t="shared" si="2"/>
        <v>9126.768</v>
      </c>
      <c r="G53" s="445"/>
    </row>
    <row r="54" spans="1:7" ht="13.5" hidden="1" customHeight="1">
      <c r="A54" s="1988" t="str">
        <f>+'LISTADO MATERIALES'!$C$723</f>
        <v>AGUA</v>
      </c>
      <c r="B54" s="1611"/>
      <c r="C54" s="677" t="str">
        <f>+'LISTADO MATERIALES'!$D$723</f>
        <v>LT</v>
      </c>
      <c r="D54" s="431">
        <f>+'LISTADO MATERIALES'!$E$723</f>
        <v>21</v>
      </c>
      <c r="E54" s="430">
        <v>5</v>
      </c>
      <c r="F54" s="689">
        <f t="shared" si="2"/>
        <v>105</v>
      </c>
      <c r="G54" s="445"/>
    </row>
    <row r="55" spans="1:7" ht="13.5" hidden="1" customHeight="1">
      <c r="A55" s="1982"/>
      <c r="B55" s="1819"/>
      <c r="C55" s="678"/>
      <c r="D55" s="451"/>
      <c r="E55" s="678"/>
      <c r="F55" s="451"/>
      <c r="G55" s="456"/>
    </row>
    <row r="56" spans="1:7" ht="13.5" hidden="1" customHeight="1">
      <c r="A56" s="2003" t="s">
        <v>1560</v>
      </c>
      <c r="B56" s="1601"/>
      <c r="C56" s="1601"/>
      <c r="D56" s="1601"/>
      <c r="E56" s="1601"/>
      <c r="F56" s="1801"/>
      <c r="G56" s="436">
        <f>SUM(F52:F55)</f>
        <v>29839.768</v>
      </c>
    </row>
    <row r="57" spans="1:7" ht="13.5" hidden="1" customHeight="1">
      <c r="A57" s="423" t="s">
        <v>1563</v>
      </c>
      <c r="B57" s="416"/>
      <c r="C57" s="416"/>
      <c r="D57" s="416"/>
      <c r="E57" s="416"/>
      <c r="F57" s="416"/>
      <c r="G57" s="437"/>
    </row>
    <row r="58" spans="1:7" ht="13.5" hidden="1" customHeight="1">
      <c r="A58" s="1975" t="s">
        <v>1556</v>
      </c>
      <c r="B58" s="1801"/>
      <c r="C58" s="424" t="s">
        <v>6</v>
      </c>
      <c r="D58" s="424" t="s">
        <v>1562</v>
      </c>
      <c r="E58" s="424" t="s">
        <v>7</v>
      </c>
      <c r="F58" s="424" t="s">
        <v>1559</v>
      </c>
      <c r="G58" s="438"/>
    </row>
    <row r="59" spans="1:7" ht="12.75" hidden="1" customHeight="1">
      <c r="A59" s="1981"/>
      <c r="B59" s="1967"/>
      <c r="C59" s="448"/>
      <c r="D59" s="449"/>
      <c r="E59" s="450"/>
      <c r="F59" s="431"/>
      <c r="G59" s="443"/>
    </row>
    <row r="60" spans="1:7" ht="13.5" hidden="1" customHeight="1">
      <c r="A60" s="1982"/>
      <c r="B60" s="1819"/>
      <c r="C60" s="448"/>
      <c r="D60" s="451"/>
      <c r="E60" s="452"/>
      <c r="F60" s="451"/>
      <c r="G60" s="447"/>
    </row>
    <row r="61" spans="1:7" ht="13.5" hidden="1" customHeight="1">
      <c r="A61" s="2003" t="s">
        <v>1560</v>
      </c>
      <c r="B61" s="1601"/>
      <c r="C61" s="1601"/>
      <c r="D61" s="1601"/>
      <c r="E61" s="1601"/>
      <c r="F61" s="1801"/>
      <c r="G61" s="436"/>
    </row>
    <row r="62" spans="1:7" ht="26.25" hidden="1" customHeight="1">
      <c r="A62" s="423" t="s">
        <v>1564</v>
      </c>
      <c r="B62" s="416"/>
      <c r="C62" s="416"/>
      <c r="D62" s="416"/>
      <c r="E62" s="416"/>
      <c r="F62" s="416"/>
      <c r="G62" s="437"/>
    </row>
    <row r="63" spans="1:7" ht="13.5" hidden="1" customHeight="1">
      <c r="A63" s="1975" t="s">
        <v>1565</v>
      </c>
      <c r="B63" s="1801"/>
      <c r="C63" s="424" t="s">
        <v>1566</v>
      </c>
      <c r="D63" s="424" t="s">
        <v>6</v>
      </c>
      <c r="E63" s="424" t="s">
        <v>7</v>
      </c>
      <c r="F63" s="424" t="s">
        <v>1559</v>
      </c>
      <c r="G63" s="462"/>
    </row>
    <row r="64" spans="1:7" ht="12.75" hidden="1" customHeight="1">
      <c r="A64" s="2004" t="str">
        <f>+'MANO DE OBRA'!$A$64</f>
        <v>Oficial (Incl. Prestaciones)</v>
      </c>
      <c r="B64" s="1888"/>
      <c r="C64" s="679">
        <f>+'MANO DE OBRA'!$E$64</f>
        <v>15031.25</v>
      </c>
      <c r="D64" s="680">
        <v>1</v>
      </c>
      <c r="E64" s="680">
        <v>1.5063200723327306</v>
      </c>
      <c r="F64" s="694">
        <f t="shared" ref="F64:F65" si="3">+(C64*D64)/E64</f>
        <v>9978.7888882886455</v>
      </c>
      <c r="G64" s="443"/>
    </row>
    <row r="65" spans="1:7" ht="13.5" hidden="1" customHeight="1">
      <c r="A65" s="1968" t="str">
        <f>+'MANO DE OBRA'!$A$65</f>
        <v>Ayudante (Incl. Prestaciones)</v>
      </c>
      <c r="B65" s="1819"/>
      <c r="C65" s="681">
        <f>+'MANO DE OBRA'!$E$65</f>
        <v>10972.8125</v>
      </c>
      <c r="D65" s="562">
        <v>2</v>
      </c>
      <c r="E65" s="562">
        <f>+E64</f>
        <v>1.5063200723327306</v>
      </c>
      <c r="F65" s="695">
        <f t="shared" si="3"/>
        <v>14569.031776901422</v>
      </c>
      <c r="G65" s="456"/>
    </row>
    <row r="66" spans="1:7" ht="13.5" hidden="1" customHeight="1">
      <c r="A66" s="2003" t="str">
        <f>+A61</f>
        <v>SUB-TOTAL</v>
      </c>
      <c r="B66" s="1601"/>
      <c r="C66" s="1601"/>
      <c r="D66" s="1601"/>
      <c r="E66" s="1601"/>
      <c r="F66" s="1801"/>
      <c r="G66" s="436">
        <f>SUM(F64:F65)</f>
        <v>24547.820665190069</v>
      </c>
    </row>
    <row r="67" spans="1:7" ht="11.25" hidden="1" customHeight="1">
      <c r="A67" s="416"/>
      <c r="B67" s="416"/>
      <c r="C67" s="416"/>
      <c r="D67" s="416"/>
      <c r="E67" s="416"/>
      <c r="F67" s="458"/>
      <c r="G67" s="437"/>
    </row>
    <row r="68" spans="1:7" ht="13.5" hidden="1" customHeight="1">
      <c r="A68" s="2003" t="s">
        <v>1567</v>
      </c>
      <c r="B68" s="1601"/>
      <c r="C68" s="1601"/>
      <c r="D68" s="1601"/>
      <c r="E68" s="1601"/>
      <c r="F68" s="1801"/>
      <c r="G68" s="682">
        <f>ROUND(G49+G56+G61+G66,0)</f>
        <v>54799</v>
      </c>
    </row>
    <row r="69" spans="1:7" ht="13.5" hidden="1" customHeight="1"/>
    <row r="70" spans="1:7" ht="13.5" hidden="1" customHeight="1">
      <c r="A70" s="420"/>
      <c r="B70" s="420"/>
      <c r="C70" s="420"/>
      <c r="D70" s="420"/>
      <c r="E70" s="420"/>
      <c r="F70" s="420"/>
      <c r="G70" s="420"/>
    </row>
    <row r="71" spans="1:7" ht="27" hidden="1" customHeight="1">
      <c r="A71" s="2005" t="s">
        <v>1604</v>
      </c>
      <c r="B71" s="1616"/>
      <c r="C71" s="1624"/>
      <c r="D71" s="567"/>
      <c r="E71" s="567"/>
      <c r="F71" s="567"/>
      <c r="G71" s="668"/>
    </row>
    <row r="72" spans="1:7" ht="24" hidden="1" customHeight="1">
      <c r="A72" s="1971"/>
      <c r="B72" s="1817"/>
      <c r="C72" s="1972"/>
      <c r="D72" s="669"/>
      <c r="E72" s="669"/>
      <c r="F72" s="669"/>
      <c r="G72" s="670"/>
    </row>
    <row r="73" spans="1:7" ht="13.5" hidden="1" customHeight="1">
      <c r="A73" s="416"/>
      <c r="B73" s="416"/>
      <c r="C73" s="416"/>
      <c r="D73" s="416"/>
      <c r="E73" s="416"/>
      <c r="F73" s="416"/>
      <c r="G73" s="416"/>
    </row>
    <row r="74" spans="1:7" ht="30.75" hidden="1" customHeight="1">
      <c r="A74" s="1973" t="str">
        <f>A10</f>
        <v>PRECIOS UNITARIOS OFICIALES 2014</v>
      </c>
      <c r="B74" s="1601"/>
      <c r="C74" s="1602"/>
      <c r="D74" s="1974" t="s">
        <v>1668</v>
      </c>
      <c r="E74" s="1601"/>
      <c r="F74" s="1601"/>
      <c r="G74" s="1602"/>
    </row>
    <row r="75" spans="1:7" ht="13.5" hidden="1" customHeight="1">
      <c r="A75" s="418"/>
      <c r="B75" s="418"/>
      <c r="C75" s="418"/>
      <c r="D75" s="418"/>
      <c r="E75" s="418"/>
      <c r="F75" s="418"/>
      <c r="G75" s="418"/>
    </row>
    <row r="76" spans="1:7" ht="12.75" hidden="1" customHeight="1">
      <c r="A76" s="419"/>
      <c r="B76" s="416"/>
      <c r="C76" s="420"/>
      <c r="D76" s="421" t="s">
        <v>1553</v>
      </c>
      <c r="E76" s="422" t="s">
        <v>228</v>
      </c>
      <c r="F76" s="572"/>
      <c r="G76" s="572"/>
    </row>
    <row r="77" spans="1:7" ht="13.5" hidden="1" customHeight="1">
      <c r="A77" s="423" t="s">
        <v>1555</v>
      </c>
      <c r="B77" s="416"/>
      <c r="C77" s="416"/>
      <c r="D77" s="416"/>
      <c r="E77" s="416"/>
      <c r="F77" s="416"/>
      <c r="G77" s="416"/>
    </row>
    <row r="78" spans="1:7" ht="13.5" hidden="1" customHeight="1">
      <c r="A78" s="1975" t="s">
        <v>1556</v>
      </c>
      <c r="B78" s="1601"/>
      <c r="C78" s="1801"/>
      <c r="D78" s="424" t="s">
        <v>208</v>
      </c>
      <c r="E78" s="424" t="s">
        <v>1558</v>
      </c>
      <c r="F78" s="424" t="s">
        <v>1559</v>
      </c>
      <c r="G78" s="425"/>
    </row>
    <row r="79" spans="1:7" ht="13.5" hidden="1" customHeight="1">
      <c r="A79" s="1981" t="str">
        <f>+'LISTADO EQUIPOS'!$C$22</f>
        <v>HERRAMIENTA MENOR.</v>
      </c>
      <c r="B79" s="1811"/>
      <c r="C79" s="1967"/>
      <c r="D79" s="449">
        <f>+'LISTADO EQUIPOS'!$E$22/8</f>
        <v>2850</v>
      </c>
      <c r="E79" s="427">
        <v>0.05</v>
      </c>
      <c r="F79" s="428">
        <f t="shared" ref="F79:F80" si="4">+E79*D79</f>
        <v>142.5</v>
      </c>
      <c r="G79" s="429"/>
    </row>
    <row r="80" spans="1:7" ht="13.5" hidden="1" customHeight="1">
      <c r="A80" s="1988" t="str">
        <f>+'LISTADO EQUIPOS'!$C$47</f>
        <v>ANDAMIO TUBULAR. 1.5 x 1.5 SECCIÓN</v>
      </c>
      <c r="B80" s="1610"/>
      <c r="C80" s="1611"/>
      <c r="D80" s="431">
        <f>+'LISTADO EQUIPOS'!$E$47</f>
        <v>1750</v>
      </c>
      <c r="E80" s="430">
        <v>0.3</v>
      </c>
      <c r="F80" s="689">
        <f t="shared" si="4"/>
        <v>525</v>
      </c>
      <c r="G80" s="432"/>
    </row>
    <row r="81" spans="1:7" ht="13.5" hidden="1" customHeight="1">
      <c r="A81" s="2003" t="s">
        <v>1560</v>
      </c>
      <c r="B81" s="1601"/>
      <c r="C81" s="1601"/>
      <c r="D81" s="1601"/>
      <c r="E81" s="1601"/>
      <c r="F81" s="1801"/>
      <c r="G81" s="436">
        <f>SUM(F79:F80)</f>
        <v>667.5</v>
      </c>
    </row>
    <row r="82" spans="1:7" ht="13.5" hidden="1" customHeight="1">
      <c r="A82" s="423" t="s">
        <v>1561</v>
      </c>
      <c r="B82" s="416"/>
      <c r="C82" s="416"/>
      <c r="D82" s="416"/>
      <c r="E82" s="416"/>
      <c r="F82" s="416"/>
      <c r="G82" s="437"/>
    </row>
    <row r="83" spans="1:7" ht="13.5" hidden="1" customHeight="1">
      <c r="A83" s="1975" t="s">
        <v>1556</v>
      </c>
      <c r="B83" s="1801"/>
      <c r="C83" s="424" t="s">
        <v>6</v>
      </c>
      <c r="D83" s="424" t="s">
        <v>1562</v>
      </c>
      <c r="E83" s="424" t="s">
        <v>7</v>
      </c>
      <c r="F83" s="424" t="s">
        <v>1559</v>
      </c>
      <c r="G83" s="673"/>
    </row>
    <row r="84" spans="1:7" ht="13.5" hidden="1" customHeight="1">
      <c r="A84" s="1987" t="str">
        <f>+'LISTADO MATERIALES'!$C$387</f>
        <v>LADRILLO TOLETE COMÚN</v>
      </c>
      <c r="B84" s="1967"/>
      <c r="C84" s="674" t="str">
        <f>+'LISTADO MATERIALES'!$D$387</f>
        <v>UND</v>
      </c>
      <c r="D84" s="675">
        <f>+'LISTADO MATERIALES'!$E$387</f>
        <v>368</v>
      </c>
      <c r="E84" s="687">
        <v>105</v>
      </c>
      <c r="F84" s="442">
        <f t="shared" ref="F84:F86" si="5">+E84*D84</f>
        <v>38640</v>
      </c>
      <c r="G84" s="676"/>
    </row>
    <row r="85" spans="1:7" ht="13.5" hidden="1" customHeight="1">
      <c r="A85" s="2013" t="str">
        <f>+'ANALISIS BASICOS'!$A$228</f>
        <v>MORTERO 1:4</v>
      </c>
      <c r="B85" s="1611"/>
      <c r="C85" s="677" t="str">
        <f>+'ANALISIS BASICOS'!$E$140</f>
        <v>M3</v>
      </c>
      <c r="D85" s="431">
        <f>+'ANALISIS BASICOS'!$G$228</f>
        <v>384656</v>
      </c>
      <c r="E85" s="737">
        <v>5.0999999999999997E-2</v>
      </c>
      <c r="F85" s="689">
        <f t="shared" si="5"/>
        <v>19617.455999999998</v>
      </c>
      <c r="G85" s="445"/>
    </row>
    <row r="86" spans="1:7" ht="13.5" hidden="1" customHeight="1">
      <c r="A86" s="1988" t="str">
        <f>+'LISTADO MATERIALES'!$C$723</f>
        <v>AGUA</v>
      </c>
      <c r="B86" s="1611"/>
      <c r="C86" s="677" t="str">
        <f>+'LISTADO MATERIALES'!$D$723</f>
        <v>LT</v>
      </c>
      <c r="D86" s="431">
        <f>+'LISTADO MATERIALES'!$E$723</f>
        <v>21</v>
      </c>
      <c r="E86" s="430">
        <v>5</v>
      </c>
      <c r="F86" s="689">
        <f t="shared" si="5"/>
        <v>105</v>
      </c>
      <c r="G86" s="445"/>
    </row>
    <row r="87" spans="1:7" ht="13.5" hidden="1" customHeight="1">
      <c r="A87" s="1982"/>
      <c r="B87" s="1819"/>
      <c r="C87" s="678"/>
      <c r="D87" s="451"/>
      <c r="E87" s="678"/>
      <c r="F87" s="451"/>
      <c r="G87" s="456"/>
    </row>
    <row r="88" spans="1:7" ht="13.5" hidden="1" customHeight="1">
      <c r="A88" s="2003" t="s">
        <v>1560</v>
      </c>
      <c r="B88" s="1601"/>
      <c r="C88" s="1601"/>
      <c r="D88" s="1601"/>
      <c r="E88" s="1601"/>
      <c r="F88" s="1801"/>
      <c r="G88" s="436">
        <f>SUM(F84:F87)</f>
        <v>58362.455999999998</v>
      </c>
    </row>
    <row r="89" spans="1:7" ht="13.5" hidden="1" customHeight="1">
      <c r="A89" s="423" t="s">
        <v>1563</v>
      </c>
      <c r="B89" s="416"/>
      <c r="C89" s="416"/>
      <c r="D89" s="416"/>
      <c r="E89" s="416"/>
      <c r="F89" s="416"/>
      <c r="G89" s="437"/>
    </row>
    <row r="90" spans="1:7" ht="13.5" hidden="1" customHeight="1">
      <c r="A90" s="1975" t="s">
        <v>1556</v>
      </c>
      <c r="B90" s="1801"/>
      <c r="C90" s="424" t="s">
        <v>6</v>
      </c>
      <c r="D90" s="424" t="s">
        <v>1562</v>
      </c>
      <c r="E90" s="424" t="s">
        <v>7</v>
      </c>
      <c r="F90" s="424" t="s">
        <v>1559</v>
      </c>
      <c r="G90" s="438"/>
    </row>
    <row r="91" spans="1:7" ht="13.5" hidden="1" customHeight="1">
      <c r="A91" s="1981"/>
      <c r="B91" s="1967"/>
      <c r="C91" s="448"/>
      <c r="D91" s="449"/>
      <c r="E91" s="450"/>
      <c r="F91" s="431"/>
      <c r="G91" s="443"/>
    </row>
    <row r="92" spans="1:7" ht="13.5" hidden="1" customHeight="1">
      <c r="A92" s="1982"/>
      <c r="B92" s="1819"/>
      <c r="C92" s="448"/>
      <c r="D92" s="451"/>
      <c r="E92" s="452"/>
      <c r="F92" s="451"/>
      <c r="G92" s="447"/>
    </row>
    <row r="93" spans="1:7" ht="13.5" hidden="1" customHeight="1">
      <c r="A93" s="2003" t="s">
        <v>1560</v>
      </c>
      <c r="B93" s="1601"/>
      <c r="C93" s="1601"/>
      <c r="D93" s="1601"/>
      <c r="E93" s="1601"/>
      <c r="F93" s="1801"/>
      <c r="G93" s="436"/>
    </row>
    <row r="94" spans="1:7" ht="13.5" hidden="1" customHeight="1">
      <c r="A94" s="423" t="s">
        <v>1564</v>
      </c>
      <c r="B94" s="416"/>
      <c r="C94" s="416"/>
      <c r="D94" s="416"/>
      <c r="E94" s="416"/>
      <c r="F94" s="416"/>
      <c r="G94" s="437"/>
    </row>
    <row r="95" spans="1:7" ht="13.5" hidden="1" customHeight="1">
      <c r="A95" s="1975" t="s">
        <v>1565</v>
      </c>
      <c r="B95" s="1801"/>
      <c r="C95" s="424" t="s">
        <v>1566</v>
      </c>
      <c r="D95" s="424" t="s">
        <v>6</v>
      </c>
      <c r="E95" s="424" t="s">
        <v>7</v>
      </c>
      <c r="F95" s="424" t="s">
        <v>1559</v>
      </c>
      <c r="G95" s="462"/>
    </row>
    <row r="96" spans="1:7" ht="13.5" hidden="1" customHeight="1">
      <c r="A96" s="2004" t="str">
        <f>+'MANO DE OBRA'!$A$64</f>
        <v>Oficial (Incl. Prestaciones)</v>
      </c>
      <c r="B96" s="1888"/>
      <c r="C96" s="679">
        <f>+'MANO DE OBRA'!$E$64</f>
        <v>15031.25</v>
      </c>
      <c r="D96" s="680">
        <v>1</v>
      </c>
      <c r="E96" s="680">
        <v>0.8</v>
      </c>
      <c r="F96" s="694">
        <f t="shared" ref="F96:F97" si="6">+(C96*D96)*E96</f>
        <v>12025</v>
      </c>
      <c r="G96" s="443"/>
    </row>
    <row r="97" spans="1:7" ht="13.5" hidden="1" customHeight="1">
      <c r="A97" s="1968" t="str">
        <f>+'MANO DE OBRA'!$A$65</f>
        <v>Ayudante (Incl. Prestaciones)</v>
      </c>
      <c r="B97" s="1819"/>
      <c r="C97" s="681">
        <f>+'MANO DE OBRA'!$E$65</f>
        <v>10972.8125</v>
      </c>
      <c r="D97" s="562">
        <v>1</v>
      </c>
      <c r="E97" s="562">
        <f>+E96</f>
        <v>0.8</v>
      </c>
      <c r="F97" s="695">
        <f t="shared" si="6"/>
        <v>8778.25</v>
      </c>
      <c r="G97" s="456"/>
    </row>
    <row r="98" spans="1:7" ht="13.5" hidden="1" customHeight="1">
      <c r="A98" s="2003" t="str">
        <f>+A93</f>
        <v>SUB-TOTAL</v>
      </c>
      <c r="B98" s="1601"/>
      <c r="C98" s="1601"/>
      <c r="D98" s="1601"/>
      <c r="E98" s="1601"/>
      <c r="F98" s="1801"/>
      <c r="G98" s="436">
        <f>SUM(F96:F97)</f>
        <v>20803.25</v>
      </c>
    </row>
    <row r="99" spans="1:7" ht="11.25" hidden="1" customHeight="1">
      <c r="A99" s="416"/>
      <c r="B99" s="416"/>
      <c r="C99" s="416"/>
      <c r="D99" s="416"/>
      <c r="E99" s="416"/>
      <c r="F99" s="458"/>
      <c r="G99" s="437"/>
    </row>
    <row r="100" spans="1:7" ht="13.5" hidden="1" customHeight="1">
      <c r="A100" s="2003" t="s">
        <v>1567</v>
      </c>
      <c r="B100" s="1601"/>
      <c r="C100" s="1601"/>
      <c r="D100" s="1601"/>
      <c r="E100" s="1601"/>
      <c r="F100" s="1801"/>
      <c r="G100" s="682">
        <f>ROUND(G81+G88+G93+G98,0)</f>
        <v>79833</v>
      </c>
    </row>
    <row r="101" spans="1:7" ht="13.5" hidden="1" customHeight="1">
      <c r="A101" s="420"/>
      <c r="B101" s="420"/>
      <c r="C101" s="420"/>
      <c r="D101" s="420"/>
      <c r="E101" s="420"/>
      <c r="F101" s="420"/>
      <c r="G101" s="420"/>
    </row>
    <row r="102" spans="1:7" ht="13.5" hidden="1" customHeight="1">
      <c r="A102" s="420"/>
      <c r="B102" s="420"/>
      <c r="C102" s="420"/>
      <c r="D102" s="420"/>
      <c r="E102" s="420"/>
      <c r="F102" s="420"/>
      <c r="G102" s="420"/>
    </row>
    <row r="103" spans="1:7" ht="27" hidden="1" customHeight="1">
      <c r="A103" s="2005" t="s">
        <v>1604</v>
      </c>
      <c r="B103" s="1616"/>
      <c r="C103" s="1624"/>
      <c r="D103" s="567"/>
      <c r="E103" s="567"/>
      <c r="F103" s="567"/>
      <c r="G103" s="668"/>
    </row>
    <row r="104" spans="1:7" ht="24" hidden="1" customHeight="1">
      <c r="A104" s="1971"/>
      <c r="B104" s="1817"/>
      <c r="C104" s="1972"/>
      <c r="D104" s="669"/>
      <c r="E104" s="669"/>
      <c r="F104" s="669"/>
      <c r="G104" s="670"/>
    </row>
    <row r="105" spans="1:7" ht="13.5" hidden="1" customHeight="1">
      <c r="A105" s="416"/>
      <c r="B105" s="416"/>
      <c r="C105" s="416"/>
      <c r="D105" s="416"/>
      <c r="E105" s="416"/>
      <c r="F105" s="416"/>
      <c r="G105" s="416"/>
    </row>
    <row r="106" spans="1:7" ht="30.75" hidden="1" customHeight="1">
      <c r="A106" s="1973" t="str">
        <f>A10</f>
        <v>PRECIOS UNITARIOS OFICIALES 2014</v>
      </c>
      <c r="B106" s="1601"/>
      <c r="C106" s="1602"/>
      <c r="D106" s="1974" t="s">
        <v>1669</v>
      </c>
      <c r="E106" s="1601"/>
      <c r="F106" s="1601"/>
      <c r="G106" s="1602"/>
    </row>
    <row r="107" spans="1:7" ht="13.5" hidden="1" customHeight="1">
      <c r="A107" s="418"/>
      <c r="B107" s="418"/>
      <c r="C107" s="418"/>
      <c r="D107" s="418"/>
      <c r="E107" s="418"/>
      <c r="F107" s="418"/>
      <c r="G107" s="418"/>
    </row>
    <row r="108" spans="1:7" ht="12.75" hidden="1" customHeight="1">
      <c r="A108" s="419"/>
      <c r="B108" s="416"/>
      <c r="C108" s="420"/>
      <c r="D108" s="421" t="s">
        <v>1553</v>
      </c>
      <c r="E108" s="422" t="s">
        <v>228</v>
      </c>
      <c r="F108" s="572"/>
      <c r="G108" s="572"/>
    </row>
    <row r="109" spans="1:7" ht="13.5" hidden="1" customHeight="1">
      <c r="A109" s="423" t="s">
        <v>1555</v>
      </c>
      <c r="B109" s="416"/>
      <c r="C109" s="416"/>
      <c r="D109" s="416"/>
      <c r="E109" s="416"/>
      <c r="F109" s="416"/>
      <c r="G109" s="416"/>
    </row>
    <row r="110" spans="1:7" ht="13.5" hidden="1" customHeight="1">
      <c r="A110" s="1975" t="s">
        <v>1556</v>
      </c>
      <c r="B110" s="1601"/>
      <c r="C110" s="1801"/>
      <c r="D110" s="424" t="s">
        <v>208</v>
      </c>
      <c r="E110" s="424" t="s">
        <v>1558</v>
      </c>
      <c r="F110" s="424" t="s">
        <v>1559</v>
      </c>
      <c r="G110" s="425"/>
    </row>
    <row r="111" spans="1:7" ht="13.5" hidden="1" customHeight="1">
      <c r="A111" s="1981" t="str">
        <f>+'LISTADO EQUIPOS'!$C$22</f>
        <v>HERRAMIENTA MENOR.</v>
      </c>
      <c r="B111" s="1811"/>
      <c r="C111" s="1967"/>
      <c r="D111" s="449">
        <f>+'LISTADO EQUIPOS'!$E$22/8</f>
        <v>2850</v>
      </c>
      <c r="E111" s="427">
        <v>0.05</v>
      </c>
      <c r="F111" s="428">
        <f t="shared" ref="F111:F112" si="7">+E111*D111</f>
        <v>142.5</v>
      </c>
      <c r="G111" s="429"/>
    </row>
    <row r="112" spans="1:7" ht="13.5" hidden="1" customHeight="1">
      <c r="A112" s="1988" t="str">
        <f>+'LISTADO EQUIPOS'!$C$47</f>
        <v>ANDAMIO TUBULAR. 1.5 x 1.5 SECCIÓN</v>
      </c>
      <c r="B112" s="1610"/>
      <c r="C112" s="1611"/>
      <c r="D112" s="431">
        <f>+'LISTADO EQUIPOS'!$E$47</f>
        <v>1750</v>
      </c>
      <c r="E112" s="430">
        <v>0.11</v>
      </c>
      <c r="F112" s="689">
        <f t="shared" si="7"/>
        <v>192.5</v>
      </c>
      <c r="G112" s="672"/>
    </row>
    <row r="113" spans="1:7" ht="13.5" hidden="1" customHeight="1">
      <c r="A113" s="2003" t="s">
        <v>1560</v>
      </c>
      <c r="B113" s="1601"/>
      <c r="C113" s="1601"/>
      <c r="D113" s="1601"/>
      <c r="E113" s="1601"/>
      <c r="F113" s="1801"/>
      <c r="G113" s="436">
        <f>SUM(F111:F112)</f>
        <v>335</v>
      </c>
    </row>
    <row r="114" spans="1:7" ht="13.5" hidden="1" customHeight="1">
      <c r="A114" s="423" t="s">
        <v>1561</v>
      </c>
      <c r="B114" s="416"/>
      <c r="C114" s="416"/>
      <c r="D114" s="416"/>
      <c r="E114" s="416"/>
      <c r="F114" s="416"/>
      <c r="G114" s="437"/>
    </row>
    <row r="115" spans="1:7" ht="13.5" hidden="1" customHeight="1">
      <c r="A115" s="1975" t="s">
        <v>1556</v>
      </c>
      <c r="B115" s="1801"/>
      <c r="C115" s="424" t="s">
        <v>6</v>
      </c>
      <c r="D115" s="424" t="s">
        <v>1562</v>
      </c>
      <c r="E115" s="424" t="s">
        <v>7</v>
      </c>
      <c r="F115" s="424" t="s">
        <v>1559</v>
      </c>
      <c r="G115" s="673"/>
    </row>
    <row r="116" spans="1:7" ht="13.5" hidden="1" customHeight="1">
      <c r="A116" s="1987" t="str">
        <f>+'LISTADO MATERIALES'!$C$370</f>
        <v>BLOQUE CEMENTO ESTRUCTURAL 12X20X40</v>
      </c>
      <c r="B116" s="1967"/>
      <c r="C116" s="674" t="str">
        <f>+'LISTADO MATERIALES'!$D$370</f>
        <v>UN</v>
      </c>
      <c r="D116" s="675">
        <f>+'LISTADO MATERIALES'!$E$370</f>
        <v>3150</v>
      </c>
      <c r="E116" s="687">
        <v>12.5</v>
      </c>
      <c r="F116" s="442">
        <f t="shared" ref="F116:F118" si="8">+E116*D116</f>
        <v>39375</v>
      </c>
      <c r="G116" s="676"/>
    </row>
    <row r="117" spans="1:7" ht="13.5" hidden="1" customHeight="1">
      <c r="A117" s="1988" t="str">
        <f>+'ANALISIS BASICOS'!$A$228</f>
        <v>MORTERO 1:4</v>
      </c>
      <c r="B117" s="1611"/>
      <c r="C117" s="677" t="str">
        <f>+'ANALISIS BASICOS'!$E$204</f>
        <v>M3</v>
      </c>
      <c r="D117" s="431">
        <f>+'ANALISIS BASICOS'!$G$228</f>
        <v>384656</v>
      </c>
      <c r="E117" s="430">
        <v>5.5E-2</v>
      </c>
      <c r="F117" s="689">
        <f t="shared" si="8"/>
        <v>21156.080000000002</v>
      </c>
      <c r="G117" s="445"/>
    </row>
    <row r="118" spans="1:7" ht="13.5" hidden="1" customHeight="1">
      <c r="A118" s="1988" t="str">
        <f>+'LISTADO MATERIALES'!$C$723</f>
        <v>AGUA</v>
      </c>
      <c r="B118" s="1611"/>
      <c r="C118" s="677" t="str">
        <f>+'LISTADO MATERIALES'!$D$723</f>
        <v>LT</v>
      </c>
      <c r="D118" s="431">
        <f>+'LISTADO MATERIALES'!$E$723</f>
        <v>21</v>
      </c>
      <c r="E118" s="430">
        <v>5</v>
      </c>
      <c r="F118" s="689">
        <f t="shared" si="8"/>
        <v>105</v>
      </c>
      <c r="G118" s="445"/>
    </row>
    <row r="119" spans="1:7" ht="13.5" hidden="1" customHeight="1">
      <c r="A119" s="1982"/>
      <c r="B119" s="1819"/>
      <c r="C119" s="678"/>
      <c r="D119" s="451"/>
      <c r="E119" s="678"/>
      <c r="F119" s="451"/>
      <c r="G119" s="456"/>
    </row>
    <row r="120" spans="1:7" ht="13.5" hidden="1" customHeight="1">
      <c r="A120" s="2003" t="s">
        <v>1560</v>
      </c>
      <c r="B120" s="1601"/>
      <c r="C120" s="1601"/>
      <c r="D120" s="1601"/>
      <c r="E120" s="1601"/>
      <c r="F120" s="1801"/>
      <c r="G120" s="436">
        <f>SUM(F116:F119)</f>
        <v>60636.08</v>
      </c>
    </row>
    <row r="121" spans="1:7" ht="13.5" hidden="1" customHeight="1">
      <c r="A121" s="423" t="s">
        <v>1563</v>
      </c>
      <c r="B121" s="416"/>
      <c r="C121" s="416"/>
      <c r="D121" s="416"/>
      <c r="E121" s="416"/>
      <c r="F121" s="416"/>
      <c r="G121" s="437"/>
    </row>
    <row r="122" spans="1:7" ht="13.5" hidden="1" customHeight="1">
      <c r="A122" s="1975" t="s">
        <v>1556</v>
      </c>
      <c r="B122" s="1801"/>
      <c r="C122" s="424" t="s">
        <v>6</v>
      </c>
      <c r="D122" s="424" t="s">
        <v>1562</v>
      </c>
      <c r="E122" s="424" t="s">
        <v>7</v>
      </c>
      <c r="F122" s="424" t="s">
        <v>1559</v>
      </c>
      <c r="G122" s="438"/>
    </row>
    <row r="123" spans="1:7" ht="13.5" hidden="1" customHeight="1">
      <c r="A123" s="1981"/>
      <c r="B123" s="1967"/>
      <c r="C123" s="448"/>
      <c r="D123" s="449"/>
      <c r="E123" s="450"/>
      <c r="F123" s="431"/>
      <c r="G123" s="443"/>
    </row>
    <row r="124" spans="1:7" ht="13.5" hidden="1" customHeight="1">
      <c r="A124" s="1982"/>
      <c r="B124" s="1819"/>
      <c r="C124" s="448"/>
      <c r="D124" s="451"/>
      <c r="E124" s="452"/>
      <c r="F124" s="451"/>
      <c r="G124" s="447"/>
    </row>
    <row r="125" spans="1:7" ht="13.5" hidden="1" customHeight="1">
      <c r="A125" s="2003" t="s">
        <v>1560</v>
      </c>
      <c r="B125" s="1601"/>
      <c r="C125" s="1601"/>
      <c r="D125" s="1601"/>
      <c r="E125" s="1601"/>
      <c r="F125" s="1801"/>
      <c r="G125" s="436"/>
    </row>
    <row r="126" spans="1:7" ht="13.5" hidden="1" customHeight="1">
      <c r="A126" s="423" t="s">
        <v>1564</v>
      </c>
      <c r="B126" s="416"/>
      <c r="C126" s="416"/>
      <c r="D126" s="416"/>
      <c r="E126" s="416"/>
      <c r="F126" s="416"/>
      <c r="G126" s="437"/>
    </row>
    <row r="127" spans="1:7" ht="13.5" hidden="1" customHeight="1">
      <c r="A127" s="1975" t="s">
        <v>1565</v>
      </c>
      <c r="B127" s="1801"/>
      <c r="C127" s="424" t="s">
        <v>1566</v>
      </c>
      <c r="D127" s="424" t="s">
        <v>6</v>
      </c>
      <c r="E127" s="424" t="s">
        <v>7</v>
      </c>
      <c r="F127" s="424" t="s">
        <v>1559</v>
      </c>
      <c r="G127" s="462"/>
    </row>
    <row r="128" spans="1:7" ht="13.5" hidden="1" customHeight="1">
      <c r="A128" s="2004" t="str">
        <f>+'MANO DE OBRA'!$A$64</f>
        <v>Oficial (Incl. Prestaciones)</v>
      </c>
      <c r="B128" s="1888"/>
      <c r="C128" s="679">
        <f>+'MANO DE OBRA'!$E$64</f>
        <v>15031.25</v>
      </c>
      <c r="D128" s="680">
        <v>1</v>
      </c>
      <c r="E128" s="680">
        <v>1.1499999999999999</v>
      </c>
      <c r="F128" s="454">
        <f t="shared" ref="F128:F129" si="9">+(C128*D128)/E128</f>
        <v>13070.652173913044</v>
      </c>
      <c r="G128" s="443"/>
    </row>
    <row r="129" spans="1:7" ht="13.5" hidden="1" customHeight="1">
      <c r="A129" s="1968" t="str">
        <f>+'MANO DE OBRA'!$A$65</f>
        <v>Ayudante (Incl. Prestaciones)</v>
      </c>
      <c r="B129" s="1819"/>
      <c r="C129" s="681">
        <f>+'MANO DE OBRA'!$E$65</f>
        <v>10972.8125</v>
      </c>
      <c r="D129" s="562">
        <v>1</v>
      </c>
      <c r="E129" s="562">
        <f>+E128</f>
        <v>1.1499999999999999</v>
      </c>
      <c r="F129" s="455">
        <f t="shared" si="9"/>
        <v>9541.576086956522</v>
      </c>
      <c r="G129" s="456"/>
    </row>
    <row r="130" spans="1:7" ht="13.5" hidden="1" customHeight="1">
      <c r="A130" s="2003" t="str">
        <f>+A125</f>
        <v>SUB-TOTAL</v>
      </c>
      <c r="B130" s="1601"/>
      <c r="C130" s="1601"/>
      <c r="D130" s="1601"/>
      <c r="E130" s="1601"/>
      <c r="F130" s="1801"/>
      <c r="G130" s="436">
        <f>SUM(F128:F129)</f>
        <v>22612.228260869568</v>
      </c>
    </row>
    <row r="131" spans="1:7" ht="11.25" hidden="1" customHeight="1">
      <c r="A131" s="416"/>
      <c r="B131" s="416"/>
      <c r="C131" s="416"/>
      <c r="D131" s="416"/>
      <c r="E131" s="416"/>
      <c r="F131" s="458"/>
      <c r="G131" s="437"/>
    </row>
    <row r="132" spans="1:7" ht="13.5" hidden="1" customHeight="1">
      <c r="A132" s="2003" t="s">
        <v>1567</v>
      </c>
      <c r="B132" s="1601"/>
      <c r="C132" s="1601"/>
      <c r="D132" s="1601"/>
      <c r="E132" s="1601"/>
      <c r="F132" s="1801"/>
      <c r="G132" s="682">
        <f>ROUND(G113+G120+G125+G130,0)</f>
        <v>83583</v>
      </c>
    </row>
    <row r="133" spans="1:7" ht="13.5" hidden="1" customHeight="1">
      <c r="A133" s="420"/>
      <c r="B133" s="420"/>
      <c r="C133" s="420"/>
      <c r="D133" s="420"/>
      <c r="E133" s="420"/>
      <c r="F133" s="420"/>
      <c r="G133" s="420"/>
    </row>
    <row r="134" spans="1:7" ht="13.5" hidden="1" customHeight="1">
      <c r="A134" s="420"/>
      <c r="B134" s="420"/>
      <c r="C134" s="420"/>
      <c r="D134" s="420"/>
      <c r="E134" s="420"/>
      <c r="F134" s="420"/>
      <c r="G134" s="420"/>
    </row>
    <row r="135" spans="1:7" ht="27" hidden="1" customHeight="1">
      <c r="A135" s="2005" t="s">
        <v>1604</v>
      </c>
      <c r="B135" s="1616"/>
      <c r="C135" s="1624"/>
      <c r="D135" s="567"/>
      <c r="E135" s="567"/>
      <c r="F135" s="567"/>
      <c r="G135" s="668"/>
    </row>
    <row r="136" spans="1:7" ht="24" hidden="1" customHeight="1">
      <c r="A136" s="1971"/>
      <c r="B136" s="1817"/>
      <c r="C136" s="1972"/>
      <c r="D136" s="669"/>
      <c r="E136" s="669"/>
      <c r="F136" s="669"/>
      <c r="G136" s="670"/>
    </row>
    <row r="137" spans="1:7" ht="13.5" hidden="1" customHeight="1">
      <c r="A137" s="416"/>
      <c r="B137" s="416"/>
      <c r="C137" s="416"/>
      <c r="D137" s="416"/>
      <c r="E137" s="416"/>
      <c r="F137" s="416"/>
      <c r="G137" s="416"/>
    </row>
    <row r="138" spans="1:7" ht="30.75" hidden="1" customHeight="1">
      <c r="A138" s="1973" t="str">
        <f>A10</f>
        <v>PRECIOS UNITARIOS OFICIALES 2014</v>
      </c>
      <c r="B138" s="1601"/>
      <c r="C138" s="1602"/>
      <c r="D138" s="1974" t="s">
        <v>1670</v>
      </c>
      <c r="E138" s="1601"/>
      <c r="F138" s="1601"/>
      <c r="G138" s="1602"/>
    </row>
    <row r="139" spans="1:7" ht="13.5" hidden="1" customHeight="1">
      <c r="A139" s="418"/>
      <c r="B139" s="418"/>
      <c r="C139" s="418"/>
      <c r="D139" s="418"/>
      <c r="E139" s="418"/>
      <c r="F139" s="418"/>
      <c r="G139" s="418"/>
    </row>
    <row r="140" spans="1:7" ht="12.75" hidden="1" customHeight="1">
      <c r="A140" s="419"/>
      <c r="B140" s="416"/>
      <c r="C140" s="420"/>
      <c r="D140" s="421" t="s">
        <v>1553</v>
      </c>
      <c r="E140" s="422" t="s">
        <v>228</v>
      </c>
      <c r="F140" s="572"/>
      <c r="G140" s="572"/>
    </row>
    <row r="141" spans="1:7" ht="13.5" hidden="1" customHeight="1">
      <c r="A141" s="423" t="s">
        <v>1555</v>
      </c>
      <c r="B141" s="416"/>
      <c r="C141" s="416"/>
      <c r="D141" s="416"/>
      <c r="E141" s="416"/>
      <c r="F141" s="416"/>
      <c r="G141" s="416"/>
    </row>
    <row r="142" spans="1:7" ht="13.5" hidden="1" customHeight="1">
      <c r="A142" s="1975" t="s">
        <v>1556</v>
      </c>
      <c r="B142" s="1601"/>
      <c r="C142" s="1801"/>
      <c r="D142" s="424" t="s">
        <v>208</v>
      </c>
      <c r="E142" s="424" t="s">
        <v>1558</v>
      </c>
      <c r="F142" s="424" t="s">
        <v>1559</v>
      </c>
      <c r="G142" s="425"/>
    </row>
    <row r="143" spans="1:7" ht="13.5" hidden="1" customHeight="1">
      <c r="A143" s="1981" t="str">
        <f>+'LISTADO EQUIPOS'!$C$22</f>
        <v>HERRAMIENTA MENOR.</v>
      </c>
      <c r="B143" s="1811"/>
      <c r="C143" s="1967"/>
      <c r="D143" s="449">
        <f>+'LISTADO EQUIPOS'!$E$22/8</f>
        <v>2850</v>
      </c>
      <c r="E143" s="427">
        <v>20</v>
      </c>
      <c r="F143" s="428">
        <f>+D143/E143</f>
        <v>142.5</v>
      </c>
      <c r="G143" s="429"/>
    </row>
    <row r="144" spans="1:7" ht="13.5" hidden="1" customHeight="1">
      <c r="A144" s="1982" t="str">
        <f>+'LISTADO EQUIPOS'!$C$47</f>
        <v>ANDAMIO TUBULAR. 1.5 x 1.5 SECCIÓN</v>
      </c>
      <c r="B144" s="1807"/>
      <c r="C144" s="1819"/>
      <c r="D144" s="451">
        <f>+'LISTADO EQUIPOS'!$E$47</f>
        <v>1750</v>
      </c>
      <c r="E144" s="671">
        <v>0.4</v>
      </c>
      <c r="F144" s="698">
        <f>+D144*E144</f>
        <v>700</v>
      </c>
      <c r="G144" s="672"/>
    </row>
    <row r="145" spans="1:7" ht="13.5" hidden="1" customHeight="1">
      <c r="A145" s="2003" t="s">
        <v>1560</v>
      </c>
      <c r="B145" s="1601"/>
      <c r="C145" s="1601"/>
      <c r="D145" s="1601"/>
      <c r="E145" s="1601"/>
      <c r="F145" s="1801"/>
      <c r="G145" s="436">
        <f>SUM(F143:F144)</f>
        <v>842.5</v>
      </c>
    </row>
    <row r="146" spans="1:7" ht="13.5" hidden="1" customHeight="1">
      <c r="A146" s="423" t="s">
        <v>1561</v>
      </c>
      <c r="B146" s="416"/>
      <c r="C146" s="416"/>
      <c r="D146" s="416"/>
      <c r="E146" s="416"/>
      <c r="F146" s="416"/>
      <c r="G146" s="437"/>
    </row>
    <row r="147" spans="1:7" ht="13.5" hidden="1" customHeight="1">
      <c r="A147" s="1975" t="s">
        <v>1556</v>
      </c>
      <c r="B147" s="1801"/>
      <c r="C147" s="424" t="s">
        <v>6</v>
      </c>
      <c r="D147" s="424" t="s">
        <v>1562</v>
      </c>
      <c r="E147" s="424" t="s">
        <v>7</v>
      </c>
      <c r="F147" s="424" t="s">
        <v>1559</v>
      </c>
      <c r="G147" s="673"/>
    </row>
    <row r="148" spans="1:7" ht="13.5" hidden="1" customHeight="1">
      <c r="A148" s="1987" t="str">
        <f>+'LISTADO MATERIALES'!$C$388</f>
        <v>LADRILLO TOLETE REJILLA SANTAFE</v>
      </c>
      <c r="B148" s="1967"/>
      <c r="C148" s="674" t="str">
        <f>+'LISTADO MATERIALES'!$D$388</f>
        <v>UND</v>
      </c>
      <c r="D148" s="675">
        <f>+'LISTADO MATERIALES'!$E$388</f>
        <v>840</v>
      </c>
      <c r="E148" s="687">
        <v>58</v>
      </c>
      <c r="F148" s="442">
        <f t="shared" ref="F148:F150" si="10">+E148*D148</f>
        <v>48720</v>
      </c>
      <c r="G148" s="676"/>
    </row>
    <row r="149" spans="1:7" ht="13.5" hidden="1" customHeight="1">
      <c r="A149" s="1988" t="str">
        <f>+'ANALISIS BASICOS'!$A$228</f>
        <v>MORTERO 1:4</v>
      </c>
      <c r="B149" s="1611"/>
      <c r="C149" s="677" t="str">
        <f>+'ANALISIS BASICOS'!$E$204</f>
        <v>M3</v>
      </c>
      <c r="D149" s="431">
        <f>+'ANALISIS BASICOS'!$G$228</f>
        <v>384656</v>
      </c>
      <c r="E149" s="737">
        <v>2.1999999999999999E-2</v>
      </c>
      <c r="F149" s="689">
        <f t="shared" si="10"/>
        <v>8462.4319999999989</v>
      </c>
      <c r="G149" s="445"/>
    </row>
    <row r="150" spans="1:7" ht="13.5" hidden="1" customHeight="1">
      <c r="A150" s="1988" t="str">
        <f>+'LISTADO MATERIALES'!$C$723</f>
        <v>AGUA</v>
      </c>
      <c r="B150" s="1611"/>
      <c r="C150" s="677" t="str">
        <f>+'LISTADO MATERIALES'!$D$723</f>
        <v>LT</v>
      </c>
      <c r="D150" s="431">
        <f>+'LISTADO MATERIALES'!$E$723</f>
        <v>21</v>
      </c>
      <c r="E150" s="430">
        <v>5</v>
      </c>
      <c r="F150" s="689">
        <f t="shared" si="10"/>
        <v>105</v>
      </c>
      <c r="G150" s="445"/>
    </row>
    <row r="151" spans="1:7" ht="13.5" hidden="1" customHeight="1">
      <c r="A151" s="1982"/>
      <c r="B151" s="1819"/>
      <c r="C151" s="678"/>
      <c r="D151" s="451"/>
      <c r="E151" s="678"/>
      <c r="F151" s="698"/>
      <c r="G151" s="456"/>
    </row>
    <row r="152" spans="1:7" ht="13.5" hidden="1" customHeight="1">
      <c r="A152" s="2003" t="s">
        <v>1560</v>
      </c>
      <c r="B152" s="1601"/>
      <c r="C152" s="1601"/>
      <c r="D152" s="1601"/>
      <c r="E152" s="1601"/>
      <c r="F152" s="1801"/>
      <c r="G152" s="436">
        <f>SUM(F148:F151)</f>
        <v>57287.432000000001</v>
      </c>
    </row>
    <row r="153" spans="1:7" ht="13.5" hidden="1" customHeight="1">
      <c r="A153" s="423" t="s">
        <v>1563</v>
      </c>
      <c r="B153" s="416"/>
      <c r="C153" s="416"/>
      <c r="D153" s="416"/>
      <c r="E153" s="416"/>
      <c r="F153" s="416"/>
      <c r="G153" s="437"/>
    </row>
    <row r="154" spans="1:7" ht="13.5" hidden="1" customHeight="1">
      <c r="A154" s="1975" t="s">
        <v>1556</v>
      </c>
      <c r="B154" s="1801"/>
      <c r="C154" s="424" t="s">
        <v>6</v>
      </c>
      <c r="D154" s="424" t="s">
        <v>1562</v>
      </c>
      <c r="E154" s="424" t="s">
        <v>7</v>
      </c>
      <c r="F154" s="424" t="s">
        <v>1559</v>
      </c>
      <c r="G154" s="438"/>
    </row>
    <row r="155" spans="1:7" ht="13.5" hidden="1" customHeight="1">
      <c r="A155" s="1981"/>
      <c r="B155" s="1967"/>
      <c r="C155" s="448"/>
      <c r="D155" s="449"/>
      <c r="E155" s="450"/>
      <c r="F155" s="431"/>
      <c r="G155" s="443"/>
    </row>
    <row r="156" spans="1:7" ht="13.5" hidden="1" customHeight="1">
      <c r="A156" s="1982"/>
      <c r="B156" s="1819"/>
      <c r="C156" s="448"/>
      <c r="D156" s="451"/>
      <c r="E156" s="452"/>
      <c r="F156" s="451"/>
      <c r="G156" s="447"/>
    </row>
    <row r="157" spans="1:7" ht="13.5" hidden="1" customHeight="1">
      <c r="A157" s="2003" t="s">
        <v>1560</v>
      </c>
      <c r="B157" s="1601"/>
      <c r="C157" s="1601"/>
      <c r="D157" s="1601"/>
      <c r="E157" s="1601"/>
      <c r="F157" s="1801"/>
      <c r="G157" s="436"/>
    </row>
    <row r="158" spans="1:7" ht="13.5" hidden="1" customHeight="1">
      <c r="A158" s="423" t="s">
        <v>1564</v>
      </c>
      <c r="B158" s="416"/>
      <c r="C158" s="416"/>
      <c r="D158" s="416"/>
      <c r="E158" s="416"/>
      <c r="F158" s="416"/>
      <c r="G158" s="437"/>
    </row>
    <row r="159" spans="1:7" ht="13.5" hidden="1" customHeight="1">
      <c r="A159" s="1975" t="s">
        <v>1565</v>
      </c>
      <c r="B159" s="1801"/>
      <c r="C159" s="424" t="s">
        <v>1566</v>
      </c>
      <c r="D159" s="424" t="s">
        <v>6</v>
      </c>
      <c r="E159" s="424" t="s">
        <v>7</v>
      </c>
      <c r="F159" s="424" t="s">
        <v>1559</v>
      </c>
      <c r="G159" s="462"/>
    </row>
    <row r="160" spans="1:7" ht="13.5" hidden="1" customHeight="1">
      <c r="A160" s="2004" t="str">
        <f>+'MANO DE OBRA'!$A$64</f>
        <v>Oficial (Incl. Prestaciones)</v>
      </c>
      <c r="B160" s="1888"/>
      <c r="C160" s="679">
        <f>+'MANO DE OBRA'!$E$64</f>
        <v>15031.25</v>
      </c>
      <c r="D160" s="680">
        <v>1</v>
      </c>
      <c r="E160" s="680">
        <v>0.75</v>
      </c>
      <c r="F160" s="454">
        <f t="shared" ref="F160:F161" si="11">+(C160*D160)/E160</f>
        <v>20041.666666666668</v>
      </c>
      <c r="G160" s="443"/>
    </row>
    <row r="161" spans="1:7" ht="13.5" hidden="1" customHeight="1">
      <c r="A161" s="1968" t="str">
        <f>+'MANO DE OBRA'!$A$65</f>
        <v>Ayudante (Incl. Prestaciones)</v>
      </c>
      <c r="B161" s="1819"/>
      <c r="C161" s="681">
        <f>+'MANO DE OBRA'!$E$65</f>
        <v>10972.8125</v>
      </c>
      <c r="D161" s="562">
        <v>1</v>
      </c>
      <c r="E161" s="562">
        <f>+E160</f>
        <v>0.75</v>
      </c>
      <c r="F161" s="455">
        <f t="shared" si="11"/>
        <v>14630.416666666666</v>
      </c>
      <c r="G161" s="456"/>
    </row>
    <row r="162" spans="1:7" ht="13.5" hidden="1" customHeight="1">
      <c r="A162" s="2003" t="str">
        <f>+A157</f>
        <v>SUB-TOTAL</v>
      </c>
      <c r="B162" s="1601"/>
      <c r="C162" s="1601"/>
      <c r="D162" s="1601"/>
      <c r="E162" s="1601"/>
      <c r="F162" s="1801"/>
      <c r="G162" s="436">
        <f>SUM(F160:F161)</f>
        <v>34672.083333333336</v>
      </c>
    </row>
    <row r="163" spans="1:7" ht="11.25" hidden="1" customHeight="1">
      <c r="A163" s="416"/>
      <c r="B163" s="416"/>
      <c r="C163" s="416"/>
      <c r="D163" s="416"/>
      <c r="E163" s="416"/>
      <c r="F163" s="458"/>
      <c r="G163" s="437"/>
    </row>
    <row r="164" spans="1:7" ht="13.5" hidden="1" customHeight="1">
      <c r="A164" s="2003" t="s">
        <v>1567</v>
      </c>
      <c r="B164" s="1601"/>
      <c r="C164" s="1601"/>
      <c r="D164" s="1601"/>
      <c r="E164" s="1601"/>
      <c r="F164" s="1801"/>
      <c r="G164" s="682">
        <f>ROUND(G145+G152+G157+G162,0)</f>
        <v>92802</v>
      </c>
    </row>
    <row r="165" spans="1:7" ht="13.5" hidden="1" customHeight="1">
      <c r="A165" s="420"/>
      <c r="B165" s="420"/>
      <c r="C165" s="420"/>
      <c r="D165" s="420"/>
      <c r="E165" s="420"/>
      <c r="F165" s="420"/>
      <c r="G165" s="420"/>
    </row>
    <row r="166" spans="1:7" ht="13.5" hidden="1" customHeight="1">
      <c r="A166" s="420"/>
      <c r="B166" s="420"/>
      <c r="C166" s="420"/>
      <c r="D166" s="420"/>
      <c r="E166" s="420"/>
      <c r="F166" s="420"/>
      <c r="G166" s="420"/>
    </row>
    <row r="167" spans="1:7" ht="27" hidden="1" customHeight="1">
      <c r="A167" s="2005" t="s">
        <v>1604</v>
      </c>
      <c r="B167" s="1616"/>
      <c r="C167" s="1624"/>
      <c r="D167" s="567"/>
      <c r="E167" s="567"/>
      <c r="F167" s="567"/>
      <c r="G167" s="668"/>
    </row>
    <row r="168" spans="1:7" ht="24" hidden="1" customHeight="1">
      <c r="A168" s="1971"/>
      <c r="B168" s="1817"/>
      <c r="C168" s="1972"/>
      <c r="D168" s="669"/>
      <c r="E168" s="669"/>
      <c r="F168" s="669"/>
      <c r="G168" s="670"/>
    </row>
    <row r="169" spans="1:7" ht="13.5" hidden="1" customHeight="1">
      <c r="A169" s="416"/>
      <c r="B169" s="416"/>
      <c r="C169" s="416"/>
      <c r="D169" s="416"/>
      <c r="E169" s="416"/>
      <c r="F169" s="416"/>
      <c r="G169" s="416"/>
    </row>
    <row r="170" spans="1:7" ht="30.75" hidden="1" customHeight="1">
      <c r="A170" s="1973" t="str">
        <f>A10</f>
        <v>PRECIOS UNITARIOS OFICIALES 2014</v>
      </c>
      <c r="B170" s="1601"/>
      <c r="C170" s="1602"/>
      <c r="D170" s="1974" t="s">
        <v>1671</v>
      </c>
      <c r="E170" s="1601"/>
      <c r="F170" s="1601"/>
      <c r="G170" s="1602"/>
    </row>
    <row r="171" spans="1:7" ht="13.5" hidden="1" customHeight="1">
      <c r="A171" s="418"/>
      <c r="B171" s="418"/>
      <c r="C171" s="418"/>
      <c r="D171" s="418"/>
      <c r="E171" s="418"/>
      <c r="F171" s="418"/>
      <c r="G171" s="418"/>
    </row>
    <row r="172" spans="1:7" ht="12.75" hidden="1" customHeight="1">
      <c r="A172" s="419"/>
      <c r="B172" s="416"/>
      <c r="C172" s="420"/>
      <c r="D172" s="421" t="s">
        <v>1553</v>
      </c>
      <c r="E172" s="422" t="s">
        <v>228</v>
      </c>
      <c r="F172" s="572"/>
      <c r="G172" s="572"/>
    </row>
    <row r="173" spans="1:7" ht="13.5" hidden="1" customHeight="1">
      <c r="A173" s="423" t="s">
        <v>1555</v>
      </c>
      <c r="B173" s="416"/>
      <c r="C173" s="416"/>
      <c r="D173" s="416"/>
      <c r="E173" s="416"/>
      <c r="F173" s="416"/>
      <c r="G173" s="416"/>
    </row>
    <row r="174" spans="1:7" ht="13.5" hidden="1" customHeight="1">
      <c r="A174" s="1975" t="s">
        <v>1556</v>
      </c>
      <c r="B174" s="1601"/>
      <c r="C174" s="1801"/>
      <c r="D174" s="424" t="s">
        <v>208</v>
      </c>
      <c r="E174" s="424" t="s">
        <v>1558</v>
      </c>
      <c r="F174" s="424" t="s">
        <v>1559</v>
      </c>
      <c r="G174" s="425"/>
    </row>
    <row r="175" spans="1:7" ht="13.5" hidden="1" customHeight="1">
      <c r="A175" s="1981" t="str">
        <f>+'LISTADO EQUIPOS'!$C$22</f>
        <v>HERRAMIENTA MENOR.</v>
      </c>
      <c r="B175" s="1811"/>
      <c r="C175" s="1967"/>
      <c r="D175" s="449">
        <f>+'LISTADO EQUIPOS'!$E$22/8</f>
        <v>2850</v>
      </c>
      <c r="E175" s="427">
        <f>+E192</f>
        <v>0.75</v>
      </c>
      <c r="F175" s="428">
        <f t="shared" ref="F175:F176" si="12">+E175*D175</f>
        <v>2137.5</v>
      </c>
      <c r="G175" s="429"/>
    </row>
    <row r="176" spans="1:7" ht="13.5" hidden="1" customHeight="1">
      <c r="A176" s="1982" t="str">
        <f>+'LISTADO EQUIPOS'!$C$47</f>
        <v>ANDAMIO TUBULAR. 1.5 x 1.5 SECCIÓN</v>
      </c>
      <c r="B176" s="1807"/>
      <c r="C176" s="1819"/>
      <c r="D176" s="451">
        <f>+'LISTADO EQUIPOS'!$E$47</f>
        <v>1750</v>
      </c>
      <c r="E176" s="671">
        <v>0.4</v>
      </c>
      <c r="F176" s="698">
        <f t="shared" si="12"/>
        <v>700</v>
      </c>
      <c r="G176" s="672"/>
    </row>
    <row r="177" spans="1:7" ht="13.5" hidden="1" customHeight="1">
      <c r="A177" s="2003" t="s">
        <v>1560</v>
      </c>
      <c r="B177" s="1601"/>
      <c r="C177" s="1601"/>
      <c r="D177" s="1601"/>
      <c r="E177" s="1601"/>
      <c r="F177" s="1801"/>
      <c r="G177" s="436">
        <f>SUM(F175:F176)</f>
        <v>2837.5</v>
      </c>
    </row>
    <row r="178" spans="1:7" ht="13.5" hidden="1" customHeight="1">
      <c r="A178" s="423" t="s">
        <v>1561</v>
      </c>
      <c r="B178" s="416"/>
      <c r="C178" s="416"/>
      <c r="D178" s="416"/>
      <c r="E178" s="416"/>
      <c r="F178" s="416"/>
      <c r="G178" s="437"/>
    </row>
    <row r="179" spans="1:7" ht="13.5" hidden="1" customHeight="1">
      <c r="A179" s="1975" t="s">
        <v>1556</v>
      </c>
      <c r="B179" s="1801"/>
      <c r="C179" s="424" t="s">
        <v>6</v>
      </c>
      <c r="D179" s="424" t="s">
        <v>1562</v>
      </c>
      <c r="E179" s="424" t="s">
        <v>7</v>
      </c>
      <c r="F179" s="424" t="s">
        <v>1559</v>
      </c>
      <c r="G179" s="673"/>
    </row>
    <row r="180" spans="1:7" ht="13.5" hidden="1" customHeight="1">
      <c r="A180" s="1987" t="str">
        <f>+'LISTADO MATERIALES'!$C$385</f>
        <v>LADRILLO PRENSADO LA VEGA</v>
      </c>
      <c r="B180" s="1967"/>
      <c r="C180" s="674" t="str">
        <f>+'LISTADO MATERIALES'!$D$385</f>
        <v>UND</v>
      </c>
      <c r="D180" s="675">
        <f>+'LISTADO MATERIALES'!$E$385</f>
        <v>735</v>
      </c>
      <c r="E180" s="687">
        <v>58</v>
      </c>
      <c r="F180" s="442">
        <f t="shared" ref="F180:F182" si="13">+E180*D180</f>
        <v>42630</v>
      </c>
      <c r="G180" s="676"/>
    </row>
    <row r="181" spans="1:7" ht="13.5" hidden="1" customHeight="1">
      <c r="A181" s="1988" t="str">
        <f>+'ANALISIS BASICOS'!$A$228</f>
        <v>MORTERO 1:4</v>
      </c>
      <c r="B181" s="1611"/>
      <c r="C181" s="677" t="str">
        <f>+'ANALISIS BASICOS'!$E$204</f>
        <v>M3</v>
      </c>
      <c r="D181" s="431">
        <f>+'ANALISIS BASICOS'!$G$228</f>
        <v>384656</v>
      </c>
      <c r="E181" s="737">
        <v>2.1999999999999999E-2</v>
      </c>
      <c r="F181" s="689">
        <f t="shared" si="13"/>
        <v>8462.4319999999989</v>
      </c>
      <c r="G181" s="445"/>
    </row>
    <row r="182" spans="1:7" ht="13.5" hidden="1" customHeight="1">
      <c r="A182" s="1988" t="str">
        <f>+'LISTADO MATERIALES'!$C$723</f>
        <v>AGUA</v>
      </c>
      <c r="B182" s="1611"/>
      <c r="C182" s="677" t="str">
        <f>+'LISTADO MATERIALES'!$D$723</f>
        <v>LT</v>
      </c>
      <c r="D182" s="431">
        <f>+'LISTADO MATERIALES'!$E$723</f>
        <v>21</v>
      </c>
      <c r="E182" s="430">
        <v>5</v>
      </c>
      <c r="F182" s="689">
        <f t="shared" si="13"/>
        <v>105</v>
      </c>
      <c r="G182" s="445"/>
    </row>
    <row r="183" spans="1:7" ht="13.5" hidden="1" customHeight="1">
      <c r="A183" s="1982"/>
      <c r="B183" s="1819"/>
      <c r="C183" s="678"/>
      <c r="D183" s="451"/>
      <c r="E183" s="678"/>
      <c r="F183" s="451"/>
      <c r="G183" s="456"/>
    </row>
    <row r="184" spans="1:7" ht="13.5" hidden="1" customHeight="1">
      <c r="A184" s="2003" t="s">
        <v>1560</v>
      </c>
      <c r="B184" s="1601"/>
      <c r="C184" s="1601"/>
      <c r="D184" s="1601"/>
      <c r="E184" s="1601"/>
      <c r="F184" s="1801"/>
      <c r="G184" s="436">
        <f>SUM(F180:F183)</f>
        <v>51197.432000000001</v>
      </c>
    </row>
    <row r="185" spans="1:7" ht="13.5" hidden="1" customHeight="1">
      <c r="A185" s="423" t="s">
        <v>1563</v>
      </c>
      <c r="B185" s="416"/>
      <c r="C185" s="416"/>
      <c r="D185" s="416"/>
      <c r="E185" s="416"/>
      <c r="F185" s="416"/>
      <c r="G185" s="437"/>
    </row>
    <row r="186" spans="1:7" ht="13.5" hidden="1" customHeight="1">
      <c r="A186" s="1975" t="s">
        <v>1556</v>
      </c>
      <c r="B186" s="1801"/>
      <c r="C186" s="424" t="s">
        <v>6</v>
      </c>
      <c r="D186" s="424" t="s">
        <v>1562</v>
      </c>
      <c r="E186" s="424" t="s">
        <v>7</v>
      </c>
      <c r="F186" s="424" t="s">
        <v>1559</v>
      </c>
      <c r="G186" s="438"/>
    </row>
    <row r="187" spans="1:7" ht="13.5" hidden="1" customHeight="1">
      <c r="A187" s="1981"/>
      <c r="B187" s="1967"/>
      <c r="C187" s="448"/>
      <c r="D187" s="449"/>
      <c r="E187" s="450"/>
      <c r="F187" s="431"/>
      <c r="G187" s="443"/>
    </row>
    <row r="188" spans="1:7" ht="13.5" hidden="1" customHeight="1">
      <c r="A188" s="1982"/>
      <c r="B188" s="1819"/>
      <c r="C188" s="448"/>
      <c r="D188" s="451"/>
      <c r="E188" s="452"/>
      <c r="F188" s="451"/>
      <c r="G188" s="447"/>
    </row>
    <row r="189" spans="1:7" ht="13.5" hidden="1" customHeight="1">
      <c r="A189" s="2003" t="s">
        <v>1560</v>
      </c>
      <c r="B189" s="1601"/>
      <c r="C189" s="1601"/>
      <c r="D189" s="1601"/>
      <c r="E189" s="1601"/>
      <c r="F189" s="1801"/>
      <c r="G189" s="436"/>
    </row>
    <row r="190" spans="1:7" ht="13.5" hidden="1" customHeight="1">
      <c r="A190" s="423" t="s">
        <v>1564</v>
      </c>
      <c r="B190" s="416"/>
      <c r="C190" s="416"/>
      <c r="D190" s="416"/>
      <c r="E190" s="416"/>
      <c r="F190" s="416"/>
      <c r="G190" s="437"/>
    </row>
    <row r="191" spans="1:7" ht="13.5" hidden="1" customHeight="1">
      <c r="A191" s="1975" t="s">
        <v>1565</v>
      </c>
      <c r="B191" s="1801"/>
      <c r="C191" s="424" t="s">
        <v>1566</v>
      </c>
      <c r="D191" s="424" t="s">
        <v>6</v>
      </c>
      <c r="E191" s="424" t="s">
        <v>7</v>
      </c>
      <c r="F191" s="424" t="s">
        <v>1559</v>
      </c>
      <c r="G191" s="462"/>
    </row>
    <row r="192" spans="1:7" ht="13.5" hidden="1" customHeight="1">
      <c r="A192" s="2004" t="str">
        <f>+'MANO DE OBRA'!$A$64</f>
        <v>Oficial (Incl. Prestaciones)</v>
      </c>
      <c r="B192" s="1888"/>
      <c r="C192" s="679">
        <f>+'MANO DE OBRA'!$E$64</f>
        <v>15031.25</v>
      </c>
      <c r="D192" s="680">
        <v>1</v>
      </c>
      <c r="E192" s="680">
        <v>0.75</v>
      </c>
      <c r="F192" s="454">
        <f t="shared" ref="F192:F193" si="14">+(C192*D192)/E192</f>
        <v>20041.666666666668</v>
      </c>
      <c r="G192" s="443"/>
    </row>
    <row r="193" spans="1:7" ht="13.5" hidden="1" customHeight="1">
      <c r="A193" s="1968" t="str">
        <f>+'MANO DE OBRA'!$A$65</f>
        <v>Ayudante (Incl. Prestaciones)</v>
      </c>
      <c r="B193" s="1819"/>
      <c r="C193" s="681">
        <f>+'MANO DE OBRA'!$E$65</f>
        <v>10972.8125</v>
      </c>
      <c r="D193" s="562">
        <v>1</v>
      </c>
      <c r="E193" s="562">
        <f>+E192</f>
        <v>0.75</v>
      </c>
      <c r="F193" s="455">
        <f t="shared" si="14"/>
        <v>14630.416666666666</v>
      </c>
      <c r="G193" s="456"/>
    </row>
    <row r="194" spans="1:7" ht="13.5" hidden="1" customHeight="1">
      <c r="A194" s="2003" t="str">
        <f>+A189</f>
        <v>SUB-TOTAL</v>
      </c>
      <c r="B194" s="1601"/>
      <c r="C194" s="1601"/>
      <c r="D194" s="1601"/>
      <c r="E194" s="1601"/>
      <c r="F194" s="1801"/>
      <c r="G194" s="436">
        <f>SUM(F192:F193)</f>
        <v>34672.083333333336</v>
      </c>
    </row>
    <row r="195" spans="1:7" ht="11.25" hidden="1" customHeight="1">
      <c r="A195" s="416"/>
      <c r="B195" s="416"/>
      <c r="C195" s="416"/>
      <c r="D195" s="416"/>
      <c r="E195" s="416"/>
      <c r="F195" s="458"/>
      <c r="G195" s="437"/>
    </row>
    <row r="196" spans="1:7" ht="13.5" hidden="1" customHeight="1">
      <c r="A196" s="2003" t="s">
        <v>1567</v>
      </c>
      <c r="B196" s="1601"/>
      <c r="C196" s="1601"/>
      <c r="D196" s="1601"/>
      <c r="E196" s="1601"/>
      <c r="F196" s="1801"/>
      <c r="G196" s="682">
        <f>ROUND(G177+G184+G189+G194,0)</f>
        <v>88707</v>
      </c>
    </row>
    <row r="197" spans="1:7" ht="13.5" hidden="1" customHeight="1">
      <c r="A197" s="420"/>
      <c r="B197" s="420"/>
      <c r="C197" s="420"/>
      <c r="D197" s="420"/>
      <c r="E197" s="420"/>
      <c r="F197" s="420"/>
      <c r="G197" s="420"/>
    </row>
    <row r="198" spans="1:7" ht="13.5" hidden="1" customHeight="1">
      <c r="A198" s="420"/>
      <c r="B198" s="420"/>
      <c r="C198" s="420"/>
      <c r="D198" s="420"/>
      <c r="E198" s="420"/>
      <c r="F198" s="420"/>
      <c r="G198" s="420"/>
    </row>
    <row r="199" spans="1:7" ht="25.5" hidden="1" customHeight="1">
      <c r="A199" s="1994" t="e">
        <f>+'ANALISIS BASICOS'!$A$7</f>
        <v>#REF!</v>
      </c>
      <c r="B199" s="1616"/>
      <c r="C199" s="1624"/>
      <c r="D199" s="1990"/>
      <c r="E199" s="1616"/>
      <c r="F199" s="1616"/>
      <c r="G199" s="1624"/>
    </row>
    <row r="200" spans="1:7" ht="27.75" hidden="1" customHeight="1">
      <c r="A200" s="1971"/>
      <c r="B200" s="1817"/>
      <c r="C200" s="1972"/>
      <c r="D200" s="1971"/>
      <c r="E200" s="1817"/>
      <c r="F200" s="1817"/>
      <c r="G200" s="1972"/>
    </row>
    <row r="201" spans="1:7" ht="13.5" hidden="1" customHeight="1">
      <c r="A201" s="416"/>
      <c r="B201" s="416"/>
      <c r="C201" s="416"/>
      <c r="D201" s="416"/>
      <c r="E201" s="416"/>
      <c r="F201" s="416"/>
      <c r="G201" s="416"/>
    </row>
    <row r="202" spans="1:7" ht="57" hidden="1" customHeight="1">
      <c r="A202" s="1991" t="e">
        <f ca="1">+A42</f>
        <v>#NAME?</v>
      </c>
      <c r="B202" s="1601"/>
      <c r="C202" s="1602"/>
      <c r="D202" s="1974" t="s">
        <v>1672</v>
      </c>
      <c r="E202" s="1601"/>
      <c r="F202" s="1601"/>
      <c r="G202" s="1602"/>
    </row>
    <row r="203" spans="1:7" ht="13.5" hidden="1" customHeight="1">
      <c r="A203" s="418"/>
      <c r="B203" s="418"/>
      <c r="C203" s="418"/>
      <c r="D203" s="418"/>
      <c r="E203" s="418"/>
      <c r="F203" s="418"/>
      <c r="G203" s="418"/>
    </row>
    <row r="204" spans="1:7" ht="12.75" hidden="1" customHeight="1">
      <c r="A204" s="419"/>
      <c r="B204" s="416"/>
      <c r="C204" s="420"/>
      <c r="D204" s="421" t="s">
        <v>1553</v>
      </c>
      <c r="E204" s="422" t="s">
        <v>228</v>
      </c>
      <c r="F204" s="421" t="s">
        <v>1554</v>
      </c>
      <c r="G204" s="422" t="s">
        <v>294</v>
      </c>
    </row>
    <row r="205" spans="1:7" ht="13.5" hidden="1" customHeight="1">
      <c r="A205" s="423" t="s">
        <v>1555</v>
      </c>
      <c r="B205" s="416"/>
      <c r="C205" s="416"/>
      <c r="D205" s="416"/>
      <c r="E205" s="416"/>
      <c r="F205" s="416"/>
      <c r="G205" s="416"/>
    </row>
    <row r="206" spans="1:7" ht="13.5" hidden="1" customHeight="1">
      <c r="A206" s="1975" t="s">
        <v>1556</v>
      </c>
      <c r="B206" s="1601"/>
      <c r="C206" s="1801"/>
      <c r="D206" s="424" t="s">
        <v>208</v>
      </c>
      <c r="E206" s="424" t="s">
        <v>1558</v>
      </c>
      <c r="F206" s="424" t="s">
        <v>1559</v>
      </c>
      <c r="G206" s="425"/>
    </row>
    <row r="207" spans="1:7" ht="13.5" hidden="1" customHeight="1">
      <c r="A207" s="1981" t="str">
        <f>+'LISTADO EQUIPOS'!$C$22</f>
        <v>HERRAMIENTA MENOR.</v>
      </c>
      <c r="B207" s="1811"/>
      <c r="C207" s="1967"/>
      <c r="D207" s="449">
        <f>+'LISTADO EQUIPOS'!$E$22/8</f>
        <v>2850</v>
      </c>
      <c r="E207" s="427">
        <f>+E224</f>
        <v>1.3673269817686007</v>
      </c>
      <c r="F207" s="428">
        <f>+D207/E207</f>
        <v>2084.3587803069618</v>
      </c>
      <c r="G207" s="429"/>
    </row>
    <row r="208" spans="1:7" ht="13.5" hidden="1" customHeight="1">
      <c r="A208" s="1988" t="str">
        <f>+'LISTADO EQUIPOS'!$C$47</f>
        <v>ANDAMIO TUBULAR. 1.5 x 1.5 SECCIÓN</v>
      </c>
      <c r="B208" s="1610"/>
      <c r="C208" s="1611"/>
      <c r="D208" s="431">
        <f>+'LISTADO EQUIPOS'!$E$47</f>
        <v>1750</v>
      </c>
      <c r="E208" s="430">
        <f>+E207</f>
        <v>1.3673269817686007</v>
      </c>
      <c r="F208" s="689">
        <f>+E208*D208</f>
        <v>2392.8222180950511</v>
      </c>
      <c r="G208" s="432"/>
    </row>
    <row r="209" spans="1:7" ht="13.5" hidden="1" customHeight="1">
      <c r="A209" s="2003" t="s">
        <v>1560</v>
      </c>
      <c r="B209" s="1601"/>
      <c r="C209" s="1601"/>
      <c r="D209" s="1601"/>
      <c r="E209" s="1601"/>
      <c r="F209" s="1801"/>
      <c r="G209" s="436">
        <f>SUM(F207:F208)</f>
        <v>4477.1809984020128</v>
      </c>
    </row>
    <row r="210" spans="1:7" ht="13.5" hidden="1" customHeight="1">
      <c r="A210" s="423" t="s">
        <v>1561</v>
      </c>
      <c r="B210" s="416"/>
      <c r="C210" s="416"/>
      <c r="D210" s="416"/>
      <c r="E210" s="416"/>
      <c r="F210" s="416"/>
      <c r="G210" s="437"/>
    </row>
    <row r="211" spans="1:7" ht="13.5" hidden="1" customHeight="1">
      <c r="A211" s="1975" t="s">
        <v>1556</v>
      </c>
      <c r="B211" s="1801"/>
      <c r="C211" s="424" t="s">
        <v>6</v>
      </c>
      <c r="D211" s="424" t="s">
        <v>1562</v>
      </c>
      <c r="E211" s="424" t="s">
        <v>7</v>
      </c>
      <c r="F211" s="424" t="s">
        <v>1559</v>
      </c>
      <c r="G211" s="673"/>
    </row>
    <row r="212" spans="1:7" ht="13.5" hidden="1" customHeight="1">
      <c r="A212" s="1987" t="s">
        <v>1673</v>
      </c>
      <c r="B212" s="1967"/>
      <c r="C212" s="674" t="s">
        <v>228</v>
      </c>
      <c r="D212" s="675">
        <v>20450</v>
      </c>
      <c r="E212" s="687">
        <v>2.1</v>
      </c>
      <c r="F212" s="442">
        <f t="shared" ref="F212:F215" si="15">+E212*D212</f>
        <v>42945</v>
      </c>
      <c r="G212" s="676"/>
    </row>
    <row r="213" spans="1:7" ht="13.5" hidden="1" customHeight="1">
      <c r="A213" s="1995" t="s">
        <v>1674</v>
      </c>
      <c r="B213" s="1611"/>
      <c r="C213" s="444" t="s">
        <v>228</v>
      </c>
      <c r="D213" s="464">
        <v>7545</v>
      </c>
      <c r="E213" s="706">
        <v>2</v>
      </c>
      <c r="F213" s="440">
        <f t="shared" si="15"/>
        <v>15090</v>
      </c>
      <c r="G213" s="707"/>
    </row>
    <row r="214" spans="1:7" ht="13.5" hidden="1" customHeight="1">
      <c r="A214" s="1995" t="s">
        <v>1675</v>
      </c>
      <c r="B214" s="1611"/>
      <c r="C214" s="444" t="s">
        <v>127</v>
      </c>
      <c r="D214" s="464">
        <v>4550</v>
      </c>
      <c r="E214" s="444">
        <v>1</v>
      </c>
      <c r="F214" s="440">
        <f t="shared" si="15"/>
        <v>4550</v>
      </c>
      <c r="G214" s="707"/>
    </row>
    <row r="215" spans="1:7" ht="13.5" hidden="1" customHeight="1">
      <c r="A215" s="1996" t="s">
        <v>392</v>
      </c>
      <c r="B215" s="1819"/>
      <c r="C215" s="738" t="s">
        <v>120</v>
      </c>
      <c r="D215" s="464">
        <v>5450</v>
      </c>
      <c r="E215" s="444">
        <v>3</v>
      </c>
      <c r="F215" s="700">
        <f t="shared" si="15"/>
        <v>16350</v>
      </c>
      <c r="G215" s="709"/>
    </row>
    <row r="216" spans="1:7" ht="13.5" hidden="1" customHeight="1">
      <c r="A216" s="2003" t="s">
        <v>1560</v>
      </c>
      <c r="B216" s="1601"/>
      <c r="C216" s="1601"/>
      <c r="D216" s="1601"/>
      <c r="E216" s="1601"/>
      <c r="F216" s="1801"/>
      <c r="G216" s="436">
        <f>SUM(F212:F215)</f>
        <v>78935</v>
      </c>
    </row>
    <row r="217" spans="1:7" ht="13.5" hidden="1" customHeight="1">
      <c r="A217" s="423" t="s">
        <v>1563</v>
      </c>
      <c r="B217" s="416"/>
      <c r="C217" s="416"/>
      <c r="D217" s="416"/>
      <c r="E217" s="416"/>
      <c r="F217" s="416"/>
      <c r="G217" s="437"/>
    </row>
    <row r="218" spans="1:7" ht="13.5" hidden="1" customHeight="1">
      <c r="A218" s="1975" t="s">
        <v>1556</v>
      </c>
      <c r="B218" s="1801"/>
      <c r="C218" s="424" t="s">
        <v>6</v>
      </c>
      <c r="D218" s="424" t="s">
        <v>1562</v>
      </c>
      <c r="E218" s="424" t="s">
        <v>7</v>
      </c>
      <c r="F218" s="424" t="s">
        <v>1559</v>
      </c>
      <c r="G218" s="438"/>
    </row>
    <row r="219" spans="1:7" ht="13.5" hidden="1" customHeight="1">
      <c r="A219" s="1981"/>
      <c r="B219" s="1967"/>
      <c r="C219" s="448"/>
      <c r="D219" s="449"/>
      <c r="E219" s="450"/>
      <c r="F219" s="431"/>
      <c r="G219" s="443"/>
    </row>
    <row r="220" spans="1:7" ht="13.5" hidden="1" customHeight="1">
      <c r="A220" s="1982"/>
      <c r="B220" s="1819"/>
      <c r="C220" s="448"/>
      <c r="D220" s="451"/>
      <c r="E220" s="452"/>
      <c r="F220" s="451"/>
      <c r="G220" s="447"/>
    </row>
    <row r="221" spans="1:7" ht="13.5" hidden="1" customHeight="1">
      <c r="A221" s="2003" t="s">
        <v>1560</v>
      </c>
      <c r="B221" s="1601"/>
      <c r="C221" s="1601"/>
      <c r="D221" s="1601"/>
      <c r="E221" s="1601"/>
      <c r="F221" s="1801"/>
      <c r="G221" s="436"/>
    </row>
    <row r="222" spans="1:7" ht="13.5" hidden="1" customHeight="1">
      <c r="A222" s="423" t="s">
        <v>1564</v>
      </c>
      <c r="B222" s="416"/>
      <c r="C222" s="416"/>
      <c r="D222" s="416"/>
      <c r="E222" s="416"/>
      <c r="F222" s="416"/>
      <c r="G222" s="437"/>
    </row>
    <row r="223" spans="1:7" ht="13.5" hidden="1" customHeight="1">
      <c r="A223" s="1975" t="s">
        <v>1565</v>
      </c>
      <c r="B223" s="1801"/>
      <c r="C223" s="424" t="s">
        <v>1566</v>
      </c>
      <c r="D223" s="424" t="s">
        <v>6</v>
      </c>
      <c r="E223" s="424" t="s">
        <v>7</v>
      </c>
      <c r="F223" s="424" t="s">
        <v>1559</v>
      </c>
      <c r="G223" s="462"/>
    </row>
    <row r="224" spans="1:7" ht="13.5" hidden="1" customHeight="1">
      <c r="A224" s="2004" t="str">
        <f>+'MANO DE OBRA'!$A$64</f>
        <v>Oficial (Incl. Prestaciones)</v>
      </c>
      <c r="B224" s="1888"/>
      <c r="C224" s="679">
        <f>+'MANO DE OBRA'!$E$64</f>
        <v>15031.25</v>
      </c>
      <c r="D224" s="680">
        <v>1</v>
      </c>
      <c r="E224" s="680">
        <v>1.3673269817686007</v>
      </c>
      <c r="F224" s="454">
        <f t="shared" ref="F224:F225" si="16">+(C224*D224)/E224</f>
        <v>10993.164181224218</v>
      </c>
      <c r="G224" s="443"/>
    </row>
    <row r="225" spans="1:9" ht="13.5" hidden="1" customHeight="1">
      <c r="A225" s="1968" t="str">
        <f>+'MANO DE OBRA'!$A$65</f>
        <v>Ayudante (Incl. Prestaciones)</v>
      </c>
      <c r="B225" s="1819"/>
      <c r="C225" s="681">
        <f>+'MANO DE OBRA'!$E$65</f>
        <v>10972.8125</v>
      </c>
      <c r="D225" s="562">
        <v>1</v>
      </c>
      <c r="E225" s="562">
        <f>+E224</f>
        <v>1.3673269817686007</v>
      </c>
      <c r="F225" s="455">
        <f t="shared" si="16"/>
        <v>8025.0098522936787</v>
      </c>
      <c r="G225" s="456"/>
      <c r="H225" s="420"/>
      <c r="I225" s="420"/>
    </row>
    <row r="226" spans="1:9" ht="13.5" hidden="1" customHeight="1">
      <c r="A226" s="2003" t="str">
        <f>+A221</f>
        <v>SUB-TOTAL</v>
      </c>
      <c r="B226" s="1601"/>
      <c r="C226" s="1601"/>
      <c r="D226" s="1601"/>
      <c r="E226" s="1601"/>
      <c r="F226" s="1801"/>
      <c r="G226" s="436">
        <f>SUM(F224:F225)</f>
        <v>19018.174033517898</v>
      </c>
      <c r="H226" s="420"/>
      <c r="I226" s="420"/>
    </row>
    <row r="227" spans="1:9" ht="11.25" hidden="1" customHeight="1">
      <c r="A227" s="416"/>
      <c r="B227" s="416"/>
      <c r="C227" s="416"/>
      <c r="D227" s="416"/>
      <c r="E227" s="416"/>
      <c r="F227" s="458"/>
      <c r="G227" s="437"/>
      <c r="H227" s="420"/>
      <c r="I227" s="420"/>
    </row>
    <row r="228" spans="1:9" ht="13.5" hidden="1" customHeight="1">
      <c r="A228" s="2003" t="s">
        <v>1567</v>
      </c>
      <c r="B228" s="1601"/>
      <c r="C228" s="1601"/>
      <c r="D228" s="1601"/>
      <c r="E228" s="1601"/>
      <c r="F228" s="1801"/>
      <c r="G228" s="682">
        <f>ROUND(G209+G216+G221+G226,0)</f>
        <v>102430</v>
      </c>
      <c r="H228" s="420"/>
      <c r="I228" s="420">
        <v>95004</v>
      </c>
    </row>
    <row r="229" spans="1:9" ht="13.5" hidden="1" customHeight="1">
      <c r="H229" s="420"/>
      <c r="I229" s="420"/>
    </row>
    <row r="230" spans="1:9" ht="13.5" hidden="1" customHeight="1">
      <c r="A230" s="420"/>
      <c r="B230" s="420"/>
      <c r="C230" s="420"/>
      <c r="D230" s="420"/>
      <c r="E230" s="420"/>
      <c r="F230" s="420"/>
      <c r="G230" s="420"/>
      <c r="H230" s="420"/>
      <c r="I230" s="420"/>
    </row>
    <row r="231" spans="1:9" ht="27" hidden="1" customHeight="1">
      <c r="A231" s="2005" t="s">
        <v>1604</v>
      </c>
      <c r="B231" s="1616"/>
      <c r="C231" s="1624"/>
      <c r="D231" s="567"/>
      <c r="E231" s="567"/>
      <c r="F231" s="567"/>
      <c r="G231" s="668"/>
      <c r="H231" s="420"/>
      <c r="I231" s="420"/>
    </row>
    <row r="232" spans="1:9" ht="24" hidden="1" customHeight="1">
      <c r="A232" s="2012"/>
      <c r="B232" s="1817"/>
      <c r="C232" s="1972"/>
      <c r="D232" s="669"/>
      <c r="E232" s="669"/>
      <c r="F232" s="669"/>
      <c r="G232" s="670"/>
      <c r="H232" s="420"/>
      <c r="I232" s="420"/>
    </row>
    <row r="233" spans="1:9" ht="13.5" hidden="1" customHeight="1">
      <c r="A233" s="416"/>
      <c r="B233" s="416"/>
      <c r="C233" s="416"/>
      <c r="D233" s="416"/>
      <c r="E233" s="416"/>
      <c r="F233" s="416"/>
      <c r="G233" s="416"/>
      <c r="H233" s="420"/>
      <c r="I233" s="420"/>
    </row>
    <row r="234" spans="1:9" ht="35.25" hidden="1" customHeight="1">
      <c r="A234" s="1973" t="str">
        <f>A10</f>
        <v>PRECIOS UNITARIOS OFICIALES 2014</v>
      </c>
      <c r="B234" s="1601"/>
      <c r="C234" s="1602"/>
      <c r="D234" s="1974" t="s">
        <v>1676</v>
      </c>
      <c r="E234" s="1601"/>
      <c r="F234" s="1601"/>
      <c r="G234" s="1602"/>
      <c r="H234" s="420"/>
      <c r="I234" s="420"/>
    </row>
    <row r="235" spans="1:9" ht="13.5" hidden="1" customHeight="1">
      <c r="A235" s="418"/>
      <c r="B235" s="418"/>
      <c r="C235" s="418"/>
      <c r="D235" s="418"/>
      <c r="E235" s="418"/>
      <c r="F235" s="418"/>
      <c r="G235" s="418"/>
      <c r="H235" s="420"/>
      <c r="I235" s="420"/>
    </row>
    <row r="236" spans="1:9" ht="12.75" hidden="1" customHeight="1">
      <c r="A236" s="419"/>
      <c r="B236" s="416"/>
      <c r="C236" s="420"/>
      <c r="D236" s="421" t="s">
        <v>1553</v>
      </c>
      <c r="E236" s="422" t="s">
        <v>228</v>
      </c>
      <c r="F236" s="572"/>
      <c r="G236" s="572"/>
      <c r="H236" s="420"/>
      <c r="I236" s="420"/>
    </row>
    <row r="237" spans="1:9" ht="13.5" hidden="1" customHeight="1">
      <c r="A237" s="423" t="s">
        <v>1555</v>
      </c>
      <c r="B237" s="416"/>
      <c r="C237" s="416"/>
      <c r="D237" s="416"/>
      <c r="E237" s="416"/>
      <c r="F237" s="416"/>
      <c r="G237" s="416"/>
      <c r="H237" s="420"/>
      <c r="I237" s="420"/>
    </row>
    <row r="238" spans="1:9" ht="13.5" hidden="1" customHeight="1">
      <c r="A238" s="1975" t="s">
        <v>1556</v>
      </c>
      <c r="B238" s="1601"/>
      <c r="C238" s="1801"/>
      <c r="D238" s="424" t="s">
        <v>208</v>
      </c>
      <c r="E238" s="424" t="s">
        <v>1558</v>
      </c>
      <c r="F238" s="424" t="s">
        <v>1559</v>
      </c>
      <c r="G238" s="425"/>
      <c r="H238" s="616"/>
      <c r="I238" s="616"/>
    </row>
    <row r="239" spans="1:9" ht="13.5" hidden="1" customHeight="1">
      <c r="A239" s="1981" t="str">
        <f>+'LISTADO EQUIPOS'!$C$22</f>
        <v>HERRAMIENTA MENOR.</v>
      </c>
      <c r="B239" s="1811"/>
      <c r="C239" s="1967"/>
      <c r="D239" s="449">
        <f>+'LISTADO EQUIPOS'!$E$22/8</f>
        <v>2850</v>
      </c>
      <c r="E239" s="427">
        <v>20</v>
      </c>
      <c r="F239" s="428">
        <f>+D239/E239</f>
        <v>142.5</v>
      </c>
      <c r="G239" s="429"/>
      <c r="H239" s="420"/>
      <c r="I239" s="420"/>
    </row>
    <row r="240" spans="1:9" ht="13.5" hidden="1" customHeight="1">
      <c r="A240" s="1988" t="str">
        <f>+'LISTADO EQUIPOS'!$C$47</f>
        <v>ANDAMIO TUBULAR. 1.5 x 1.5 SECCIÓN</v>
      </c>
      <c r="B240" s="1610"/>
      <c r="C240" s="1611"/>
      <c r="D240" s="431">
        <f>+'LISTADO EQUIPOS'!$E$47</f>
        <v>1750</v>
      </c>
      <c r="E240" s="430">
        <v>0.2</v>
      </c>
      <c r="F240" s="689">
        <f>+E240*D240</f>
        <v>350</v>
      </c>
      <c r="G240" s="432"/>
      <c r="H240" s="420"/>
      <c r="I240" s="420"/>
    </row>
    <row r="241" spans="1:7" ht="13.5" hidden="1" customHeight="1">
      <c r="A241" s="2003" t="s">
        <v>1560</v>
      </c>
      <c r="B241" s="1601"/>
      <c r="C241" s="1601"/>
      <c r="D241" s="1601"/>
      <c r="E241" s="1601"/>
      <c r="F241" s="1801"/>
      <c r="G241" s="436">
        <f>SUM(F239:F240)</f>
        <v>492.5</v>
      </c>
    </row>
    <row r="242" spans="1:7" ht="13.5" hidden="1" customHeight="1">
      <c r="A242" s="423" t="s">
        <v>1561</v>
      </c>
      <c r="B242" s="416"/>
      <c r="C242" s="416"/>
      <c r="D242" s="416"/>
      <c r="E242" s="416"/>
      <c r="F242" s="416"/>
      <c r="G242" s="437"/>
    </row>
    <row r="243" spans="1:7" ht="13.5" hidden="1" customHeight="1">
      <c r="A243" s="1975" t="s">
        <v>1556</v>
      </c>
      <c r="B243" s="1801"/>
      <c r="C243" s="424" t="s">
        <v>6</v>
      </c>
      <c r="D243" s="424" t="s">
        <v>1562</v>
      </c>
      <c r="E243" s="424" t="s">
        <v>7</v>
      </c>
      <c r="F243" s="424" t="s">
        <v>1559</v>
      </c>
      <c r="G243" s="673"/>
    </row>
    <row r="244" spans="1:7" ht="13.5" hidden="1" customHeight="1">
      <c r="A244" s="1987" t="str">
        <f>+'LISTADO MATERIALES'!$C$371</f>
        <v>BLOQUE HUECO No. 4 10X20X30</v>
      </c>
      <c r="B244" s="1967"/>
      <c r="C244" s="674" t="str">
        <f>+'LISTADO MATERIALES'!$D$371</f>
        <v>UND</v>
      </c>
      <c r="D244" s="675">
        <f>+'LISTADO MATERIALES'!$E$371</f>
        <v>735</v>
      </c>
      <c r="E244" s="687">
        <v>13.5</v>
      </c>
      <c r="F244" s="442">
        <f t="shared" ref="F244:F246" si="17">+E244*D244</f>
        <v>9922.5</v>
      </c>
      <c r="G244" s="676"/>
    </row>
    <row r="245" spans="1:7" ht="13.5" hidden="1" customHeight="1">
      <c r="A245" s="1995" t="str">
        <f>+'ANALISIS BASICOS'!$A$228</f>
        <v>MORTERO 1:4</v>
      </c>
      <c r="B245" s="1611"/>
      <c r="C245" s="444" t="str">
        <f>+'ANALISIS BASICOS'!$E$204</f>
        <v>M3</v>
      </c>
      <c r="D245" s="464">
        <f>+'ANALISIS BASICOS'!$G$228</f>
        <v>384656</v>
      </c>
      <c r="E245" s="706">
        <v>1.7999999999999999E-2</v>
      </c>
      <c r="F245" s="440">
        <f t="shared" si="17"/>
        <v>6923.8079999999991</v>
      </c>
      <c r="G245" s="707"/>
    </row>
    <row r="246" spans="1:7" ht="13.5" hidden="1" customHeight="1">
      <c r="A246" s="1995" t="str">
        <f>+'LISTADO MATERIALES'!$C$723</f>
        <v>AGUA</v>
      </c>
      <c r="B246" s="1611"/>
      <c r="C246" s="444" t="str">
        <f>+'LISTADO MATERIALES'!$D$723</f>
        <v>LT</v>
      </c>
      <c r="D246" s="464">
        <f>+'LISTADO MATERIALES'!$E$723</f>
        <v>21</v>
      </c>
      <c r="E246" s="706">
        <v>10</v>
      </c>
      <c r="F246" s="440">
        <f t="shared" si="17"/>
        <v>210</v>
      </c>
      <c r="G246" s="707"/>
    </row>
    <row r="247" spans="1:7" ht="13.5" hidden="1" customHeight="1">
      <c r="A247" s="1996"/>
      <c r="B247" s="1819"/>
      <c r="C247" s="708"/>
      <c r="D247" s="434"/>
      <c r="E247" s="708"/>
      <c r="F247" s="434"/>
      <c r="G247" s="709"/>
    </row>
    <row r="248" spans="1:7" ht="13.5" hidden="1" customHeight="1">
      <c r="A248" s="2003" t="s">
        <v>1560</v>
      </c>
      <c r="B248" s="1601"/>
      <c r="C248" s="1601"/>
      <c r="D248" s="1601"/>
      <c r="E248" s="1601"/>
      <c r="F248" s="1801"/>
      <c r="G248" s="436">
        <f>SUM(F244:F247)</f>
        <v>17056.307999999997</v>
      </c>
    </row>
    <row r="249" spans="1:7" ht="13.5" hidden="1" customHeight="1">
      <c r="A249" s="423" t="s">
        <v>1563</v>
      </c>
      <c r="B249" s="416"/>
      <c r="C249" s="416"/>
      <c r="D249" s="416"/>
      <c r="E249" s="416"/>
      <c r="F249" s="416"/>
      <c r="G249" s="437"/>
    </row>
    <row r="250" spans="1:7" ht="13.5" hidden="1" customHeight="1">
      <c r="A250" s="1975" t="s">
        <v>1556</v>
      </c>
      <c r="B250" s="1801"/>
      <c r="C250" s="424" t="s">
        <v>6</v>
      </c>
      <c r="D250" s="424" t="s">
        <v>1562</v>
      </c>
      <c r="E250" s="424" t="s">
        <v>7</v>
      </c>
      <c r="F250" s="424" t="s">
        <v>1559</v>
      </c>
      <c r="G250" s="438"/>
    </row>
    <row r="251" spans="1:7" ht="13.5" hidden="1" customHeight="1">
      <c r="A251" s="1981"/>
      <c r="B251" s="1967"/>
      <c r="C251" s="448"/>
      <c r="D251" s="449"/>
      <c r="E251" s="450"/>
      <c r="F251" s="431"/>
      <c r="G251" s="443"/>
    </row>
    <row r="252" spans="1:7" ht="13.5" hidden="1" customHeight="1">
      <c r="A252" s="1982"/>
      <c r="B252" s="1819"/>
      <c r="C252" s="448"/>
      <c r="D252" s="451"/>
      <c r="E252" s="452"/>
      <c r="F252" s="451"/>
      <c r="G252" s="447"/>
    </row>
    <row r="253" spans="1:7" ht="13.5" hidden="1" customHeight="1">
      <c r="A253" s="2003" t="s">
        <v>1560</v>
      </c>
      <c r="B253" s="1601"/>
      <c r="C253" s="1601"/>
      <c r="D253" s="1601"/>
      <c r="E253" s="1601"/>
      <c r="F253" s="1801"/>
      <c r="G253" s="436"/>
    </row>
    <row r="254" spans="1:7" ht="13.5" hidden="1" customHeight="1">
      <c r="A254" s="423" t="s">
        <v>1564</v>
      </c>
      <c r="B254" s="416"/>
      <c r="C254" s="416"/>
      <c r="D254" s="416"/>
      <c r="E254" s="416"/>
      <c r="F254" s="416"/>
      <c r="G254" s="437"/>
    </row>
    <row r="255" spans="1:7" ht="13.5" hidden="1" customHeight="1">
      <c r="A255" s="1975" t="s">
        <v>1565</v>
      </c>
      <c r="B255" s="1801"/>
      <c r="C255" s="424" t="s">
        <v>1566</v>
      </c>
      <c r="D255" s="424" t="s">
        <v>6</v>
      </c>
      <c r="E255" s="424" t="s">
        <v>7</v>
      </c>
      <c r="F255" s="424" t="s">
        <v>1559</v>
      </c>
      <c r="G255" s="462"/>
    </row>
    <row r="256" spans="1:7" ht="13.5" hidden="1" customHeight="1">
      <c r="A256" s="2004" t="str">
        <f>+'MANO DE OBRA'!$A$64</f>
        <v>Oficial (Incl. Prestaciones)</v>
      </c>
      <c r="B256" s="1888"/>
      <c r="C256" s="679">
        <f>+'MANO DE OBRA'!$E$64</f>
        <v>15031.25</v>
      </c>
      <c r="D256" s="680">
        <v>1</v>
      </c>
      <c r="E256" s="680">
        <v>1.19</v>
      </c>
      <c r="F256" s="454">
        <f t="shared" ref="F256:F257" si="18">+(C256*D256)/E256</f>
        <v>12631.302521008403</v>
      </c>
      <c r="G256" s="443"/>
    </row>
    <row r="257" spans="1:7" ht="13.5" hidden="1" customHeight="1">
      <c r="A257" s="1968" t="str">
        <f>+'MANO DE OBRA'!$A$65</f>
        <v>Ayudante (Incl. Prestaciones)</v>
      </c>
      <c r="B257" s="1819"/>
      <c r="C257" s="681">
        <f>+'MANO DE OBRA'!$E$65</f>
        <v>10972.8125</v>
      </c>
      <c r="D257" s="562">
        <v>3</v>
      </c>
      <c r="E257" s="562">
        <f>+E256</f>
        <v>1.19</v>
      </c>
      <c r="F257" s="455">
        <f t="shared" si="18"/>
        <v>27662.552521008405</v>
      </c>
      <c r="G257" s="456"/>
    </row>
    <row r="258" spans="1:7" ht="13.5" hidden="1" customHeight="1">
      <c r="A258" s="2003" t="str">
        <f>+A253</f>
        <v>SUB-TOTAL</v>
      </c>
      <c r="B258" s="1601"/>
      <c r="C258" s="1601"/>
      <c r="D258" s="1601"/>
      <c r="E258" s="1601"/>
      <c r="F258" s="1801"/>
      <c r="G258" s="436">
        <f>SUM(F256:F257)</f>
        <v>40293.85504201681</v>
      </c>
    </row>
    <row r="259" spans="1:7" ht="11.25" hidden="1" customHeight="1">
      <c r="A259" s="416"/>
      <c r="B259" s="416"/>
      <c r="C259" s="416"/>
      <c r="D259" s="416"/>
      <c r="E259" s="416"/>
      <c r="F259" s="458"/>
      <c r="G259" s="437"/>
    </row>
    <row r="260" spans="1:7" ht="13.5" hidden="1" customHeight="1">
      <c r="A260" s="2003" t="s">
        <v>1567</v>
      </c>
      <c r="B260" s="1601"/>
      <c r="C260" s="1601"/>
      <c r="D260" s="1601"/>
      <c r="E260" s="1601"/>
      <c r="F260" s="1801"/>
      <c r="G260" s="682">
        <f>ROUND(G241+G248+G253+G258,0)</f>
        <v>57843</v>
      </c>
    </row>
    <row r="261" spans="1:7" ht="13.5" hidden="1" customHeight="1">
      <c r="A261" s="420"/>
      <c r="B261" s="420"/>
      <c r="C261" s="420"/>
      <c r="D261" s="420"/>
      <c r="E261" s="420"/>
      <c r="F261" s="420"/>
      <c r="G261" s="420"/>
    </row>
    <row r="262" spans="1:7" ht="13.5" hidden="1" customHeight="1">
      <c r="A262" s="420"/>
      <c r="B262" s="420"/>
      <c r="C262" s="420"/>
      <c r="D262" s="420"/>
      <c r="E262" s="420"/>
      <c r="F262" s="420"/>
      <c r="G262" s="420"/>
    </row>
    <row r="263" spans="1:7" ht="27" hidden="1" customHeight="1">
      <c r="A263" s="2005" t="s">
        <v>1604</v>
      </c>
      <c r="B263" s="1616"/>
      <c r="C263" s="1624"/>
      <c r="D263" s="567"/>
      <c r="E263" s="567"/>
      <c r="F263" s="567"/>
      <c r="G263" s="668"/>
    </row>
    <row r="264" spans="1:7" ht="24" hidden="1" customHeight="1">
      <c r="A264" s="1971"/>
      <c r="B264" s="1817"/>
      <c r="C264" s="1972"/>
      <c r="D264" s="669"/>
      <c r="E264" s="669"/>
      <c r="F264" s="669"/>
      <c r="G264" s="670"/>
    </row>
    <row r="265" spans="1:7" ht="13.5" hidden="1" customHeight="1">
      <c r="A265" s="416"/>
      <c r="B265" s="416"/>
      <c r="C265" s="416"/>
      <c r="D265" s="416"/>
      <c r="E265" s="416"/>
      <c r="F265" s="416"/>
      <c r="G265" s="416"/>
    </row>
    <row r="266" spans="1:7" ht="35.25" hidden="1" customHeight="1">
      <c r="A266" s="1973" t="str">
        <f>A10</f>
        <v>PRECIOS UNITARIOS OFICIALES 2014</v>
      </c>
      <c r="B266" s="1601"/>
      <c r="C266" s="1602"/>
      <c r="D266" s="1974" t="s">
        <v>1677</v>
      </c>
      <c r="E266" s="1601"/>
      <c r="F266" s="1601"/>
      <c r="G266" s="1602"/>
    </row>
    <row r="267" spans="1:7" ht="13.5" hidden="1" customHeight="1">
      <c r="A267" s="418"/>
      <c r="B267" s="418"/>
      <c r="C267" s="418"/>
      <c r="D267" s="418"/>
      <c r="E267" s="418"/>
      <c r="F267" s="418"/>
      <c r="G267" s="418"/>
    </row>
    <row r="268" spans="1:7" ht="12.75" hidden="1" customHeight="1">
      <c r="A268" s="419"/>
      <c r="B268" s="416"/>
      <c r="C268" s="420"/>
      <c r="D268" s="421" t="s">
        <v>1553</v>
      </c>
      <c r="E268" s="422" t="s">
        <v>228</v>
      </c>
      <c r="F268" s="572"/>
      <c r="G268" s="572"/>
    </row>
    <row r="269" spans="1:7" ht="13.5" hidden="1" customHeight="1">
      <c r="A269" s="423" t="s">
        <v>1555</v>
      </c>
      <c r="B269" s="416"/>
      <c r="C269" s="416"/>
      <c r="D269" s="416"/>
      <c r="E269" s="416"/>
      <c r="F269" s="416"/>
      <c r="G269" s="416"/>
    </row>
    <row r="270" spans="1:7" ht="13.5" hidden="1" customHeight="1">
      <c r="A270" s="1975" t="s">
        <v>1556</v>
      </c>
      <c r="B270" s="1601"/>
      <c r="C270" s="1801"/>
      <c r="D270" s="424" t="s">
        <v>208</v>
      </c>
      <c r="E270" s="424" t="s">
        <v>1558</v>
      </c>
      <c r="F270" s="424" t="s">
        <v>1559</v>
      </c>
      <c r="G270" s="425"/>
    </row>
    <row r="271" spans="1:7" ht="13.5" hidden="1" customHeight="1">
      <c r="A271" s="1981" t="str">
        <f>+'LISTADO EQUIPOS'!$C$22</f>
        <v>HERRAMIENTA MENOR.</v>
      </c>
      <c r="B271" s="1811"/>
      <c r="C271" s="1967"/>
      <c r="D271" s="739" t="s">
        <v>1569</v>
      </c>
      <c r="E271" s="427"/>
      <c r="F271" s="428">
        <v>300</v>
      </c>
      <c r="G271" s="429"/>
    </row>
    <row r="272" spans="1:7" ht="13.5" hidden="1" customHeight="1">
      <c r="A272" s="1988" t="str">
        <f>+'LISTADO EQUIPOS'!$C$47</f>
        <v>ANDAMIO TUBULAR. 1.5 x 1.5 SECCIÓN</v>
      </c>
      <c r="B272" s="1610"/>
      <c r="C272" s="1611"/>
      <c r="D272" s="431">
        <f>+'LISTADO EQUIPOS'!$E$47</f>
        <v>1750</v>
      </c>
      <c r="E272" s="430">
        <v>0.1</v>
      </c>
      <c r="F272" s="689">
        <f>+E272*D272</f>
        <v>175</v>
      </c>
      <c r="G272" s="432"/>
    </row>
    <row r="273" spans="1:7" ht="13.5" hidden="1" customHeight="1">
      <c r="A273" s="2003" t="s">
        <v>1560</v>
      </c>
      <c r="B273" s="1601"/>
      <c r="C273" s="1601"/>
      <c r="D273" s="1601"/>
      <c r="E273" s="1601"/>
      <c r="F273" s="1801"/>
      <c r="G273" s="436">
        <f>SUM(F271:F272)</f>
        <v>475</v>
      </c>
    </row>
    <row r="274" spans="1:7" ht="13.5" hidden="1" customHeight="1">
      <c r="A274" s="423" t="s">
        <v>1561</v>
      </c>
      <c r="B274" s="416"/>
      <c r="C274" s="416"/>
      <c r="D274" s="416"/>
      <c r="E274" s="416"/>
      <c r="F274" s="416"/>
      <c r="G274" s="437"/>
    </row>
    <row r="275" spans="1:7" ht="13.5" hidden="1" customHeight="1">
      <c r="A275" s="1975" t="s">
        <v>1556</v>
      </c>
      <c r="B275" s="1801"/>
      <c r="C275" s="424" t="s">
        <v>6</v>
      </c>
      <c r="D275" s="424" t="s">
        <v>1562</v>
      </c>
      <c r="E275" s="424" t="s">
        <v>7</v>
      </c>
      <c r="F275" s="424" t="s">
        <v>1559</v>
      </c>
      <c r="G275" s="673"/>
    </row>
    <row r="276" spans="1:7" ht="15" hidden="1" customHeight="1">
      <c r="A276" s="1987" t="str">
        <f>+'LISTADO MATERIALES'!$C$372</f>
        <v>BLOQUE HUECO No. 5 12X20X30</v>
      </c>
      <c r="B276" s="1967"/>
      <c r="C276" s="699" t="str">
        <f>+'LISTADO MATERIALES'!$D$372</f>
        <v>UND</v>
      </c>
      <c r="D276" s="449">
        <f>+'LISTADO MATERIALES'!$E$372</f>
        <v>893</v>
      </c>
      <c r="E276" s="699">
        <v>13.5</v>
      </c>
      <c r="F276" s="428">
        <f t="shared" ref="F276:F278" si="19">+E276*D276</f>
        <v>12055.5</v>
      </c>
      <c r="G276" s="443"/>
    </row>
    <row r="277" spans="1:7" ht="13.5" hidden="1" customHeight="1">
      <c r="A277" s="1988" t="str">
        <f>+'ANALISIS BASICOS'!$A$228</f>
        <v>MORTERO 1:4</v>
      </c>
      <c r="B277" s="1611"/>
      <c r="C277" s="677" t="str">
        <f>+'ANALISIS BASICOS'!$E$204</f>
        <v>M3</v>
      </c>
      <c r="D277" s="431">
        <f>+'ANALISIS BASICOS'!$G$228</f>
        <v>384656</v>
      </c>
      <c r="E277" s="677">
        <v>1.7999999999999999E-2</v>
      </c>
      <c r="F277" s="689">
        <f t="shared" si="19"/>
        <v>6923.8079999999991</v>
      </c>
      <c r="G277" s="445"/>
    </row>
    <row r="278" spans="1:7" ht="13.5" hidden="1" customHeight="1">
      <c r="A278" s="1988" t="str">
        <f>+'LISTADO MATERIALES'!$C$723</f>
        <v>AGUA</v>
      </c>
      <c r="B278" s="1611"/>
      <c r="C278" s="677" t="str">
        <f>+'LISTADO MATERIALES'!$D$723</f>
        <v>LT</v>
      </c>
      <c r="D278" s="431">
        <f>+'LISTADO MATERIALES'!$E$723</f>
        <v>21</v>
      </c>
      <c r="E278" s="677">
        <v>10</v>
      </c>
      <c r="F278" s="689">
        <f t="shared" si="19"/>
        <v>210</v>
      </c>
      <c r="G278" s="445"/>
    </row>
    <row r="279" spans="1:7" ht="13.5" hidden="1" customHeight="1">
      <c r="A279" s="1982"/>
      <c r="B279" s="1819"/>
      <c r="C279" s="678"/>
      <c r="D279" s="451"/>
      <c r="E279" s="678"/>
      <c r="F279" s="451"/>
      <c r="G279" s="456"/>
    </row>
    <row r="280" spans="1:7" ht="13.5" hidden="1" customHeight="1">
      <c r="A280" s="2003" t="s">
        <v>1560</v>
      </c>
      <c r="B280" s="1601"/>
      <c r="C280" s="1601"/>
      <c r="D280" s="1601"/>
      <c r="E280" s="1601"/>
      <c r="F280" s="1801"/>
      <c r="G280" s="436">
        <f>SUM(F276:F279)</f>
        <v>19189.307999999997</v>
      </c>
    </row>
    <row r="281" spans="1:7" ht="13.5" hidden="1" customHeight="1">
      <c r="A281" s="423" t="s">
        <v>1563</v>
      </c>
      <c r="B281" s="416"/>
      <c r="C281" s="416"/>
      <c r="D281" s="416"/>
      <c r="E281" s="416"/>
      <c r="F281" s="416"/>
      <c r="G281" s="437"/>
    </row>
    <row r="282" spans="1:7" ht="13.5" hidden="1" customHeight="1">
      <c r="A282" s="1975" t="s">
        <v>1556</v>
      </c>
      <c r="B282" s="1801"/>
      <c r="C282" s="424" t="s">
        <v>6</v>
      </c>
      <c r="D282" s="424" t="s">
        <v>1562</v>
      </c>
      <c r="E282" s="424" t="s">
        <v>7</v>
      </c>
      <c r="F282" s="424" t="s">
        <v>1559</v>
      </c>
      <c r="G282" s="438"/>
    </row>
    <row r="283" spans="1:7" ht="13.5" hidden="1" customHeight="1">
      <c r="A283" s="1981"/>
      <c r="B283" s="1967"/>
      <c r="C283" s="448"/>
      <c r="D283" s="449"/>
      <c r="E283" s="450"/>
      <c r="F283" s="431"/>
      <c r="G283" s="443"/>
    </row>
    <row r="284" spans="1:7" ht="13.5" hidden="1" customHeight="1">
      <c r="A284" s="1982"/>
      <c r="B284" s="1819"/>
      <c r="C284" s="448"/>
      <c r="D284" s="451"/>
      <c r="E284" s="452"/>
      <c r="F284" s="451"/>
      <c r="G284" s="447"/>
    </row>
    <row r="285" spans="1:7" ht="13.5" hidden="1" customHeight="1">
      <c r="A285" s="2003" t="s">
        <v>1560</v>
      </c>
      <c r="B285" s="1601"/>
      <c r="C285" s="1601"/>
      <c r="D285" s="1601"/>
      <c r="E285" s="1601"/>
      <c r="F285" s="1801"/>
      <c r="G285" s="436"/>
    </row>
    <row r="286" spans="1:7" ht="13.5" hidden="1" customHeight="1">
      <c r="A286" s="423" t="s">
        <v>1564</v>
      </c>
      <c r="B286" s="416"/>
      <c r="C286" s="416"/>
      <c r="D286" s="416"/>
      <c r="E286" s="416"/>
      <c r="F286" s="416"/>
      <c r="G286" s="437"/>
    </row>
    <row r="287" spans="1:7" ht="13.5" hidden="1" customHeight="1">
      <c r="A287" s="1975" t="s">
        <v>1565</v>
      </c>
      <c r="B287" s="1801"/>
      <c r="C287" s="424" t="s">
        <v>1566</v>
      </c>
      <c r="D287" s="424" t="s">
        <v>6</v>
      </c>
      <c r="E287" s="424" t="s">
        <v>7</v>
      </c>
      <c r="F287" s="424" t="s">
        <v>1559</v>
      </c>
      <c r="G287" s="462"/>
    </row>
    <row r="288" spans="1:7" ht="13.5" hidden="1" customHeight="1">
      <c r="A288" s="2004" t="str">
        <f>+'MANO DE OBRA'!$A$64</f>
        <v>Oficial (Incl. Prestaciones)</v>
      </c>
      <c r="B288" s="1888"/>
      <c r="C288" s="679">
        <f>+'MANO DE OBRA'!$E$64</f>
        <v>15031.25</v>
      </c>
      <c r="D288" s="680">
        <v>1</v>
      </c>
      <c r="E288" s="680">
        <v>1.1499999999999999</v>
      </c>
      <c r="F288" s="467">
        <f t="shared" ref="F288:F289" si="20">+(C288*D288)/E288</f>
        <v>13070.652173913044</v>
      </c>
      <c r="G288" s="443"/>
    </row>
    <row r="289" spans="1:7" ht="13.5" hidden="1" customHeight="1">
      <c r="A289" s="1968" t="str">
        <f>+'MANO DE OBRA'!$A$65</f>
        <v>Ayudante (Incl. Prestaciones)</v>
      </c>
      <c r="B289" s="1819"/>
      <c r="C289" s="681">
        <f>+'MANO DE OBRA'!$E$65</f>
        <v>10972.8125</v>
      </c>
      <c r="D289" s="562">
        <v>3</v>
      </c>
      <c r="E289" s="562">
        <f>+E288</f>
        <v>1.1499999999999999</v>
      </c>
      <c r="F289" s="740">
        <f t="shared" si="20"/>
        <v>28624.728260869568</v>
      </c>
      <c r="G289" s="456"/>
    </row>
    <row r="290" spans="1:7" ht="13.5" hidden="1" customHeight="1">
      <c r="A290" s="2003" t="str">
        <f>+A285</f>
        <v>SUB-TOTAL</v>
      </c>
      <c r="B290" s="1601"/>
      <c r="C290" s="1601"/>
      <c r="D290" s="1601"/>
      <c r="E290" s="1601"/>
      <c r="F290" s="1801"/>
      <c r="G290" s="436">
        <f>SUM(F288:F289)</f>
        <v>41695.380434782608</v>
      </c>
    </row>
    <row r="291" spans="1:7" ht="11.25" hidden="1" customHeight="1">
      <c r="A291" s="416"/>
      <c r="B291" s="416"/>
      <c r="C291" s="416"/>
      <c r="D291" s="416"/>
      <c r="E291" s="416"/>
      <c r="F291" s="458"/>
      <c r="G291" s="437"/>
    </row>
    <row r="292" spans="1:7" ht="13.5" hidden="1" customHeight="1">
      <c r="A292" s="2003" t="s">
        <v>1567</v>
      </c>
      <c r="B292" s="1601"/>
      <c r="C292" s="1601"/>
      <c r="D292" s="1601"/>
      <c r="E292" s="1601"/>
      <c r="F292" s="1801"/>
      <c r="G292" s="682">
        <f>ROUND(G273+G280+G285+G290,0)</f>
        <v>61360</v>
      </c>
    </row>
    <row r="293" spans="1:7" ht="13.5" hidden="1" customHeight="1">
      <c r="A293" s="420"/>
      <c r="B293" s="420"/>
      <c r="C293" s="420"/>
      <c r="D293" s="420"/>
      <c r="E293" s="420"/>
      <c r="F293" s="420"/>
      <c r="G293" s="420"/>
    </row>
    <row r="294" spans="1:7" ht="13.5" hidden="1" customHeight="1">
      <c r="A294" s="420"/>
      <c r="B294" s="420"/>
      <c r="C294" s="420"/>
      <c r="D294" s="420"/>
      <c r="E294" s="420"/>
      <c r="F294" s="420"/>
      <c r="G294" s="420"/>
    </row>
    <row r="295" spans="1:7" ht="27" hidden="1" customHeight="1">
      <c r="A295" s="2005" t="s">
        <v>1604</v>
      </c>
      <c r="B295" s="1616"/>
      <c r="C295" s="1624"/>
      <c r="D295" s="567"/>
      <c r="E295" s="567"/>
      <c r="F295" s="567"/>
      <c r="G295" s="668"/>
    </row>
    <row r="296" spans="1:7" ht="24" hidden="1" customHeight="1">
      <c r="A296" s="1971"/>
      <c r="B296" s="1817"/>
      <c r="C296" s="1972"/>
      <c r="D296" s="669"/>
      <c r="E296" s="669"/>
      <c r="F296" s="669"/>
      <c r="G296" s="670"/>
    </row>
    <row r="297" spans="1:7" ht="13.5" hidden="1" customHeight="1">
      <c r="A297" s="416"/>
      <c r="B297" s="416"/>
      <c r="C297" s="416"/>
      <c r="D297" s="416"/>
      <c r="E297" s="416"/>
      <c r="F297" s="416"/>
      <c r="G297" s="416"/>
    </row>
    <row r="298" spans="1:7" ht="35.25" hidden="1" customHeight="1">
      <c r="A298" s="1973" t="str">
        <f>A10</f>
        <v>PRECIOS UNITARIOS OFICIALES 2014</v>
      </c>
      <c r="B298" s="1601"/>
      <c r="C298" s="1602"/>
      <c r="D298" s="1974" t="s">
        <v>1678</v>
      </c>
      <c r="E298" s="1601"/>
      <c r="F298" s="1601"/>
      <c r="G298" s="1602"/>
    </row>
    <row r="299" spans="1:7" ht="13.5" hidden="1" customHeight="1">
      <c r="A299" s="418"/>
      <c r="B299" s="418"/>
      <c r="C299" s="418"/>
      <c r="D299" s="418"/>
      <c r="E299" s="418"/>
      <c r="F299" s="418"/>
      <c r="G299" s="418"/>
    </row>
    <row r="300" spans="1:7" ht="12.75" hidden="1" customHeight="1">
      <c r="A300" s="419"/>
      <c r="B300" s="416"/>
      <c r="C300" s="420"/>
      <c r="D300" s="421" t="s">
        <v>1553</v>
      </c>
      <c r="E300" s="422" t="s">
        <v>228</v>
      </c>
      <c r="F300" s="572"/>
      <c r="G300" s="572"/>
    </row>
    <row r="301" spans="1:7" ht="13.5" hidden="1" customHeight="1">
      <c r="A301" s="423" t="s">
        <v>1555</v>
      </c>
      <c r="B301" s="416"/>
      <c r="C301" s="416"/>
      <c r="D301" s="416"/>
      <c r="E301" s="416"/>
      <c r="F301" s="416"/>
      <c r="G301" s="416"/>
    </row>
    <row r="302" spans="1:7" ht="13.5" hidden="1" customHeight="1">
      <c r="A302" s="1975" t="s">
        <v>1556</v>
      </c>
      <c r="B302" s="1601"/>
      <c r="C302" s="1801"/>
      <c r="D302" s="424" t="s">
        <v>208</v>
      </c>
      <c r="E302" s="424" t="s">
        <v>1558</v>
      </c>
      <c r="F302" s="424" t="s">
        <v>1559</v>
      </c>
      <c r="G302" s="425"/>
    </row>
    <row r="303" spans="1:7" ht="13.5" hidden="1" customHeight="1">
      <c r="A303" s="1981" t="str">
        <f>+'LISTADO EQUIPOS'!$C$22</f>
        <v>HERRAMIENTA MENOR.</v>
      </c>
      <c r="B303" s="1811"/>
      <c r="C303" s="1967"/>
      <c r="D303" s="449">
        <f>+'LISTADO EQUIPOS'!$E$22/8</f>
        <v>2850</v>
      </c>
      <c r="E303" s="427">
        <f>+E320</f>
        <v>1</v>
      </c>
      <c r="F303" s="428">
        <f t="shared" ref="F303:F304" si="21">+E303*D303</f>
        <v>2850</v>
      </c>
      <c r="G303" s="429"/>
    </row>
    <row r="304" spans="1:7" ht="13.5" hidden="1" customHeight="1">
      <c r="A304" s="1988" t="str">
        <f>+'LISTADO EQUIPOS'!$C$47</f>
        <v>ANDAMIO TUBULAR. 1.5 x 1.5 SECCIÓN</v>
      </c>
      <c r="B304" s="1610"/>
      <c r="C304" s="1611"/>
      <c r="D304" s="431">
        <f>+'LISTADO EQUIPOS'!$E$47</f>
        <v>1750</v>
      </c>
      <c r="E304" s="430">
        <v>0.3</v>
      </c>
      <c r="F304" s="689">
        <f t="shared" si="21"/>
        <v>525</v>
      </c>
      <c r="G304" s="432"/>
    </row>
    <row r="305" spans="1:7" ht="13.5" hidden="1" customHeight="1">
      <c r="A305" s="2003" t="s">
        <v>1560</v>
      </c>
      <c r="B305" s="1601"/>
      <c r="C305" s="1601"/>
      <c r="D305" s="1601"/>
      <c r="E305" s="1601"/>
      <c r="F305" s="1801"/>
      <c r="G305" s="436">
        <f>SUM(F303:F304)</f>
        <v>3375</v>
      </c>
    </row>
    <row r="306" spans="1:7" ht="13.5" hidden="1" customHeight="1">
      <c r="A306" s="423" t="s">
        <v>1561</v>
      </c>
      <c r="B306" s="416"/>
      <c r="C306" s="416"/>
      <c r="D306" s="416"/>
      <c r="E306" s="416"/>
      <c r="F306" s="416"/>
      <c r="G306" s="437"/>
    </row>
    <row r="307" spans="1:7" ht="13.5" hidden="1" customHeight="1">
      <c r="A307" s="1975" t="s">
        <v>1556</v>
      </c>
      <c r="B307" s="1801"/>
      <c r="C307" s="424" t="s">
        <v>6</v>
      </c>
      <c r="D307" s="424" t="s">
        <v>1562</v>
      </c>
      <c r="E307" s="424" t="s">
        <v>7</v>
      </c>
      <c r="F307" s="424" t="s">
        <v>1559</v>
      </c>
      <c r="G307" s="673"/>
    </row>
    <row r="308" spans="1:7" ht="13.5" hidden="1" customHeight="1">
      <c r="A308" s="1981" t="str">
        <f>+'LISTADO MATERIALES'!$C$374</f>
        <v>BLOQUE TIPO CALADO EN GRES</v>
      </c>
      <c r="B308" s="1967"/>
      <c r="C308" s="699" t="str">
        <f>+'LISTADO MATERIALES'!$D$374</f>
        <v>UND</v>
      </c>
      <c r="D308" s="449">
        <f>+'LISTADO MATERIALES'!$E$374</f>
        <v>2888</v>
      </c>
      <c r="E308" s="699">
        <v>13</v>
      </c>
      <c r="F308" s="428">
        <f t="shared" ref="F308:F310" si="22">+E308*D308</f>
        <v>37544</v>
      </c>
      <c r="G308" s="443"/>
    </row>
    <row r="309" spans="1:7" ht="13.5" hidden="1" customHeight="1">
      <c r="A309" s="1988" t="str">
        <f>+'ANALISIS BASICOS'!$A$228</f>
        <v>MORTERO 1:4</v>
      </c>
      <c r="B309" s="1611"/>
      <c r="C309" s="677" t="str">
        <f>+'ANALISIS BASICOS'!$E$204</f>
        <v>M3</v>
      </c>
      <c r="D309" s="431">
        <f>+'ANALISIS BASICOS'!$G$228</f>
        <v>384656</v>
      </c>
      <c r="E309" s="677">
        <v>1.7999999999999999E-2</v>
      </c>
      <c r="F309" s="689">
        <f t="shared" si="22"/>
        <v>6923.8079999999991</v>
      </c>
      <c r="G309" s="445"/>
    </row>
    <row r="310" spans="1:7" ht="13.5" hidden="1" customHeight="1">
      <c r="A310" s="1988" t="str">
        <f>+'LISTADO MATERIALES'!$C$723</f>
        <v>AGUA</v>
      </c>
      <c r="B310" s="1611"/>
      <c r="C310" s="677" t="str">
        <f>+'LISTADO MATERIALES'!$D$723</f>
        <v>LT</v>
      </c>
      <c r="D310" s="431">
        <f>+'LISTADO MATERIALES'!$E$723</f>
        <v>21</v>
      </c>
      <c r="E310" s="677">
        <v>25</v>
      </c>
      <c r="F310" s="689">
        <f t="shared" si="22"/>
        <v>525</v>
      </c>
      <c r="G310" s="445"/>
    </row>
    <row r="311" spans="1:7" ht="13.5" hidden="1" customHeight="1">
      <c r="A311" s="1982"/>
      <c r="B311" s="1819"/>
      <c r="C311" s="678"/>
      <c r="D311" s="451"/>
      <c r="E311" s="678"/>
      <c r="F311" s="451"/>
      <c r="G311" s="456"/>
    </row>
    <row r="312" spans="1:7" ht="13.5" hidden="1" customHeight="1">
      <c r="A312" s="2003" t="s">
        <v>1560</v>
      </c>
      <c r="B312" s="1601"/>
      <c r="C312" s="1601"/>
      <c r="D312" s="1601"/>
      <c r="E312" s="1601"/>
      <c r="F312" s="1801"/>
      <c r="G312" s="436">
        <f>SUM(F308:F311)</f>
        <v>44992.807999999997</v>
      </c>
    </row>
    <row r="313" spans="1:7" ht="13.5" hidden="1" customHeight="1">
      <c r="A313" s="423" t="s">
        <v>1563</v>
      </c>
      <c r="B313" s="416"/>
      <c r="C313" s="416"/>
      <c r="D313" s="416"/>
      <c r="E313" s="416"/>
      <c r="F313" s="416"/>
      <c r="G313" s="437"/>
    </row>
    <row r="314" spans="1:7" ht="13.5" hidden="1" customHeight="1">
      <c r="A314" s="1975" t="s">
        <v>1556</v>
      </c>
      <c r="B314" s="1801"/>
      <c r="C314" s="424" t="s">
        <v>6</v>
      </c>
      <c r="D314" s="424" t="s">
        <v>1562</v>
      </c>
      <c r="E314" s="424" t="s">
        <v>7</v>
      </c>
      <c r="F314" s="424" t="s">
        <v>1559</v>
      </c>
      <c r="G314" s="438"/>
    </row>
    <row r="315" spans="1:7" ht="13.5" hidden="1" customHeight="1">
      <c r="A315" s="1981"/>
      <c r="B315" s="1967"/>
      <c r="C315" s="448"/>
      <c r="D315" s="449"/>
      <c r="E315" s="450"/>
      <c r="F315" s="431"/>
      <c r="G315" s="443"/>
    </row>
    <row r="316" spans="1:7" ht="13.5" hidden="1" customHeight="1">
      <c r="A316" s="1982"/>
      <c r="B316" s="1819"/>
      <c r="C316" s="448"/>
      <c r="D316" s="451"/>
      <c r="E316" s="452"/>
      <c r="F316" s="451"/>
      <c r="G316" s="447"/>
    </row>
    <row r="317" spans="1:7" ht="13.5" hidden="1" customHeight="1">
      <c r="A317" s="2003" t="s">
        <v>1560</v>
      </c>
      <c r="B317" s="1601"/>
      <c r="C317" s="1601"/>
      <c r="D317" s="1601"/>
      <c r="E317" s="1601"/>
      <c r="F317" s="1801"/>
      <c r="G317" s="436"/>
    </row>
    <row r="318" spans="1:7" ht="13.5" hidden="1" customHeight="1">
      <c r="A318" s="423" t="s">
        <v>1564</v>
      </c>
      <c r="B318" s="416"/>
      <c r="C318" s="416"/>
      <c r="D318" s="416"/>
      <c r="E318" s="416"/>
      <c r="F318" s="416"/>
      <c r="G318" s="437"/>
    </row>
    <row r="319" spans="1:7" ht="13.5" hidden="1" customHeight="1">
      <c r="A319" s="1975" t="s">
        <v>1565</v>
      </c>
      <c r="B319" s="1801"/>
      <c r="C319" s="424" t="s">
        <v>1566</v>
      </c>
      <c r="D319" s="424" t="s">
        <v>6</v>
      </c>
      <c r="E319" s="424" t="s">
        <v>7</v>
      </c>
      <c r="F319" s="424" t="s">
        <v>1559</v>
      </c>
      <c r="G319" s="462"/>
    </row>
    <row r="320" spans="1:7" ht="13.5" hidden="1" customHeight="1">
      <c r="A320" s="2004" t="str">
        <f>+'MANO DE OBRA'!$A$64</f>
        <v>Oficial (Incl. Prestaciones)</v>
      </c>
      <c r="B320" s="1888"/>
      <c r="C320" s="679">
        <f>+'MANO DE OBRA'!$E$64</f>
        <v>15031.25</v>
      </c>
      <c r="D320" s="680">
        <v>1</v>
      </c>
      <c r="E320" s="680">
        <v>1</v>
      </c>
      <c r="F320" s="694">
        <f t="shared" ref="F320:F321" si="23">+(C320*D320)*E320</f>
        <v>15031.25</v>
      </c>
      <c r="G320" s="443"/>
    </row>
    <row r="321" spans="1:7" ht="13.5" hidden="1" customHeight="1">
      <c r="A321" s="1968" t="str">
        <f>+'MANO DE OBRA'!$A$65</f>
        <v>Ayudante (Incl. Prestaciones)</v>
      </c>
      <c r="B321" s="1819"/>
      <c r="C321" s="681">
        <f>+'MANO DE OBRA'!$E$65</f>
        <v>10972.8125</v>
      </c>
      <c r="D321" s="562">
        <v>1</v>
      </c>
      <c r="E321" s="562">
        <f>+E320</f>
        <v>1</v>
      </c>
      <c r="F321" s="695">
        <f t="shared" si="23"/>
        <v>10972.8125</v>
      </c>
      <c r="G321" s="456"/>
    </row>
    <row r="322" spans="1:7" ht="13.5" hidden="1" customHeight="1">
      <c r="A322" s="2003" t="str">
        <f>+A317</f>
        <v>SUB-TOTAL</v>
      </c>
      <c r="B322" s="1601"/>
      <c r="C322" s="1601"/>
      <c r="D322" s="1601"/>
      <c r="E322" s="1601"/>
      <c r="F322" s="1801"/>
      <c r="G322" s="436">
        <f>SUM(F320:F321)</f>
        <v>26004.0625</v>
      </c>
    </row>
    <row r="323" spans="1:7" ht="11.25" hidden="1" customHeight="1">
      <c r="A323" s="416"/>
      <c r="B323" s="416"/>
      <c r="C323" s="416"/>
      <c r="D323" s="416"/>
      <c r="E323" s="416"/>
      <c r="F323" s="458"/>
      <c r="G323" s="437"/>
    </row>
    <row r="324" spans="1:7" ht="13.5" hidden="1" customHeight="1">
      <c r="A324" s="2003" t="s">
        <v>1567</v>
      </c>
      <c r="B324" s="1601"/>
      <c r="C324" s="1601"/>
      <c r="D324" s="1601"/>
      <c r="E324" s="1601"/>
      <c r="F324" s="1801"/>
      <c r="G324" s="682">
        <f>ROUND(G305+G312+G317+G322,0)</f>
        <v>74372</v>
      </c>
    </row>
    <row r="325" spans="1:7" ht="13.5" hidden="1" customHeight="1">
      <c r="A325" s="420"/>
      <c r="B325" s="420"/>
      <c r="C325" s="420"/>
      <c r="D325" s="420"/>
      <c r="E325" s="420"/>
      <c r="F325" s="420"/>
      <c r="G325" s="420"/>
    </row>
    <row r="326" spans="1:7" ht="13.5" hidden="1" customHeight="1">
      <c r="A326" s="420"/>
      <c r="B326" s="420"/>
      <c r="C326" s="420"/>
      <c r="D326" s="420"/>
      <c r="E326" s="420"/>
      <c r="F326" s="420"/>
      <c r="G326" s="420"/>
    </row>
    <row r="327" spans="1:7" ht="27.75" hidden="1" customHeight="1">
      <c r="A327" s="1994" t="e">
        <f>+'ANALISIS BASICOS'!$A$7</f>
        <v>#REF!</v>
      </c>
      <c r="B327" s="1616"/>
      <c r="C327" s="1624"/>
      <c r="D327" s="1990"/>
      <c r="E327" s="1616"/>
      <c r="F327" s="1616"/>
      <c r="G327" s="1624"/>
    </row>
    <row r="328" spans="1:7" ht="29.25" hidden="1" customHeight="1">
      <c r="A328" s="1971"/>
      <c r="B328" s="1817"/>
      <c r="C328" s="1972"/>
      <c r="D328" s="1971"/>
      <c r="E328" s="1817"/>
      <c r="F328" s="1817"/>
      <c r="G328" s="1972"/>
    </row>
    <row r="329" spans="1:7" ht="13.5" hidden="1" customHeight="1">
      <c r="A329" s="416"/>
      <c r="B329" s="416"/>
      <c r="C329" s="416"/>
      <c r="D329" s="416"/>
      <c r="E329" s="416"/>
      <c r="F329" s="416"/>
      <c r="G329" s="416"/>
    </row>
    <row r="330" spans="1:7" ht="51" hidden="1" customHeight="1">
      <c r="A330" s="1991" t="e">
        <f ca="1">+A202</f>
        <v>#NAME?</v>
      </c>
      <c r="B330" s="1601"/>
      <c r="C330" s="1602"/>
      <c r="D330" s="1974" t="s">
        <v>1679</v>
      </c>
      <c r="E330" s="1601"/>
      <c r="F330" s="1601"/>
      <c r="G330" s="1602"/>
    </row>
    <row r="331" spans="1:7" ht="13.5" hidden="1" customHeight="1">
      <c r="A331" s="418"/>
      <c r="B331" s="418"/>
      <c r="C331" s="418"/>
      <c r="D331" s="418"/>
      <c r="E331" s="418"/>
      <c r="F331" s="418"/>
      <c r="G331" s="418"/>
    </row>
    <row r="332" spans="1:7" ht="12.75" hidden="1" customHeight="1">
      <c r="A332" s="419"/>
      <c r="B332" s="416"/>
      <c r="C332" s="420"/>
      <c r="D332" s="421" t="s">
        <v>1553</v>
      </c>
      <c r="E332" s="422" t="s">
        <v>120</v>
      </c>
      <c r="F332" s="421" t="s">
        <v>1554</v>
      </c>
      <c r="G332" s="422" t="s">
        <v>390</v>
      </c>
    </row>
    <row r="333" spans="1:7" ht="13.5" hidden="1" customHeight="1">
      <c r="A333" s="423" t="s">
        <v>1555</v>
      </c>
      <c r="B333" s="416"/>
      <c r="C333" s="416"/>
      <c r="D333" s="416"/>
      <c r="E333" s="416"/>
      <c r="F333" s="416"/>
      <c r="G333" s="416"/>
    </row>
    <row r="334" spans="1:7" ht="13.5" hidden="1" customHeight="1">
      <c r="A334" s="1975" t="s">
        <v>1556</v>
      </c>
      <c r="B334" s="1601"/>
      <c r="C334" s="1801"/>
      <c r="D334" s="424" t="s">
        <v>208</v>
      </c>
      <c r="E334" s="424" t="s">
        <v>1558</v>
      </c>
      <c r="F334" s="424" t="s">
        <v>1559</v>
      </c>
      <c r="G334" s="425"/>
    </row>
    <row r="335" spans="1:7" ht="13.5" hidden="1" customHeight="1">
      <c r="A335" s="1981" t="str">
        <f>+'LISTADO EQUIPOS'!$C$22</f>
        <v>HERRAMIENTA MENOR.</v>
      </c>
      <c r="B335" s="1811"/>
      <c r="C335" s="1967"/>
      <c r="D335" s="449">
        <f>+'LISTADO EQUIPOS'!$E$22/8</f>
        <v>2850</v>
      </c>
      <c r="E335" s="427">
        <v>3</v>
      </c>
      <c r="F335" s="428">
        <f>+D335/E335</f>
        <v>950</v>
      </c>
      <c r="G335" s="429"/>
    </row>
    <row r="336" spans="1:7" ht="13.5" hidden="1" customHeight="1">
      <c r="A336" s="1988" t="str">
        <f>+'ANALISIS BASICOS'!$A$360</f>
        <v>FORMALETA EN MADERA</v>
      </c>
      <c r="B336" s="1610"/>
      <c r="C336" s="1611"/>
      <c r="D336" s="431">
        <f>+'ANALISIS BASICOS'!$G$360</f>
        <v>41998</v>
      </c>
      <c r="E336" s="430">
        <v>0.05</v>
      </c>
      <c r="F336" s="689">
        <f>+E336*D336</f>
        <v>2099.9</v>
      </c>
      <c r="G336" s="432"/>
    </row>
    <row r="337" spans="1:7" ht="13.5" hidden="1" customHeight="1">
      <c r="A337" s="2003" t="s">
        <v>1560</v>
      </c>
      <c r="B337" s="1601"/>
      <c r="C337" s="1601"/>
      <c r="D337" s="1601"/>
      <c r="E337" s="1601"/>
      <c r="F337" s="1801"/>
      <c r="G337" s="436">
        <f>SUM(F335:F336)</f>
        <v>3049.9</v>
      </c>
    </row>
    <row r="338" spans="1:7" ht="13.5" hidden="1" customHeight="1">
      <c r="A338" s="423" t="s">
        <v>1561</v>
      </c>
      <c r="B338" s="416"/>
      <c r="C338" s="416"/>
      <c r="D338" s="416"/>
      <c r="E338" s="416"/>
      <c r="F338" s="416"/>
      <c r="G338" s="437"/>
    </row>
    <row r="339" spans="1:7" ht="13.5" hidden="1" customHeight="1">
      <c r="A339" s="1975" t="s">
        <v>1556</v>
      </c>
      <c r="B339" s="1801"/>
      <c r="C339" s="424" t="s">
        <v>6</v>
      </c>
      <c r="D339" s="424" t="s">
        <v>1562</v>
      </c>
      <c r="E339" s="424" t="s">
        <v>7</v>
      </c>
      <c r="F339" s="424" t="s">
        <v>1559</v>
      </c>
      <c r="G339" s="673"/>
    </row>
    <row r="340" spans="1:7" ht="13.5" hidden="1" customHeight="1">
      <c r="A340" s="1981" t="str">
        <f>+'ANALISIS BASICOS'!$A$36</f>
        <v xml:space="preserve">CONCRETO NORMAL - 3000 PSI (210 KG/CM2) </v>
      </c>
      <c r="B340" s="1967"/>
      <c r="C340" s="674" t="str">
        <f>+'ANALISIS BASICOS'!$E$12</f>
        <v>M3</v>
      </c>
      <c r="D340" s="675">
        <f>+'ANALISIS BASICOS'!$G$36</f>
        <v>468441</v>
      </c>
      <c r="E340" s="674">
        <v>2.8000000000000001E-2</v>
      </c>
      <c r="F340" s="442">
        <f>+E340*D340</f>
        <v>13116.348</v>
      </c>
      <c r="G340" s="443"/>
    </row>
    <row r="341" spans="1:7" ht="13.5" hidden="1" customHeight="1">
      <c r="A341" s="1988"/>
      <c r="B341" s="1611"/>
      <c r="C341" s="677"/>
      <c r="D341" s="431"/>
      <c r="E341" s="677"/>
      <c r="F341" s="689"/>
      <c r="G341" s="445"/>
    </row>
    <row r="342" spans="1:7" ht="13.5" hidden="1" customHeight="1">
      <c r="A342" s="1988"/>
      <c r="B342" s="1611"/>
      <c r="C342" s="677"/>
      <c r="D342" s="431"/>
      <c r="E342" s="677"/>
      <c r="F342" s="689"/>
      <c r="G342" s="445"/>
    </row>
    <row r="343" spans="1:7" ht="13.5" hidden="1" customHeight="1">
      <c r="A343" s="1982"/>
      <c r="B343" s="1819"/>
      <c r="C343" s="678"/>
      <c r="D343" s="451"/>
      <c r="E343" s="678"/>
      <c r="F343" s="451"/>
      <c r="G343" s="456"/>
    </row>
    <row r="344" spans="1:7" ht="13.5" hidden="1" customHeight="1">
      <c r="A344" s="2003" t="s">
        <v>1560</v>
      </c>
      <c r="B344" s="1601"/>
      <c r="C344" s="1601"/>
      <c r="D344" s="1601"/>
      <c r="E344" s="1601"/>
      <c r="F344" s="1801"/>
      <c r="G344" s="436">
        <f>SUM(F340:F343)</f>
        <v>13116.348</v>
      </c>
    </row>
    <row r="345" spans="1:7" ht="13.5" hidden="1" customHeight="1">
      <c r="A345" s="423" t="s">
        <v>1563</v>
      </c>
      <c r="B345" s="416"/>
      <c r="C345" s="416"/>
      <c r="D345" s="416"/>
      <c r="E345" s="416"/>
      <c r="F345" s="416"/>
      <c r="G345" s="437"/>
    </row>
    <row r="346" spans="1:7" ht="13.5" hidden="1" customHeight="1">
      <c r="A346" s="1975" t="s">
        <v>1556</v>
      </c>
      <c r="B346" s="1801"/>
      <c r="C346" s="424" t="s">
        <v>6</v>
      </c>
      <c r="D346" s="424" t="s">
        <v>1562</v>
      </c>
      <c r="E346" s="424" t="s">
        <v>7</v>
      </c>
      <c r="F346" s="424" t="s">
        <v>1559</v>
      </c>
      <c r="G346" s="438"/>
    </row>
    <row r="347" spans="1:7" ht="13.5" hidden="1" customHeight="1">
      <c r="A347" s="1981"/>
      <c r="B347" s="1967"/>
      <c r="C347" s="448"/>
      <c r="D347" s="449"/>
      <c r="E347" s="450"/>
      <c r="F347" s="431"/>
      <c r="G347" s="443"/>
    </row>
    <row r="348" spans="1:7" ht="13.5" hidden="1" customHeight="1">
      <c r="A348" s="1982"/>
      <c r="B348" s="1819"/>
      <c r="C348" s="448"/>
      <c r="D348" s="451"/>
      <c r="E348" s="452"/>
      <c r="F348" s="451"/>
      <c r="G348" s="447"/>
    </row>
    <row r="349" spans="1:7" ht="13.5" hidden="1" customHeight="1">
      <c r="A349" s="2003" t="s">
        <v>1560</v>
      </c>
      <c r="B349" s="1601"/>
      <c r="C349" s="1601"/>
      <c r="D349" s="1601"/>
      <c r="E349" s="1601"/>
      <c r="F349" s="1801"/>
      <c r="G349" s="436"/>
    </row>
    <row r="350" spans="1:7" ht="13.5" hidden="1" customHeight="1">
      <c r="A350" s="423" t="s">
        <v>1564</v>
      </c>
      <c r="B350" s="416"/>
      <c r="C350" s="416"/>
      <c r="D350" s="416"/>
      <c r="E350" s="416"/>
      <c r="F350" s="416"/>
      <c r="G350" s="437"/>
    </row>
    <row r="351" spans="1:7" ht="13.5" hidden="1" customHeight="1">
      <c r="A351" s="1975" t="s">
        <v>1565</v>
      </c>
      <c r="B351" s="1801"/>
      <c r="C351" s="424" t="s">
        <v>1566</v>
      </c>
      <c r="D351" s="424" t="s">
        <v>6</v>
      </c>
      <c r="E351" s="424" t="s">
        <v>7</v>
      </c>
      <c r="F351" s="424" t="s">
        <v>1559</v>
      </c>
      <c r="G351" s="462"/>
    </row>
    <row r="352" spans="1:7" ht="13.5" hidden="1" customHeight="1">
      <c r="A352" s="2004" t="str">
        <f>+'MANO DE OBRA'!$A$64</f>
        <v>Oficial (Incl. Prestaciones)</v>
      </c>
      <c r="B352" s="1888"/>
      <c r="C352" s="679">
        <f>+'MANO DE OBRA'!$E$64</f>
        <v>15031.25</v>
      </c>
      <c r="D352" s="680">
        <v>1</v>
      </c>
      <c r="E352" s="680">
        <v>1</v>
      </c>
      <c r="F352" s="454">
        <f t="shared" ref="F352:F353" si="24">+(C352*D352)/E352</f>
        <v>15031.25</v>
      </c>
      <c r="G352" s="443"/>
    </row>
    <row r="353" spans="1:7" ht="13.5" hidden="1" customHeight="1">
      <c r="A353" s="1968" t="str">
        <f>+'MANO DE OBRA'!$A$65</f>
        <v>Ayudante (Incl. Prestaciones)</v>
      </c>
      <c r="B353" s="1819"/>
      <c r="C353" s="681">
        <f>+'MANO DE OBRA'!$E$65</f>
        <v>10972.8125</v>
      </c>
      <c r="D353" s="562">
        <v>1</v>
      </c>
      <c r="E353" s="562">
        <f>+E352</f>
        <v>1</v>
      </c>
      <c r="F353" s="455">
        <f t="shared" si="24"/>
        <v>10972.8125</v>
      </c>
      <c r="G353" s="456"/>
    </row>
    <row r="354" spans="1:7" ht="13.5" hidden="1" customHeight="1">
      <c r="A354" s="2003" t="str">
        <f>+A349</f>
        <v>SUB-TOTAL</v>
      </c>
      <c r="B354" s="1601"/>
      <c r="C354" s="1601"/>
      <c r="D354" s="1601"/>
      <c r="E354" s="1601"/>
      <c r="F354" s="1801"/>
      <c r="G354" s="436">
        <f>SUM(F352:F353)</f>
        <v>26004.0625</v>
      </c>
    </row>
    <row r="355" spans="1:7" ht="11.25" hidden="1" customHeight="1">
      <c r="A355" s="416"/>
      <c r="B355" s="416"/>
      <c r="C355" s="416"/>
      <c r="D355" s="416"/>
      <c r="E355" s="416"/>
      <c r="F355" s="458"/>
      <c r="G355" s="437"/>
    </row>
    <row r="356" spans="1:7" ht="13.5" hidden="1" customHeight="1">
      <c r="A356" s="2003" t="s">
        <v>1567</v>
      </c>
      <c r="B356" s="1601"/>
      <c r="C356" s="1601"/>
      <c r="D356" s="1601"/>
      <c r="E356" s="1601"/>
      <c r="F356" s="1801"/>
      <c r="G356" s="682">
        <f>ROUND(G337+G344+G349+G354,0)</f>
        <v>42170</v>
      </c>
    </row>
    <row r="357" spans="1:7" ht="13.5" hidden="1" customHeight="1">
      <c r="A357" s="420"/>
      <c r="B357" s="420"/>
      <c r="C357" s="420"/>
      <c r="D357" s="420"/>
      <c r="E357" s="420"/>
      <c r="F357" s="420"/>
      <c r="G357" s="420"/>
    </row>
    <row r="358" spans="1:7" ht="13.5" hidden="1" customHeight="1">
      <c r="A358" s="420"/>
      <c r="B358" s="420"/>
      <c r="C358" s="420"/>
      <c r="D358" s="420"/>
      <c r="E358" s="420"/>
      <c r="F358" s="420"/>
      <c r="G358" s="420"/>
    </row>
    <row r="359" spans="1:7" ht="27" hidden="1" customHeight="1">
      <c r="A359" s="2005" t="s">
        <v>1604</v>
      </c>
      <c r="B359" s="1616"/>
      <c r="C359" s="1624"/>
      <c r="D359" s="567"/>
      <c r="E359" s="567"/>
      <c r="F359" s="567"/>
      <c r="G359" s="668"/>
    </row>
    <row r="360" spans="1:7" ht="24" hidden="1" customHeight="1">
      <c r="A360" s="1971"/>
      <c r="B360" s="1817"/>
      <c r="C360" s="1972"/>
      <c r="D360" s="669"/>
      <c r="E360" s="669"/>
      <c r="F360" s="669"/>
      <c r="G360" s="670"/>
    </row>
    <row r="361" spans="1:7" ht="13.5" hidden="1" customHeight="1">
      <c r="A361" s="416"/>
      <c r="B361" s="416"/>
      <c r="C361" s="416"/>
      <c r="D361" s="416"/>
      <c r="E361" s="416"/>
      <c r="F361" s="416"/>
      <c r="G361" s="416"/>
    </row>
    <row r="362" spans="1:7" ht="35.25" hidden="1" customHeight="1">
      <c r="A362" s="1973" t="str">
        <f>A10</f>
        <v>PRECIOS UNITARIOS OFICIALES 2014</v>
      </c>
      <c r="B362" s="1601"/>
      <c r="C362" s="1602"/>
      <c r="D362" s="1974" t="s">
        <v>1680</v>
      </c>
      <c r="E362" s="1601"/>
      <c r="F362" s="1601"/>
      <c r="G362" s="1602"/>
    </row>
    <row r="363" spans="1:7" ht="13.5" hidden="1" customHeight="1">
      <c r="A363" s="418"/>
      <c r="B363" s="418"/>
      <c r="C363" s="418"/>
      <c r="D363" s="418"/>
      <c r="E363" s="418"/>
      <c r="F363" s="418"/>
      <c r="G363" s="418"/>
    </row>
    <row r="364" spans="1:7" ht="12.75" hidden="1" customHeight="1">
      <c r="A364" s="419"/>
      <c r="B364" s="416"/>
      <c r="C364" s="420"/>
      <c r="D364" s="421" t="s">
        <v>1553</v>
      </c>
      <c r="E364" s="422" t="s">
        <v>120</v>
      </c>
      <c r="F364" s="572"/>
      <c r="G364" s="572"/>
    </row>
    <row r="365" spans="1:7" ht="13.5" hidden="1" customHeight="1">
      <c r="A365" s="423" t="s">
        <v>1555</v>
      </c>
      <c r="B365" s="416"/>
      <c r="C365" s="416"/>
      <c r="D365" s="416"/>
      <c r="E365" s="416"/>
      <c r="F365" s="416"/>
      <c r="G365" s="416"/>
    </row>
    <row r="366" spans="1:7" ht="13.5" hidden="1" customHeight="1">
      <c r="A366" s="1975" t="s">
        <v>1556</v>
      </c>
      <c r="B366" s="1601"/>
      <c r="C366" s="1801"/>
      <c r="D366" s="424" t="s">
        <v>208</v>
      </c>
      <c r="E366" s="424" t="s">
        <v>1558</v>
      </c>
      <c r="F366" s="424" t="s">
        <v>1559</v>
      </c>
      <c r="G366" s="425"/>
    </row>
    <row r="367" spans="1:7" ht="13.5" hidden="1" customHeight="1">
      <c r="A367" s="1981" t="str">
        <f>+'LISTADO EQUIPOS'!$C$22</f>
        <v>HERRAMIENTA MENOR.</v>
      </c>
      <c r="B367" s="1811"/>
      <c r="C367" s="1967"/>
      <c r="D367" s="449">
        <f>+'LISTADO EQUIPOS'!$E$22/8</f>
        <v>2850</v>
      </c>
      <c r="E367" s="427">
        <v>3</v>
      </c>
      <c r="F367" s="428">
        <f>+D367/E367</f>
        <v>950</v>
      </c>
      <c r="G367" s="429"/>
    </row>
    <row r="368" spans="1:7" ht="13.5" hidden="1" customHeight="1">
      <c r="A368" s="1988"/>
      <c r="B368" s="1610"/>
      <c r="C368" s="1611"/>
      <c r="D368" s="431"/>
      <c r="E368" s="430"/>
      <c r="F368" s="431"/>
      <c r="G368" s="432"/>
    </row>
    <row r="369" spans="1:7" ht="13.5" hidden="1" customHeight="1">
      <c r="A369" s="2003" t="s">
        <v>1560</v>
      </c>
      <c r="B369" s="1601"/>
      <c r="C369" s="1601"/>
      <c r="D369" s="1601"/>
      <c r="E369" s="1601"/>
      <c r="F369" s="1801"/>
      <c r="G369" s="436">
        <f>SUM(F367:F368)</f>
        <v>950</v>
      </c>
    </row>
    <row r="370" spans="1:7" ht="13.5" hidden="1" customHeight="1">
      <c r="A370" s="423" t="s">
        <v>1561</v>
      </c>
      <c r="B370" s="416"/>
      <c r="C370" s="416"/>
      <c r="D370" s="416"/>
      <c r="E370" s="416"/>
      <c r="F370" s="416"/>
      <c r="G370" s="437"/>
    </row>
    <row r="371" spans="1:7" ht="13.5" hidden="1" customHeight="1">
      <c r="A371" s="1975" t="s">
        <v>1556</v>
      </c>
      <c r="B371" s="1801"/>
      <c r="C371" s="424" t="s">
        <v>6</v>
      </c>
      <c r="D371" s="424" t="s">
        <v>1562</v>
      </c>
      <c r="E371" s="424" t="s">
        <v>7</v>
      </c>
      <c r="F371" s="424" t="s">
        <v>1559</v>
      </c>
      <c r="G371" s="673"/>
    </row>
    <row r="372" spans="1:7" ht="13.5" hidden="1" customHeight="1">
      <c r="A372" s="1981" t="str">
        <f>+'LISTADO MATERIALES'!$C$385</f>
        <v>LADRILLO PRENSADO LA VEGA</v>
      </c>
      <c r="B372" s="1967"/>
      <c r="C372" s="699" t="str">
        <f>+'LISTADO MATERIALES'!$D$385</f>
        <v>UND</v>
      </c>
      <c r="D372" s="449">
        <f>+'LISTADO MATERIALES'!$E$385</f>
        <v>735</v>
      </c>
      <c r="E372" s="699">
        <v>15</v>
      </c>
      <c r="F372" s="428">
        <f t="shared" ref="F372:F373" si="25">+E372*D372</f>
        <v>11025</v>
      </c>
      <c r="G372" s="443"/>
    </row>
    <row r="373" spans="1:7" ht="13.5" hidden="1" customHeight="1">
      <c r="A373" s="1988" t="str">
        <f>+'ANALISIS BASICOS'!$A$228</f>
        <v>MORTERO 1:4</v>
      </c>
      <c r="B373" s="1611"/>
      <c r="C373" s="677" t="str">
        <f>+'ANALISIS BASICOS'!$E$204</f>
        <v>M3</v>
      </c>
      <c r="D373" s="431">
        <f>+'ANALISIS BASICOS'!$G$228</f>
        <v>384656</v>
      </c>
      <c r="E373" s="677">
        <v>8.0000000000000002E-3</v>
      </c>
      <c r="F373" s="689">
        <f t="shared" si="25"/>
        <v>3077.248</v>
      </c>
      <c r="G373" s="445"/>
    </row>
    <row r="374" spans="1:7" ht="13.5" hidden="1" customHeight="1">
      <c r="A374" s="1988"/>
      <c r="B374" s="1611"/>
      <c r="C374" s="677"/>
      <c r="D374" s="431"/>
      <c r="E374" s="677"/>
      <c r="F374" s="431"/>
      <c r="G374" s="445"/>
    </row>
    <row r="375" spans="1:7" ht="13.5" hidden="1" customHeight="1">
      <c r="A375" s="1982"/>
      <c r="B375" s="1819"/>
      <c r="C375" s="678"/>
      <c r="D375" s="451"/>
      <c r="E375" s="678"/>
      <c r="F375" s="451"/>
      <c r="G375" s="456"/>
    </row>
    <row r="376" spans="1:7" ht="13.5" hidden="1" customHeight="1">
      <c r="A376" s="2003" t="s">
        <v>1560</v>
      </c>
      <c r="B376" s="1601"/>
      <c r="C376" s="1601"/>
      <c r="D376" s="1601"/>
      <c r="E376" s="1601"/>
      <c r="F376" s="1801"/>
      <c r="G376" s="436">
        <f>SUM(F372:F375)</f>
        <v>14102.248</v>
      </c>
    </row>
    <row r="377" spans="1:7" ht="13.5" hidden="1" customHeight="1">
      <c r="A377" s="423" t="s">
        <v>1563</v>
      </c>
      <c r="B377" s="416"/>
      <c r="C377" s="416"/>
      <c r="D377" s="416"/>
      <c r="E377" s="416"/>
      <c r="F377" s="416"/>
      <c r="G377" s="437"/>
    </row>
    <row r="378" spans="1:7" ht="13.5" hidden="1" customHeight="1">
      <c r="A378" s="1975" t="s">
        <v>1556</v>
      </c>
      <c r="B378" s="1801"/>
      <c r="C378" s="424" t="s">
        <v>6</v>
      </c>
      <c r="D378" s="424" t="s">
        <v>1562</v>
      </c>
      <c r="E378" s="424" t="s">
        <v>7</v>
      </c>
      <c r="F378" s="424" t="s">
        <v>1559</v>
      </c>
      <c r="G378" s="438"/>
    </row>
    <row r="379" spans="1:7" ht="13.5" hidden="1" customHeight="1">
      <c r="A379" s="1981"/>
      <c r="B379" s="1967"/>
      <c r="C379" s="448"/>
      <c r="D379" s="449"/>
      <c r="E379" s="450"/>
      <c r="F379" s="431"/>
      <c r="G379" s="443"/>
    </row>
    <row r="380" spans="1:7" ht="13.5" hidden="1" customHeight="1">
      <c r="A380" s="1982"/>
      <c r="B380" s="1819"/>
      <c r="C380" s="448"/>
      <c r="D380" s="451"/>
      <c r="E380" s="452"/>
      <c r="F380" s="451"/>
      <c r="G380" s="447"/>
    </row>
    <row r="381" spans="1:7" ht="13.5" hidden="1" customHeight="1">
      <c r="A381" s="2003" t="s">
        <v>1560</v>
      </c>
      <c r="B381" s="1601"/>
      <c r="C381" s="1601"/>
      <c r="D381" s="1601"/>
      <c r="E381" s="1601"/>
      <c r="F381" s="1801"/>
      <c r="G381" s="436"/>
    </row>
    <row r="382" spans="1:7" ht="13.5" hidden="1" customHeight="1">
      <c r="A382" s="423" t="s">
        <v>1564</v>
      </c>
      <c r="B382" s="416"/>
      <c r="C382" s="416"/>
      <c r="D382" s="416"/>
      <c r="E382" s="416"/>
      <c r="F382" s="416"/>
      <c r="G382" s="437"/>
    </row>
    <row r="383" spans="1:7" ht="13.5" hidden="1" customHeight="1">
      <c r="A383" s="1975" t="s">
        <v>1565</v>
      </c>
      <c r="B383" s="1801"/>
      <c r="C383" s="424" t="s">
        <v>1566</v>
      </c>
      <c r="D383" s="424" t="s">
        <v>6</v>
      </c>
      <c r="E383" s="424" t="s">
        <v>7</v>
      </c>
      <c r="F383" s="424" t="s">
        <v>1559</v>
      </c>
      <c r="G383" s="462"/>
    </row>
    <row r="384" spans="1:7" ht="13.5" hidden="1" customHeight="1">
      <c r="A384" s="2004" t="str">
        <f>+'MANO DE OBRA'!$A$64</f>
        <v>Oficial (Incl. Prestaciones)</v>
      </c>
      <c r="B384" s="1888"/>
      <c r="C384" s="679">
        <f>+'MANO DE OBRA'!$E$64</f>
        <v>15031.25</v>
      </c>
      <c r="D384" s="680">
        <v>1</v>
      </c>
      <c r="E384" s="680">
        <v>1</v>
      </c>
      <c r="F384" s="454">
        <f t="shared" ref="F384:F385" si="26">+(C384*D384)/E384</f>
        <v>15031.25</v>
      </c>
      <c r="G384" s="443"/>
    </row>
    <row r="385" spans="1:7" ht="13.5" hidden="1" customHeight="1">
      <c r="A385" s="1968" t="str">
        <f>+'MANO DE OBRA'!$A$65</f>
        <v>Ayudante (Incl. Prestaciones)</v>
      </c>
      <c r="B385" s="1819"/>
      <c r="C385" s="681">
        <f>+'MANO DE OBRA'!$E$65</f>
        <v>10972.8125</v>
      </c>
      <c r="D385" s="562">
        <v>1</v>
      </c>
      <c r="E385" s="562">
        <f>+E384</f>
        <v>1</v>
      </c>
      <c r="F385" s="455">
        <f t="shared" si="26"/>
        <v>10972.8125</v>
      </c>
      <c r="G385" s="456"/>
    </row>
    <row r="386" spans="1:7" ht="13.5" hidden="1" customHeight="1">
      <c r="A386" s="2003" t="str">
        <f>+A381</f>
        <v>SUB-TOTAL</v>
      </c>
      <c r="B386" s="1601"/>
      <c r="C386" s="1601"/>
      <c r="D386" s="1601"/>
      <c r="E386" s="1601"/>
      <c r="F386" s="1801"/>
      <c r="G386" s="436">
        <f>SUM(F384:F385)</f>
        <v>26004.0625</v>
      </c>
    </row>
    <row r="387" spans="1:7" ht="11.25" hidden="1" customHeight="1">
      <c r="A387" s="416"/>
      <c r="B387" s="416"/>
      <c r="C387" s="416"/>
      <c r="D387" s="416"/>
      <c r="E387" s="416"/>
      <c r="F387" s="458"/>
      <c r="G387" s="437"/>
    </row>
    <row r="388" spans="1:7" ht="13.5" hidden="1" customHeight="1">
      <c r="A388" s="2003" t="s">
        <v>1567</v>
      </c>
      <c r="B388" s="1601"/>
      <c r="C388" s="1601"/>
      <c r="D388" s="1601"/>
      <c r="E388" s="1601"/>
      <c r="F388" s="1801"/>
      <c r="G388" s="682">
        <f>ROUND(G369+G376+G381+G386,0)</f>
        <v>41056</v>
      </c>
    </row>
    <row r="389" spans="1:7" ht="13.5" hidden="1" customHeight="1">
      <c r="A389" s="420"/>
      <c r="B389" s="420"/>
      <c r="C389" s="420"/>
      <c r="D389" s="420"/>
      <c r="E389" s="420"/>
      <c r="F389" s="420"/>
      <c r="G389" s="420"/>
    </row>
    <row r="390" spans="1:7" ht="13.5" hidden="1" customHeight="1">
      <c r="A390" s="420"/>
      <c r="B390" s="420"/>
      <c r="C390" s="420"/>
      <c r="D390" s="420"/>
      <c r="E390" s="420"/>
      <c r="F390" s="420"/>
      <c r="G390" s="420"/>
    </row>
    <row r="391" spans="1:7" ht="27" hidden="1" customHeight="1">
      <c r="A391" s="2005" t="s">
        <v>1604</v>
      </c>
      <c r="B391" s="1616"/>
      <c r="C391" s="1624"/>
      <c r="D391" s="567"/>
      <c r="E391" s="567"/>
      <c r="F391" s="567"/>
      <c r="G391" s="668"/>
    </row>
    <row r="392" spans="1:7" ht="24" hidden="1" customHeight="1">
      <c r="A392" s="1971"/>
      <c r="B392" s="1817"/>
      <c r="C392" s="1972"/>
      <c r="D392" s="669"/>
      <c r="E392" s="669"/>
      <c r="F392" s="669"/>
      <c r="G392" s="670"/>
    </row>
    <row r="393" spans="1:7" ht="13.5" hidden="1" customHeight="1">
      <c r="A393" s="416"/>
      <c r="B393" s="416"/>
      <c r="C393" s="416"/>
      <c r="D393" s="416"/>
      <c r="E393" s="416"/>
      <c r="F393" s="416"/>
      <c r="G393" s="416"/>
    </row>
    <row r="394" spans="1:7" ht="35.25" hidden="1" customHeight="1">
      <c r="A394" s="1973" t="str">
        <f>A10</f>
        <v>PRECIOS UNITARIOS OFICIALES 2014</v>
      </c>
      <c r="B394" s="1601"/>
      <c r="C394" s="1602"/>
      <c r="D394" s="1974" t="s">
        <v>1681</v>
      </c>
      <c r="E394" s="1601"/>
      <c r="F394" s="1601"/>
      <c r="G394" s="1602"/>
    </row>
    <row r="395" spans="1:7" ht="13.5" hidden="1" customHeight="1">
      <c r="A395" s="418"/>
      <c r="B395" s="418"/>
      <c r="C395" s="418"/>
      <c r="D395" s="418"/>
      <c r="E395" s="418"/>
      <c r="F395" s="418"/>
      <c r="G395" s="418"/>
    </row>
    <row r="396" spans="1:7" ht="12.75" hidden="1" customHeight="1">
      <c r="A396" s="419"/>
      <c r="B396" s="416"/>
      <c r="C396" s="420"/>
      <c r="D396" s="421" t="s">
        <v>1553</v>
      </c>
      <c r="E396" s="422" t="s">
        <v>120</v>
      </c>
      <c r="F396" s="572"/>
      <c r="G396" s="572"/>
    </row>
    <row r="397" spans="1:7" ht="13.5" hidden="1" customHeight="1">
      <c r="A397" s="423" t="s">
        <v>1555</v>
      </c>
      <c r="B397" s="416"/>
      <c r="C397" s="416"/>
      <c r="D397" s="416"/>
      <c r="E397" s="416"/>
      <c r="F397" s="416"/>
      <c r="G397" s="416"/>
    </row>
    <row r="398" spans="1:7" ht="13.5" hidden="1" customHeight="1">
      <c r="A398" s="1975" t="s">
        <v>1556</v>
      </c>
      <c r="B398" s="1601"/>
      <c r="C398" s="1801"/>
      <c r="D398" s="424" t="s">
        <v>208</v>
      </c>
      <c r="E398" s="424" t="s">
        <v>1558</v>
      </c>
      <c r="F398" s="424" t="s">
        <v>1559</v>
      </c>
      <c r="G398" s="425"/>
    </row>
    <row r="399" spans="1:7" ht="13.5" hidden="1" customHeight="1">
      <c r="A399" s="1981" t="str">
        <f>+'LISTADO EQUIPOS'!$C$22</f>
        <v>HERRAMIENTA MENOR.</v>
      </c>
      <c r="B399" s="1811"/>
      <c r="C399" s="1967"/>
      <c r="D399" s="449">
        <f>+'LISTADO EQUIPOS'!$E$22/8</f>
        <v>2850</v>
      </c>
      <c r="E399" s="427">
        <f>+E420</f>
        <v>3.39</v>
      </c>
      <c r="F399" s="428">
        <f t="shared" ref="F399:F400" si="27">+E399*D399</f>
        <v>9661.5</v>
      </c>
      <c r="G399" s="429"/>
    </row>
    <row r="400" spans="1:7" ht="13.5" hidden="1" customHeight="1">
      <c r="A400" s="1988" t="str">
        <f>+'ANALISIS BASICOS'!$A$360</f>
        <v>FORMALETA EN MADERA</v>
      </c>
      <c r="B400" s="1610"/>
      <c r="C400" s="1611"/>
      <c r="D400" s="431">
        <f>+'ANALISIS BASICOS'!$G$360</f>
        <v>41998</v>
      </c>
      <c r="E400" s="430">
        <v>0.04</v>
      </c>
      <c r="F400" s="689">
        <f t="shared" si="27"/>
        <v>1679.92</v>
      </c>
      <c r="G400" s="432"/>
    </row>
    <row r="401" spans="1:7" ht="13.5" hidden="1" customHeight="1">
      <c r="A401" s="1996"/>
      <c r="B401" s="1807"/>
      <c r="C401" s="1819"/>
      <c r="D401" s="434"/>
      <c r="E401" s="433"/>
      <c r="F401" s="434"/>
      <c r="G401" s="435"/>
    </row>
    <row r="402" spans="1:7" ht="13.5" hidden="1" customHeight="1">
      <c r="A402" s="2003" t="s">
        <v>1560</v>
      </c>
      <c r="B402" s="1601"/>
      <c r="C402" s="1601"/>
      <c r="D402" s="1601"/>
      <c r="E402" s="1601"/>
      <c r="F402" s="1801"/>
      <c r="G402" s="436">
        <f>SUM(F399:F401)</f>
        <v>11341.42</v>
      </c>
    </row>
    <row r="403" spans="1:7" ht="13.5" hidden="1" customHeight="1">
      <c r="A403" s="423" t="s">
        <v>1561</v>
      </c>
      <c r="B403" s="416"/>
      <c r="C403" s="416"/>
      <c r="D403" s="416"/>
      <c r="E403" s="416"/>
      <c r="F403" s="416"/>
      <c r="G403" s="416"/>
    </row>
    <row r="404" spans="1:7" ht="13.5" hidden="1" customHeight="1">
      <c r="A404" s="1975" t="s">
        <v>1556</v>
      </c>
      <c r="B404" s="1801"/>
      <c r="C404" s="424" t="s">
        <v>6</v>
      </c>
      <c r="D404" s="424" t="s">
        <v>1562</v>
      </c>
      <c r="E404" s="424" t="s">
        <v>7</v>
      </c>
      <c r="F404" s="424" t="s">
        <v>1559</v>
      </c>
      <c r="G404" s="425"/>
    </row>
    <row r="405" spans="1:7" ht="23.25" hidden="1" customHeight="1">
      <c r="A405" s="1981" t="str">
        <f>+'ANALISIS BASICOS'!$A$36</f>
        <v xml:space="preserve">CONCRETO NORMAL - 3000 PSI (210 KG/CM2) </v>
      </c>
      <c r="B405" s="1967"/>
      <c r="C405" s="674" t="str">
        <f>+'ANALISIS BASICOS'!$E$12</f>
        <v>M3</v>
      </c>
      <c r="D405" s="675">
        <f>+'ANALISIS BASICOS'!$G$36</f>
        <v>468441</v>
      </c>
      <c r="E405" s="674">
        <v>6.2E-2</v>
      </c>
      <c r="F405" s="442">
        <f t="shared" ref="F405:F411" si="28">+E405*D405</f>
        <v>29043.342000000001</v>
      </c>
      <c r="G405" s="429"/>
    </row>
    <row r="406" spans="1:7" ht="13.5" hidden="1" customHeight="1">
      <c r="A406" s="1988" t="str">
        <f>+'ANALISIS BASICOS'!$A$164</f>
        <v xml:space="preserve">MORTERO 1:3 </v>
      </c>
      <c r="B406" s="1611"/>
      <c r="C406" s="677" t="str">
        <f>+'ANALISIS BASICOS'!$E$140</f>
        <v>M3</v>
      </c>
      <c r="D406" s="431">
        <f>+'ANALISIS BASICOS'!$G$164</f>
        <v>434608</v>
      </c>
      <c r="E406" s="677">
        <v>5.0999999999999997E-2</v>
      </c>
      <c r="F406" s="689">
        <f t="shared" si="28"/>
        <v>22165.007999999998</v>
      </c>
      <c r="G406" s="432"/>
    </row>
    <row r="407" spans="1:7" ht="13.5" hidden="1" customHeight="1">
      <c r="A407" s="1988" t="str">
        <f>+'LISTADO MATERIALES'!C16</f>
        <v>ALAMBRE NEGRO No. 18</v>
      </c>
      <c r="B407" s="1611"/>
      <c r="C407" s="677" t="str">
        <f>+'LISTADO MATERIALES'!$D$16</f>
        <v>KG</v>
      </c>
      <c r="D407" s="431">
        <f>+'LISTADO MATERIALES'!$E$16</f>
        <v>3150</v>
      </c>
      <c r="E407" s="677">
        <v>0.08</v>
      </c>
      <c r="F407" s="689">
        <f t="shared" si="28"/>
        <v>252</v>
      </c>
      <c r="G407" s="432"/>
    </row>
    <row r="408" spans="1:7" ht="13.5" hidden="1" customHeight="1">
      <c r="A408" s="1988" t="str">
        <f>+'LISTADO MATERIALES'!$C$10</f>
        <v xml:space="preserve">ACERO Fy= 4200 Kg/cm2   </v>
      </c>
      <c r="B408" s="1611"/>
      <c r="C408" s="677" t="str">
        <f>+'LISTADO MATERIALES'!$D$10</f>
        <v>KG</v>
      </c>
      <c r="D408" s="431">
        <f>+'LISTADO MATERIALES'!$E$10</f>
        <v>2800</v>
      </c>
      <c r="E408" s="677">
        <v>12.13</v>
      </c>
      <c r="F408" s="689">
        <f t="shared" si="28"/>
        <v>33964</v>
      </c>
      <c r="G408" s="432"/>
    </row>
    <row r="409" spans="1:7" ht="13.5" hidden="1" customHeight="1">
      <c r="A409" s="1988" t="str">
        <f>+'LISTADO MATERIALES'!$C$140</f>
        <v>CEMENTO BLANCO</v>
      </c>
      <c r="B409" s="1611"/>
      <c r="C409" s="677" t="str">
        <f>+'LISTADO MATERIALES'!$D$140</f>
        <v>KG</v>
      </c>
      <c r="D409" s="431">
        <f>+'LISTADO MATERIALES'!$E$140</f>
        <v>1103</v>
      </c>
      <c r="E409" s="677">
        <v>1</v>
      </c>
      <c r="F409" s="689">
        <f t="shared" si="28"/>
        <v>1103</v>
      </c>
      <c r="G409" s="432"/>
    </row>
    <row r="410" spans="1:7" ht="13.5" hidden="1" customHeight="1">
      <c r="A410" s="1988" t="str">
        <f>+'LISTADO MATERIALES'!$C$349</f>
        <v>TABLETA 20X25, EURO CERÁMICA</v>
      </c>
      <c r="B410" s="1611"/>
      <c r="C410" s="677" t="str">
        <f>+'LISTADO MATERIALES'!$D$349</f>
        <v>M2</v>
      </c>
      <c r="D410" s="431">
        <f>+'LISTADO MATERIALES'!$E$349</f>
        <v>18690</v>
      </c>
      <c r="E410" s="677">
        <v>0.75</v>
      </c>
      <c r="F410" s="689">
        <f t="shared" si="28"/>
        <v>14017.5</v>
      </c>
      <c r="G410" s="432"/>
    </row>
    <row r="411" spans="1:7" ht="13.5" hidden="1" customHeight="1">
      <c r="A411" s="1982" t="str">
        <f>+'LISTADO MATERIALES'!$C$319</f>
        <v>DILATACIÓN DE PVC</v>
      </c>
      <c r="B411" s="1819"/>
      <c r="C411" s="678" t="str">
        <f>+'LISTADO MATERIALES'!$D$319</f>
        <v>ML</v>
      </c>
      <c r="D411" s="451">
        <f>+'LISTADO MATERIALES'!$E$319</f>
        <v>2625</v>
      </c>
      <c r="E411" s="678">
        <v>1.8</v>
      </c>
      <c r="F411" s="698">
        <f t="shared" si="28"/>
        <v>4725</v>
      </c>
      <c r="G411" s="672"/>
    </row>
    <row r="412" spans="1:7" ht="13.5" hidden="1" customHeight="1">
      <c r="A412" s="2003" t="s">
        <v>1560</v>
      </c>
      <c r="B412" s="1601"/>
      <c r="C412" s="1601"/>
      <c r="D412" s="1601"/>
      <c r="E412" s="1601"/>
      <c r="F412" s="1801"/>
      <c r="G412" s="436">
        <f>SUM(F405:F411)</f>
        <v>105269.85</v>
      </c>
    </row>
    <row r="413" spans="1:7" ht="13.5" hidden="1" customHeight="1">
      <c r="A413" s="423" t="s">
        <v>1563</v>
      </c>
      <c r="B413" s="416"/>
      <c r="C413" s="416"/>
      <c r="D413" s="416"/>
      <c r="E413" s="416"/>
      <c r="F413" s="416"/>
      <c r="G413" s="416"/>
    </row>
    <row r="414" spans="1:7" ht="13.5" hidden="1" customHeight="1">
      <c r="A414" s="1975" t="s">
        <v>1556</v>
      </c>
      <c r="B414" s="1801"/>
      <c r="C414" s="424" t="s">
        <v>6</v>
      </c>
      <c r="D414" s="424" t="s">
        <v>1562</v>
      </c>
      <c r="E414" s="424" t="s">
        <v>7</v>
      </c>
      <c r="F414" s="424" t="s">
        <v>1559</v>
      </c>
      <c r="G414" s="690"/>
    </row>
    <row r="415" spans="1:7" ht="13.5" hidden="1" customHeight="1">
      <c r="A415" s="1981"/>
      <c r="B415" s="1967"/>
      <c r="C415" s="448"/>
      <c r="D415" s="449"/>
      <c r="E415" s="450"/>
      <c r="F415" s="431"/>
      <c r="G415" s="429"/>
    </row>
    <row r="416" spans="1:7" ht="13.5" hidden="1" customHeight="1">
      <c r="A416" s="1982"/>
      <c r="B416" s="1819"/>
      <c r="C416" s="448"/>
      <c r="D416" s="451"/>
      <c r="E416" s="452"/>
      <c r="F416" s="451"/>
      <c r="G416" s="691"/>
    </row>
    <row r="417" spans="1:7" ht="13.5" hidden="1" customHeight="1">
      <c r="A417" s="2003" t="s">
        <v>1560</v>
      </c>
      <c r="B417" s="1601"/>
      <c r="C417" s="1601"/>
      <c r="D417" s="1601"/>
      <c r="E417" s="1601"/>
      <c r="F417" s="1801"/>
      <c r="G417" s="692"/>
    </row>
    <row r="418" spans="1:7" ht="13.5" hidden="1" customHeight="1">
      <c r="A418" s="423" t="s">
        <v>1564</v>
      </c>
      <c r="B418" s="416"/>
      <c r="C418" s="416"/>
      <c r="D418" s="416"/>
      <c r="E418" s="416"/>
      <c r="F418" s="416"/>
      <c r="G418" s="416"/>
    </row>
    <row r="419" spans="1:7" ht="13.5" hidden="1" customHeight="1">
      <c r="A419" s="1975" t="s">
        <v>1565</v>
      </c>
      <c r="B419" s="1801"/>
      <c r="C419" s="424" t="s">
        <v>1566</v>
      </c>
      <c r="D419" s="424" t="s">
        <v>6</v>
      </c>
      <c r="E419" s="424" t="s">
        <v>7</v>
      </c>
      <c r="F419" s="424" t="s">
        <v>1559</v>
      </c>
      <c r="G419" s="693"/>
    </row>
    <row r="420" spans="1:7" ht="13.5" hidden="1" customHeight="1">
      <c r="A420" s="2004" t="str">
        <f>+'MANO DE OBRA'!$A$64</f>
        <v>Oficial (Incl. Prestaciones)</v>
      </c>
      <c r="B420" s="1888"/>
      <c r="C420" s="679">
        <f>+'MANO DE OBRA'!$E$64</f>
        <v>15031.25</v>
      </c>
      <c r="D420" s="680">
        <v>1</v>
      </c>
      <c r="E420" s="680">
        <v>3.39</v>
      </c>
      <c r="F420" s="694">
        <f t="shared" ref="F420:F421" si="29">+(C420*D420)*E420</f>
        <v>50955.9375</v>
      </c>
      <c r="G420" s="429"/>
    </row>
    <row r="421" spans="1:7" ht="13.5" hidden="1" customHeight="1">
      <c r="A421" s="1968" t="str">
        <f>+'MANO DE OBRA'!$A$65</f>
        <v>Ayudante (Incl. Prestaciones)</v>
      </c>
      <c r="B421" s="1819"/>
      <c r="C421" s="681">
        <f>+'MANO DE OBRA'!$E$65</f>
        <v>10972.8125</v>
      </c>
      <c r="D421" s="562">
        <v>1</v>
      </c>
      <c r="E421" s="562">
        <f>+E420</f>
        <v>3.39</v>
      </c>
      <c r="F421" s="695">
        <f t="shared" si="29"/>
        <v>37197.834374999999</v>
      </c>
      <c r="G421" s="672"/>
    </row>
    <row r="422" spans="1:7" ht="13.5" hidden="1" customHeight="1">
      <c r="A422" s="2003" t="str">
        <f>+A417</f>
        <v>SUB-TOTAL</v>
      </c>
      <c r="B422" s="1601"/>
      <c r="C422" s="1601"/>
      <c r="D422" s="1601"/>
      <c r="E422" s="1601"/>
      <c r="F422" s="1801"/>
      <c r="G422" s="436">
        <f>SUM(F420:F421)</f>
        <v>88153.771875000006</v>
      </c>
    </row>
    <row r="423" spans="1:7" ht="11.25" hidden="1" customHeight="1">
      <c r="A423" s="416"/>
      <c r="B423" s="416"/>
      <c r="C423" s="416"/>
      <c r="D423" s="416"/>
      <c r="E423" s="416"/>
      <c r="F423" s="458"/>
      <c r="G423" s="416"/>
    </row>
    <row r="424" spans="1:7" ht="13.5" hidden="1" customHeight="1">
      <c r="A424" s="2003" t="s">
        <v>1567</v>
      </c>
      <c r="B424" s="1601"/>
      <c r="C424" s="1601"/>
      <c r="D424" s="1601"/>
      <c r="E424" s="1601"/>
      <c r="F424" s="1801"/>
      <c r="G424" s="741">
        <f>ROUND(G402+G412+G417+G422,0)</f>
        <v>204765</v>
      </c>
    </row>
    <row r="425" spans="1:7" ht="13.5" hidden="1" customHeight="1">
      <c r="A425" s="420"/>
      <c r="B425" s="420"/>
      <c r="C425" s="420"/>
      <c r="D425" s="420"/>
      <c r="E425" s="420"/>
      <c r="F425" s="420"/>
      <c r="G425" s="420"/>
    </row>
    <row r="426" spans="1:7" ht="13.5" hidden="1" customHeight="1">
      <c r="A426" s="420"/>
      <c r="B426" s="420"/>
      <c r="C426" s="420"/>
      <c r="D426" s="420"/>
      <c r="E426" s="420"/>
      <c r="F426" s="420"/>
      <c r="G426" s="420"/>
    </row>
    <row r="427" spans="1:7" ht="26.25" hidden="1" customHeight="1">
      <c r="A427" s="1994" t="e">
        <f>+'ANALISIS BASICOS'!$A$7</f>
        <v>#REF!</v>
      </c>
      <c r="B427" s="1616"/>
      <c r="C427" s="1624"/>
      <c r="D427" s="1990"/>
      <c r="E427" s="1616"/>
      <c r="F427" s="1616"/>
      <c r="G427" s="1624"/>
    </row>
    <row r="428" spans="1:7" ht="28.5" hidden="1" customHeight="1">
      <c r="A428" s="1971"/>
      <c r="B428" s="1817"/>
      <c r="C428" s="1972"/>
      <c r="D428" s="1971"/>
      <c r="E428" s="1817"/>
      <c r="F428" s="1817"/>
      <c r="G428" s="1972"/>
    </row>
    <row r="429" spans="1:7" ht="13.5" hidden="1" customHeight="1">
      <c r="A429" s="416"/>
      <c r="B429" s="416"/>
      <c r="C429" s="416"/>
      <c r="D429" s="416"/>
      <c r="E429" s="416"/>
      <c r="F429" s="416"/>
      <c r="G429" s="416"/>
    </row>
    <row r="430" spans="1:7" ht="52.5" hidden="1" customHeight="1">
      <c r="A430" s="1991" t="e">
        <f ca="1">+A330</f>
        <v>#NAME?</v>
      </c>
      <c r="B430" s="1601"/>
      <c r="C430" s="1602"/>
      <c r="D430" s="1974" t="s">
        <v>1682</v>
      </c>
      <c r="E430" s="1601"/>
      <c r="F430" s="1601"/>
      <c r="G430" s="1602"/>
    </row>
    <row r="431" spans="1:7" ht="13.5" hidden="1" customHeight="1">
      <c r="A431" s="418"/>
      <c r="B431" s="418"/>
      <c r="C431" s="418"/>
      <c r="D431" s="418"/>
      <c r="E431" s="418"/>
      <c r="F431" s="418"/>
      <c r="G431" s="418"/>
    </row>
    <row r="432" spans="1:7" ht="12.75" hidden="1" customHeight="1">
      <c r="A432" s="419"/>
      <c r="B432" s="416"/>
      <c r="C432" s="420"/>
      <c r="D432" s="421" t="s">
        <v>1553</v>
      </c>
      <c r="E432" s="422" t="s">
        <v>228</v>
      </c>
      <c r="F432" s="421" t="s">
        <v>1554</v>
      </c>
      <c r="G432" s="422" t="s">
        <v>160</v>
      </c>
    </row>
    <row r="433" spans="1:7" ht="13.5" hidden="1" customHeight="1">
      <c r="A433" s="423" t="s">
        <v>1555</v>
      </c>
      <c r="B433" s="416"/>
      <c r="C433" s="416"/>
      <c r="D433" s="416"/>
      <c r="E433" s="416"/>
      <c r="F433" s="416"/>
      <c r="G433" s="416"/>
    </row>
    <row r="434" spans="1:7" ht="13.5" hidden="1" customHeight="1">
      <c r="A434" s="1975" t="s">
        <v>1556</v>
      </c>
      <c r="B434" s="1601"/>
      <c r="C434" s="1801"/>
      <c r="D434" s="424" t="s">
        <v>208</v>
      </c>
      <c r="E434" s="424" t="s">
        <v>1558</v>
      </c>
      <c r="F434" s="424" t="s">
        <v>1559</v>
      </c>
      <c r="G434" s="425"/>
    </row>
    <row r="435" spans="1:7" ht="13.5" hidden="1" customHeight="1">
      <c r="A435" s="1981" t="str">
        <f>+'LISTADO EQUIPOS'!$C$22</f>
        <v>HERRAMIENTA MENOR.</v>
      </c>
      <c r="B435" s="1811"/>
      <c r="C435" s="1967"/>
      <c r="D435" s="449">
        <f>+'LISTADO EQUIPOS'!$E$22/8</f>
        <v>2850</v>
      </c>
      <c r="E435" s="427">
        <f>+E456</f>
        <v>3.8</v>
      </c>
      <c r="F435" s="428">
        <f t="shared" ref="F435:F436" si="30">+E435*D435</f>
        <v>10830</v>
      </c>
      <c r="G435" s="429"/>
    </row>
    <row r="436" spans="1:7" ht="13.5" hidden="1" customHeight="1">
      <c r="A436" s="1988" t="str">
        <f>+'ANALISIS BASICOS'!$A$360</f>
        <v>FORMALETA EN MADERA</v>
      </c>
      <c r="B436" s="1610"/>
      <c r="C436" s="1611"/>
      <c r="D436" s="431">
        <f>+'ANALISIS BASICOS'!$G$360</f>
        <v>41998</v>
      </c>
      <c r="E436" s="430">
        <f>+E435*0.25</f>
        <v>0.95</v>
      </c>
      <c r="F436" s="689">
        <f t="shared" si="30"/>
        <v>39898.1</v>
      </c>
      <c r="G436" s="432"/>
    </row>
    <row r="437" spans="1:7" ht="13.5" hidden="1" customHeight="1">
      <c r="A437" s="1996"/>
      <c r="B437" s="1807"/>
      <c r="C437" s="1819"/>
      <c r="D437" s="434"/>
      <c r="E437" s="433"/>
      <c r="F437" s="434"/>
      <c r="G437" s="435"/>
    </row>
    <row r="438" spans="1:7" ht="13.5" hidden="1" customHeight="1">
      <c r="A438" s="2003" t="s">
        <v>1560</v>
      </c>
      <c r="B438" s="1601"/>
      <c r="C438" s="1601"/>
      <c r="D438" s="1601"/>
      <c r="E438" s="1601"/>
      <c r="F438" s="1801"/>
      <c r="G438" s="436">
        <f>SUM(F435:F437)</f>
        <v>50728.1</v>
      </c>
    </row>
    <row r="439" spans="1:7" ht="13.5" hidden="1" customHeight="1">
      <c r="A439" s="423" t="s">
        <v>1561</v>
      </c>
      <c r="B439" s="416"/>
      <c r="C439" s="416"/>
      <c r="D439" s="416"/>
      <c r="E439" s="416"/>
      <c r="F439" s="416"/>
      <c r="G439" s="437"/>
    </row>
    <row r="440" spans="1:7" ht="13.5" hidden="1" customHeight="1">
      <c r="A440" s="1975" t="s">
        <v>1556</v>
      </c>
      <c r="B440" s="1801"/>
      <c r="C440" s="424" t="s">
        <v>6</v>
      </c>
      <c r="D440" s="424" t="s">
        <v>1562</v>
      </c>
      <c r="E440" s="424" t="s">
        <v>7</v>
      </c>
      <c r="F440" s="424" t="s">
        <v>1559</v>
      </c>
      <c r="G440" s="673"/>
    </row>
    <row r="441" spans="1:7" ht="13.5" hidden="1" customHeight="1">
      <c r="A441" s="1987" t="str">
        <f>+'ANALISIS BASICOS'!$A$36</f>
        <v xml:space="preserve">CONCRETO NORMAL - 3000 PSI (210 KG/CM2) </v>
      </c>
      <c r="B441" s="1967"/>
      <c r="C441" s="674" t="str">
        <f>+'ANALISIS BASICOS'!$E$12</f>
        <v>M3</v>
      </c>
      <c r="D441" s="675">
        <f>+'ANALISIS BASICOS'!$G$36</f>
        <v>468441</v>
      </c>
      <c r="E441" s="674">
        <v>0.1</v>
      </c>
      <c r="F441" s="442">
        <f t="shared" ref="F441:F443" si="31">+E441*D441</f>
        <v>46844.100000000006</v>
      </c>
      <c r="G441" s="443"/>
    </row>
    <row r="442" spans="1:7" ht="13.5" hidden="1" customHeight="1">
      <c r="A442" s="1988" t="str">
        <f>+'LISTADO MATERIALES'!$C$16</f>
        <v>ALAMBRE NEGRO No. 18</v>
      </c>
      <c r="B442" s="1611"/>
      <c r="C442" s="677" t="str">
        <f>+'LISTADO MATERIALES'!$D$16</f>
        <v>KG</v>
      </c>
      <c r="D442" s="431">
        <f>+'LISTADO MATERIALES'!$E$16</f>
        <v>3150</v>
      </c>
      <c r="E442" s="677">
        <v>0.15</v>
      </c>
      <c r="F442" s="689">
        <f t="shared" si="31"/>
        <v>472.5</v>
      </c>
      <c r="G442" s="445"/>
    </row>
    <row r="443" spans="1:7" ht="13.5" hidden="1" customHeight="1">
      <c r="A443" s="1988" t="str">
        <f>+'LISTADO MATERIALES'!$C$10</f>
        <v xml:space="preserve">ACERO Fy= 4200 Kg/cm2   </v>
      </c>
      <c r="B443" s="1611"/>
      <c r="C443" s="677" t="str">
        <f>+'LISTADO MATERIALES'!$D$10</f>
        <v>KG</v>
      </c>
      <c r="D443" s="431">
        <f>+'LISTADO MATERIALES'!$E$10</f>
        <v>2800</v>
      </c>
      <c r="E443" s="677">
        <v>13.5</v>
      </c>
      <c r="F443" s="689">
        <f t="shared" si="31"/>
        <v>37800</v>
      </c>
      <c r="G443" s="445"/>
    </row>
    <row r="444" spans="1:7" ht="13.5" hidden="1" customHeight="1">
      <c r="A444" s="1988"/>
      <c r="B444" s="1611"/>
      <c r="C444" s="677"/>
      <c r="D444" s="431"/>
      <c r="E444" s="677"/>
      <c r="F444" s="689"/>
      <c r="G444" s="445"/>
    </row>
    <row r="445" spans="1:7" ht="13.5" hidden="1" customHeight="1">
      <c r="A445" s="1988"/>
      <c r="B445" s="1611"/>
      <c r="C445" s="677"/>
      <c r="D445" s="431"/>
      <c r="E445" s="677"/>
      <c r="F445" s="689"/>
      <c r="G445" s="445"/>
    </row>
    <row r="446" spans="1:7" ht="13.5" hidden="1" customHeight="1">
      <c r="A446" s="1988"/>
      <c r="B446" s="1611"/>
      <c r="C446" s="677"/>
      <c r="D446" s="431"/>
      <c r="E446" s="677"/>
      <c r="F446" s="689"/>
      <c r="G446" s="445"/>
    </row>
    <row r="447" spans="1:7" ht="13.5" hidden="1" customHeight="1">
      <c r="A447" s="1982"/>
      <c r="B447" s="1819"/>
      <c r="C447" s="678"/>
      <c r="D447" s="451"/>
      <c r="E447" s="678"/>
      <c r="F447" s="698"/>
      <c r="G447" s="456"/>
    </row>
    <row r="448" spans="1:7" ht="13.5" hidden="1" customHeight="1">
      <c r="A448" s="2003" t="s">
        <v>1560</v>
      </c>
      <c r="B448" s="1601"/>
      <c r="C448" s="1601"/>
      <c r="D448" s="1601"/>
      <c r="E448" s="1601"/>
      <c r="F448" s="1801"/>
      <c r="G448" s="436">
        <f>SUM(F441:F447)</f>
        <v>85116.6</v>
      </c>
    </row>
    <row r="449" spans="1:7" ht="13.5" hidden="1" customHeight="1">
      <c r="A449" s="423" t="s">
        <v>1563</v>
      </c>
      <c r="B449" s="416"/>
      <c r="C449" s="416"/>
      <c r="D449" s="416"/>
      <c r="E449" s="416"/>
      <c r="F449" s="416"/>
      <c r="G449" s="437"/>
    </row>
    <row r="450" spans="1:7" ht="13.5" hidden="1" customHeight="1">
      <c r="A450" s="1975" t="s">
        <v>1556</v>
      </c>
      <c r="B450" s="1801"/>
      <c r="C450" s="424" t="s">
        <v>6</v>
      </c>
      <c r="D450" s="424" t="s">
        <v>1562</v>
      </c>
      <c r="E450" s="424" t="s">
        <v>7</v>
      </c>
      <c r="F450" s="424" t="s">
        <v>1559</v>
      </c>
      <c r="G450" s="438"/>
    </row>
    <row r="451" spans="1:7" ht="13.5" hidden="1" customHeight="1">
      <c r="A451" s="1981"/>
      <c r="B451" s="1967"/>
      <c r="C451" s="448"/>
      <c r="D451" s="449"/>
      <c r="E451" s="450"/>
      <c r="F451" s="431"/>
      <c r="G451" s="443"/>
    </row>
    <row r="452" spans="1:7" ht="13.5" hidden="1" customHeight="1">
      <c r="A452" s="1982"/>
      <c r="B452" s="1819"/>
      <c r="C452" s="448"/>
      <c r="D452" s="451"/>
      <c r="E452" s="452"/>
      <c r="F452" s="451"/>
      <c r="G452" s="447"/>
    </row>
    <row r="453" spans="1:7" ht="13.5" hidden="1" customHeight="1">
      <c r="A453" s="2003" t="s">
        <v>1560</v>
      </c>
      <c r="B453" s="1601"/>
      <c r="C453" s="1601"/>
      <c r="D453" s="1601"/>
      <c r="E453" s="1601"/>
      <c r="F453" s="1801"/>
      <c r="G453" s="436"/>
    </row>
    <row r="454" spans="1:7" ht="13.5" hidden="1" customHeight="1">
      <c r="A454" s="423" t="s">
        <v>1564</v>
      </c>
      <c r="B454" s="416"/>
      <c r="C454" s="416"/>
      <c r="D454" s="416"/>
      <c r="E454" s="416"/>
      <c r="F454" s="416"/>
      <c r="G454" s="437"/>
    </row>
    <row r="455" spans="1:7" ht="13.5" hidden="1" customHeight="1">
      <c r="A455" s="1975" t="s">
        <v>1565</v>
      </c>
      <c r="B455" s="1801"/>
      <c r="C455" s="424" t="s">
        <v>1566</v>
      </c>
      <c r="D455" s="424" t="s">
        <v>6</v>
      </c>
      <c r="E455" s="424" t="s">
        <v>7</v>
      </c>
      <c r="F455" s="424" t="s">
        <v>1559</v>
      </c>
      <c r="G455" s="462"/>
    </row>
    <row r="456" spans="1:7" ht="13.5" hidden="1" customHeight="1">
      <c r="A456" s="2004" t="str">
        <f>+'MANO DE OBRA'!$A$64</f>
        <v>Oficial (Incl. Prestaciones)</v>
      </c>
      <c r="B456" s="1888"/>
      <c r="C456" s="679">
        <f>+'MANO DE OBRA'!$E$64</f>
        <v>15031.25</v>
      </c>
      <c r="D456" s="680">
        <v>1</v>
      </c>
      <c r="E456" s="680">
        <v>3.8</v>
      </c>
      <c r="F456" s="694">
        <f t="shared" ref="F456:F457" si="32">+(C456*D456)*E456</f>
        <v>57118.75</v>
      </c>
      <c r="G456" s="443"/>
    </row>
    <row r="457" spans="1:7" ht="13.5" hidden="1" customHeight="1">
      <c r="A457" s="1968" t="str">
        <f>+'MANO DE OBRA'!$A$65</f>
        <v>Ayudante (Incl. Prestaciones)</v>
      </c>
      <c r="B457" s="1819"/>
      <c r="C457" s="681">
        <f>+'MANO DE OBRA'!$E$65</f>
        <v>10972.8125</v>
      </c>
      <c r="D457" s="562">
        <v>1</v>
      </c>
      <c r="E457" s="562">
        <f>+E456</f>
        <v>3.8</v>
      </c>
      <c r="F457" s="695">
        <f t="shared" si="32"/>
        <v>41696.6875</v>
      </c>
      <c r="G457" s="456"/>
    </row>
    <row r="458" spans="1:7" ht="13.5" hidden="1" customHeight="1">
      <c r="A458" s="2003" t="str">
        <f>+A453</f>
        <v>SUB-TOTAL</v>
      </c>
      <c r="B458" s="1601"/>
      <c r="C458" s="1601"/>
      <c r="D458" s="1601"/>
      <c r="E458" s="1601"/>
      <c r="F458" s="1801"/>
      <c r="G458" s="436">
        <f>SUM(F456:F457)</f>
        <v>98815.4375</v>
      </c>
    </row>
    <row r="459" spans="1:7" ht="11.25" hidden="1" customHeight="1">
      <c r="A459" s="416"/>
      <c r="B459" s="416"/>
      <c r="C459" s="416"/>
      <c r="D459" s="416"/>
      <c r="E459" s="416"/>
      <c r="F459" s="458"/>
      <c r="G459" s="437"/>
    </row>
    <row r="460" spans="1:7" ht="13.5" hidden="1" customHeight="1">
      <c r="A460" s="2003" t="s">
        <v>1567</v>
      </c>
      <c r="B460" s="1601"/>
      <c r="C460" s="1601"/>
      <c r="D460" s="1601"/>
      <c r="E460" s="1601"/>
      <c r="F460" s="1801"/>
      <c r="G460" s="682">
        <f>ROUND(G438+G448+G453+G458,0)</f>
        <v>234660</v>
      </c>
    </row>
    <row r="461" spans="1:7" ht="13.5" hidden="1" customHeight="1">
      <c r="A461" s="420"/>
      <c r="B461" s="420"/>
      <c r="C461" s="420"/>
      <c r="D461" s="420"/>
      <c r="E461" s="420"/>
      <c r="F461" s="420"/>
      <c r="G461" s="420"/>
    </row>
    <row r="462" spans="1:7" ht="13.5" hidden="1" customHeight="1">
      <c r="A462" s="420"/>
      <c r="B462" s="420"/>
      <c r="C462" s="420"/>
      <c r="D462" s="420"/>
      <c r="E462" s="420"/>
      <c r="F462" s="420"/>
      <c r="G462" s="420"/>
    </row>
    <row r="463" spans="1:7" ht="25.5" hidden="1" customHeight="1">
      <c r="A463" s="1994" t="e">
        <f>+'ANALISIS BASICOS'!$A$7</f>
        <v>#REF!</v>
      </c>
      <c r="B463" s="1616"/>
      <c r="C463" s="1624"/>
      <c r="D463" s="1990"/>
      <c r="E463" s="1616"/>
      <c r="F463" s="1616"/>
      <c r="G463" s="1624"/>
    </row>
    <row r="464" spans="1:7" ht="25.5" hidden="1" customHeight="1">
      <c r="A464" s="1971"/>
      <c r="B464" s="1817"/>
      <c r="C464" s="1972"/>
      <c r="D464" s="1971"/>
      <c r="E464" s="1817"/>
      <c r="F464" s="1817"/>
      <c r="G464" s="1972"/>
    </row>
    <row r="466" spans="1:7" ht="51.75" hidden="1" customHeight="1">
      <c r="A466" s="1991" t="e">
        <f ca="1">+A430</f>
        <v>#NAME?</v>
      </c>
      <c r="B466" s="1601"/>
      <c r="C466" s="1602"/>
      <c r="D466" s="1974" t="s">
        <v>1683</v>
      </c>
      <c r="E466" s="1601"/>
      <c r="F466" s="1601"/>
      <c r="G466" s="1602"/>
    </row>
    <row r="467" spans="1:7" ht="13.5" hidden="1" customHeight="1">
      <c r="A467" s="418"/>
      <c r="B467" s="418"/>
      <c r="C467" s="418"/>
      <c r="D467" s="418"/>
      <c r="E467" s="418"/>
      <c r="F467" s="418"/>
      <c r="G467" s="418"/>
    </row>
    <row r="468" spans="1:7" ht="12.75" hidden="1" customHeight="1">
      <c r="A468" s="419"/>
      <c r="B468" s="416"/>
      <c r="C468" s="420"/>
      <c r="D468" s="421" t="s">
        <v>1553</v>
      </c>
      <c r="E468" s="422" t="s">
        <v>120</v>
      </c>
      <c r="F468" s="421" t="s">
        <v>1554</v>
      </c>
      <c r="G468" s="422" t="s">
        <v>533</v>
      </c>
    </row>
    <row r="469" spans="1:7" ht="13.5" hidden="1" customHeight="1">
      <c r="A469" s="423" t="s">
        <v>1555</v>
      </c>
      <c r="B469" s="416"/>
      <c r="C469" s="416"/>
      <c r="D469" s="416"/>
      <c r="E469" s="416"/>
      <c r="F469" s="416"/>
      <c r="G469" s="416"/>
    </row>
    <row r="470" spans="1:7" ht="13.5" hidden="1" customHeight="1">
      <c r="A470" s="1975" t="s">
        <v>1556</v>
      </c>
      <c r="B470" s="1601"/>
      <c r="C470" s="1801"/>
      <c r="D470" s="424" t="s">
        <v>208</v>
      </c>
      <c r="E470" s="424" t="s">
        <v>1558</v>
      </c>
      <c r="F470" s="424" t="s">
        <v>1559</v>
      </c>
      <c r="G470" s="425"/>
    </row>
    <row r="471" spans="1:7" ht="13.5" hidden="1" customHeight="1">
      <c r="A471" s="1981" t="str">
        <f>+'LISTADO EQUIPOS'!$C$22</f>
        <v>HERRAMIENTA MENOR.</v>
      </c>
      <c r="B471" s="1811"/>
      <c r="C471" s="1967"/>
      <c r="D471" s="449">
        <f>+'LISTADO EQUIPOS'!$E$22/8</f>
        <v>2850</v>
      </c>
      <c r="E471" s="427">
        <v>3</v>
      </c>
      <c r="F471" s="428">
        <f>+D471/E471</f>
        <v>950</v>
      </c>
      <c r="G471" s="429"/>
    </row>
    <row r="472" spans="1:7" ht="13.5" hidden="1" customHeight="1">
      <c r="A472" s="1988" t="str">
        <f>+'LISTADO EQUIPOS'!$C$63</f>
        <v>FORMALETA PARA BASE DE ESTRUCTURAS.</v>
      </c>
      <c r="B472" s="1610"/>
      <c r="C472" s="1611"/>
      <c r="D472" s="701">
        <f>+'LISTADO EQUIPOS'!$E$63</f>
        <v>45000</v>
      </c>
      <c r="E472" s="702">
        <v>0.1</v>
      </c>
      <c r="F472" s="703">
        <f>+E472*D472</f>
        <v>4500</v>
      </c>
      <c r="G472" s="704"/>
    </row>
    <row r="473" spans="1:7" ht="13.5" hidden="1" customHeight="1">
      <c r="A473" s="1982" t="str">
        <f>+'LISTADO EQUIPOS'!$C$37</f>
        <v>VIBRADOR DE CONCRETO ELECTRICO O A GASOLINA.</v>
      </c>
      <c r="B473" s="1807"/>
      <c r="C473" s="1819"/>
      <c r="D473" s="434">
        <f>+'LISTADO EQUIPOS'!$E$37/8</f>
        <v>4950</v>
      </c>
      <c r="E473" s="433">
        <v>0.1</v>
      </c>
      <c r="F473" s="700">
        <f>+D473*E473</f>
        <v>495</v>
      </c>
      <c r="G473" s="672"/>
    </row>
    <row r="474" spans="1:7" ht="13.5" hidden="1" customHeight="1">
      <c r="A474" s="2003" t="s">
        <v>1560</v>
      </c>
      <c r="B474" s="1601"/>
      <c r="C474" s="1601"/>
      <c r="D474" s="1601"/>
      <c r="E474" s="1601"/>
      <c r="F474" s="1801"/>
      <c r="G474" s="436">
        <f>SUM(F471:F473)</f>
        <v>5945</v>
      </c>
    </row>
    <row r="475" spans="1:7" ht="13.5" hidden="1" customHeight="1">
      <c r="A475" s="423" t="s">
        <v>1561</v>
      </c>
      <c r="B475" s="416"/>
      <c r="C475" s="416"/>
      <c r="D475" s="416"/>
      <c r="E475" s="416"/>
      <c r="F475" s="416"/>
      <c r="G475" s="437"/>
    </row>
    <row r="476" spans="1:7" ht="13.5" hidden="1" customHeight="1">
      <c r="A476" s="1975" t="s">
        <v>1556</v>
      </c>
      <c r="B476" s="1801"/>
      <c r="C476" s="424" t="s">
        <v>6</v>
      </c>
      <c r="D476" s="424" t="s">
        <v>1562</v>
      </c>
      <c r="E476" s="424" t="s">
        <v>7</v>
      </c>
      <c r="F476" s="424" t="s">
        <v>1559</v>
      </c>
      <c r="G476" s="673"/>
    </row>
    <row r="477" spans="1:7" ht="13.5" hidden="1" customHeight="1">
      <c r="A477" s="1987" t="str">
        <f>+'ANALISIS BASICOS'!$A$36</f>
        <v xml:space="preserve">CONCRETO NORMAL - 3000 PSI (210 KG/CM2) </v>
      </c>
      <c r="B477" s="1967"/>
      <c r="C477" s="674" t="str">
        <f>+'ANALISIS BASICOS'!$E$12</f>
        <v>M3</v>
      </c>
      <c r="D477" s="675">
        <f>+'ANALISIS BASICOS'!$G$36</f>
        <v>468441</v>
      </c>
      <c r="E477" s="687">
        <v>4.8000000000000001E-2</v>
      </c>
      <c r="F477" s="442">
        <f t="shared" ref="F477:F478" si="33">+E477*D477</f>
        <v>22485.168000000001</v>
      </c>
      <c r="G477" s="676"/>
    </row>
    <row r="478" spans="1:7" ht="13.5" hidden="1" customHeight="1">
      <c r="A478" s="1988" t="str">
        <f>+'LISTADO MATERIALES'!$C$723</f>
        <v>AGUA</v>
      </c>
      <c r="B478" s="1611"/>
      <c r="C478" s="677" t="str">
        <f>+'LISTADO MATERIALES'!$D$723</f>
        <v>LT</v>
      </c>
      <c r="D478" s="431">
        <f>+'LISTADO MATERIALES'!$E$723</f>
        <v>21</v>
      </c>
      <c r="E478" s="430">
        <v>20</v>
      </c>
      <c r="F478" s="689">
        <f t="shared" si="33"/>
        <v>420</v>
      </c>
      <c r="G478" s="445"/>
    </row>
    <row r="479" spans="1:7" ht="13.5" hidden="1" customHeight="1">
      <c r="A479" s="1988"/>
      <c r="B479" s="1611"/>
      <c r="C479" s="444"/>
      <c r="D479" s="464"/>
      <c r="E479" s="444"/>
      <c r="F479" s="440"/>
      <c r="G479" s="445"/>
    </row>
    <row r="480" spans="1:7" ht="13.5" hidden="1" customHeight="1">
      <c r="A480" s="1982"/>
      <c r="B480" s="1819"/>
      <c r="C480" s="678"/>
      <c r="D480" s="451"/>
      <c r="E480" s="678"/>
      <c r="F480" s="451"/>
      <c r="G480" s="456"/>
    </row>
    <row r="481" spans="1:7" ht="13.5" hidden="1" customHeight="1">
      <c r="A481" s="2003" t="s">
        <v>1560</v>
      </c>
      <c r="B481" s="1601"/>
      <c r="C481" s="1601"/>
      <c r="D481" s="1601"/>
      <c r="E481" s="1601"/>
      <c r="F481" s="1801"/>
      <c r="G481" s="436">
        <f>SUM(F477:F480)</f>
        <v>22905.168000000001</v>
      </c>
    </row>
    <row r="482" spans="1:7" ht="13.5" hidden="1" customHeight="1">
      <c r="A482" s="423" t="s">
        <v>1563</v>
      </c>
      <c r="B482" s="416"/>
      <c r="C482" s="416"/>
      <c r="D482" s="416"/>
      <c r="E482" s="416"/>
      <c r="F482" s="416"/>
      <c r="G482" s="437"/>
    </row>
    <row r="483" spans="1:7" ht="13.5" hidden="1" customHeight="1">
      <c r="A483" s="1975" t="s">
        <v>1556</v>
      </c>
      <c r="B483" s="1801"/>
      <c r="C483" s="424" t="s">
        <v>6</v>
      </c>
      <c r="D483" s="424" t="s">
        <v>1562</v>
      </c>
      <c r="E483" s="424" t="s">
        <v>7</v>
      </c>
      <c r="F483" s="424" t="s">
        <v>1559</v>
      </c>
      <c r="G483" s="438"/>
    </row>
    <row r="484" spans="1:7" ht="13.5" hidden="1" customHeight="1">
      <c r="A484" s="1981"/>
      <c r="B484" s="1967"/>
      <c r="C484" s="448"/>
      <c r="D484" s="449"/>
      <c r="E484" s="450"/>
      <c r="F484" s="431"/>
      <c r="G484" s="443"/>
    </row>
    <row r="485" spans="1:7" ht="13.5" hidden="1" customHeight="1">
      <c r="A485" s="1982"/>
      <c r="B485" s="1819"/>
      <c r="C485" s="448"/>
      <c r="D485" s="451"/>
      <c r="E485" s="452"/>
      <c r="F485" s="451"/>
      <c r="G485" s="447"/>
    </row>
    <row r="486" spans="1:7" ht="13.5" hidden="1" customHeight="1">
      <c r="A486" s="2003" t="s">
        <v>1560</v>
      </c>
      <c r="B486" s="1601"/>
      <c r="C486" s="1601"/>
      <c r="D486" s="1601"/>
      <c r="E486" s="1601"/>
      <c r="F486" s="1801"/>
      <c r="G486" s="436"/>
    </row>
    <row r="487" spans="1:7" ht="13.5" hidden="1" customHeight="1">
      <c r="A487" s="423" t="s">
        <v>1564</v>
      </c>
      <c r="B487" s="416"/>
      <c r="C487" s="416"/>
      <c r="D487" s="416"/>
      <c r="E487" s="416"/>
      <c r="F487" s="416"/>
      <c r="G487" s="437"/>
    </row>
    <row r="488" spans="1:7" ht="13.5" hidden="1" customHeight="1">
      <c r="A488" s="1975" t="s">
        <v>1565</v>
      </c>
      <c r="B488" s="1801"/>
      <c r="C488" s="424" t="s">
        <v>1566</v>
      </c>
      <c r="D488" s="424" t="s">
        <v>6</v>
      </c>
      <c r="E488" s="424" t="s">
        <v>7</v>
      </c>
      <c r="F488" s="424" t="s">
        <v>1559</v>
      </c>
      <c r="G488" s="462"/>
    </row>
    <row r="489" spans="1:7" ht="13.5" hidden="1" customHeight="1">
      <c r="A489" s="2004" t="str">
        <f>+'MANO DE OBRA'!$A$64</f>
        <v>Oficial (Incl. Prestaciones)</v>
      </c>
      <c r="B489" s="1888"/>
      <c r="C489" s="679">
        <f>+'MANO DE OBRA'!$E$64</f>
        <v>15031.25</v>
      </c>
      <c r="D489" s="680">
        <v>1</v>
      </c>
      <c r="E489" s="680">
        <v>1.1448565880476806</v>
      </c>
      <c r="F489" s="454">
        <f t="shared" ref="F489:F490" si="34">+(C489*D489)/E489</f>
        <v>13129.373719753607</v>
      </c>
      <c r="G489" s="443"/>
    </row>
    <row r="490" spans="1:7" ht="13.5" hidden="1" customHeight="1">
      <c r="A490" s="1968" t="str">
        <f>+'MANO DE OBRA'!$A$65</f>
        <v>Ayudante (Incl. Prestaciones)</v>
      </c>
      <c r="B490" s="1819"/>
      <c r="C490" s="681">
        <f>+'MANO DE OBRA'!$E$65</f>
        <v>10972.8125</v>
      </c>
      <c r="D490" s="562">
        <v>2</v>
      </c>
      <c r="E490" s="562">
        <f>+E489</f>
        <v>1.1448565880476806</v>
      </c>
      <c r="F490" s="455">
        <f t="shared" si="34"/>
        <v>19168.885630840268</v>
      </c>
      <c r="G490" s="456"/>
    </row>
    <row r="491" spans="1:7" ht="13.5" hidden="1" customHeight="1">
      <c r="A491" s="2003" t="str">
        <f>+A486</f>
        <v>SUB-TOTAL</v>
      </c>
      <c r="B491" s="1601"/>
      <c r="C491" s="1601"/>
      <c r="D491" s="1601"/>
      <c r="E491" s="1601"/>
      <c r="F491" s="1801"/>
      <c r="G491" s="436">
        <f>SUM(F489:F490)</f>
        <v>32298.259350593875</v>
      </c>
    </row>
    <row r="492" spans="1:7" ht="11.25" hidden="1" customHeight="1">
      <c r="A492" s="416"/>
      <c r="B492" s="416"/>
      <c r="C492" s="416"/>
      <c r="D492" s="416"/>
      <c r="E492" s="416"/>
      <c r="F492" s="458"/>
      <c r="G492" s="437"/>
    </row>
    <row r="493" spans="1:7" ht="13.5" hidden="1" customHeight="1">
      <c r="A493" s="2003" t="s">
        <v>1567</v>
      </c>
      <c r="B493" s="1601"/>
      <c r="C493" s="1601"/>
      <c r="D493" s="1601"/>
      <c r="E493" s="1601"/>
      <c r="F493" s="1801"/>
      <c r="G493" s="459">
        <f>ROUND(G474+G481+G486+G491,0)</f>
        <v>61148</v>
      </c>
    </row>
    <row r="494" spans="1:7" ht="13.5" hidden="1" customHeight="1">
      <c r="A494" s="420"/>
      <c r="B494" s="420"/>
      <c r="C494" s="420"/>
      <c r="D494" s="420"/>
      <c r="E494" s="420"/>
      <c r="F494" s="420"/>
      <c r="G494" s="420"/>
    </row>
    <row r="495" spans="1:7" ht="13.5" customHeight="1">
      <c r="A495" s="420"/>
      <c r="B495" s="420"/>
      <c r="C495" s="420"/>
      <c r="D495" s="420"/>
      <c r="E495" s="420"/>
      <c r="F495" s="420"/>
      <c r="G495" s="420"/>
    </row>
    <row r="496" spans="1:7" ht="27" customHeight="1">
      <c r="A496" s="1989" t="e">
        <f>+'ANALISIS BASICOS'!$A$7</f>
        <v>#REF!</v>
      </c>
      <c r="B496" s="1616"/>
      <c r="C496" s="1624"/>
      <c r="D496" s="1990" t="s">
        <v>1195</v>
      </c>
      <c r="E496" s="1616"/>
      <c r="F496" s="1616"/>
      <c r="G496" s="1624"/>
    </row>
    <row r="497" spans="1:7" ht="24" customHeight="1">
      <c r="A497" s="1971"/>
      <c r="B497" s="1817"/>
      <c r="C497" s="1972"/>
      <c r="D497" s="1971"/>
      <c r="E497" s="1817"/>
      <c r="F497" s="1817"/>
      <c r="G497" s="1972"/>
    </row>
    <row r="498" spans="1:7" ht="13.5" customHeight="1">
      <c r="A498" s="416"/>
      <c r="B498" s="416"/>
      <c r="C498" s="416"/>
      <c r="D498" s="416"/>
      <c r="E498" s="416"/>
      <c r="F498" s="416"/>
      <c r="G498" s="416"/>
    </row>
    <row r="499" spans="1:7" ht="50.25" customHeight="1">
      <c r="A499" s="1991" t="e">
        <f ca="1">+A430</f>
        <v>#NAME?</v>
      </c>
      <c r="B499" s="1601"/>
      <c r="C499" s="1602"/>
      <c r="D499" s="1974" t="s">
        <v>1684</v>
      </c>
      <c r="E499" s="1601"/>
      <c r="F499" s="1601"/>
      <c r="G499" s="1602"/>
    </row>
    <row r="500" spans="1:7" ht="13.5" customHeight="1">
      <c r="A500" s="418"/>
      <c r="B500" s="418"/>
      <c r="C500" s="418"/>
      <c r="D500" s="418"/>
      <c r="E500" s="418"/>
      <c r="F500" s="418"/>
      <c r="G500" s="418"/>
    </row>
    <row r="501" spans="1:7" ht="12.75" customHeight="1">
      <c r="A501" s="419"/>
      <c r="B501" s="416"/>
      <c r="C501" s="420"/>
      <c r="D501" s="421" t="s">
        <v>1553</v>
      </c>
      <c r="E501" s="422" t="s">
        <v>127</v>
      </c>
      <c r="F501" s="421" t="s">
        <v>1554</v>
      </c>
      <c r="G501" s="422" t="s">
        <v>1494</v>
      </c>
    </row>
    <row r="502" spans="1:7" ht="13.5" customHeight="1">
      <c r="A502" s="423" t="s">
        <v>1555</v>
      </c>
      <c r="B502" s="416"/>
      <c r="C502" s="416"/>
      <c r="D502" s="416"/>
      <c r="E502" s="416"/>
      <c r="F502" s="416"/>
      <c r="G502" s="416"/>
    </row>
    <row r="503" spans="1:7" ht="13.5" customHeight="1">
      <c r="A503" s="1975" t="s">
        <v>1556</v>
      </c>
      <c r="B503" s="1601"/>
      <c r="C503" s="1801"/>
      <c r="D503" s="424" t="s">
        <v>208</v>
      </c>
      <c r="E503" s="424" t="s">
        <v>1558</v>
      </c>
      <c r="F503" s="424" t="s">
        <v>1559</v>
      </c>
      <c r="G503" s="425"/>
    </row>
    <row r="504" spans="1:7" ht="13.5" customHeight="1">
      <c r="A504" s="1981" t="str">
        <f>+'LISTADO EQUIPOS'!$C$22</f>
        <v>HERRAMIENTA MENOR.</v>
      </c>
      <c r="B504" s="1811"/>
      <c r="C504" s="1967"/>
      <c r="D504" s="449">
        <f>+'LISTADO EQUIPOS'!$E$22/8</f>
        <v>2850</v>
      </c>
      <c r="E504" s="427">
        <f>+E524</f>
        <v>6.5</v>
      </c>
      <c r="F504" s="428">
        <f t="shared" ref="F504:F505" si="35">+E504*D504</f>
        <v>18525</v>
      </c>
      <c r="G504" s="429"/>
    </row>
    <row r="505" spans="1:7" ht="13.5" customHeight="1">
      <c r="A505" s="1988" t="str">
        <f>+'ANALISIS BASICOS'!$A$360</f>
        <v>FORMALETA EN MADERA</v>
      </c>
      <c r="B505" s="1610"/>
      <c r="C505" s="1611"/>
      <c r="D505" s="431">
        <f>+INSUMOS!H50</f>
        <v>45681</v>
      </c>
      <c r="E505" s="430">
        <f>+E504*0.008</f>
        <v>5.2000000000000005E-2</v>
      </c>
      <c r="F505" s="689">
        <f t="shared" si="35"/>
        <v>2375.4120000000003</v>
      </c>
      <c r="G505" s="432"/>
    </row>
    <row r="506" spans="1:7" ht="13.5" customHeight="1">
      <c r="A506" s="1982"/>
      <c r="B506" s="1807"/>
      <c r="C506" s="1819"/>
      <c r="D506" s="451"/>
      <c r="E506" s="671"/>
      <c r="F506" s="451"/>
      <c r="G506" s="672"/>
    </row>
    <row r="507" spans="1:7" ht="13.5" customHeight="1">
      <c r="A507" s="2003" t="s">
        <v>1560</v>
      </c>
      <c r="B507" s="1601"/>
      <c r="C507" s="1601"/>
      <c r="D507" s="1601"/>
      <c r="E507" s="1601"/>
      <c r="F507" s="1801"/>
      <c r="G507" s="436">
        <f>SUM(F504:F506)</f>
        <v>20900.412</v>
      </c>
    </row>
    <row r="508" spans="1:7" ht="13.5" customHeight="1">
      <c r="A508" s="423" t="s">
        <v>1561</v>
      </c>
      <c r="B508" s="416"/>
      <c r="C508" s="416"/>
      <c r="D508" s="416"/>
      <c r="E508" s="416"/>
      <c r="F508" s="416"/>
      <c r="G508" s="437"/>
    </row>
    <row r="509" spans="1:7" ht="13.5" customHeight="1">
      <c r="A509" s="1975" t="s">
        <v>1556</v>
      </c>
      <c r="B509" s="1801"/>
      <c r="C509" s="424" t="s">
        <v>6</v>
      </c>
      <c r="D509" s="424" t="s">
        <v>1562</v>
      </c>
      <c r="E509" s="424" t="s">
        <v>7</v>
      </c>
      <c r="F509" s="424" t="s">
        <v>1559</v>
      </c>
      <c r="G509" s="673"/>
    </row>
    <row r="510" spans="1:7" ht="13.5" customHeight="1">
      <c r="A510" s="2014" t="str">
        <f>'ANALISIS BASICOS'!$A$100</f>
        <v xml:space="preserve">CONCRETO NORMAL - 2500 PSI (175 KG/CM2)  </v>
      </c>
      <c r="B510" s="1611"/>
      <c r="C510" s="439" t="str">
        <f>'ANALISIS BASICOS'!$E$12</f>
        <v>M3</v>
      </c>
      <c r="D510" s="440">
        <f>+INSUMOS!R36</f>
        <v>618910.5</v>
      </c>
      <c r="E510" s="460">
        <v>0.2</v>
      </c>
      <c r="F510" s="464">
        <f t="shared" ref="F510:F515" si="36">(D510*E510)</f>
        <v>123782.1</v>
      </c>
      <c r="G510" s="483"/>
    </row>
    <row r="511" spans="1:7" ht="13.5" customHeight="1">
      <c r="A511" s="2014" t="str">
        <f>'LISTADO MATERIALES'!$C$10</f>
        <v xml:space="preserve">ACERO Fy= 4200 Kg/cm2   </v>
      </c>
      <c r="B511" s="1611"/>
      <c r="C511" s="439" t="str">
        <f>'LISTADO MATERIALES'!$D$10</f>
        <v>KG</v>
      </c>
      <c r="D511" s="440">
        <f>+INSUMOS!H30</f>
        <v>4500</v>
      </c>
      <c r="E511" s="460">
        <v>6.5</v>
      </c>
      <c r="F511" s="464">
        <f t="shared" si="36"/>
        <v>29250</v>
      </c>
      <c r="G511" s="483"/>
    </row>
    <row r="512" spans="1:7" ht="13.5" customHeight="1">
      <c r="A512" s="2014" t="str">
        <f>'LISTADO MATERIALES'!$C$16</f>
        <v>ALAMBRE NEGRO No. 18</v>
      </c>
      <c r="B512" s="1611"/>
      <c r="C512" s="439" t="str">
        <f>'LISTADO MATERIALES'!D16</f>
        <v>KG</v>
      </c>
      <c r="D512" s="440">
        <f>+INSUMOS!R38</f>
        <v>9480</v>
      </c>
      <c r="E512" s="460">
        <v>0.1</v>
      </c>
      <c r="F512" s="464">
        <f t="shared" si="36"/>
        <v>948</v>
      </c>
      <c r="G512" s="483"/>
    </row>
    <row r="513" spans="1:7" ht="13.5" customHeight="1">
      <c r="A513" s="2014" t="str">
        <f>'ANALISIS BASICOS'!$A$228</f>
        <v>MORTERO 1:4</v>
      </c>
      <c r="B513" s="1611"/>
      <c r="C513" s="439" t="str">
        <f>'ANALISIS BASICOS'!$E$204</f>
        <v>M3</v>
      </c>
      <c r="D513" s="440">
        <f>+INSUMOS!H45</f>
        <v>622354.79999999993</v>
      </c>
      <c r="E513" s="460">
        <v>0.05</v>
      </c>
      <c r="F513" s="464">
        <f t="shared" si="36"/>
        <v>31117.739999999998</v>
      </c>
      <c r="G513" s="483"/>
    </row>
    <row r="514" spans="1:7" ht="13.5" customHeight="1">
      <c r="A514" s="2014" t="str">
        <f>'LISTADO MATERIALES'!$C$22</f>
        <v>ÁNGULO 1/8"x1"</v>
      </c>
      <c r="B514" s="1611"/>
      <c r="C514" s="439" t="str">
        <f>'LISTADO MATERIALES'!$D$22</f>
        <v>ML</v>
      </c>
      <c r="D514" s="440">
        <f>+INSUMOS!H38</f>
        <v>6200</v>
      </c>
      <c r="E514" s="460">
        <f>0.8*8</f>
        <v>6.4</v>
      </c>
      <c r="F514" s="464">
        <f t="shared" si="36"/>
        <v>39680</v>
      </c>
      <c r="G514" s="483"/>
    </row>
    <row r="515" spans="1:7" ht="13.5" customHeight="1">
      <c r="A515" s="1982" t="s">
        <v>1685</v>
      </c>
      <c r="B515" s="1819"/>
      <c r="C515" s="678" t="s">
        <v>1686</v>
      </c>
      <c r="D515" s="451">
        <f>+INSUMOS!H65</f>
        <v>183885</v>
      </c>
      <c r="E515" s="678">
        <v>0.1</v>
      </c>
      <c r="F515" s="464">
        <f t="shared" si="36"/>
        <v>18388.5</v>
      </c>
      <c r="G515" s="742"/>
    </row>
    <row r="516" spans="1:7" ht="13.5" customHeight="1">
      <c r="A516" s="2003" t="s">
        <v>1560</v>
      </c>
      <c r="B516" s="1601"/>
      <c r="C516" s="1601"/>
      <c r="D516" s="1601"/>
      <c r="E516" s="1601"/>
      <c r="F516" s="1801"/>
      <c r="G516" s="436">
        <f>SUM(F510:F515)</f>
        <v>243166.34</v>
      </c>
    </row>
    <row r="517" spans="1:7" ht="13.5" customHeight="1">
      <c r="A517" s="423" t="s">
        <v>1563</v>
      </c>
      <c r="B517" s="416"/>
      <c r="C517" s="416"/>
      <c r="D517" s="416"/>
      <c r="E517" s="416"/>
      <c r="F517" s="416"/>
      <c r="G517" s="437"/>
    </row>
    <row r="518" spans="1:7" ht="13.5" customHeight="1">
      <c r="A518" s="1975" t="s">
        <v>1556</v>
      </c>
      <c r="B518" s="1801"/>
      <c r="C518" s="424" t="s">
        <v>6</v>
      </c>
      <c r="D518" s="424" t="s">
        <v>1562</v>
      </c>
      <c r="E518" s="424" t="s">
        <v>7</v>
      </c>
      <c r="F518" s="424" t="s">
        <v>1559</v>
      </c>
      <c r="G518" s="438"/>
    </row>
    <row r="519" spans="1:7" ht="13.5" customHeight="1">
      <c r="A519" s="1981"/>
      <c r="B519" s="1967"/>
      <c r="C519" s="448"/>
      <c r="D519" s="449"/>
      <c r="E519" s="450"/>
      <c r="F519" s="431"/>
      <c r="G519" s="443"/>
    </row>
    <row r="520" spans="1:7" ht="13.5" customHeight="1">
      <c r="A520" s="1982"/>
      <c r="B520" s="1819"/>
      <c r="C520" s="448"/>
      <c r="D520" s="451"/>
      <c r="E520" s="452"/>
      <c r="F520" s="451"/>
      <c r="G520" s="447"/>
    </row>
    <row r="521" spans="1:7" ht="13.5" customHeight="1">
      <c r="A521" s="2003" t="s">
        <v>1560</v>
      </c>
      <c r="B521" s="1601"/>
      <c r="C521" s="1601"/>
      <c r="D521" s="1601"/>
      <c r="E521" s="1601"/>
      <c r="F521" s="1801"/>
      <c r="G521" s="436"/>
    </row>
    <row r="522" spans="1:7" ht="13.5" customHeight="1">
      <c r="A522" s="423" t="s">
        <v>1564</v>
      </c>
      <c r="B522" s="416"/>
      <c r="C522" s="416"/>
      <c r="D522" s="416"/>
      <c r="E522" s="416"/>
      <c r="F522" s="416"/>
      <c r="G522" s="437"/>
    </row>
    <row r="523" spans="1:7" ht="13.5" customHeight="1">
      <c r="A523" s="1975" t="s">
        <v>1565</v>
      </c>
      <c r="B523" s="1801"/>
      <c r="C523" s="424" t="s">
        <v>1566</v>
      </c>
      <c r="D523" s="424" t="s">
        <v>6</v>
      </c>
      <c r="E523" s="424" t="s">
        <v>7</v>
      </c>
      <c r="F523" s="424" t="s">
        <v>1559</v>
      </c>
      <c r="G523" s="462"/>
    </row>
    <row r="524" spans="1:7" ht="13.5" customHeight="1">
      <c r="A524" s="2004" t="str">
        <f>+'MANO DE OBRA'!$A$64</f>
        <v>Oficial (Incl. Prestaciones)</v>
      </c>
      <c r="B524" s="1888"/>
      <c r="C524" s="679">
        <f>+'MANO DE OBRA'!$E$64</f>
        <v>15031.25</v>
      </c>
      <c r="D524" s="680">
        <v>1</v>
      </c>
      <c r="E524" s="680">
        <v>6.5</v>
      </c>
      <c r="F524" s="694">
        <f t="shared" ref="F524:F525" si="37">+(C524*D524)*E524</f>
        <v>97703.125</v>
      </c>
      <c r="G524" s="443"/>
    </row>
    <row r="525" spans="1:7" ht="13.5" customHeight="1">
      <c r="A525" s="1968" t="str">
        <f>+'MANO DE OBRA'!$A$65</f>
        <v>Ayudante (Incl. Prestaciones)</v>
      </c>
      <c r="B525" s="1819"/>
      <c r="C525" s="681">
        <f>+'MANO DE OBRA'!$E$65</f>
        <v>10972.8125</v>
      </c>
      <c r="D525" s="562">
        <v>1</v>
      </c>
      <c r="E525" s="562">
        <f>+E524</f>
        <v>6.5</v>
      </c>
      <c r="F525" s="695">
        <f t="shared" si="37"/>
        <v>71323.28125</v>
      </c>
      <c r="G525" s="456"/>
    </row>
    <row r="526" spans="1:7" ht="13.5" customHeight="1">
      <c r="A526" s="2003" t="str">
        <f>+A521</f>
        <v>SUB-TOTAL</v>
      </c>
      <c r="B526" s="1601"/>
      <c r="C526" s="1601"/>
      <c r="D526" s="1601"/>
      <c r="E526" s="1601"/>
      <c r="F526" s="1801"/>
      <c r="G526" s="436">
        <f>SUM(F524:F525)</f>
        <v>169026.40625</v>
      </c>
    </row>
    <row r="527" spans="1:7" ht="11.25" customHeight="1">
      <c r="A527" s="416"/>
      <c r="B527" s="416"/>
      <c r="C527" s="416"/>
      <c r="D527" s="416"/>
      <c r="E527" s="416"/>
      <c r="F527" s="458"/>
      <c r="G527" s="437"/>
    </row>
    <row r="528" spans="1:7" ht="17.25" customHeight="1">
      <c r="A528" s="2003" t="s">
        <v>1567</v>
      </c>
      <c r="B528" s="1601"/>
      <c r="C528" s="1601"/>
      <c r="D528" s="1601"/>
      <c r="E528" s="1601"/>
      <c r="F528" s="1801"/>
      <c r="G528" s="682">
        <f>ROUND(G507+G516+G521+G526,0)</f>
        <v>433093</v>
      </c>
    </row>
    <row r="529" spans="1:7" ht="17.25" customHeight="1">
      <c r="A529" s="72" t="s">
        <v>271</v>
      </c>
      <c r="B529" s="363"/>
      <c r="C529" s="363"/>
      <c r="D529" s="1985" t="s">
        <v>272</v>
      </c>
      <c r="E529" s="1605"/>
      <c r="F529" s="363"/>
      <c r="G529" s="363"/>
    </row>
    <row r="530" spans="1:7" ht="17.25" customHeight="1">
      <c r="A530" s="1986"/>
      <c r="B530" s="1605"/>
      <c r="C530" s="1605"/>
      <c r="D530" s="1605"/>
    </row>
    <row r="531" spans="1:7" ht="17.25" customHeight="1">
      <c r="A531" s="123"/>
      <c r="B531" s="175"/>
      <c r="C531" s="123"/>
      <c r="D531" s="123"/>
    </row>
    <row r="532" spans="1:7" ht="17.25" customHeight="1"/>
    <row r="533" spans="1:7" ht="17.25" customHeight="1">
      <c r="A533" s="1895" t="s">
        <v>273</v>
      </c>
      <c r="B533" s="1605"/>
      <c r="C533" s="1605"/>
      <c r="D533" s="1895" t="s">
        <v>274</v>
      </c>
      <c r="E533" s="1605"/>
      <c r="F533" s="1605"/>
      <c r="G533" s="1605"/>
    </row>
    <row r="534" spans="1:7" ht="17.25" customHeight="1">
      <c r="A534" s="1890" t="s">
        <v>275</v>
      </c>
      <c r="B534" s="1605"/>
      <c r="C534" s="1605"/>
      <c r="D534" s="1890" t="s">
        <v>276</v>
      </c>
      <c r="E534" s="1605"/>
      <c r="F534" s="1605"/>
      <c r="G534" s="1605"/>
    </row>
    <row r="535" spans="1:7" ht="13.5" customHeight="1">
      <c r="A535" s="420"/>
      <c r="B535" s="420"/>
      <c r="C535" s="420"/>
      <c r="D535" s="420"/>
      <c r="E535" s="420"/>
      <c r="F535" s="420"/>
      <c r="G535" s="420"/>
    </row>
    <row r="536" spans="1:7" ht="27" customHeight="1">
      <c r="A536" s="1989" t="e">
        <f>+'ANALISIS BASICOS'!$A$7</f>
        <v>#REF!</v>
      </c>
      <c r="B536" s="1616"/>
      <c r="C536" s="1624"/>
      <c r="D536" s="1990" t="s">
        <v>1195</v>
      </c>
      <c r="E536" s="1616"/>
      <c r="F536" s="1616"/>
      <c r="G536" s="1624"/>
    </row>
    <row r="537" spans="1:7" ht="24" customHeight="1">
      <c r="A537" s="1971"/>
      <c r="B537" s="1817"/>
      <c r="C537" s="1972"/>
      <c r="D537" s="1971"/>
      <c r="E537" s="1817"/>
      <c r="F537" s="1817"/>
      <c r="G537" s="1972"/>
    </row>
    <row r="538" spans="1:7" ht="13.5" customHeight="1">
      <c r="A538" s="416"/>
      <c r="B538" s="416"/>
      <c r="C538" s="416"/>
      <c r="D538" s="416"/>
      <c r="E538" s="416"/>
      <c r="F538" s="416"/>
      <c r="G538" s="416"/>
    </row>
    <row r="539" spans="1:7" ht="50.25" customHeight="1">
      <c r="A539" s="1991" t="e">
        <f ca="1">+A499</f>
        <v>#NAME?</v>
      </c>
      <c r="B539" s="1601"/>
      <c r="C539" s="1602"/>
      <c r="D539" s="1974" t="s">
        <v>1687</v>
      </c>
      <c r="E539" s="1601"/>
      <c r="F539" s="1601"/>
      <c r="G539" s="1602"/>
    </row>
    <row r="540" spans="1:7" ht="13.5" customHeight="1">
      <c r="A540" s="418"/>
      <c r="B540" s="418"/>
      <c r="C540" s="418"/>
      <c r="D540" s="418"/>
      <c r="E540" s="418"/>
      <c r="F540" s="418"/>
      <c r="G540" s="418"/>
    </row>
    <row r="541" spans="1:7" ht="13.5" customHeight="1">
      <c r="A541" s="419"/>
      <c r="B541" s="416"/>
      <c r="C541" s="420"/>
      <c r="D541" s="421" t="s">
        <v>1553</v>
      </c>
      <c r="E541" s="422" t="s">
        <v>127</v>
      </c>
      <c r="F541" s="421" t="s">
        <v>1554</v>
      </c>
      <c r="G541" s="422" t="s">
        <v>1496</v>
      </c>
    </row>
    <row r="542" spans="1:7" ht="13.5" customHeight="1">
      <c r="A542" s="423" t="s">
        <v>1555</v>
      </c>
      <c r="B542" s="416"/>
      <c r="C542" s="416"/>
      <c r="D542" s="416"/>
      <c r="E542" s="416"/>
      <c r="F542" s="416"/>
      <c r="G542" s="416"/>
    </row>
    <row r="543" spans="1:7" ht="13.5" customHeight="1">
      <c r="A543" s="1975" t="s">
        <v>1556</v>
      </c>
      <c r="B543" s="1601"/>
      <c r="C543" s="1801"/>
      <c r="D543" s="424" t="s">
        <v>208</v>
      </c>
      <c r="E543" s="424" t="s">
        <v>1558</v>
      </c>
      <c r="F543" s="424" t="s">
        <v>1559</v>
      </c>
      <c r="G543" s="425"/>
    </row>
    <row r="544" spans="1:7" ht="13.5" customHeight="1">
      <c r="A544" s="1981" t="str">
        <f>+'LISTADO EQUIPOS'!$C$22</f>
        <v>HERRAMIENTA MENOR.</v>
      </c>
      <c r="B544" s="1811"/>
      <c r="C544" s="1967"/>
      <c r="D544" s="449">
        <f>+'LISTADO EQUIPOS'!$E$22/8</f>
        <v>2850</v>
      </c>
      <c r="E544" s="427">
        <f>+E563</f>
        <v>0.211469859200313</v>
      </c>
      <c r="F544" s="428">
        <f>+D544/E544</f>
        <v>13477.097922027564</v>
      </c>
      <c r="G544" s="429"/>
    </row>
    <row r="545" spans="1:7" ht="13.5" customHeight="1">
      <c r="A545" s="1982" t="str">
        <f>+'ANALISIS BASICOS'!$A$360</f>
        <v>FORMALETA EN MADERA</v>
      </c>
      <c r="B545" s="1807"/>
      <c r="C545" s="1819"/>
      <c r="D545" s="451">
        <f>+'ANALISIS BASICOS'!$G$360</f>
        <v>41998</v>
      </c>
      <c r="E545" s="671">
        <f>+E544*0.25</f>
        <v>5.286746480007825E-2</v>
      </c>
      <c r="F545" s="698">
        <f>+E545*D545</f>
        <v>2220.3277866736862</v>
      </c>
      <c r="G545" s="672"/>
    </row>
    <row r="546" spans="1:7" ht="13.5" customHeight="1">
      <c r="A546" s="2003" t="s">
        <v>1560</v>
      </c>
      <c r="B546" s="1601"/>
      <c r="C546" s="1601"/>
      <c r="D546" s="1601"/>
      <c r="E546" s="1601"/>
      <c r="F546" s="1801"/>
      <c r="G546" s="436">
        <f>SUM(F544:F545)</f>
        <v>15697.42570870125</v>
      </c>
    </row>
    <row r="547" spans="1:7" ht="13.5" customHeight="1">
      <c r="A547" s="423" t="s">
        <v>1561</v>
      </c>
      <c r="B547" s="416"/>
      <c r="C547" s="416"/>
      <c r="D547" s="416"/>
      <c r="E547" s="416"/>
      <c r="F547" s="416"/>
      <c r="G547" s="437"/>
    </row>
    <row r="548" spans="1:7" ht="13.5" customHeight="1">
      <c r="A548" s="1975" t="s">
        <v>1556</v>
      </c>
      <c r="B548" s="1801"/>
      <c r="C548" s="424" t="s">
        <v>6</v>
      </c>
      <c r="D548" s="424" t="s">
        <v>1562</v>
      </c>
      <c r="E548" s="424" t="s">
        <v>7</v>
      </c>
      <c r="F548" s="424" t="s">
        <v>1559</v>
      </c>
      <c r="G548" s="673"/>
    </row>
    <row r="549" spans="1:7" ht="13.5" customHeight="1">
      <c r="A549" s="2014" t="str">
        <f>'ANALISIS BASICOS'!$A$100</f>
        <v xml:space="preserve">CONCRETO NORMAL - 2500 PSI (175 KG/CM2)  </v>
      </c>
      <c r="B549" s="1611"/>
      <c r="C549" s="439" t="str">
        <f>'ANALISIS BASICOS'!$E$12</f>
        <v>M3</v>
      </c>
      <c r="D549" s="440">
        <f>+INSUMOS!R36</f>
        <v>618910.5</v>
      </c>
      <c r="E549" s="460">
        <v>0.3</v>
      </c>
      <c r="F549" s="464">
        <f t="shared" ref="F549:F554" si="38">(D549*E549)</f>
        <v>185673.15</v>
      </c>
      <c r="G549" s="483"/>
    </row>
    <row r="550" spans="1:7" ht="13.5" customHeight="1">
      <c r="A550" s="2014" t="str">
        <f>'LISTADO MATERIALES'!$C$10</f>
        <v xml:space="preserve">ACERO Fy= 4200 Kg/cm2   </v>
      </c>
      <c r="B550" s="1611"/>
      <c r="C550" s="439" t="str">
        <f>'LISTADO MATERIALES'!$D$10</f>
        <v>KG</v>
      </c>
      <c r="D550" s="440">
        <f>+INSUMOS!H30</f>
        <v>4500</v>
      </c>
      <c r="E550" s="460">
        <v>7.72</v>
      </c>
      <c r="F550" s="464">
        <f t="shared" si="38"/>
        <v>34740</v>
      </c>
      <c r="G550" s="483"/>
    </row>
    <row r="551" spans="1:7" ht="13.5" customHeight="1">
      <c r="A551" s="2014" t="str">
        <f>'LISTADO MATERIALES'!$C$16</f>
        <v>ALAMBRE NEGRO No. 18</v>
      </c>
      <c r="B551" s="1611"/>
      <c r="C551" s="439" t="str">
        <f>'LISTADO MATERIALES'!D16</f>
        <v>KG</v>
      </c>
      <c r="D551" s="440">
        <f>+INSUMOS!R38</f>
        <v>9480</v>
      </c>
      <c r="E551" s="460">
        <v>0.19</v>
      </c>
      <c r="F551" s="464">
        <f t="shared" si="38"/>
        <v>1801.2</v>
      </c>
      <c r="G551" s="483"/>
    </row>
    <row r="552" spans="1:7" ht="13.5" customHeight="1">
      <c r="A552" s="2014" t="str">
        <f>'ANALISIS BASICOS'!$A$228</f>
        <v>MORTERO 1:4</v>
      </c>
      <c r="B552" s="1611"/>
      <c r="C552" s="439" t="str">
        <f>'ANALISIS BASICOS'!$E$204</f>
        <v>M3</v>
      </c>
      <c r="D552" s="440">
        <f>+INSUMOS!H45</f>
        <v>622354.79999999993</v>
      </c>
      <c r="E552" s="460">
        <v>0.1</v>
      </c>
      <c r="F552" s="464">
        <f t="shared" si="38"/>
        <v>62235.479999999996</v>
      </c>
      <c r="G552" s="483"/>
    </row>
    <row r="553" spans="1:7" ht="13.5" customHeight="1">
      <c r="A553" s="2014" t="str">
        <f>'LISTADO MATERIALES'!$C$22</f>
        <v>ÁNGULO 1/8"x1"</v>
      </c>
      <c r="B553" s="1611"/>
      <c r="C553" s="439" t="str">
        <f>'LISTADO MATERIALES'!$D$22</f>
        <v>ML</v>
      </c>
      <c r="D553" s="440">
        <f>+INSUMOS!H38</f>
        <v>6200</v>
      </c>
      <c r="E553" s="460">
        <v>8</v>
      </c>
      <c r="F553" s="464">
        <f t="shared" si="38"/>
        <v>49600</v>
      </c>
      <c r="G553" s="483"/>
    </row>
    <row r="554" spans="1:7" ht="13.5" customHeight="1">
      <c r="A554" s="1982" t="s">
        <v>1685</v>
      </c>
      <c r="B554" s="1819"/>
      <c r="C554" s="678" t="s">
        <v>1686</v>
      </c>
      <c r="D554" s="451">
        <f>+INSUMOS!H65</f>
        <v>183885</v>
      </c>
      <c r="E554" s="678">
        <v>0.1</v>
      </c>
      <c r="F554" s="464">
        <f t="shared" si="38"/>
        <v>18388.5</v>
      </c>
      <c r="G554" s="742"/>
    </row>
    <row r="555" spans="1:7" ht="13.5" customHeight="1">
      <c r="A555" s="2003" t="s">
        <v>1560</v>
      </c>
      <c r="B555" s="1601"/>
      <c r="C555" s="1601"/>
      <c r="D555" s="1601"/>
      <c r="E555" s="1601"/>
      <c r="F555" s="1801"/>
      <c r="G555" s="436">
        <f>SUM(F549:F554)</f>
        <v>352438.33</v>
      </c>
    </row>
    <row r="556" spans="1:7" ht="13.5" customHeight="1">
      <c r="A556" s="423" t="s">
        <v>1563</v>
      </c>
      <c r="B556" s="416"/>
      <c r="C556" s="416"/>
      <c r="D556" s="416"/>
      <c r="E556" s="416"/>
      <c r="F556" s="416"/>
      <c r="G556" s="437"/>
    </row>
    <row r="557" spans="1:7" ht="13.5" customHeight="1">
      <c r="A557" s="1975" t="s">
        <v>1556</v>
      </c>
      <c r="B557" s="1801"/>
      <c r="C557" s="424" t="s">
        <v>6</v>
      </c>
      <c r="D557" s="424" t="s">
        <v>1562</v>
      </c>
      <c r="E557" s="424" t="s">
        <v>7</v>
      </c>
      <c r="F557" s="424" t="s">
        <v>1559</v>
      </c>
      <c r="G557" s="438"/>
    </row>
    <row r="558" spans="1:7" ht="13.5" customHeight="1">
      <c r="A558" s="1981"/>
      <c r="B558" s="1967"/>
      <c r="C558" s="448"/>
      <c r="D558" s="449"/>
      <c r="E558" s="450"/>
      <c r="F558" s="431"/>
      <c r="G558" s="443"/>
    </row>
    <row r="559" spans="1:7" ht="13.5" customHeight="1">
      <c r="A559" s="1982"/>
      <c r="B559" s="1819"/>
      <c r="C559" s="448"/>
      <c r="D559" s="451"/>
      <c r="E559" s="452"/>
      <c r="F559" s="451"/>
      <c r="G559" s="447"/>
    </row>
    <row r="560" spans="1:7" ht="13.5" customHeight="1">
      <c r="A560" s="2003" t="s">
        <v>1560</v>
      </c>
      <c r="B560" s="1601"/>
      <c r="C560" s="1601"/>
      <c r="D560" s="1601"/>
      <c r="E560" s="1601"/>
      <c r="F560" s="1801"/>
      <c r="G560" s="436"/>
    </row>
    <row r="561" spans="1:7" ht="13.5" customHeight="1">
      <c r="A561" s="423" t="s">
        <v>1564</v>
      </c>
      <c r="B561" s="416"/>
      <c r="C561" s="416"/>
      <c r="D561" s="416"/>
      <c r="E561" s="416"/>
      <c r="F561" s="416"/>
      <c r="G561" s="437"/>
    </row>
    <row r="562" spans="1:7" ht="13.5" customHeight="1">
      <c r="A562" s="1975" t="s">
        <v>1565</v>
      </c>
      <c r="B562" s="1801"/>
      <c r="C562" s="424" t="s">
        <v>1566</v>
      </c>
      <c r="D562" s="424" t="s">
        <v>6</v>
      </c>
      <c r="E562" s="424" t="s">
        <v>7</v>
      </c>
      <c r="F562" s="424" t="s">
        <v>1559</v>
      </c>
      <c r="G562" s="462"/>
    </row>
    <row r="563" spans="1:7" ht="13.5" customHeight="1">
      <c r="A563" s="2004" t="str">
        <f>+'MANO DE OBRA'!$A$64</f>
        <v>Oficial (Incl. Prestaciones)</v>
      </c>
      <c r="B563" s="1888"/>
      <c r="C563" s="679">
        <f>+'MANO DE OBRA'!$E$64</f>
        <v>15031.25</v>
      </c>
      <c r="D563" s="680">
        <v>1</v>
      </c>
      <c r="E563" s="680">
        <v>0.211469859200313</v>
      </c>
      <c r="F563" s="694">
        <f t="shared" ref="F563:F564" si="39">+(C563*D563)/E563</f>
        <v>71079.869522974332</v>
      </c>
      <c r="G563" s="443"/>
    </row>
    <row r="564" spans="1:7" ht="13.5" customHeight="1">
      <c r="A564" s="1968" t="str">
        <f>+'MANO DE OBRA'!$A$65</f>
        <v>Ayudante (Incl. Prestaciones)</v>
      </c>
      <c r="B564" s="1819"/>
      <c r="C564" s="681">
        <f>+'MANO DE OBRA'!$E$65</f>
        <v>10972.8125</v>
      </c>
      <c r="D564" s="562">
        <v>2</v>
      </c>
      <c r="E564" s="562">
        <f>+E563</f>
        <v>0.211469859200313</v>
      </c>
      <c r="F564" s="695">
        <f t="shared" si="39"/>
        <v>103776.60950354252</v>
      </c>
      <c r="G564" s="456"/>
    </row>
    <row r="565" spans="1:7" ht="13.5" customHeight="1">
      <c r="A565" s="2003" t="str">
        <f>+A560</f>
        <v>SUB-TOTAL</v>
      </c>
      <c r="B565" s="1601"/>
      <c r="C565" s="1601"/>
      <c r="D565" s="1601"/>
      <c r="E565" s="1601"/>
      <c r="F565" s="1801"/>
      <c r="G565" s="436">
        <f>SUM(F563:F564)</f>
        <v>174856.47902651684</v>
      </c>
    </row>
    <row r="566" spans="1:7" ht="13.5" customHeight="1">
      <c r="A566" s="416"/>
      <c r="B566" s="416"/>
      <c r="C566" s="416"/>
      <c r="D566" s="416"/>
      <c r="E566" s="416"/>
      <c r="F566" s="458"/>
      <c r="G566" s="437"/>
    </row>
    <row r="567" spans="1:7" ht="13.5" customHeight="1">
      <c r="A567" s="2003" t="s">
        <v>1567</v>
      </c>
      <c r="B567" s="1601"/>
      <c r="C567" s="1601"/>
      <c r="D567" s="1601"/>
      <c r="E567" s="1601"/>
      <c r="F567" s="1801"/>
      <c r="G567" s="682">
        <f>ROUND(G546+G555+G560+G565,0)</f>
        <v>542992</v>
      </c>
    </row>
    <row r="568" spans="1:7" ht="13.5" customHeight="1">
      <c r="A568" s="465"/>
      <c r="B568" s="465"/>
      <c r="C568" s="465"/>
      <c r="D568" s="465"/>
      <c r="E568" s="465"/>
      <c r="F568" s="465"/>
      <c r="G568" s="705"/>
    </row>
    <row r="569" spans="1:7" ht="13.5" customHeight="1">
      <c r="A569" s="72" t="s">
        <v>271</v>
      </c>
      <c r="B569" s="363"/>
      <c r="C569" s="363"/>
      <c r="D569" s="1985" t="s">
        <v>272</v>
      </c>
      <c r="E569" s="1605"/>
      <c r="F569" s="363"/>
      <c r="G569" s="363"/>
    </row>
    <row r="570" spans="1:7" ht="13.5" customHeight="1">
      <c r="A570" s="1986"/>
      <c r="B570" s="1605"/>
      <c r="C570" s="1605"/>
      <c r="D570" s="1605"/>
    </row>
    <row r="571" spans="1:7" ht="13.5" customHeight="1">
      <c r="A571" s="123"/>
      <c r="B571" s="175"/>
      <c r="C571" s="123"/>
      <c r="D571" s="123"/>
    </row>
    <row r="572" spans="1:7" ht="13.5" customHeight="1"/>
    <row r="573" spans="1:7" ht="13.5" customHeight="1">
      <c r="A573" s="1895" t="s">
        <v>273</v>
      </c>
      <c r="B573" s="1605"/>
      <c r="C573" s="1605"/>
      <c r="D573" s="1895" t="s">
        <v>274</v>
      </c>
      <c r="E573" s="1605"/>
      <c r="F573" s="1605"/>
      <c r="G573" s="1605"/>
    </row>
    <row r="574" spans="1:7" ht="13.5" customHeight="1">
      <c r="A574" s="1890" t="s">
        <v>275</v>
      </c>
      <c r="B574" s="1605"/>
      <c r="C574" s="1605"/>
      <c r="D574" s="1890" t="s">
        <v>276</v>
      </c>
      <c r="E574" s="1605"/>
      <c r="F574" s="1605"/>
      <c r="G574" s="1605"/>
    </row>
    <row r="577" spans="1:4" ht="13.5" customHeight="1">
      <c r="A577" s="1986"/>
      <c r="B577" s="1605"/>
      <c r="C577" s="1605"/>
      <c r="D577" s="1605"/>
    </row>
  </sheetData>
  <mergeCells count="409">
    <mergeCell ref="A322:F322"/>
    <mergeCell ref="A324:F324"/>
    <mergeCell ref="D327:G328"/>
    <mergeCell ref="D330:G330"/>
    <mergeCell ref="A327:C328"/>
    <mergeCell ref="A330:C330"/>
    <mergeCell ref="A251:B251"/>
    <mergeCell ref="A252:B252"/>
    <mergeCell ref="A253:F253"/>
    <mergeCell ref="A255:B255"/>
    <mergeCell ref="A256:B256"/>
    <mergeCell ref="A257:B257"/>
    <mergeCell ref="A258:F258"/>
    <mergeCell ref="A260:F260"/>
    <mergeCell ref="A263:C264"/>
    <mergeCell ref="A315:B315"/>
    <mergeCell ref="A317:F317"/>
    <mergeCell ref="A307:B307"/>
    <mergeCell ref="A308:B308"/>
    <mergeCell ref="A309:B309"/>
    <mergeCell ref="A310:B310"/>
    <mergeCell ref="A311:B311"/>
    <mergeCell ref="A312:F312"/>
    <mergeCell ref="A314:B314"/>
    <mergeCell ref="A240:C240"/>
    <mergeCell ref="A241:F241"/>
    <mergeCell ref="A243:B243"/>
    <mergeCell ref="A244:B244"/>
    <mergeCell ref="A245:B245"/>
    <mergeCell ref="A246:B246"/>
    <mergeCell ref="A247:B247"/>
    <mergeCell ref="A248:F248"/>
    <mergeCell ref="A250:B250"/>
    <mergeCell ref="A340:B340"/>
    <mergeCell ref="A341:B341"/>
    <mergeCell ref="A342:B342"/>
    <mergeCell ref="A343:B343"/>
    <mergeCell ref="A278:B278"/>
    <mergeCell ref="A279:B279"/>
    <mergeCell ref="A280:F280"/>
    <mergeCell ref="A282:B282"/>
    <mergeCell ref="A283:B283"/>
    <mergeCell ref="A284:B284"/>
    <mergeCell ref="A285:F285"/>
    <mergeCell ref="A287:B287"/>
    <mergeCell ref="A288:B288"/>
    <mergeCell ref="A334:C334"/>
    <mergeCell ref="A335:C335"/>
    <mergeCell ref="A336:C336"/>
    <mergeCell ref="A337:F337"/>
    <mergeCell ref="A339:B339"/>
    <mergeCell ref="A316:B316"/>
    <mergeCell ref="A319:B319"/>
    <mergeCell ref="A320:B320"/>
    <mergeCell ref="A321:B321"/>
    <mergeCell ref="A304:C304"/>
    <mergeCell ref="A305:F305"/>
    <mergeCell ref="A489:B489"/>
    <mergeCell ref="A490:B490"/>
    <mergeCell ref="A491:F491"/>
    <mergeCell ref="A493:F493"/>
    <mergeCell ref="A496:C497"/>
    <mergeCell ref="D496:G497"/>
    <mergeCell ref="A435:C435"/>
    <mergeCell ref="A436:C436"/>
    <mergeCell ref="A437:C437"/>
    <mergeCell ref="A438:F438"/>
    <mergeCell ref="A440:B440"/>
    <mergeCell ref="A441:B441"/>
    <mergeCell ref="A442:B442"/>
    <mergeCell ref="A443:B443"/>
    <mergeCell ref="A444:B444"/>
    <mergeCell ref="A445:B445"/>
    <mergeCell ref="A446:B446"/>
    <mergeCell ref="A447:B447"/>
    <mergeCell ref="A448:F448"/>
    <mergeCell ref="A450:B450"/>
    <mergeCell ref="A451:B451"/>
    <mergeCell ref="A452:B452"/>
    <mergeCell ref="A453:F453"/>
    <mergeCell ref="A455:B455"/>
    <mergeCell ref="D499:G499"/>
    <mergeCell ref="A499:C499"/>
    <mergeCell ref="A503:C503"/>
    <mergeCell ref="A504:C504"/>
    <mergeCell ref="A505:C505"/>
    <mergeCell ref="A506:C506"/>
    <mergeCell ref="A507:F507"/>
    <mergeCell ref="A509:B509"/>
    <mergeCell ref="A518:B518"/>
    <mergeCell ref="A510:B510"/>
    <mergeCell ref="A511:B511"/>
    <mergeCell ref="A512:B512"/>
    <mergeCell ref="A513:B513"/>
    <mergeCell ref="A514:B514"/>
    <mergeCell ref="A515:B515"/>
    <mergeCell ref="A516:F516"/>
    <mergeCell ref="A519:B519"/>
    <mergeCell ref="A520:B520"/>
    <mergeCell ref="A521:F521"/>
    <mergeCell ref="A523:B523"/>
    <mergeCell ref="A524:B524"/>
    <mergeCell ref="A525:B525"/>
    <mergeCell ref="A526:F526"/>
    <mergeCell ref="A528:F528"/>
    <mergeCell ref="D529:E529"/>
    <mergeCell ref="A530:D530"/>
    <mergeCell ref="A533:C533"/>
    <mergeCell ref="D533:G533"/>
    <mergeCell ref="D534:G534"/>
    <mergeCell ref="A534:C534"/>
    <mergeCell ref="A536:C537"/>
    <mergeCell ref="D536:G537"/>
    <mergeCell ref="A539:C539"/>
    <mergeCell ref="D539:G539"/>
    <mergeCell ref="A543:C543"/>
    <mergeCell ref="A544:C544"/>
    <mergeCell ref="A545:C545"/>
    <mergeCell ref="A546:F546"/>
    <mergeCell ref="A548:B548"/>
    <mergeCell ref="A549:B549"/>
    <mergeCell ref="A550:B550"/>
    <mergeCell ref="A551:B551"/>
    <mergeCell ref="A552:B552"/>
    <mergeCell ref="A553:B553"/>
    <mergeCell ref="A554:B554"/>
    <mergeCell ref="A555:F555"/>
    <mergeCell ref="A557:B557"/>
    <mergeCell ref="A558:B558"/>
    <mergeCell ref="A559:B559"/>
    <mergeCell ref="A560:F560"/>
    <mergeCell ref="A573:C573"/>
    <mergeCell ref="D573:G573"/>
    <mergeCell ref="A574:C574"/>
    <mergeCell ref="D574:G574"/>
    <mergeCell ref="A577:D577"/>
    <mergeCell ref="A562:B562"/>
    <mergeCell ref="A563:B563"/>
    <mergeCell ref="A564:B564"/>
    <mergeCell ref="A565:F565"/>
    <mergeCell ref="A567:F567"/>
    <mergeCell ref="D569:E569"/>
    <mergeCell ref="A570:D570"/>
    <mergeCell ref="A456:B456"/>
    <mergeCell ref="A458:F458"/>
    <mergeCell ref="A460:F460"/>
    <mergeCell ref="A457:B457"/>
    <mergeCell ref="A463:C464"/>
    <mergeCell ref="D463:G464"/>
    <mergeCell ref="A466:C466"/>
    <mergeCell ref="D466:G466"/>
    <mergeCell ref="A470:C470"/>
    <mergeCell ref="A471:C471"/>
    <mergeCell ref="A472:C472"/>
    <mergeCell ref="A473:C473"/>
    <mergeCell ref="A474:F474"/>
    <mergeCell ref="A476:B476"/>
    <mergeCell ref="A477:B477"/>
    <mergeCell ref="A478:B478"/>
    <mergeCell ref="A479:B479"/>
    <mergeCell ref="A480:B480"/>
    <mergeCell ref="A481:F481"/>
    <mergeCell ref="A483:B483"/>
    <mergeCell ref="A484:B484"/>
    <mergeCell ref="A485:B485"/>
    <mergeCell ref="A486:F486"/>
    <mergeCell ref="A488:B488"/>
    <mergeCell ref="A7:C8"/>
    <mergeCell ref="A10:C10"/>
    <mergeCell ref="D10:G10"/>
    <mergeCell ref="A14:C14"/>
    <mergeCell ref="A15:C15"/>
    <mergeCell ref="A16:C16"/>
    <mergeCell ref="A17:F17"/>
    <mergeCell ref="A19:B19"/>
    <mergeCell ref="A20:B20"/>
    <mergeCell ref="A21:B21"/>
    <mergeCell ref="A22:B22"/>
    <mergeCell ref="A23:B23"/>
    <mergeCell ref="A24:F24"/>
    <mergeCell ref="A26:B26"/>
    <mergeCell ref="A27:B27"/>
    <mergeCell ref="A28:B28"/>
    <mergeCell ref="A29:F29"/>
    <mergeCell ref="A31:B31"/>
    <mergeCell ref="A32:B32"/>
    <mergeCell ref="A34:F34"/>
    <mergeCell ref="A36:F36"/>
    <mergeCell ref="A33:B33"/>
    <mergeCell ref="A39:C40"/>
    <mergeCell ref="D39:G40"/>
    <mergeCell ref="A42:C42"/>
    <mergeCell ref="D42:G42"/>
    <mergeCell ref="A46:C46"/>
    <mergeCell ref="A47:C47"/>
    <mergeCell ref="A55:B55"/>
    <mergeCell ref="A58:B58"/>
    <mergeCell ref="A59:B59"/>
    <mergeCell ref="A60:B60"/>
    <mergeCell ref="A63:B63"/>
    <mergeCell ref="A64:B64"/>
    <mergeCell ref="A65:B65"/>
    <mergeCell ref="A48:C48"/>
    <mergeCell ref="A49:F49"/>
    <mergeCell ref="A51:B51"/>
    <mergeCell ref="A52:B52"/>
    <mergeCell ref="A53:B53"/>
    <mergeCell ref="A54:B54"/>
    <mergeCell ref="A56:F56"/>
    <mergeCell ref="A61:F61"/>
    <mergeCell ref="A66:F66"/>
    <mergeCell ref="A68:F68"/>
    <mergeCell ref="A71:C72"/>
    <mergeCell ref="A74:C74"/>
    <mergeCell ref="D74:G74"/>
    <mergeCell ref="A78:C78"/>
    <mergeCell ref="A138:C138"/>
    <mergeCell ref="A142:C142"/>
    <mergeCell ref="A143:C143"/>
    <mergeCell ref="A111:C111"/>
    <mergeCell ref="A112:C112"/>
    <mergeCell ref="A113:F113"/>
    <mergeCell ref="A115:B115"/>
    <mergeCell ref="A116:B116"/>
    <mergeCell ref="A117:B117"/>
    <mergeCell ref="A118:B118"/>
    <mergeCell ref="A119:B119"/>
    <mergeCell ref="A120:F120"/>
    <mergeCell ref="A122:B122"/>
    <mergeCell ref="A123:B123"/>
    <mergeCell ref="A124:B124"/>
    <mergeCell ref="A125:F125"/>
    <mergeCell ref="A127:B127"/>
    <mergeCell ref="A128:B128"/>
    <mergeCell ref="A103:C104"/>
    <mergeCell ref="A106:C106"/>
    <mergeCell ref="D106:G106"/>
    <mergeCell ref="A110:C110"/>
    <mergeCell ref="A144:C144"/>
    <mergeCell ref="A145:F145"/>
    <mergeCell ref="A147:B147"/>
    <mergeCell ref="A148:B148"/>
    <mergeCell ref="A149:B149"/>
    <mergeCell ref="A129:B129"/>
    <mergeCell ref="A130:F130"/>
    <mergeCell ref="A132:F132"/>
    <mergeCell ref="A135:C136"/>
    <mergeCell ref="D138:G138"/>
    <mergeCell ref="A90:B90"/>
    <mergeCell ref="A91:B91"/>
    <mergeCell ref="A92:B92"/>
    <mergeCell ref="A93:F93"/>
    <mergeCell ref="A95:B95"/>
    <mergeCell ref="A96:B96"/>
    <mergeCell ref="A97:B97"/>
    <mergeCell ref="A98:F98"/>
    <mergeCell ref="A100:F100"/>
    <mergeCell ref="A79:C79"/>
    <mergeCell ref="A80:C80"/>
    <mergeCell ref="A81:F81"/>
    <mergeCell ref="A83:B83"/>
    <mergeCell ref="A84:B84"/>
    <mergeCell ref="A85:B85"/>
    <mergeCell ref="A86:B86"/>
    <mergeCell ref="A87:B87"/>
    <mergeCell ref="A88:F88"/>
    <mergeCell ref="A156:B156"/>
    <mergeCell ref="A159:B159"/>
    <mergeCell ref="A160:B160"/>
    <mergeCell ref="A161:B161"/>
    <mergeCell ref="A155:B155"/>
    <mergeCell ref="A157:F157"/>
    <mergeCell ref="A150:B150"/>
    <mergeCell ref="A151:B151"/>
    <mergeCell ref="A152:F152"/>
    <mergeCell ref="A154:B154"/>
    <mergeCell ref="A162:F162"/>
    <mergeCell ref="A164:F164"/>
    <mergeCell ref="A167:C168"/>
    <mergeCell ref="A170:C170"/>
    <mergeCell ref="D170:G170"/>
    <mergeCell ref="A174:C174"/>
    <mergeCell ref="A175:C175"/>
    <mergeCell ref="A176:C176"/>
    <mergeCell ref="A177:F177"/>
    <mergeCell ref="A179:B179"/>
    <mergeCell ref="A180:B180"/>
    <mergeCell ref="A181:B181"/>
    <mergeCell ref="A182:B182"/>
    <mergeCell ref="A183:B183"/>
    <mergeCell ref="A184:F184"/>
    <mergeCell ref="A186:B186"/>
    <mergeCell ref="A187:B187"/>
    <mergeCell ref="A188:B188"/>
    <mergeCell ref="A189:F189"/>
    <mergeCell ref="A191:B191"/>
    <mergeCell ref="A192:B192"/>
    <mergeCell ref="A193:B193"/>
    <mergeCell ref="A194:F194"/>
    <mergeCell ref="A196:F196"/>
    <mergeCell ref="A199:C200"/>
    <mergeCell ref="D199:G200"/>
    <mergeCell ref="A202:C202"/>
    <mergeCell ref="D202:G202"/>
    <mergeCell ref="A206:C206"/>
    <mergeCell ref="A207:C207"/>
    <mergeCell ref="A209:F209"/>
    <mergeCell ref="A208:C208"/>
    <mergeCell ref="A211:B211"/>
    <mergeCell ref="A212:B212"/>
    <mergeCell ref="A213:B213"/>
    <mergeCell ref="A214:B214"/>
    <mergeCell ref="A215:B215"/>
    <mergeCell ref="A216:F216"/>
    <mergeCell ref="A218:B218"/>
    <mergeCell ref="A219:B219"/>
    <mergeCell ref="A220:B220"/>
    <mergeCell ref="A221:F221"/>
    <mergeCell ref="A223:B223"/>
    <mergeCell ref="A224:B224"/>
    <mergeCell ref="A225:B225"/>
    <mergeCell ref="A226:F226"/>
    <mergeCell ref="A228:F228"/>
    <mergeCell ref="A231:C231"/>
    <mergeCell ref="A232:C232"/>
    <mergeCell ref="A234:C234"/>
    <mergeCell ref="D234:G234"/>
    <mergeCell ref="A238:C238"/>
    <mergeCell ref="A298:C298"/>
    <mergeCell ref="A302:C302"/>
    <mergeCell ref="A303:C303"/>
    <mergeCell ref="A289:B289"/>
    <mergeCell ref="A290:F290"/>
    <mergeCell ref="A292:F292"/>
    <mergeCell ref="A295:C296"/>
    <mergeCell ref="D298:G298"/>
    <mergeCell ref="A266:C266"/>
    <mergeCell ref="D266:G266"/>
    <mergeCell ref="A270:C270"/>
    <mergeCell ref="A271:C271"/>
    <mergeCell ref="A272:C272"/>
    <mergeCell ref="A273:F273"/>
    <mergeCell ref="A275:B275"/>
    <mergeCell ref="A276:B276"/>
    <mergeCell ref="A277:B277"/>
    <mergeCell ref="A239:C239"/>
    <mergeCell ref="A344:F344"/>
    <mergeCell ref="A346:B346"/>
    <mergeCell ref="A347:B347"/>
    <mergeCell ref="A348:B348"/>
    <mergeCell ref="A349:F349"/>
    <mergeCell ref="A351:B351"/>
    <mergeCell ref="A352:B352"/>
    <mergeCell ref="A353:B353"/>
    <mergeCell ref="A354:F354"/>
    <mergeCell ref="A356:F356"/>
    <mergeCell ref="A371:B371"/>
    <mergeCell ref="A372:B372"/>
    <mergeCell ref="A373:B373"/>
    <mergeCell ref="A374:B374"/>
    <mergeCell ref="A375:B375"/>
    <mergeCell ref="A376:F376"/>
    <mergeCell ref="A378:B378"/>
    <mergeCell ref="A379:B379"/>
    <mergeCell ref="A367:C367"/>
    <mergeCell ref="A368:C368"/>
    <mergeCell ref="A369:F369"/>
    <mergeCell ref="A359:C360"/>
    <mergeCell ref="A362:C362"/>
    <mergeCell ref="D362:G362"/>
    <mergeCell ref="A366:C366"/>
    <mergeCell ref="A380:B380"/>
    <mergeCell ref="A381:F381"/>
    <mergeCell ref="A383:B383"/>
    <mergeCell ref="A384:B384"/>
    <mergeCell ref="A386:F386"/>
    <mergeCell ref="A388:F388"/>
    <mergeCell ref="A385:B385"/>
    <mergeCell ref="A391:C392"/>
    <mergeCell ref="A394:C394"/>
    <mergeCell ref="D394:G394"/>
    <mergeCell ref="A398:C398"/>
    <mergeCell ref="A399:C399"/>
    <mergeCell ref="A400:C400"/>
    <mergeCell ref="A401:C401"/>
    <mergeCell ref="A402:F402"/>
    <mergeCell ref="A404:B404"/>
    <mergeCell ref="A405:B405"/>
    <mergeCell ref="A406:B406"/>
    <mergeCell ref="A407:B407"/>
    <mergeCell ref="A422:F422"/>
    <mergeCell ref="A424:F424"/>
    <mergeCell ref="A427:C428"/>
    <mergeCell ref="D427:G428"/>
    <mergeCell ref="A430:C430"/>
    <mergeCell ref="D430:G430"/>
    <mergeCell ref="A434:C434"/>
    <mergeCell ref="A408:B408"/>
    <mergeCell ref="A416:B416"/>
    <mergeCell ref="A419:B419"/>
    <mergeCell ref="A420:B420"/>
    <mergeCell ref="A421:B421"/>
    <mergeCell ref="A409:B409"/>
    <mergeCell ref="A410:B410"/>
    <mergeCell ref="A411:B411"/>
    <mergeCell ref="A412:F412"/>
    <mergeCell ref="A414:B414"/>
    <mergeCell ref="A415:B415"/>
    <mergeCell ref="A417:F417"/>
  </mergeCells>
  <printOptions horizontalCentered="1"/>
  <pageMargins left="0.6692913385826772" right="0.55118110236220474" top="0.74803149606299213" bottom="1.5354330708661419" header="0" footer="0"/>
  <pageSetup orientation="portrait"/>
  <rowBreaks count="1" manualBreakCount="1">
    <brk id="534" man="1"/>
  </rowBreaks>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7:I1365"/>
  <sheetViews>
    <sheetView workbookViewId="0">
      <pane ySplit="5" topLeftCell="A543" activePane="bottomLeft" state="frozen"/>
      <selection pane="bottomLeft" activeCell="M1082" sqref="M1082"/>
    </sheetView>
  </sheetViews>
  <sheetFormatPr baseColWidth="10" defaultColWidth="14.44140625" defaultRowHeight="15" customHeight="1"/>
  <cols>
    <col min="1" max="1" width="19.88671875" customWidth="1"/>
    <col min="2" max="2" width="12.33203125" customWidth="1"/>
    <col min="3" max="3" width="12" customWidth="1"/>
    <col min="4" max="4" width="12.33203125" customWidth="1"/>
    <col min="5" max="5" width="9.6640625" customWidth="1"/>
    <col min="6" max="6" width="10.33203125" customWidth="1"/>
    <col min="7" max="7" width="10.6640625" customWidth="1"/>
    <col min="8" max="8" width="11.44140625" customWidth="1"/>
    <col min="9" max="9" width="13.88671875" customWidth="1"/>
    <col min="10" max="26" width="8.88671875" customWidth="1"/>
  </cols>
  <sheetData>
    <row r="7" spans="1:7" ht="27" hidden="1" customHeight="1">
      <c r="A7" s="2005" t="s">
        <v>1604</v>
      </c>
      <c r="B7" s="1616"/>
      <c r="C7" s="1624"/>
      <c r="D7" s="567"/>
      <c r="E7" s="567"/>
      <c r="F7" s="567"/>
      <c r="G7" s="668"/>
    </row>
    <row r="8" spans="1:7" ht="24" hidden="1" customHeight="1">
      <c r="A8" s="1971"/>
      <c r="B8" s="1817"/>
      <c r="C8" s="1972"/>
      <c r="D8" s="669"/>
      <c r="E8" s="669"/>
      <c r="F8" s="669"/>
      <c r="G8" s="670"/>
    </row>
    <row r="9" spans="1:7" ht="14.25" hidden="1" customHeight="1">
      <c r="A9" s="618"/>
      <c r="B9" s="618"/>
      <c r="C9" s="618"/>
      <c r="D9" s="618"/>
      <c r="E9" s="618"/>
      <c r="F9" s="618"/>
      <c r="G9" s="618"/>
    </row>
    <row r="10" spans="1:7" ht="30.75" hidden="1" customHeight="1">
      <c r="A10" s="1973" t="s">
        <v>1646</v>
      </c>
      <c r="B10" s="1601"/>
      <c r="C10" s="1602"/>
      <c r="D10" s="1974" t="s">
        <v>1688</v>
      </c>
      <c r="E10" s="1601"/>
      <c r="F10" s="1601"/>
      <c r="G10" s="1602"/>
    </row>
    <row r="11" spans="1:7" ht="14.25" hidden="1" customHeight="1">
      <c r="A11" s="620"/>
      <c r="B11" s="620"/>
      <c r="C11" s="620"/>
      <c r="D11" s="620"/>
      <c r="E11" s="620"/>
      <c r="F11" s="620"/>
      <c r="G11" s="620"/>
    </row>
    <row r="12" spans="1:7" ht="12.75" hidden="1" customHeight="1">
      <c r="A12" s="572"/>
      <c r="B12" s="618"/>
      <c r="C12" s="616"/>
      <c r="D12" s="421" t="s">
        <v>1553</v>
      </c>
      <c r="E12" s="422" t="s">
        <v>228</v>
      </c>
      <c r="F12" s="572"/>
      <c r="G12" s="572"/>
    </row>
    <row r="13" spans="1:7" ht="14.25" hidden="1" customHeight="1">
      <c r="A13" s="621" t="s">
        <v>1555</v>
      </c>
      <c r="B13" s="618"/>
      <c r="C13" s="618"/>
      <c r="D13" s="618"/>
      <c r="E13" s="618"/>
      <c r="F13" s="618"/>
      <c r="G13" s="618"/>
    </row>
    <row r="14" spans="1:7" ht="13.5" hidden="1" customHeight="1">
      <c r="A14" s="1975" t="s">
        <v>1556</v>
      </c>
      <c r="B14" s="1601"/>
      <c r="C14" s="1801"/>
      <c r="D14" s="424" t="s">
        <v>208</v>
      </c>
      <c r="E14" s="424" t="s">
        <v>1558</v>
      </c>
      <c r="F14" s="424" t="s">
        <v>1559</v>
      </c>
      <c r="G14" s="425"/>
    </row>
    <row r="15" spans="1:7" ht="14.25" hidden="1" customHeight="1">
      <c r="A15" s="1987" t="s">
        <v>1689</v>
      </c>
      <c r="B15" s="1811"/>
      <c r="C15" s="1967"/>
      <c r="D15" s="675">
        <v>2062.5</v>
      </c>
      <c r="E15" s="687">
        <f>+E32</f>
        <v>0.41</v>
      </c>
      <c r="F15" s="442">
        <f t="shared" ref="F15:F16" si="0">+E15*D15</f>
        <v>845.625</v>
      </c>
      <c r="G15" s="688"/>
    </row>
    <row r="16" spans="1:7" ht="14.25" hidden="1" customHeight="1">
      <c r="A16" s="1996" t="s">
        <v>1690</v>
      </c>
      <c r="B16" s="1807"/>
      <c r="C16" s="1819"/>
      <c r="D16" s="434">
        <v>1500</v>
      </c>
      <c r="E16" s="433">
        <v>0.6</v>
      </c>
      <c r="F16" s="700">
        <f t="shared" si="0"/>
        <v>900</v>
      </c>
      <c r="G16" s="435"/>
    </row>
    <row r="17" spans="1:7" ht="14.25" hidden="1" customHeight="1">
      <c r="A17" s="2015" t="s">
        <v>1560</v>
      </c>
      <c r="B17" s="1601"/>
      <c r="C17" s="1601"/>
      <c r="D17" s="1601"/>
      <c r="E17" s="1601"/>
      <c r="F17" s="1801"/>
      <c r="G17" s="462">
        <f>SUM(F15:F16)</f>
        <v>1745.625</v>
      </c>
    </row>
    <row r="18" spans="1:7" ht="14.25" hidden="1" customHeight="1">
      <c r="A18" s="621" t="s">
        <v>1561</v>
      </c>
      <c r="B18" s="618"/>
      <c r="C18" s="618"/>
      <c r="D18" s="618"/>
      <c r="E18" s="618"/>
      <c r="F18" s="618"/>
      <c r="G18" s="743"/>
    </row>
    <row r="19" spans="1:7" ht="14.25" hidden="1" customHeight="1">
      <c r="A19" s="1975" t="s">
        <v>1556</v>
      </c>
      <c r="B19" s="1801"/>
      <c r="C19" s="424" t="s">
        <v>6</v>
      </c>
      <c r="D19" s="424" t="s">
        <v>1562</v>
      </c>
      <c r="E19" s="424" t="s">
        <v>7</v>
      </c>
      <c r="F19" s="424" t="s">
        <v>1559</v>
      </c>
      <c r="G19" s="673"/>
    </row>
    <row r="20" spans="1:7" ht="14.25" hidden="1" customHeight="1">
      <c r="A20" s="1987" t="s">
        <v>1691</v>
      </c>
      <c r="B20" s="1967"/>
      <c r="C20" s="674" t="s">
        <v>127</v>
      </c>
      <c r="D20" s="675">
        <v>23000</v>
      </c>
      <c r="E20" s="687">
        <v>1.05</v>
      </c>
      <c r="F20" s="442">
        <f t="shared" ref="F20:F23" si="1">+E20*D20</f>
        <v>24150</v>
      </c>
      <c r="G20" s="676"/>
    </row>
    <row r="21" spans="1:7" ht="14.25" hidden="1" customHeight="1">
      <c r="A21" s="1995" t="s">
        <v>1692</v>
      </c>
      <c r="B21" s="1611"/>
      <c r="C21" s="444" t="s">
        <v>171</v>
      </c>
      <c r="D21" s="464">
        <v>25000</v>
      </c>
      <c r="E21" s="706">
        <v>0.01</v>
      </c>
      <c r="F21" s="440">
        <f t="shared" si="1"/>
        <v>250</v>
      </c>
      <c r="G21" s="707"/>
    </row>
    <row r="22" spans="1:7" ht="14.25" hidden="1" customHeight="1">
      <c r="A22" s="1995" t="s">
        <v>1693</v>
      </c>
      <c r="B22" s="1611"/>
      <c r="C22" s="444" t="s">
        <v>127</v>
      </c>
      <c r="D22" s="464">
        <v>100</v>
      </c>
      <c r="E22" s="706">
        <v>1</v>
      </c>
      <c r="F22" s="440">
        <f t="shared" si="1"/>
        <v>100</v>
      </c>
      <c r="G22" s="707"/>
    </row>
    <row r="23" spans="1:7" ht="14.25" hidden="1" customHeight="1">
      <c r="A23" s="1996" t="s">
        <v>1694</v>
      </c>
      <c r="B23" s="1819"/>
      <c r="C23" s="708" t="s">
        <v>127</v>
      </c>
      <c r="D23" s="434">
        <v>350</v>
      </c>
      <c r="E23" s="433">
        <v>2</v>
      </c>
      <c r="F23" s="700">
        <f t="shared" si="1"/>
        <v>700</v>
      </c>
      <c r="G23" s="709"/>
    </row>
    <row r="24" spans="1:7" ht="14.25" hidden="1" customHeight="1">
      <c r="A24" s="2015" t="s">
        <v>1560</v>
      </c>
      <c r="B24" s="1601"/>
      <c r="C24" s="1601"/>
      <c r="D24" s="1601"/>
      <c r="E24" s="1601"/>
      <c r="F24" s="1801"/>
      <c r="G24" s="462">
        <f>SUM(F20:F23)</f>
        <v>25200</v>
      </c>
    </row>
    <row r="25" spans="1:7" ht="14.25" hidden="1" customHeight="1">
      <c r="A25" s="621" t="s">
        <v>1563</v>
      </c>
      <c r="B25" s="618"/>
      <c r="C25" s="618"/>
      <c r="D25" s="618"/>
      <c r="E25" s="618"/>
      <c r="F25" s="618"/>
      <c r="G25" s="743"/>
    </row>
    <row r="26" spans="1:7" ht="14.25" hidden="1" customHeight="1">
      <c r="A26" s="1975" t="s">
        <v>1556</v>
      </c>
      <c r="B26" s="1801"/>
      <c r="C26" s="424" t="s">
        <v>6</v>
      </c>
      <c r="D26" s="424" t="s">
        <v>1562</v>
      </c>
      <c r="E26" s="424" t="s">
        <v>7</v>
      </c>
      <c r="F26" s="424" t="s">
        <v>1559</v>
      </c>
      <c r="G26" s="438"/>
    </row>
    <row r="27" spans="1:7" ht="14.25" hidden="1" customHeight="1">
      <c r="A27" s="1987"/>
      <c r="B27" s="1967"/>
      <c r="C27" s="744"/>
      <c r="D27" s="675"/>
      <c r="E27" s="745"/>
      <c r="F27" s="464"/>
      <c r="G27" s="676"/>
    </row>
    <row r="28" spans="1:7" ht="14.25" hidden="1" customHeight="1">
      <c r="A28" s="1996"/>
      <c r="B28" s="1819"/>
      <c r="C28" s="744"/>
      <c r="D28" s="434"/>
      <c r="E28" s="746"/>
      <c r="F28" s="434"/>
      <c r="G28" s="457"/>
    </row>
    <row r="29" spans="1:7" ht="14.25" hidden="1" customHeight="1">
      <c r="A29" s="2015" t="s">
        <v>1560</v>
      </c>
      <c r="B29" s="1601"/>
      <c r="C29" s="1601"/>
      <c r="D29" s="1601"/>
      <c r="E29" s="1601"/>
      <c r="F29" s="1801"/>
      <c r="G29" s="462"/>
    </row>
    <row r="30" spans="1:7" ht="14.25" hidden="1" customHeight="1">
      <c r="A30" s="621" t="s">
        <v>1564</v>
      </c>
      <c r="B30" s="618"/>
      <c r="C30" s="618"/>
      <c r="D30" s="618"/>
      <c r="E30" s="618"/>
      <c r="F30" s="618"/>
      <c r="G30" s="743"/>
    </row>
    <row r="31" spans="1:7" ht="14.25" hidden="1" customHeight="1">
      <c r="A31" s="1975" t="s">
        <v>1565</v>
      </c>
      <c r="B31" s="1801"/>
      <c r="C31" s="424" t="s">
        <v>1566</v>
      </c>
      <c r="D31" s="424" t="s">
        <v>6</v>
      </c>
      <c r="E31" s="424" t="s">
        <v>7</v>
      </c>
      <c r="F31" s="424" t="s">
        <v>1559</v>
      </c>
      <c r="G31" s="462"/>
    </row>
    <row r="32" spans="1:7" ht="14.25" hidden="1" customHeight="1">
      <c r="A32" s="2004" t="s">
        <v>1574</v>
      </c>
      <c r="B32" s="1888"/>
      <c r="C32" s="679">
        <v>7410.9600847008996</v>
      </c>
      <c r="D32" s="680">
        <v>1</v>
      </c>
      <c r="E32" s="680">
        <v>0.41</v>
      </c>
      <c r="F32" s="694">
        <f t="shared" ref="F32:F33" si="2">+(C32*D32)*E32</f>
        <v>3038.4936347273688</v>
      </c>
      <c r="G32" s="676"/>
    </row>
    <row r="33" spans="1:7" ht="14.25" hidden="1" customHeight="1">
      <c r="A33" s="1984" t="s">
        <v>1576</v>
      </c>
      <c r="B33" s="1819"/>
      <c r="C33" s="747">
        <v>4374.7823749999998</v>
      </c>
      <c r="D33" s="614">
        <v>1</v>
      </c>
      <c r="E33" s="614">
        <f>+E32</f>
        <v>0.41</v>
      </c>
      <c r="F33" s="455">
        <f t="shared" si="2"/>
        <v>1793.6607737499999</v>
      </c>
      <c r="G33" s="709"/>
    </row>
    <row r="34" spans="1:7" ht="14.25" hidden="1" customHeight="1">
      <c r="A34" s="2015" t="str">
        <f>+A29</f>
        <v>SUB-TOTAL</v>
      </c>
      <c r="B34" s="1601"/>
      <c r="C34" s="1601"/>
      <c r="D34" s="1601"/>
      <c r="E34" s="1601"/>
      <c r="F34" s="1801"/>
      <c r="G34" s="462">
        <f>SUM(F32:F33)</f>
        <v>4832.1544084773686</v>
      </c>
    </row>
    <row r="35" spans="1:7" ht="11.25" hidden="1" customHeight="1">
      <c r="A35" s="618"/>
      <c r="B35" s="618"/>
      <c r="C35" s="618"/>
      <c r="D35" s="618"/>
      <c r="E35" s="618"/>
      <c r="F35" s="748"/>
      <c r="G35" s="743"/>
    </row>
    <row r="36" spans="1:7" ht="14.25" hidden="1" customHeight="1">
      <c r="A36" s="2015" t="s">
        <v>1567</v>
      </c>
      <c r="B36" s="1601"/>
      <c r="C36" s="1601"/>
      <c r="D36" s="1601"/>
      <c r="E36" s="1601"/>
      <c r="F36" s="1801"/>
      <c r="G36" s="459">
        <f>ROUND(G17+G24+G29+G34,0)</f>
        <v>31778</v>
      </c>
    </row>
    <row r="37" spans="1:7" ht="14.25" hidden="1" customHeight="1">
      <c r="A37" s="616"/>
      <c r="B37" s="616"/>
      <c r="C37" s="616"/>
      <c r="D37" s="616"/>
      <c r="E37" s="616"/>
      <c r="F37" s="616"/>
      <c r="G37" s="616"/>
    </row>
    <row r="38" spans="1:7" ht="14.25" hidden="1" customHeight="1">
      <c r="A38" s="616"/>
      <c r="B38" s="616"/>
      <c r="C38" s="616"/>
      <c r="D38" s="616"/>
      <c r="E38" s="616"/>
      <c r="F38" s="616"/>
      <c r="G38" s="616"/>
    </row>
    <row r="39" spans="1:7" ht="27" hidden="1" customHeight="1">
      <c r="A39" s="2005" t="s">
        <v>1604</v>
      </c>
      <c r="B39" s="1616"/>
      <c r="C39" s="1624"/>
      <c r="D39" s="567"/>
      <c r="E39" s="567"/>
      <c r="F39" s="567"/>
      <c r="G39" s="668"/>
    </row>
    <row r="40" spans="1:7" ht="24" hidden="1" customHeight="1">
      <c r="A40" s="1971"/>
      <c r="B40" s="1817"/>
      <c r="C40" s="1972"/>
      <c r="D40" s="669"/>
      <c r="E40" s="669"/>
      <c r="F40" s="669"/>
      <c r="G40" s="670"/>
    </row>
    <row r="41" spans="1:7" ht="14.25" hidden="1" customHeight="1">
      <c r="A41" s="618"/>
      <c r="B41" s="618"/>
      <c r="C41" s="618"/>
      <c r="D41" s="618"/>
      <c r="E41" s="618"/>
      <c r="F41" s="618"/>
      <c r="G41" s="618"/>
    </row>
    <row r="42" spans="1:7" ht="30.75" hidden="1" customHeight="1">
      <c r="A42" s="1973" t="str">
        <f>A10</f>
        <v>PRECIOS UNITARIOS OFICIALES 2014</v>
      </c>
      <c r="B42" s="1601"/>
      <c r="C42" s="1602"/>
      <c r="D42" s="1974" t="s">
        <v>1695</v>
      </c>
      <c r="E42" s="1601"/>
      <c r="F42" s="1601"/>
      <c r="G42" s="1602"/>
    </row>
    <row r="43" spans="1:7" ht="14.25" hidden="1" customHeight="1">
      <c r="A43" s="620"/>
      <c r="B43" s="620"/>
      <c r="C43" s="620"/>
      <c r="D43" s="620"/>
      <c r="E43" s="620"/>
      <c r="F43" s="620"/>
      <c r="G43" s="620"/>
    </row>
    <row r="44" spans="1:7" ht="12.75" hidden="1" customHeight="1">
      <c r="A44" s="572"/>
      <c r="B44" s="618"/>
      <c r="C44" s="616"/>
      <c r="D44" s="421" t="s">
        <v>1553</v>
      </c>
      <c r="E44" s="422" t="s">
        <v>228</v>
      </c>
      <c r="F44" s="572"/>
      <c r="G44" s="572"/>
    </row>
    <row r="45" spans="1:7" ht="14.25" hidden="1" customHeight="1">
      <c r="A45" s="621" t="s">
        <v>1555</v>
      </c>
      <c r="B45" s="618"/>
      <c r="C45" s="618"/>
      <c r="D45" s="618"/>
      <c r="E45" s="618"/>
      <c r="F45" s="618"/>
      <c r="G45" s="618"/>
    </row>
    <row r="46" spans="1:7" ht="13.5" hidden="1" customHeight="1">
      <c r="A46" s="1975" t="s">
        <v>1556</v>
      </c>
      <c r="B46" s="1601"/>
      <c r="C46" s="1801"/>
      <c r="D46" s="424" t="s">
        <v>208</v>
      </c>
      <c r="E46" s="424" t="s">
        <v>1558</v>
      </c>
      <c r="F46" s="424" t="s">
        <v>1559</v>
      </c>
      <c r="G46" s="425"/>
    </row>
    <row r="47" spans="1:7" ht="14.25" hidden="1" customHeight="1">
      <c r="A47" s="1987" t="s">
        <v>1689</v>
      </c>
      <c r="B47" s="1811"/>
      <c r="C47" s="1967"/>
      <c r="D47" s="675">
        <v>2062.5</v>
      </c>
      <c r="E47" s="687">
        <f>+E64</f>
        <v>0.7</v>
      </c>
      <c r="F47" s="442">
        <f t="shared" ref="F47:F48" si="3">+E47*D47</f>
        <v>1443.75</v>
      </c>
      <c r="G47" s="688"/>
    </row>
    <row r="48" spans="1:7" ht="13.5" hidden="1" customHeight="1">
      <c r="A48" s="1996" t="s">
        <v>1690</v>
      </c>
      <c r="B48" s="1807"/>
      <c r="C48" s="1819"/>
      <c r="D48" s="434">
        <v>1500</v>
      </c>
      <c r="E48" s="433">
        <v>0.6</v>
      </c>
      <c r="F48" s="700">
        <f t="shared" si="3"/>
        <v>900</v>
      </c>
      <c r="G48" s="435"/>
    </row>
    <row r="49" spans="1:7" ht="14.25" hidden="1" customHeight="1">
      <c r="A49" s="2015" t="s">
        <v>1560</v>
      </c>
      <c r="B49" s="1601"/>
      <c r="C49" s="1601"/>
      <c r="D49" s="1601"/>
      <c r="E49" s="1601"/>
      <c r="F49" s="1801"/>
      <c r="G49" s="462">
        <f>SUM(F47:F48)</f>
        <v>2343.75</v>
      </c>
    </row>
    <row r="50" spans="1:7" ht="14.25" hidden="1" customHeight="1">
      <c r="A50" s="621" t="s">
        <v>1561</v>
      </c>
      <c r="B50" s="618"/>
      <c r="C50" s="618"/>
      <c r="D50" s="618"/>
      <c r="E50" s="618"/>
      <c r="F50" s="618"/>
      <c r="G50" s="743"/>
    </row>
    <row r="51" spans="1:7" ht="14.25" hidden="1" customHeight="1">
      <c r="A51" s="1975" t="s">
        <v>1556</v>
      </c>
      <c r="B51" s="1801"/>
      <c r="C51" s="424" t="s">
        <v>6</v>
      </c>
      <c r="D51" s="424" t="s">
        <v>1562</v>
      </c>
      <c r="E51" s="424" t="s">
        <v>7</v>
      </c>
      <c r="F51" s="424" t="s">
        <v>1559</v>
      </c>
      <c r="G51" s="673"/>
    </row>
    <row r="52" spans="1:7" ht="12.75" hidden="1" customHeight="1">
      <c r="A52" s="1987" t="s">
        <v>1691</v>
      </c>
      <c r="B52" s="1967"/>
      <c r="C52" s="674" t="s">
        <v>127</v>
      </c>
      <c r="D52" s="675">
        <v>23000</v>
      </c>
      <c r="E52" s="687">
        <v>1.05</v>
      </c>
      <c r="F52" s="442">
        <f t="shared" ref="F52:F55" si="4">+E52*D52</f>
        <v>24150</v>
      </c>
      <c r="G52" s="676"/>
    </row>
    <row r="53" spans="1:7" ht="14.25" hidden="1" customHeight="1">
      <c r="A53" s="1995" t="s">
        <v>1696</v>
      </c>
      <c r="B53" s="1611"/>
      <c r="C53" s="444" t="s">
        <v>120</v>
      </c>
      <c r="D53" s="464">
        <v>11150</v>
      </c>
      <c r="E53" s="749">
        <v>1.28</v>
      </c>
      <c r="F53" s="440">
        <f t="shared" si="4"/>
        <v>14272</v>
      </c>
      <c r="G53" s="707"/>
    </row>
    <row r="54" spans="1:7" ht="14.25" hidden="1" customHeight="1">
      <c r="A54" s="1995" t="s">
        <v>1693</v>
      </c>
      <c r="B54" s="1611"/>
      <c r="C54" s="444" t="s">
        <v>127</v>
      </c>
      <c r="D54" s="464">
        <v>100</v>
      </c>
      <c r="E54" s="706">
        <v>1</v>
      </c>
      <c r="F54" s="440">
        <f t="shared" si="4"/>
        <v>100</v>
      </c>
      <c r="G54" s="707"/>
    </row>
    <row r="55" spans="1:7" ht="14.25" hidden="1" customHeight="1">
      <c r="A55" s="1996" t="s">
        <v>1694</v>
      </c>
      <c r="B55" s="1819"/>
      <c r="C55" s="708" t="s">
        <v>127</v>
      </c>
      <c r="D55" s="434">
        <v>350</v>
      </c>
      <c r="E55" s="708">
        <v>2</v>
      </c>
      <c r="F55" s="700">
        <f t="shared" si="4"/>
        <v>700</v>
      </c>
      <c r="G55" s="709"/>
    </row>
    <row r="56" spans="1:7" ht="14.25" hidden="1" customHeight="1">
      <c r="A56" s="2015" t="s">
        <v>1560</v>
      </c>
      <c r="B56" s="1601"/>
      <c r="C56" s="1601"/>
      <c r="D56" s="1601"/>
      <c r="E56" s="1601"/>
      <c r="F56" s="1801"/>
      <c r="G56" s="462">
        <f>SUM(F52:F55)</f>
        <v>39222</v>
      </c>
    </row>
    <row r="57" spans="1:7" ht="14.25" hidden="1" customHeight="1">
      <c r="A57" s="621" t="s">
        <v>1563</v>
      </c>
      <c r="B57" s="618"/>
      <c r="C57" s="618"/>
      <c r="D57" s="618"/>
      <c r="E57" s="618"/>
      <c r="F57" s="618"/>
      <c r="G57" s="743"/>
    </row>
    <row r="58" spans="1:7" ht="14.25" hidden="1" customHeight="1">
      <c r="A58" s="1975" t="s">
        <v>1556</v>
      </c>
      <c r="B58" s="1801"/>
      <c r="C58" s="424" t="s">
        <v>6</v>
      </c>
      <c r="D58" s="424" t="s">
        <v>1562</v>
      </c>
      <c r="E58" s="424" t="s">
        <v>7</v>
      </c>
      <c r="F58" s="424" t="s">
        <v>1559</v>
      </c>
      <c r="G58" s="438"/>
    </row>
    <row r="59" spans="1:7" ht="12.75" hidden="1" customHeight="1">
      <c r="A59" s="1987"/>
      <c r="B59" s="1967"/>
      <c r="C59" s="744"/>
      <c r="D59" s="675"/>
      <c r="E59" s="745">
        <v>0</v>
      </c>
      <c r="F59" s="464"/>
      <c r="G59" s="676"/>
    </row>
    <row r="60" spans="1:7" ht="14.25" hidden="1" customHeight="1">
      <c r="A60" s="1996"/>
      <c r="B60" s="1819"/>
      <c r="C60" s="744"/>
      <c r="D60" s="434"/>
      <c r="E60" s="746"/>
      <c r="F60" s="434"/>
      <c r="G60" s="457"/>
    </row>
    <row r="61" spans="1:7" ht="14.25" hidden="1" customHeight="1">
      <c r="A61" s="2015" t="s">
        <v>1560</v>
      </c>
      <c r="B61" s="1601"/>
      <c r="C61" s="1601"/>
      <c r="D61" s="1601"/>
      <c r="E61" s="1601"/>
      <c r="F61" s="1801"/>
      <c r="G61" s="462"/>
    </row>
    <row r="62" spans="1:7" ht="26.25" hidden="1" customHeight="1">
      <c r="A62" s="621" t="s">
        <v>1564</v>
      </c>
      <c r="B62" s="618"/>
      <c r="C62" s="618"/>
      <c r="D62" s="618"/>
      <c r="E62" s="618"/>
      <c r="F62" s="618"/>
      <c r="G62" s="743"/>
    </row>
    <row r="63" spans="1:7" ht="14.25" hidden="1" customHeight="1">
      <c r="A63" s="1975" t="s">
        <v>1565</v>
      </c>
      <c r="B63" s="1801"/>
      <c r="C63" s="424" t="s">
        <v>1566</v>
      </c>
      <c r="D63" s="424" t="s">
        <v>6</v>
      </c>
      <c r="E63" s="424" t="s">
        <v>7</v>
      </c>
      <c r="F63" s="424" t="s">
        <v>1559</v>
      </c>
      <c r="G63" s="462"/>
    </row>
    <row r="64" spans="1:7" ht="12.75" hidden="1" customHeight="1">
      <c r="A64" s="2004" t="s">
        <v>1574</v>
      </c>
      <c r="B64" s="1888"/>
      <c r="C64" s="679">
        <v>7410.9600847008996</v>
      </c>
      <c r="D64" s="680">
        <v>1</v>
      </c>
      <c r="E64" s="680">
        <v>0.7</v>
      </c>
      <c r="F64" s="694">
        <f t="shared" ref="F64:F65" si="5">+(C64*D64)*E64</f>
        <v>5187.6720592906295</v>
      </c>
      <c r="G64" s="676"/>
    </row>
    <row r="65" spans="1:7" ht="13.5" hidden="1" customHeight="1">
      <c r="A65" s="1984" t="s">
        <v>1576</v>
      </c>
      <c r="B65" s="1819"/>
      <c r="C65" s="747">
        <v>4374.7823749999998</v>
      </c>
      <c r="D65" s="614">
        <v>2</v>
      </c>
      <c r="E65" s="614">
        <f>+E64</f>
        <v>0.7</v>
      </c>
      <c r="F65" s="455">
        <f t="shared" si="5"/>
        <v>6124.6953249999997</v>
      </c>
      <c r="G65" s="709"/>
    </row>
    <row r="66" spans="1:7" ht="14.25" hidden="1" customHeight="1">
      <c r="A66" s="2015" t="str">
        <f>+A61</f>
        <v>SUB-TOTAL</v>
      </c>
      <c r="B66" s="1601"/>
      <c r="C66" s="1601"/>
      <c r="D66" s="1601"/>
      <c r="E66" s="1601"/>
      <c r="F66" s="1801"/>
      <c r="G66" s="462">
        <f>SUM(F64:F65)</f>
        <v>11312.367384290628</v>
      </c>
    </row>
    <row r="67" spans="1:7" ht="11.25" hidden="1" customHeight="1">
      <c r="A67" s="618"/>
      <c r="B67" s="618"/>
      <c r="C67" s="618"/>
      <c r="D67" s="618"/>
      <c r="E67" s="618"/>
      <c r="F67" s="748"/>
      <c r="G67" s="743"/>
    </row>
    <row r="68" spans="1:7" ht="14.25" hidden="1" customHeight="1">
      <c r="A68" s="2015" t="s">
        <v>1567</v>
      </c>
      <c r="B68" s="1601"/>
      <c r="C68" s="1601"/>
      <c r="D68" s="1601"/>
      <c r="E68" s="1601"/>
      <c r="F68" s="1801"/>
      <c r="G68" s="750">
        <f>ROUND(G49+G56+G61+G66,0)</f>
        <v>52878</v>
      </c>
    </row>
    <row r="69" spans="1:7" ht="14.25" hidden="1" customHeight="1">
      <c r="A69" s="616"/>
      <c r="B69" s="616"/>
      <c r="C69" s="616"/>
      <c r="D69" s="616"/>
      <c r="E69" s="616"/>
      <c r="F69" s="616"/>
      <c r="G69" s="616"/>
    </row>
    <row r="70" spans="1:7" ht="14.25" hidden="1" customHeight="1">
      <c r="A70" s="616"/>
      <c r="B70" s="616"/>
      <c r="C70" s="616"/>
      <c r="D70" s="616"/>
      <c r="E70" s="616"/>
      <c r="F70" s="616"/>
      <c r="G70" s="616"/>
    </row>
    <row r="71" spans="1:7" ht="27" hidden="1" customHeight="1">
      <c r="A71" s="2005" t="s">
        <v>1604</v>
      </c>
      <c r="B71" s="1616"/>
      <c r="C71" s="1624"/>
      <c r="D71" s="567"/>
      <c r="E71" s="567"/>
      <c r="F71" s="567"/>
      <c r="G71" s="668"/>
    </row>
    <row r="72" spans="1:7" ht="24" hidden="1" customHeight="1">
      <c r="A72" s="1971"/>
      <c r="B72" s="1817"/>
      <c r="C72" s="1972"/>
      <c r="D72" s="669"/>
      <c r="E72" s="669"/>
      <c r="F72" s="669"/>
      <c r="G72" s="670"/>
    </row>
    <row r="73" spans="1:7" ht="14.25" hidden="1" customHeight="1">
      <c r="A73" s="618"/>
      <c r="B73" s="618"/>
      <c r="C73" s="618"/>
      <c r="D73" s="618"/>
      <c r="E73" s="618"/>
      <c r="F73" s="618"/>
      <c r="G73" s="618"/>
    </row>
    <row r="74" spans="1:7" ht="30.75" hidden="1" customHeight="1">
      <c r="A74" s="1973" t="str">
        <f>A10</f>
        <v>PRECIOS UNITARIOS OFICIALES 2014</v>
      </c>
      <c r="B74" s="1601"/>
      <c r="C74" s="1602"/>
      <c r="D74" s="1974" t="s">
        <v>1697</v>
      </c>
      <c r="E74" s="1601"/>
      <c r="F74" s="1601"/>
      <c r="G74" s="1602"/>
    </row>
    <row r="75" spans="1:7" ht="14.25" hidden="1" customHeight="1">
      <c r="A75" s="620"/>
      <c r="B75" s="620"/>
      <c r="C75" s="620"/>
      <c r="D75" s="620"/>
      <c r="E75" s="620"/>
      <c r="F75" s="620"/>
      <c r="G75" s="620"/>
    </row>
    <row r="76" spans="1:7" ht="12.75" hidden="1" customHeight="1">
      <c r="A76" s="572"/>
      <c r="B76" s="618"/>
      <c r="C76" s="616"/>
      <c r="D76" s="421" t="s">
        <v>1553</v>
      </c>
      <c r="E76" s="422" t="s">
        <v>228</v>
      </c>
      <c r="F76" s="572"/>
      <c r="G76" s="572"/>
    </row>
    <row r="77" spans="1:7" ht="14.25" hidden="1" customHeight="1">
      <c r="A77" s="621" t="s">
        <v>1555</v>
      </c>
      <c r="B77" s="618"/>
      <c r="C77" s="618"/>
      <c r="D77" s="618"/>
      <c r="E77" s="618"/>
      <c r="F77" s="618"/>
      <c r="G77" s="618"/>
    </row>
    <row r="78" spans="1:7" ht="13.5" hidden="1" customHeight="1">
      <c r="A78" s="1975" t="s">
        <v>1556</v>
      </c>
      <c r="B78" s="1601"/>
      <c r="C78" s="1801"/>
      <c r="D78" s="424" t="s">
        <v>208</v>
      </c>
      <c r="E78" s="424" t="s">
        <v>1558</v>
      </c>
      <c r="F78" s="424" t="s">
        <v>1559</v>
      </c>
      <c r="G78" s="425"/>
    </row>
    <row r="79" spans="1:7" ht="14.25" hidden="1" customHeight="1">
      <c r="A79" s="1987" t="s">
        <v>1689</v>
      </c>
      <c r="B79" s="1811"/>
      <c r="C79" s="1967"/>
      <c r="D79" s="675">
        <v>2062.5</v>
      </c>
      <c r="E79" s="687">
        <f>+E96</f>
        <v>0.18</v>
      </c>
      <c r="F79" s="442">
        <f t="shared" ref="F79:F80" si="6">+E79*D79</f>
        <v>371.25</v>
      </c>
      <c r="G79" s="688"/>
    </row>
    <row r="80" spans="1:7" ht="14.25" hidden="1" customHeight="1">
      <c r="A80" s="1995" t="s">
        <v>1690</v>
      </c>
      <c r="B80" s="1610"/>
      <c r="C80" s="1611"/>
      <c r="D80" s="464">
        <v>1500</v>
      </c>
      <c r="E80" s="706">
        <v>1</v>
      </c>
      <c r="F80" s="440">
        <f t="shared" si="6"/>
        <v>1500</v>
      </c>
      <c r="G80" s="751"/>
    </row>
    <row r="81" spans="1:7" ht="14.25" hidden="1" customHeight="1">
      <c r="A81" s="2015" t="s">
        <v>1560</v>
      </c>
      <c r="B81" s="1601"/>
      <c r="C81" s="1601"/>
      <c r="D81" s="1601"/>
      <c r="E81" s="1601"/>
      <c r="F81" s="1801"/>
      <c r="G81" s="462">
        <f>SUM(F79:F80)</f>
        <v>1871.25</v>
      </c>
    </row>
    <row r="82" spans="1:7" ht="14.25" hidden="1" customHeight="1">
      <c r="A82" s="621" t="s">
        <v>1561</v>
      </c>
      <c r="B82" s="618"/>
      <c r="C82" s="618"/>
      <c r="D82" s="618"/>
      <c r="E82" s="618"/>
      <c r="F82" s="618"/>
      <c r="G82" s="743"/>
    </row>
    <row r="83" spans="1:7" ht="14.25" hidden="1" customHeight="1">
      <c r="A83" s="1975" t="s">
        <v>1556</v>
      </c>
      <c r="B83" s="1801"/>
      <c r="C83" s="424" t="s">
        <v>6</v>
      </c>
      <c r="D83" s="424" t="s">
        <v>1562</v>
      </c>
      <c r="E83" s="424" t="s">
        <v>7</v>
      </c>
      <c r="F83" s="424" t="s">
        <v>1559</v>
      </c>
      <c r="G83" s="673"/>
    </row>
    <row r="84" spans="1:7" ht="14.25" hidden="1" customHeight="1">
      <c r="A84" s="1987" t="s">
        <v>1698</v>
      </c>
      <c r="B84" s="1967"/>
      <c r="C84" s="674" t="s">
        <v>228</v>
      </c>
      <c r="D84" s="675">
        <v>10350</v>
      </c>
      <c r="E84" s="687">
        <v>1.03</v>
      </c>
      <c r="F84" s="442">
        <f t="shared" ref="F84:F85" si="7">+E84*D84</f>
        <v>10660.5</v>
      </c>
      <c r="G84" s="676"/>
    </row>
    <row r="85" spans="1:7" ht="14.25" hidden="1" customHeight="1">
      <c r="A85" s="1995" t="s">
        <v>1693</v>
      </c>
      <c r="B85" s="1611"/>
      <c r="C85" s="444" t="s">
        <v>127</v>
      </c>
      <c r="D85" s="464">
        <v>100</v>
      </c>
      <c r="E85" s="706">
        <v>3.7</v>
      </c>
      <c r="F85" s="440">
        <f t="shared" si="7"/>
        <v>370</v>
      </c>
      <c r="G85" s="707"/>
    </row>
    <row r="86" spans="1:7" ht="14.25" hidden="1" customHeight="1">
      <c r="A86" s="1995"/>
      <c r="B86" s="1611"/>
      <c r="C86" s="444"/>
      <c r="D86" s="464"/>
      <c r="E86" s="706"/>
      <c r="F86" s="464"/>
      <c r="G86" s="707"/>
    </row>
    <row r="87" spans="1:7" ht="14.25" hidden="1" customHeight="1">
      <c r="A87" s="1996"/>
      <c r="B87" s="1819"/>
      <c r="C87" s="708"/>
      <c r="D87" s="434"/>
      <c r="E87" s="708"/>
      <c r="F87" s="434"/>
      <c r="G87" s="709"/>
    </row>
    <row r="88" spans="1:7" ht="14.25" hidden="1" customHeight="1">
      <c r="A88" s="2015" t="s">
        <v>1560</v>
      </c>
      <c r="B88" s="1601"/>
      <c r="C88" s="1601"/>
      <c r="D88" s="1601"/>
      <c r="E88" s="1601"/>
      <c r="F88" s="1801"/>
      <c r="G88" s="462">
        <f>SUM(F84:F87)</f>
        <v>11030.5</v>
      </c>
    </row>
    <row r="89" spans="1:7" ht="14.25" hidden="1" customHeight="1">
      <c r="A89" s="621" t="s">
        <v>1563</v>
      </c>
      <c r="B89" s="618"/>
      <c r="C89" s="618"/>
      <c r="D89" s="618"/>
      <c r="E89" s="618"/>
      <c r="F89" s="618"/>
      <c r="G89" s="743"/>
    </row>
    <row r="90" spans="1:7" ht="14.25" hidden="1" customHeight="1">
      <c r="A90" s="1975" t="s">
        <v>1556</v>
      </c>
      <c r="B90" s="1801"/>
      <c r="C90" s="424" t="s">
        <v>6</v>
      </c>
      <c r="D90" s="424" t="s">
        <v>1562</v>
      </c>
      <c r="E90" s="424" t="s">
        <v>7</v>
      </c>
      <c r="F90" s="424" t="s">
        <v>1559</v>
      </c>
      <c r="G90" s="438"/>
    </row>
    <row r="91" spans="1:7" ht="14.25" hidden="1" customHeight="1">
      <c r="A91" s="1987"/>
      <c r="B91" s="1967"/>
      <c r="C91" s="744"/>
      <c r="D91" s="675"/>
      <c r="E91" s="745"/>
      <c r="F91" s="464"/>
      <c r="G91" s="676"/>
    </row>
    <row r="92" spans="1:7" ht="14.25" hidden="1" customHeight="1">
      <c r="A92" s="1996"/>
      <c r="B92" s="1819"/>
      <c r="C92" s="744"/>
      <c r="D92" s="434"/>
      <c r="E92" s="746"/>
      <c r="F92" s="434"/>
      <c r="G92" s="457"/>
    </row>
    <row r="93" spans="1:7" ht="14.25" hidden="1" customHeight="1">
      <c r="A93" s="2015" t="s">
        <v>1560</v>
      </c>
      <c r="B93" s="1601"/>
      <c r="C93" s="1601"/>
      <c r="D93" s="1601"/>
      <c r="E93" s="1601"/>
      <c r="F93" s="1801"/>
      <c r="G93" s="462"/>
    </row>
    <row r="94" spans="1:7" ht="14.25" hidden="1" customHeight="1">
      <c r="A94" s="621" t="s">
        <v>1564</v>
      </c>
      <c r="B94" s="618"/>
      <c r="C94" s="618"/>
      <c r="D94" s="618"/>
      <c r="E94" s="618"/>
      <c r="F94" s="618"/>
      <c r="G94" s="743"/>
    </row>
    <row r="95" spans="1:7" ht="14.25" hidden="1" customHeight="1">
      <c r="A95" s="1975" t="s">
        <v>1565</v>
      </c>
      <c r="B95" s="1801"/>
      <c r="C95" s="424" t="s">
        <v>1566</v>
      </c>
      <c r="D95" s="424" t="s">
        <v>6</v>
      </c>
      <c r="E95" s="424" t="s">
        <v>7</v>
      </c>
      <c r="F95" s="424" t="s">
        <v>1559</v>
      </c>
      <c r="G95" s="462"/>
    </row>
    <row r="96" spans="1:7" ht="14.25" hidden="1" customHeight="1">
      <c r="A96" s="2004" t="s">
        <v>1574</v>
      </c>
      <c r="B96" s="1888"/>
      <c r="C96" s="679">
        <v>7410.9600847008996</v>
      </c>
      <c r="D96" s="680">
        <v>1</v>
      </c>
      <c r="E96" s="680">
        <v>0.18</v>
      </c>
      <c r="F96" s="694">
        <f t="shared" ref="F96:F97" si="8">+(C96*D96)*E96</f>
        <v>1333.9728152461619</v>
      </c>
      <c r="G96" s="676"/>
    </row>
    <row r="97" spans="1:7" ht="14.25" hidden="1" customHeight="1">
      <c r="A97" s="1984" t="s">
        <v>1576</v>
      </c>
      <c r="B97" s="1819"/>
      <c r="C97" s="747">
        <v>4374.7823749999998</v>
      </c>
      <c r="D97" s="614">
        <v>1</v>
      </c>
      <c r="E97" s="614">
        <f>+E96</f>
        <v>0.18</v>
      </c>
      <c r="F97" s="455">
        <f t="shared" si="8"/>
        <v>787.46082749999994</v>
      </c>
      <c r="G97" s="709"/>
    </row>
    <row r="98" spans="1:7" ht="14.25" hidden="1" customHeight="1">
      <c r="A98" s="2015" t="str">
        <f>+A93</f>
        <v>SUB-TOTAL</v>
      </c>
      <c r="B98" s="1601"/>
      <c r="C98" s="1601"/>
      <c r="D98" s="1601"/>
      <c r="E98" s="1601"/>
      <c r="F98" s="1801"/>
      <c r="G98" s="462">
        <f>SUM(F96:F97)</f>
        <v>2121.4336427461617</v>
      </c>
    </row>
    <row r="99" spans="1:7" ht="11.25" hidden="1" customHeight="1">
      <c r="A99" s="618"/>
      <c r="B99" s="618"/>
      <c r="C99" s="618"/>
      <c r="D99" s="618"/>
      <c r="E99" s="618"/>
      <c r="F99" s="748"/>
      <c r="G99" s="743"/>
    </row>
    <row r="100" spans="1:7" ht="14.25" hidden="1" customHeight="1">
      <c r="A100" s="2015" t="s">
        <v>1567</v>
      </c>
      <c r="B100" s="1601"/>
      <c r="C100" s="1601"/>
      <c r="D100" s="1601"/>
      <c r="E100" s="1601"/>
      <c r="F100" s="1801"/>
      <c r="G100" s="459">
        <f>ROUND(G81+G88+G93+G98,0)</f>
        <v>15023</v>
      </c>
    </row>
    <row r="101" spans="1:7" ht="14.25" hidden="1" customHeight="1">
      <c r="A101" s="616"/>
      <c r="B101" s="616"/>
      <c r="C101" s="616"/>
      <c r="D101" s="616"/>
      <c r="E101" s="616"/>
      <c r="F101" s="616"/>
      <c r="G101" s="616"/>
    </row>
    <row r="102" spans="1:7" ht="14.25" hidden="1" customHeight="1">
      <c r="A102" s="616"/>
      <c r="B102" s="616"/>
      <c r="C102" s="616"/>
      <c r="D102" s="616"/>
      <c r="E102" s="616"/>
      <c r="F102" s="616"/>
      <c r="G102" s="616"/>
    </row>
    <row r="103" spans="1:7" ht="33.75" hidden="1" customHeight="1">
      <c r="A103" s="1994" t="e">
        <f>+'ANALISIS BASICOS'!$A$7</f>
        <v>#REF!</v>
      </c>
      <c r="B103" s="1616"/>
      <c r="C103" s="1624"/>
      <c r="D103" s="1990"/>
      <c r="E103" s="1616"/>
      <c r="F103" s="1616"/>
      <c r="G103" s="1624"/>
    </row>
    <row r="104" spans="1:7" ht="33.75" hidden="1" customHeight="1">
      <c r="A104" s="1971"/>
      <c r="B104" s="1817"/>
      <c r="C104" s="1972"/>
      <c r="D104" s="1971"/>
      <c r="E104" s="1817"/>
      <c r="F104" s="1817"/>
      <c r="G104" s="1972"/>
    </row>
    <row r="105" spans="1:7" ht="14.25" hidden="1" customHeight="1">
      <c r="A105" s="618"/>
      <c r="B105" s="618"/>
      <c r="C105" s="618"/>
      <c r="D105" s="618"/>
      <c r="E105" s="618"/>
      <c r="F105" s="618"/>
      <c r="G105" s="618"/>
    </row>
    <row r="106" spans="1:7" ht="45.75" hidden="1" customHeight="1">
      <c r="A106" s="1991" t="e">
        <f ca="1">+A138</f>
        <v>#NAME?</v>
      </c>
      <c r="B106" s="1601"/>
      <c r="C106" s="1602"/>
      <c r="D106" s="1974" t="s">
        <v>1699</v>
      </c>
      <c r="E106" s="1601"/>
      <c r="F106" s="1601"/>
      <c r="G106" s="1602"/>
    </row>
    <row r="107" spans="1:7" ht="14.25" hidden="1" customHeight="1">
      <c r="A107" s="620"/>
      <c r="B107" s="620"/>
      <c r="C107" s="620"/>
      <c r="D107" s="620"/>
      <c r="E107" s="620"/>
      <c r="F107" s="620"/>
      <c r="G107" s="620"/>
    </row>
    <row r="108" spans="1:7" ht="12.75" hidden="1" customHeight="1">
      <c r="A108" s="572"/>
      <c r="B108" s="618"/>
      <c r="C108" s="616"/>
      <c r="D108" s="421" t="s">
        <v>1553</v>
      </c>
      <c r="E108" s="422" t="s">
        <v>228</v>
      </c>
      <c r="F108" s="421" t="s">
        <v>1554</v>
      </c>
      <c r="G108" s="422"/>
    </row>
    <row r="109" spans="1:7" ht="14.25" hidden="1" customHeight="1">
      <c r="A109" s="621" t="s">
        <v>1555</v>
      </c>
      <c r="B109" s="618"/>
      <c r="C109" s="618"/>
      <c r="D109" s="618"/>
      <c r="E109" s="618"/>
      <c r="F109" s="618"/>
      <c r="G109" s="618"/>
    </row>
    <row r="110" spans="1:7" ht="13.5" hidden="1" customHeight="1">
      <c r="A110" s="1975" t="s">
        <v>1556</v>
      </c>
      <c r="B110" s="1601"/>
      <c r="C110" s="1801"/>
      <c r="D110" s="424" t="s">
        <v>208</v>
      </c>
      <c r="E110" s="424" t="s">
        <v>1558</v>
      </c>
      <c r="F110" s="424" t="s">
        <v>1559</v>
      </c>
      <c r="G110" s="425"/>
    </row>
    <row r="111" spans="1:7" ht="14.25" hidden="1" customHeight="1">
      <c r="A111" s="1987" t="str">
        <f>+'LISTADO EQUIPOS'!$C$22</f>
        <v>HERRAMIENTA MENOR.</v>
      </c>
      <c r="B111" s="1811"/>
      <c r="C111" s="1967"/>
      <c r="D111" s="675">
        <f>+'LISTADO EQUIPOS'!$E$22/8</f>
        <v>2850</v>
      </c>
      <c r="E111" s="687">
        <f>+E128</f>
        <v>0.15</v>
      </c>
      <c r="F111" s="442">
        <f t="shared" ref="F111:F112" si="9">+E111*D111</f>
        <v>427.5</v>
      </c>
      <c r="G111" s="688"/>
    </row>
    <row r="112" spans="1:7" ht="13.5" hidden="1" customHeight="1">
      <c r="A112" s="1995" t="str">
        <f>+'LISTADO EQUIPOS'!$C$47</f>
        <v>ANDAMIO TUBULAR. 1.5 x 1.5 SECCIÓN</v>
      </c>
      <c r="B112" s="1610"/>
      <c r="C112" s="1611"/>
      <c r="D112" s="464">
        <f>+'LISTADO EQUIPOS'!$E$47</f>
        <v>1750</v>
      </c>
      <c r="E112" s="706">
        <v>0.6</v>
      </c>
      <c r="F112" s="440">
        <f t="shared" si="9"/>
        <v>1050</v>
      </c>
      <c r="G112" s="435"/>
    </row>
    <row r="113" spans="1:7" ht="14.25" hidden="1" customHeight="1">
      <c r="A113" s="2015" t="s">
        <v>1560</v>
      </c>
      <c r="B113" s="1601"/>
      <c r="C113" s="1601"/>
      <c r="D113" s="1601"/>
      <c r="E113" s="1601"/>
      <c r="F113" s="1801"/>
      <c r="G113" s="462">
        <f>SUM(F111:F112)</f>
        <v>1477.5</v>
      </c>
    </row>
    <row r="114" spans="1:7" ht="14.25" hidden="1" customHeight="1">
      <c r="A114" s="621" t="s">
        <v>1561</v>
      </c>
      <c r="B114" s="618"/>
      <c r="C114" s="618"/>
      <c r="D114" s="618"/>
      <c r="E114" s="618"/>
      <c r="F114" s="618"/>
      <c r="G114" s="743"/>
    </row>
    <row r="115" spans="1:7" ht="14.25" hidden="1" customHeight="1">
      <c r="A115" s="1975" t="s">
        <v>1556</v>
      </c>
      <c r="B115" s="1801"/>
      <c r="C115" s="424" t="s">
        <v>6</v>
      </c>
      <c r="D115" s="424" t="s">
        <v>1562</v>
      </c>
      <c r="E115" s="424" t="s">
        <v>7</v>
      </c>
      <c r="F115" s="424" t="s">
        <v>1559</v>
      </c>
      <c r="G115" s="673"/>
    </row>
    <row r="116" spans="1:7" ht="14.25" hidden="1" customHeight="1">
      <c r="A116" s="1987" t="str">
        <f>+'LISTADO MATERIALES'!C35</f>
        <v>CABALLETE TERMOACUSTIC (2.0 X 0.70)</v>
      </c>
      <c r="B116" s="1967"/>
      <c r="C116" s="674" t="s">
        <v>127</v>
      </c>
      <c r="D116" s="675">
        <f>+'LISTADO MATERIALES'!E35</f>
        <v>60900</v>
      </c>
      <c r="E116" s="687">
        <v>1.05</v>
      </c>
      <c r="F116" s="442">
        <f t="shared" ref="F116:F118" si="10">+E116*D116</f>
        <v>63945</v>
      </c>
      <c r="G116" s="676"/>
    </row>
    <row r="117" spans="1:7" ht="14.25" hidden="1" customHeight="1">
      <c r="A117" s="1995" t="s">
        <v>1700</v>
      </c>
      <c r="B117" s="1611"/>
      <c r="C117" s="444" t="s">
        <v>127</v>
      </c>
      <c r="D117" s="464">
        <v>500</v>
      </c>
      <c r="E117" s="706">
        <v>2</v>
      </c>
      <c r="F117" s="440">
        <f t="shared" si="10"/>
        <v>1000</v>
      </c>
      <c r="G117" s="707"/>
    </row>
    <row r="118" spans="1:7" ht="14.25" hidden="1" customHeight="1">
      <c r="A118" s="1995" t="s">
        <v>1701</v>
      </c>
      <c r="B118" s="1611"/>
      <c r="C118" s="444" t="s">
        <v>127</v>
      </c>
      <c r="D118" s="464">
        <v>550</v>
      </c>
      <c r="E118" s="706">
        <v>1</v>
      </c>
      <c r="F118" s="440">
        <f t="shared" si="10"/>
        <v>550</v>
      </c>
      <c r="G118" s="707"/>
    </row>
    <row r="119" spans="1:7" ht="14.25" hidden="1" customHeight="1">
      <c r="A119" s="1996"/>
      <c r="B119" s="1819"/>
      <c r="C119" s="708"/>
      <c r="D119" s="434"/>
      <c r="E119" s="708"/>
      <c r="F119" s="434"/>
      <c r="G119" s="709"/>
    </row>
    <row r="120" spans="1:7" ht="14.25" hidden="1" customHeight="1">
      <c r="A120" s="2015" t="s">
        <v>1560</v>
      </c>
      <c r="B120" s="1601"/>
      <c r="C120" s="1601"/>
      <c r="D120" s="1601"/>
      <c r="E120" s="1601"/>
      <c r="F120" s="1801"/>
      <c r="G120" s="462">
        <f>SUM(F116:F119)</f>
        <v>65495</v>
      </c>
    </row>
    <row r="121" spans="1:7" ht="14.25" hidden="1" customHeight="1">
      <c r="A121" s="621" t="s">
        <v>1563</v>
      </c>
      <c r="B121" s="618"/>
      <c r="C121" s="618"/>
      <c r="D121" s="618"/>
      <c r="E121" s="618"/>
      <c r="F121" s="618"/>
      <c r="G121" s="743"/>
    </row>
    <row r="122" spans="1:7" ht="14.25" hidden="1" customHeight="1">
      <c r="A122" s="1975" t="s">
        <v>1556</v>
      </c>
      <c r="B122" s="1801"/>
      <c r="C122" s="424" t="s">
        <v>6</v>
      </c>
      <c r="D122" s="424" t="s">
        <v>1562</v>
      </c>
      <c r="E122" s="424" t="s">
        <v>7</v>
      </c>
      <c r="F122" s="424" t="s">
        <v>1559</v>
      </c>
      <c r="G122" s="438"/>
    </row>
    <row r="123" spans="1:7" ht="14.25" hidden="1" customHeight="1">
      <c r="A123" s="1987"/>
      <c r="B123" s="1967"/>
      <c r="C123" s="744"/>
      <c r="D123" s="675"/>
      <c r="E123" s="745"/>
      <c r="F123" s="464"/>
      <c r="G123" s="676"/>
    </row>
    <row r="124" spans="1:7" ht="14.25" hidden="1" customHeight="1">
      <c r="A124" s="1996"/>
      <c r="B124" s="1819"/>
      <c r="C124" s="744"/>
      <c r="D124" s="434"/>
      <c r="E124" s="746"/>
      <c r="F124" s="434"/>
      <c r="G124" s="457"/>
    </row>
    <row r="125" spans="1:7" ht="14.25" hidden="1" customHeight="1">
      <c r="A125" s="2015" t="s">
        <v>1560</v>
      </c>
      <c r="B125" s="1601"/>
      <c r="C125" s="1601"/>
      <c r="D125" s="1601"/>
      <c r="E125" s="1601"/>
      <c r="F125" s="1801"/>
      <c r="G125" s="462"/>
    </row>
    <row r="126" spans="1:7" ht="14.25" hidden="1" customHeight="1">
      <c r="A126" s="621" t="s">
        <v>1564</v>
      </c>
      <c r="B126" s="618"/>
      <c r="C126" s="618"/>
      <c r="D126" s="618"/>
      <c r="E126" s="618"/>
      <c r="F126" s="618"/>
      <c r="G126" s="743"/>
    </row>
    <row r="127" spans="1:7" ht="14.25" hidden="1" customHeight="1">
      <c r="A127" s="1975" t="s">
        <v>1565</v>
      </c>
      <c r="B127" s="1801"/>
      <c r="C127" s="424" t="s">
        <v>1566</v>
      </c>
      <c r="D127" s="424" t="s">
        <v>6</v>
      </c>
      <c r="E127" s="424" t="s">
        <v>7</v>
      </c>
      <c r="F127" s="424" t="s">
        <v>1559</v>
      </c>
      <c r="G127" s="462"/>
    </row>
    <row r="128" spans="1:7" ht="14.25" hidden="1" customHeight="1">
      <c r="A128" s="2004" t="str">
        <f>+'MANO DE OBRA'!$A$64</f>
        <v>Oficial (Incl. Prestaciones)</v>
      </c>
      <c r="B128" s="1888"/>
      <c r="C128" s="679">
        <f>+'MANO DE OBRA'!$E$64</f>
        <v>15031.25</v>
      </c>
      <c r="D128" s="680">
        <v>1</v>
      </c>
      <c r="E128" s="680">
        <v>0.15</v>
      </c>
      <c r="F128" s="694">
        <f t="shared" ref="F128:F129" si="11">+(C128*D128)*E128</f>
        <v>2254.6875</v>
      </c>
      <c r="G128" s="676"/>
    </row>
    <row r="129" spans="1:7" ht="14.25" hidden="1" customHeight="1">
      <c r="A129" s="1984" t="str">
        <f>+'MANO DE OBRA'!$A$65</f>
        <v>Ayudante (Incl. Prestaciones)</v>
      </c>
      <c r="B129" s="1819"/>
      <c r="C129" s="747">
        <f>+'MANO DE OBRA'!$E$65</f>
        <v>10972.8125</v>
      </c>
      <c r="D129" s="614">
        <v>2</v>
      </c>
      <c r="E129" s="614">
        <f>+E128</f>
        <v>0.15</v>
      </c>
      <c r="F129" s="455">
        <f t="shared" si="11"/>
        <v>3291.84375</v>
      </c>
      <c r="G129" s="709"/>
    </row>
    <row r="130" spans="1:7" ht="14.25" hidden="1" customHeight="1">
      <c r="A130" s="2015" t="str">
        <f>+A125</f>
        <v>SUB-TOTAL</v>
      </c>
      <c r="B130" s="1601"/>
      <c r="C130" s="1601"/>
      <c r="D130" s="1601"/>
      <c r="E130" s="1601"/>
      <c r="F130" s="1801"/>
      <c r="G130" s="462">
        <f>SUM(F128:F129)</f>
        <v>5546.53125</v>
      </c>
    </row>
    <row r="131" spans="1:7" ht="11.25" hidden="1" customHeight="1">
      <c r="A131" s="618"/>
      <c r="B131" s="618"/>
      <c r="C131" s="618"/>
      <c r="D131" s="618"/>
      <c r="E131" s="618"/>
      <c r="F131" s="748"/>
      <c r="G131" s="743"/>
    </row>
    <row r="132" spans="1:7" ht="14.25" hidden="1" customHeight="1">
      <c r="A132" s="2015" t="s">
        <v>1567</v>
      </c>
      <c r="B132" s="1601"/>
      <c r="C132" s="1601"/>
      <c r="D132" s="1601"/>
      <c r="E132" s="1601"/>
      <c r="F132" s="1801"/>
      <c r="G132" s="459">
        <f>ROUND(G113+G120+G125+G130,0)</f>
        <v>72519</v>
      </c>
    </row>
    <row r="133" spans="1:7" ht="14.25" hidden="1" customHeight="1">
      <c r="A133" s="616"/>
      <c r="B133" s="616"/>
      <c r="C133" s="616"/>
      <c r="D133" s="616"/>
      <c r="E133" s="616"/>
      <c r="F133" s="616"/>
      <c r="G133" s="616"/>
    </row>
    <row r="134" spans="1:7" ht="14.25" hidden="1" customHeight="1">
      <c r="A134" s="616"/>
      <c r="B134" s="616"/>
      <c r="C134" s="616"/>
      <c r="D134" s="616"/>
      <c r="E134" s="616"/>
      <c r="F134" s="616"/>
      <c r="G134" s="616"/>
    </row>
    <row r="135" spans="1:7" ht="33.75" hidden="1" customHeight="1">
      <c r="A135" s="1994" t="e">
        <f>+'ANALISIS BASICOS'!$A$7</f>
        <v>#REF!</v>
      </c>
      <c r="B135" s="1616"/>
      <c r="C135" s="1624"/>
      <c r="D135" s="1990"/>
      <c r="E135" s="1616"/>
      <c r="F135" s="1616"/>
      <c r="G135" s="1624"/>
    </row>
    <row r="136" spans="1:7" ht="33.75" hidden="1" customHeight="1">
      <c r="A136" s="1971"/>
      <c r="B136" s="1817"/>
      <c r="C136" s="1972"/>
      <c r="D136" s="1971"/>
      <c r="E136" s="1817"/>
      <c r="F136" s="1817"/>
      <c r="G136" s="1972"/>
    </row>
    <row r="137" spans="1:7" ht="14.25" hidden="1" customHeight="1">
      <c r="A137" s="618"/>
      <c r="B137" s="618"/>
      <c r="C137" s="618"/>
      <c r="D137" s="618"/>
      <c r="E137" s="618"/>
      <c r="F137" s="618"/>
      <c r="G137" s="618"/>
    </row>
    <row r="138" spans="1:7" ht="48.75" hidden="1" customHeight="1">
      <c r="A138" s="1991" t="e">
        <f ca="1">+'6 - MAMPOSTERIA - ESTRUCT. ESP.'!A42:C42</f>
        <v>#NAME?</v>
      </c>
      <c r="B138" s="1601"/>
      <c r="C138" s="1602"/>
      <c r="D138" s="1974" t="s">
        <v>1702</v>
      </c>
      <c r="E138" s="1601"/>
      <c r="F138" s="1601"/>
      <c r="G138" s="1602"/>
    </row>
    <row r="139" spans="1:7" ht="14.25" hidden="1" customHeight="1">
      <c r="A139" s="620"/>
      <c r="B139" s="620"/>
      <c r="C139" s="620"/>
      <c r="D139" s="620"/>
      <c r="E139" s="620"/>
      <c r="F139" s="620"/>
      <c r="G139" s="620"/>
    </row>
    <row r="140" spans="1:7" ht="12.75" hidden="1" customHeight="1">
      <c r="A140" s="572"/>
      <c r="B140" s="618"/>
      <c r="C140" s="616"/>
      <c r="D140" s="421" t="s">
        <v>1553</v>
      </c>
      <c r="E140" s="422" t="s">
        <v>228</v>
      </c>
      <c r="F140" s="421" t="s">
        <v>1554</v>
      </c>
      <c r="G140" s="422"/>
    </row>
    <row r="141" spans="1:7" ht="14.25" hidden="1" customHeight="1">
      <c r="A141" s="621" t="s">
        <v>1555</v>
      </c>
      <c r="B141" s="618"/>
      <c r="C141" s="618"/>
      <c r="D141" s="618"/>
      <c r="E141" s="618"/>
      <c r="F141" s="618"/>
      <c r="G141" s="618"/>
    </row>
    <row r="142" spans="1:7" ht="13.5" hidden="1" customHeight="1">
      <c r="A142" s="1975" t="s">
        <v>1556</v>
      </c>
      <c r="B142" s="1601"/>
      <c r="C142" s="1801"/>
      <c r="D142" s="424" t="s">
        <v>208</v>
      </c>
      <c r="E142" s="424" t="s">
        <v>1558</v>
      </c>
      <c r="F142" s="424" t="s">
        <v>1559</v>
      </c>
      <c r="G142" s="425"/>
    </row>
    <row r="143" spans="1:7" ht="14.25" hidden="1" customHeight="1">
      <c r="A143" s="1987" t="str">
        <f>+'LISTADO EQUIPOS'!$C$22</f>
        <v>HERRAMIENTA MENOR.</v>
      </c>
      <c r="B143" s="1811"/>
      <c r="C143" s="1967"/>
      <c r="D143" s="675">
        <f>+'LISTADO EQUIPOS'!$E$22/8</f>
        <v>2850</v>
      </c>
      <c r="E143" s="687">
        <f>+E160</f>
        <v>0.33831109962276912</v>
      </c>
      <c r="F143" s="442">
        <f t="shared" ref="F143:F144" si="12">+E143*D143</f>
        <v>964.18663392489202</v>
      </c>
      <c r="G143" s="688"/>
    </row>
    <row r="144" spans="1:7" ht="14.25" hidden="1" customHeight="1">
      <c r="A144" s="1996" t="str">
        <f>+'LISTADO EQUIPOS'!$C$47</f>
        <v>ANDAMIO TUBULAR. 1.5 x 1.5 SECCIÓN</v>
      </c>
      <c r="B144" s="1807"/>
      <c r="C144" s="1819"/>
      <c r="D144" s="434">
        <f>+'LISTADO EQUIPOS'!$E$47</f>
        <v>1750</v>
      </c>
      <c r="E144" s="433">
        <v>1.5</v>
      </c>
      <c r="F144" s="700">
        <f t="shared" si="12"/>
        <v>2625</v>
      </c>
      <c r="G144" s="435"/>
    </row>
    <row r="145" spans="1:7" ht="14.25" hidden="1" customHeight="1">
      <c r="A145" s="2015" t="s">
        <v>1560</v>
      </c>
      <c r="B145" s="1601"/>
      <c r="C145" s="1601"/>
      <c r="D145" s="1601"/>
      <c r="E145" s="1601"/>
      <c r="F145" s="1801"/>
      <c r="G145" s="462">
        <f>SUM(F143:F144)</f>
        <v>3589.1866339248918</v>
      </c>
    </row>
    <row r="146" spans="1:7" ht="14.25" hidden="1" customHeight="1">
      <c r="A146" s="621" t="s">
        <v>1561</v>
      </c>
      <c r="B146" s="618"/>
      <c r="C146" s="618"/>
      <c r="D146" s="618"/>
      <c r="E146" s="618"/>
      <c r="F146" s="618"/>
      <c r="G146" s="743"/>
    </row>
    <row r="147" spans="1:7" ht="14.25" hidden="1" customHeight="1">
      <c r="A147" s="1975" t="s">
        <v>1556</v>
      </c>
      <c r="B147" s="1801"/>
      <c r="C147" s="424" t="s">
        <v>6</v>
      </c>
      <c r="D147" s="424" t="s">
        <v>1562</v>
      </c>
      <c r="E147" s="424" t="s">
        <v>7</v>
      </c>
      <c r="F147" s="424" t="s">
        <v>1559</v>
      </c>
      <c r="G147" s="673"/>
    </row>
    <row r="148" spans="1:7" ht="13.5" hidden="1" customHeight="1">
      <c r="A148" s="1987" t="str">
        <f>'LISTADO MATERIALES'!$C$95</f>
        <v>TEJA TERMOACUSTIC</v>
      </c>
      <c r="B148" s="1967"/>
      <c r="C148" s="674" t="str">
        <f>'LISTADO MATERIALES'!$D$95</f>
        <v>M2</v>
      </c>
      <c r="D148" s="675">
        <f>+'LISTADO MATERIALES'!E95</f>
        <v>30450</v>
      </c>
      <c r="E148" s="687">
        <v>1.1000000000000001</v>
      </c>
      <c r="F148" s="442">
        <f t="shared" ref="F148:F150" si="13">+E148*D148</f>
        <v>33495</v>
      </c>
      <c r="G148" s="676"/>
    </row>
    <row r="149" spans="1:7" ht="15" hidden="1" customHeight="1">
      <c r="A149" s="1995" t="str">
        <f>'LISTADO MATERIALES'!$C$99</f>
        <v>TORNILLO AUTO PERFORANTE</v>
      </c>
      <c r="B149" s="1611"/>
      <c r="C149" s="444" t="s">
        <v>127</v>
      </c>
      <c r="D149" s="464">
        <f>'LISTADO MATERIALES'!$E$99</f>
        <v>735</v>
      </c>
      <c r="E149" s="706">
        <v>6</v>
      </c>
      <c r="F149" s="440">
        <f t="shared" si="13"/>
        <v>4410</v>
      </c>
      <c r="G149" s="707"/>
    </row>
    <row r="150" spans="1:7" ht="14.25" hidden="1" customHeight="1">
      <c r="A150" s="1995" t="str">
        <f>'LISTADO MATERIALES'!$C$102</f>
        <v>TORNILLO FIJADOR DE ALA</v>
      </c>
      <c r="B150" s="1611"/>
      <c r="C150" s="444" t="s">
        <v>127</v>
      </c>
      <c r="D150" s="464">
        <f>'LISTADO MATERIALES'!$E$102</f>
        <v>683</v>
      </c>
      <c r="E150" s="706">
        <v>2</v>
      </c>
      <c r="F150" s="440">
        <f t="shared" si="13"/>
        <v>1366</v>
      </c>
      <c r="G150" s="707"/>
    </row>
    <row r="151" spans="1:7" ht="14.25" hidden="1" customHeight="1">
      <c r="A151" s="1996"/>
      <c r="B151" s="1819"/>
      <c r="C151" s="708"/>
      <c r="D151" s="434"/>
      <c r="E151" s="708"/>
      <c r="F151" s="434"/>
      <c r="G151" s="709"/>
    </row>
    <row r="152" spans="1:7" ht="14.25" hidden="1" customHeight="1">
      <c r="A152" s="2015" t="s">
        <v>1560</v>
      </c>
      <c r="B152" s="1601"/>
      <c r="C152" s="1601"/>
      <c r="D152" s="1601"/>
      <c r="E152" s="1601"/>
      <c r="F152" s="1801"/>
      <c r="G152" s="462">
        <f>SUM(F148:F151)</f>
        <v>39271</v>
      </c>
    </row>
    <row r="153" spans="1:7" ht="14.25" hidden="1" customHeight="1">
      <c r="A153" s="163" t="s">
        <v>1563</v>
      </c>
      <c r="B153" s="618"/>
      <c r="C153" s="618"/>
      <c r="D153" s="618"/>
      <c r="E153" s="618"/>
      <c r="F153" s="618"/>
      <c r="G153" s="743"/>
    </row>
    <row r="154" spans="1:7" ht="14.25" hidden="1" customHeight="1">
      <c r="A154" s="1975" t="s">
        <v>1556</v>
      </c>
      <c r="B154" s="1801"/>
      <c r="C154" s="424" t="s">
        <v>6</v>
      </c>
      <c r="D154" s="424" t="s">
        <v>1562</v>
      </c>
      <c r="E154" s="424" t="s">
        <v>7</v>
      </c>
      <c r="F154" s="424" t="s">
        <v>1559</v>
      </c>
      <c r="G154" s="438"/>
    </row>
    <row r="155" spans="1:7" ht="14.25" hidden="1" customHeight="1">
      <c r="A155" s="1987"/>
      <c r="B155" s="1967"/>
      <c r="C155" s="744"/>
      <c r="D155" s="675"/>
      <c r="E155" s="745"/>
      <c r="F155" s="464"/>
      <c r="G155" s="676"/>
    </row>
    <row r="156" spans="1:7" ht="14.25" hidden="1" customHeight="1">
      <c r="A156" s="1996"/>
      <c r="B156" s="1819"/>
      <c r="C156" s="744"/>
      <c r="D156" s="434"/>
      <c r="E156" s="746"/>
      <c r="F156" s="434"/>
      <c r="G156" s="457"/>
    </row>
    <row r="157" spans="1:7" ht="14.25" hidden="1" customHeight="1">
      <c r="A157" s="2015" t="s">
        <v>1560</v>
      </c>
      <c r="B157" s="1601"/>
      <c r="C157" s="1601"/>
      <c r="D157" s="1601"/>
      <c r="E157" s="1601"/>
      <c r="F157" s="1801"/>
      <c r="G157" s="462"/>
    </row>
    <row r="158" spans="1:7" ht="14.25" hidden="1" customHeight="1">
      <c r="A158" s="163" t="s">
        <v>1564</v>
      </c>
      <c r="B158" s="618"/>
      <c r="C158" s="618"/>
      <c r="D158" s="618"/>
      <c r="E158" s="618"/>
      <c r="F158" s="618"/>
      <c r="G158" s="743"/>
    </row>
    <row r="159" spans="1:7" ht="14.25" hidden="1" customHeight="1">
      <c r="A159" s="1975" t="s">
        <v>1565</v>
      </c>
      <c r="B159" s="1801"/>
      <c r="C159" s="424" t="s">
        <v>1566</v>
      </c>
      <c r="D159" s="424" t="s">
        <v>6</v>
      </c>
      <c r="E159" s="424" t="s">
        <v>7</v>
      </c>
      <c r="F159" s="424" t="s">
        <v>1559</v>
      </c>
      <c r="G159" s="462"/>
    </row>
    <row r="160" spans="1:7" ht="14.25" hidden="1" customHeight="1">
      <c r="A160" s="2004" t="s">
        <v>1574</v>
      </c>
      <c r="B160" s="1888"/>
      <c r="C160" s="679">
        <v>7410.9600847008996</v>
      </c>
      <c r="D160" s="680">
        <v>1</v>
      </c>
      <c r="E160" s="680">
        <v>0.33831109962276912</v>
      </c>
      <c r="F160" s="694">
        <f t="shared" ref="F160:F161" si="14">+(C160*D160)*E160</f>
        <v>2507.2100555156117</v>
      </c>
      <c r="G160" s="676"/>
    </row>
    <row r="161" spans="1:7" ht="14.25" hidden="1" customHeight="1">
      <c r="A161" s="1984" t="s">
        <v>1576</v>
      </c>
      <c r="B161" s="1819"/>
      <c r="C161" s="747">
        <v>4374.7823749999998</v>
      </c>
      <c r="D161" s="614">
        <v>2</v>
      </c>
      <c r="E161" s="614">
        <f>+E160</f>
        <v>0.33831109962276912</v>
      </c>
      <c r="F161" s="455">
        <f t="shared" si="14"/>
        <v>2960.0748717931187</v>
      </c>
      <c r="G161" s="709"/>
    </row>
    <row r="162" spans="1:7" ht="14.25" hidden="1" customHeight="1">
      <c r="A162" s="2015" t="str">
        <f>+A157</f>
        <v>SUB-TOTAL</v>
      </c>
      <c r="B162" s="1601"/>
      <c r="C162" s="1601"/>
      <c r="D162" s="1601"/>
      <c r="E162" s="1601"/>
      <c r="F162" s="1801"/>
      <c r="G162" s="462">
        <f>SUM(F160:F161)</f>
        <v>5467.2849273087304</v>
      </c>
    </row>
    <row r="163" spans="1:7" ht="11.25" hidden="1" customHeight="1">
      <c r="A163" s="618"/>
      <c r="B163" s="618"/>
      <c r="C163" s="618"/>
      <c r="D163" s="618"/>
      <c r="E163" s="618"/>
      <c r="F163" s="748"/>
      <c r="G163" s="743"/>
    </row>
    <row r="164" spans="1:7" ht="14.25" hidden="1" customHeight="1">
      <c r="A164" s="2015" t="s">
        <v>1567</v>
      </c>
      <c r="B164" s="1601"/>
      <c r="C164" s="1601"/>
      <c r="D164" s="1601"/>
      <c r="E164" s="1601"/>
      <c r="F164" s="1801"/>
      <c r="G164" s="459">
        <f>ROUND(G145+G152+G157+G162,0)</f>
        <v>48327</v>
      </c>
    </row>
    <row r="165" spans="1:7" ht="14.25" hidden="1" customHeight="1">
      <c r="A165" s="616"/>
      <c r="B165" s="616"/>
      <c r="C165" s="616"/>
      <c r="D165" s="616"/>
      <c r="E165" s="616"/>
      <c r="F165" s="616"/>
      <c r="G165" s="616"/>
    </row>
    <row r="166" spans="1:7" ht="14.25" hidden="1" customHeight="1">
      <c r="A166" s="616"/>
      <c r="B166" s="616"/>
      <c r="C166" s="616"/>
      <c r="D166" s="616"/>
      <c r="E166" s="616"/>
      <c r="F166" s="616"/>
      <c r="G166" s="616"/>
    </row>
    <row r="167" spans="1:7" ht="31.5" hidden="1" customHeight="1">
      <c r="A167" s="1994" t="e">
        <f>+'ANALISIS BASICOS'!$A$7</f>
        <v>#REF!</v>
      </c>
      <c r="B167" s="1616"/>
      <c r="C167" s="1624"/>
      <c r="D167" s="1990"/>
      <c r="E167" s="1616"/>
      <c r="F167" s="1616"/>
      <c r="G167" s="1624"/>
    </row>
    <row r="168" spans="1:7" ht="31.5" hidden="1" customHeight="1">
      <c r="A168" s="1971"/>
      <c r="B168" s="1817"/>
      <c r="C168" s="1972"/>
      <c r="D168" s="1971"/>
      <c r="E168" s="1817"/>
      <c r="F168" s="1817"/>
      <c r="G168" s="1972"/>
    </row>
    <row r="169" spans="1:7" ht="14.25" hidden="1" customHeight="1">
      <c r="A169" s="618"/>
      <c r="B169" s="618"/>
      <c r="C169" s="618"/>
      <c r="D169" s="618"/>
      <c r="E169" s="618"/>
      <c r="F169" s="618"/>
      <c r="G169" s="618"/>
    </row>
    <row r="170" spans="1:7" ht="71.25" hidden="1" customHeight="1">
      <c r="A170" s="1991" t="e">
        <f ca="1">+A138</f>
        <v>#NAME?</v>
      </c>
      <c r="B170" s="1601"/>
      <c r="C170" s="1602"/>
      <c r="D170" s="1974" t="s">
        <v>1703</v>
      </c>
      <c r="E170" s="1601"/>
      <c r="F170" s="1601"/>
      <c r="G170" s="1602"/>
    </row>
    <row r="171" spans="1:7" ht="14.25" hidden="1" customHeight="1">
      <c r="A171" s="620"/>
      <c r="B171" s="620"/>
      <c r="C171" s="620"/>
      <c r="D171" s="620"/>
      <c r="E171" s="620"/>
      <c r="F171" s="620"/>
      <c r="G171" s="620"/>
    </row>
    <row r="172" spans="1:7" ht="12.75" hidden="1" customHeight="1">
      <c r="A172" s="572"/>
      <c r="B172" s="618"/>
      <c r="C172" s="616"/>
      <c r="D172" s="421" t="s">
        <v>1553</v>
      </c>
      <c r="E172" s="422" t="s">
        <v>171</v>
      </c>
      <c r="F172" s="421" t="s">
        <v>1554</v>
      </c>
      <c r="G172" s="422"/>
    </row>
    <row r="173" spans="1:7" ht="14.25" hidden="1" customHeight="1">
      <c r="A173" s="621" t="s">
        <v>1555</v>
      </c>
      <c r="B173" s="618"/>
      <c r="C173" s="618"/>
      <c r="D173" s="618"/>
      <c r="E173" s="618"/>
      <c r="F173" s="618"/>
      <c r="G173" s="618"/>
    </row>
    <row r="174" spans="1:7" ht="13.5" hidden="1" customHeight="1">
      <c r="A174" s="1975" t="s">
        <v>1556</v>
      </c>
      <c r="B174" s="1601"/>
      <c r="C174" s="1801"/>
      <c r="D174" s="424" t="s">
        <v>208</v>
      </c>
      <c r="E174" s="424" t="s">
        <v>1558</v>
      </c>
      <c r="F174" s="424" t="s">
        <v>1559</v>
      </c>
      <c r="G174" s="425"/>
    </row>
    <row r="175" spans="1:7" ht="14.25" hidden="1" customHeight="1">
      <c r="A175" s="1987" t="str">
        <f>+'LISTADO EQUIPOS'!$C$22</f>
        <v>HERRAMIENTA MENOR.</v>
      </c>
      <c r="B175" s="1811"/>
      <c r="C175" s="1967"/>
      <c r="D175" s="675">
        <f>+'LISTADO EQUIPOS'!$E$22/8</f>
        <v>2850</v>
      </c>
      <c r="E175" s="687">
        <f>+E193</f>
        <v>0.2</v>
      </c>
      <c r="F175" s="442">
        <f t="shared" ref="F175:F178" si="15">+E175*D175</f>
        <v>570</v>
      </c>
      <c r="G175" s="688"/>
    </row>
    <row r="176" spans="1:7" ht="14.25" hidden="1" customHeight="1">
      <c r="A176" s="1995" t="str">
        <f>+'LISTADO EQUIPOS'!$C$18</f>
        <v>EQUIPO ELÉCTRICO SOLDADURA</v>
      </c>
      <c r="B176" s="1610"/>
      <c r="C176" s="1611"/>
      <c r="D176" s="464">
        <f>+'LISTADO EQUIPOS'!$E$19</f>
        <v>9750</v>
      </c>
      <c r="E176" s="706">
        <f>+E175*0.1</f>
        <v>2.0000000000000004E-2</v>
      </c>
      <c r="F176" s="440">
        <f t="shared" si="15"/>
        <v>195.00000000000003</v>
      </c>
      <c r="G176" s="751"/>
    </row>
    <row r="177" spans="1:7" ht="14.25" hidden="1" customHeight="1">
      <c r="A177" s="1995" t="str">
        <f>+'LISTADO EQUIPOS'!$C$47</f>
        <v>ANDAMIO TUBULAR. 1.5 x 1.5 SECCIÓN</v>
      </c>
      <c r="B177" s="1610"/>
      <c r="C177" s="1611"/>
      <c r="D177" s="464">
        <f>+'LISTADO EQUIPOS'!$E$47</f>
        <v>1750</v>
      </c>
      <c r="E177" s="706">
        <f>+E176</f>
        <v>2.0000000000000004E-2</v>
      </c>
      <c r="F177" s="440">
        <f t="shared" si="15"/>
        <v>35.000000000000007</v>
      </c>
      <c r="G177" s="751"/>
    </row>
    <row r="178" spans="1:7" ht="14.25" hidden="1" customHeight="1">
      <c r="A178" s="1996" t="str">
        <f>+'LISTADO EQUIPOS'!$C$30</f>
        <v>PULIDORA</v>
      </c>
      <c r="B178" s="1807"/>
      <c r="C178" s="1819"/>
      <c r="D178" s="434">
        <f>+'LISTADO EQUIPOS'!$E$30</f>
        <v>5250</v>
      </c>
      <c r="E178" s="433">
        <f>+E176</f>
        <v>2.0000000000000004E-2</v>
      </c>
      <c r="F178" s="700">
        <f t="shared" si="15"/>
        <v>105.00000000000001</v>
      </c>
      <c r="G178" s="435"/>
    </row>
    <row r="179" spans="1:7" ht="14.25" hidden="1" customHeight="1">
      <c r="A179" s="2015" t="s">
        <v>1560</v>
      </c>
      <c r="B179" s="1601"/>
      <c r="C179" s="1601"/>
      <c r="D179" s="1601"/>
      <c r="E179" s="1601"/>
      <c r="F179" s="1801"/>
      <c r="G179" s="462">
        <f>SUM(F175:F178)</f>
        <v>905</v>
      </c>
    </row>
    <row r="180" spans="1:7" ht="14.25" hidden="1" customHeight="1">
      <c r="A180" s="621" t="s">
        <v>1561</v>
      </c>
      <c r="B180" s="618"/>
      <c r="C180" s="618"/>
      <c r="D180" s="618"/>
      <c r="E180" s="618"/>
      <c r="F180" s="618"/>
      <c r="G180" s="743"/>
    </row>
    <row r="181" spans="1:7" ht="14.25" hidden="1" customHeight="1">
      <c r="A181" s="1975" t="s">
        <v>1556</v>
      </c>
      <c r="B181" s="1801"/>
      <c r="C181" s="424" t="s">
        <v>6</v>
      </c>
      <c r="D181" s="424" t="s">
        <v>1562</v>
      </c>
      <c r="E181" s="424" t="s">
        <v>7</v>
      </c>
      <c r="F181" s="424" t="s">
        <v>1559</v>
      </c>
      <c r="G181" s="673"/>
    </row>
    <row r="182" spans="1:7" ht="14.25" hidden="1" customHeight="1">
      <c r="A182" s="1995" t="s">
        <v>1704</v>
      </c>
      <c r="B182" s="1611"/>
      <c r="C182" s="444" t="s">
        <v>171</v>
      </c>
      <c r="D182" s="464">
        <f>+'LISTADO MATERIALES'!E11</f>
        <v>2550</v>
      </c>
      <c r="E182" s="444">
        <v>1.1000000000000001</v>
      </c>
      <c r="F182" s="440">
        <f t="shared" ref="F182:F184" si="16">+E182*D182</f>
        <v>2805</v>
      </c>
      <c r="G182" s="707"/>
    </row>
    <row r="183" spans="1:7" ht="14.25" hidden="1" customHeight="1">
      <c r="A183" s="1995" t="s">
        <v>1705</v>
      </c>
      <c r="B183" s="1611"/>
      <c r="C183" s="444" t="s">
        <v>171</v>
      </c>
      <c r="D183" s="464">
        <f>+'LISTADO MATERIALES'!$E$85</f>
        <v>16380</v>
      </c>
      <c r="E183" s="444">
        <v>0.06</v>
      </c>
      <c r="F183" s="440">
        <f t="shared" si="16"/>
        <v>982.8</v>
      </c>
      <c r="G183" s="707"/>
    </row>
    <row r="184" spans="1:7" ht="14.25" hidden="1" customHeight="1">
      <c r="A184" s="1996" t="s">
        <v>1706</v>
      </c>
      <c r="B184" s="1819"/>
      <c r="C184" s="708" t="s">
        <v>1707</v>
      </c>
      <c r="D184" s="434">
        <f>+'LISTADO MATERIALES'!E368</f>
        <v>33600</v>
      </c>
      <c r="E184" s="708">
        <v>0.01</v>
      </c>
      <c r="F184" s="700">
        <f t="shared" si="16"/>
        <v>336</v>
      </c>
      <c r="G184" s="709"/>
    </row>
    <row r="185" spans="1:7" ht="14.25" hidden="1" customHeight="1">
      <c r="A185" s="2015" t="s">
        <v>1560</v>
      </c>
      <c r="B185" s="1601"/>
      <c r="C185" s="1601"/>
      <c r="D185" s="1601"/>
      <c r="E185" s="1601"/>
      <c r="F185" s="1801"/>
      <c r="G185" s="462">
        <f>SUM(F182:F184)</f>
        <v>4123.8</v>
      </c>
    </row>
    <row r="186" spans="1:7" ht="14.25" hidden="1" customHeight="1">
      <c r="A186" s="163" t="s">
        <v>1563</v>
      </c>
      <c r="B186" s="618"/>
      <c r="C186" s="618"/>
      <c r="D186" s="618"/>
      <c r="E186" s="618"/>
      <c r="F186" s="618"/>
      <c r="G186" s="743"/>
    </row>
    <row r="187" spans="1:7" ht="14.25" hidden="1" customHeight="1">
      <c r="A187" s="1975" t="s">
        <v>1556</v>
      </c>
      <c r="B187" s="1801"/>
      <c r="C187" s="424" t="s">
        <v>6</v>
      </c>
      <c r="D187" s="424" t="s">
        <v>1562</v>
      </c>
      <c r="E187" s="424" t="s">
        <v>7</v>
      </c>
      <c r="F187" s="424" t="s">
        <v>1559</v>
      </c>
      <c r="G187" s="438"/>
    </row>
    <row r="188" spans="1:7" ht="14.25" hidden="1" customHeight="1">
      <c r="A188" s="1987"/>
      <c r="B188" s="1967"/>
      <c r="C188" s="744"/>
      <c r="D188" s="675"/>
      <c r="E188" s="745"/>
      <c r="F188" s="464"/>
      <c r="G188" s="676"/>
    </row>
    <row r="189" spans="1:7" ht="14.25" hidden="1" customHeight="1">
      <c r="A189" s="1996"/>
      <c r="B189" s="1819"/>
      <c r="C189" s="744"/>
      <c r="D189" s="434"/>
      <c r="E189" s="746"/>
      <c r="F189" s="434"/>
      <c r="G189" s="457"/>
    </row>
    <row r="190" spans="1:7" ht="14.25" hidden="1" customHeight="1">
      <c r="A190" s="2015" t="s">
        <v>1560</v>
      </c>
      <c r="B190" s="1601"/>
      <c r="C190" s="1601"/>
      <c r="D190" s="1601"/>
      <c r="E190" s="1601"/>
      <c r="F190" s="1801"/>
      <c r="G190" s="462"/>
    </row>
    <row r="191" spans="1:7" ht="14.25" hidden="1" customHeight="1">
      <c r="A191" s="163" t="s">
        <v>1564</v>
      </c>
      <c r="B191" s="618"/>
      <c r="C191" s="618"/>
      <c r="D191" s="618"/>
      <c r="E191" s="618"/>
      <c r="F191" s="618"/>
      <c r="G191" s="743"/>
    </row>
    <row r="192" spans="1:7" ht="14.25" hidden="1" customHeight="1">
      <c r="A192" s="1975" t="s">
        <v>1565</v>
      </c>
      <c r="B192" s="1801"/>
      <c r="C192" s="424" t="s">
        <v>1566</v>
      </c>
      <c r="D192" s="424" t="s">
        <v>6</v>
      </c>
      <c r="E192" s="424" t="s">
        <v>7</v>
      </c>
      <c r="F192" s="424" t="s">
        <v>1559</v>
      </c>
      <c r="G192" s="462"/>
    </row>
    <row r="193" spans="1:7" ht="13.5" hidden="1" customHeight="1">
      <c r="A193" s="2004" t="str">
        <f>+'MANO DE OBRA'!$A$95</f>
        <v>MANO OBRA CARPINTERIA MET.</v>
      </c>
      <c r="B193" s="1888"/>
      <c r="C193" s="679">
        <f>+'MANO DE OBRA'!$E$95</f>
        <v>31204.875</v>
      </c>
      <c r="D193" s="680">
        <v>1</v>
      </c>
      <c r="E193" s="680">
        <v>0.2</v>
      </c>
      <c r="F193" s="694">
        <f>+(C193*D193)*E193</f>
        <v>6240.9750000000004</v>
      </c>
      <c r="G193" s="676"/>
    </row>
    <row r="194" spans="1:7" ht="14.25" hidden="1" customHeight="1">
      <c r="A194" s="1984"/>
      <c r="B194" s="1819"/>
      <c r="C194" s="747"/>
      <c r="D194" s="614"/>
      <c r="E194" s="614"/>
      <c r="F194" s="753"/>
      <c r="G194" s="709"/>
    </row>
    <row r="195" spans="1:7" ht="14.25" hidden="1" customHeight="1">
      <c r="A195" s="2015" t="str">
        <f>+A190</f>
        <v>SUB-TOTAL</v>
      </c>
      <c r="B195" s="1601"/>
      <c r="C195" s="1601"/>
      <c r="D195" s="1601"/>
      <c r="E195" s="1601"/>
      <c r="F195" s="1801"/>
      <c r="G195" s="462">
        <f>SUM(F193:F194)</f>
        <v>6240.9750000000004</v>
      </c>
    </row>
    <row r="196" spans="1:7" ht="11.25" hidden="1" customHeight="1">
      <c r="A196" s="618"/>
      <c r="B196" s="618"/>
      <c r="C196" s="618"/>
      <c r="D196" s="618"/>
      <c r="E196" s="618"/>
      <c r="F196" s="748"/>
      <c r="G196" s="743"/>
    </row>
    <row r="197" spans="1:7" ht="14.25" hidden="1" customHeight="1">
      <c r="A197" s="2015" t="s">
        <v>1567</v>
      </c>
      <c r="B197" s="1601"/>
      <c r="C197" s="1601"/>
      <c r="D197" s="1601"/>
      <c r="E197" s="1601"/>
      <c r="F197" s="1801"/>
      <c r="G197" s="459">
        <f>ROUND(G179+G185+G190+G195,0)</f>
        <v>11270</v>
      </c>
    </row>
    <row r="198" spans="1:7" ht="14.25" hidden="1" customHeight="1">
      <c r="A198" s="616"/>
      <c r="B198" s="616"/>
      <c r="C198" s="616"/>
      <c r="D198" s="616"/>
      <c r="E198" s="616"/>
      <c r="F198" s="616"/>
      <c r="G198" s="616"/>
    </row>
    <row r="199" spans="1:7" ht="14.25" customHeight="1">
      <c r="A199" s="616"/>
      <c r="B199" s="616"/>
      <c r="C199" s="616"/>
      <c r="D199" s="616"/>
      <c r="E199" s="616"/>
      <c r="F199" s="616"/>
      <c r="G199" s="616"/>
    </row>
    <row r="200" spans="1:7" ht="14.25" customHeight="1">
      <c r="A200" s="1989" t="e">
        <f>+'ANALISIS BASICOS'!$A$7</f>
        <v>#REF!</v>
      </c>
      <c r="B200" s="1616"/>
      <c r="C200" s="1624"/>
      <c r="D200" s="1990" t="s">
        <v>1195</v>
      </c>
      <c r="E200" s="1616"/>
      <c r="F200" s="1616"/>
      <c r="G200" s="1624"/>
    </row>
    <row r="201" spans="1:7" ht="35.25" customHeight="1">
      <c r="A201" s="1971"/>
      <c r="B201" s="1817"/>
      <c r="C201" s="1972"/>
      <c r="D201" s="1971"/>
      <c r="E201" s="1817"/>
      <c r="F201" s="1817"/>
      <c r="G201" s="1972"/>
    </row>
    <row r="202" spans="1:7" ht="14.25" customHeight="1">
      <c r="A202" s="618"/>
      <c r="B202" s="618"/>
      <c r="C202" s="618"/>
      <c r="D202" s="618"/>
      <c r="E202" s="618"/>
      <c r="F202" s="618"/>
      <c r="G202" s="618"/>
    </row>
    <row r="203" spans="1:7" ht="63.75" customHeight="1">
      <c r="A203" s="1991" t="e">
        <f ca="1">+A170</f>
        <v>#NAME?</v>
      </c>
      <c r="B203" s="1601"/>
      <c r="C203" s="1602"/>
      <c r="D203" s="1975" t="s">
        <v>1708</v>
      </c>
      <c r="E203" s="1601"/>
      <c r="F203" s="1601"/>
      <c r="G203" s="1602"/>
    </row>
    <row r="204" spans="1:7" ht="14.25" customHeight="1">
      <c r="A204" s="620"/>
      <c r="B204" s="620"/>
      <c r="C204" s="620"/>
      <c r="D204" s="620"/>
      <c r="E204" s="620"/>
      <c r="F204" s="620"/>
      <c r="G204" s="620"/>
    </row>
    <row r="205" spans="1:7" ht="12.75" customHeight="1">
      <c r="A205" s="572"/>
      <c r="B205" s="618"/>
      <c r="C205" s="616"/>
      <c r="D205" s="421" t="s">
        <v>1553</v>
      </c>
      <c r="E205" s="422" t="s">
        <v>228</v>
      </c>
      <c r="F205" s="421" t="s">
        <v>1554</v>
      </c>
      <c r="G205" s="422" t="s">
        <v>38</v>
      </c>
    </row>
    <row r="206" spans="1:7" ht="14.25" customHeight="1">
      <c r="A206" s="621" t="s">
        <v>1555</v>
      </c>
      <c r="B206" s="618"/>
      <c r="C206" s="618"/>
      <c r="D206" s="618"/>
      <c r="E206" s="618"/>
      <c r="F206" s="618"/>
      <c r="G206" s="618"/>
    </row>
    <row r="207" spans="1:7" ht="13.5" customHeight="1">
      <c r="A207" s="1975" t="s">
        <v>1556</v>
      </c>
      <c r="B207" s="1601"/>
      <c r="C207" s="1801"/>
      <c r="D207" s="424" t="s">
        <v>208</v>
      </c>
      <c r="E207" s="424" t="s">
        <v>1558</v>
      </c>
      <c r="F207" s="424" t="s">
        <v>1559</v>
      </c>
      <c r="G207" s="425"/>
    </row>
    <row r="208" spans="1:7" ht="14.25" customHeight="1">
      <c r="A208" s="1987" t="str">
        <f>+'LISTADO EQUIPOS'!$C$22</f>
        <v>HERRAMIENTA MENOR.</v>
      </c>
      <c r="B208" s="1811"/>
      <c r="C208" s="1967"/>
      <c r="D208" s="675">
        <f>+'LISTADO EQUIPOS'!$E$22/8</f>
        <v>2850</v>
      </c>
      <c r="E208" s="687">
        <v>0.5</v>
      </c>
      <c r="F208" s="440">
        <f t="shared" ref="F208:F211" si="17">+E208*D208</f>
        <v>1425</v>
      </c>
      <c r="G208" s="688"/>
    </row>
    <row r="209" spans="1:7" ht="14.25" customHeight="1">
      <c r="A209" s="1995" t="str">
        <f>+'LISTADO EQUIPOS'!$C$18</f>
        <v>EQUIPO ELÉCTRICO SOLDADURA</v>
      </c>
      <c r="B209" s="1610"/>
      <c r="C209" s="1611"/>
      <c r="D209" s="464">
        <f>+INSUMOS!H52</f>
        <v>12350</v>
      </c>
      <c r="E209" s="706">
        <v>0.05</v>
      </c>
      <c r="F209" s="440">
        <f t="shared" si="17"/>
        <v>617.5</v>
      </c>
      <c r="G209" s="751"/>
    </row>
    <row r="210" spans="1:7" ht="14.25" customHeight="1">
      <c r="A210" s="1995" t="str">
        <f>+'LISTADO EQUIPOS'!$C$47</f>
        <v>ANDAMIO TUBULAR. 1.5 x 1.5 SECCIÓN</v>
      </c>
      <c r="B210" s="1610"/>
      <c r="C210" s="1611"/>
      <c r="D210" s="464">
        <f>+INSUMOS!H46</f>
        <v>3420</v>
      </c>
      <c r="E210" s="706">
        <v>0.05</v>
      </c>
      <c r="F210" s="440">
        <f t="shared" si="17"/>
        <v>171</v>
      </c>
      <c r="G210" s="751"/>
    </row>
    <row r="211" spans="1:7" ht="14.25" customHeight="1">
      <c r="A211" s="1996" t="str">
        <f>+'LISTADO EQUIPOS'!$C$96</f>
        <v>GRUA 5 TON.</v>
      </c>
      <c r="B211" s="1807"/>
      <c r="C211" s="1819"/>
      <c r="D211" s="434">
        <f>+INSUMOS!H53</f>
        <v>145000</v>
      </c>
      <c r="E211" s="433">
        <f>0.05</f>
        <v>0.05</v>
      </c>
      <c r="F211" s="700">
        <f t="shared" si="17"/>
        <v>7250</v>
      </c>
      <c r="G211" s="435"/>
    </row>
    <row r="212" spans="1:7" ht="14.25" customHeight="1">
      <c r="A212" s="2015" t="s">
        <v>1560</v>
      </c>
      <c r="B212" s="1601"/>
      <c r="C212" s="1601"/>
      <c r="D212" s="1601"/>
      <c r="E212" s="1601"/>
      <c r="F212" s="1801"/>
      <c r="G212" s="462">
        <f>SUM(F208:F211)</f>
        <v>9463.5</v>
      </c>
    </row>
    <row r="213" spans="1:7" ht="14.25" customHeight="1">
      <c r="A213" s="621" t="s">
        <v>1561</v>
      </c>
      <c r="B213" s="618"/>
      <c r="C213" s="618"/>
      <c r="D213" s="618"/>
      <c r="E213" s="618"/>
      <c r="F213" s="618"/>
      <c r="G213" s="743"/>
    </row>
    <row r="214" spans="1:7" ht="14.25" customHeight="1">
      <c r="A214" s="1975" t="s">
        <v>1556</v>
      </c>
      <c r="B214" s="1801"/>
      <c r="C214" s="424" t="s">
        <v>6</v>
      </c>
      <c r="D214" s="424" t="s">
        <v>1562</v>
      </c>
      <c r="E214" s="424" t="s">
        <v>7</v>
      </c>
      <c r="F214" s="424" t="s">
        <v>1559</v>
      </c>
      <c r="G214" s="673"/>
    </row>
    <row r="215" spans="1:7" ht="30" customHeight="1">
      <c r="A215" s="1995" t="s">
        <v>1709</v>
      </c>
      <c r="B215" s="1611"/>
      <c r="C215" s="444" t="s">
        <v>228</v>
      </c>
      <c r="D215" s="464">
        <f>+INSUMOS!H54</f>
        <v>170522.62750287601</v>
      </c>
      <c r="E215" s="754">
        <v>1</v>
      </c>
      <c r="F215" s="440">
        <f>+E215*D215</f>
        <v>170522.62750287601</v>
      </c>
      <c r="G215" s="707"/>
    </row>
    <row r="216" spans="1:7" ht="14.25" customHeight="1">
      <c r="A216" s="1995"/>
      <c r="B216" s="1611"/>
      <c r="C216" s="444"/>
      <c r="D216" s="464"/>
      <c r="E216" s="444"/>
      <c r="F216" s="440"/>
      <c r="G216" s="707"/>
    </row>
    <row r="217" spans="1:7" ht="14.25" customHeight="1">
      <c r="A217" s="1995"/>
      <c r="B217" s="1611"/>
      <c r="C217" s="444"/>
      <c r="D217" s="464"/>
      <c r="E217" s="444"/>
      <c r="F217" s="440"/>
      <c r="G217" s="707"/>
    </row>
    <row r="218" spans="1:7" ht="14.25" customHeight="1">
      <c r="A218" s="1995"/>
      <c r="B218" s="1611"/>
      <c r="C218" s="444"/>
      <c r="D218" s="464"/>
      <c r="E218" s="444"/>
      <c r="F218" s="440"/>
      <c r="G218" s="707"/>
    </row>
    <row r="219" spans="1:7" ht="14.25" customHeight="1">
      <c r="A219" s="1996"/>
      <c r="B219" s="1819"/>
      <c r="C219" s="708"/>
      <c r="D219" s="434"/>
      <c r="E219" s="708"/>
      <c r="F219" s="700"/>
      <c r="G219" s="709"/>
    </row>
    <row r="220" spans="1:7" ht="14.25" customHeight="1">
      <c r="A220" s="2015" t="s">
        <v>1560</v>
      </c>
      <c r="B220" s="1601"/>
      <c r="C220" s="1601"/>
      <c r="D220" s="1601"/>
      <c r="E220" s="1601"/>
      <c r="F220" s="1801"/>
      <c r="G220" s="462">
        <f>SUM(F215:F219)</f>
        <v>170522.62750287601</v>
      </c>
    </row>
    <row r="221" spans="1:7" ht="14.25" customHeight="1">
      <c r="A221" s="163" t="s">
        <v>1563</v>
      </c>
      <c r="B221" s="618"/>
      <c r="C221" s="618"/>
      <c r="D221" s="618"/>
      <c r="E221" s="618"/>
      <c r="F221" s="618"/>
      <c r="G221" s="743"/>
    </row>
    <row r="222" spans="1:7" ht="14.25" customHeight="1">
      <c r="A222" s="1975" t="s">
        <v>1556</v>
      </c>
      <c r="B222" s="1801"/>
      <c r="C222" s="424" t="s">
        <v>6</v>
      </c>
      <c r="D222" s="424" t="s">
        <v>1562</v>
      </c>
      <c r="E222" s="424" t="s">
        <v>7</v>
      </c>
      <c r="F222" s="424" t="s">
        <v>1559</v>
      </c>
      <c r="G222" s="438"/>
    </row>
    <row r="223" spans="1:7" ht="14.25" customHeight="1">
      <c r="A223" s="1987" t="str">
        <f>+'LISTADO EQUIPOS'!$C$125</f>
        <v>VOLQUETA (5-6)M3</v>
      </c>
      <c r="B223" s="1967"/>
      <c r="C223" s="744" t="str">
        <f>+'LISTADO EQUIPOS'!$D$125</f>
        <v>VJ</v>
      </c>
      <c r="D223" s="675">
        <f>6*INSUMOS!H11</f>
        <v>170571.42857142841</v>
      </c>
      <c r="E223" s="745">
        <v>0.14099900000000001</v>
      </c>
      <c r="F223" s="464">
        <f>+E223*D223</f>
        <v>24050.400857142835</v>
      </c>
      <c r="G223" s="676"/>
    </row>
    <row r="224" spans="1:7" ht="14.25" customHeight="1">
      <c r="A224" s="1996"/>
      <c r="B224" s="1819"/>
      <c r="C224" s="744"/>
      <c r="D224" s="434"/>
      <c r="E224" s="746"/>
      <c r="F224" s="434"/>
      <c r="G224" s="457"/>
    </row>
    <row r="225" spans="1:7" ht="14.25" customHeight="1">
      <c r="A225" s="2015" t="s">
        <v>1560</v>
      </c>
      <c r="B225" s="1601"/>
      <c r="C225" s="1601"/>
      <c r="D225" s="1601"/>
      <c r="E225" s="1601"/>
      <c r="F225" s="1801"/>
      <c r="G225" s="462">
        <f>SUM(F223:F224)</f>
        <v>24050.400857142835</v>
      </c>
    </row>
    <row r="226" spans="1:7" ht="14.25" customHeight="1">
      <c r="A226" s="163" t="s">
        <v>1564</v>
      </c>
      <c r="B226" s="618"/>
      <c r="C226" s="618"/>
      <c r="D226" s="618"/>
      <c r="E226" s="618"/>
      <c r="F226" s="618"/>
      <c r="G226" s="743"/>
    </row>
    <row r="227" spans="1:7" ht="14.25" customHeight="1">
      <c r="A227" s="1975" t="s">
        <v>1565</v>
      </c>
      <c r="B227" s="1801"/>
      <c r="C227" s="424" t="s">
        <v>1566</v>
      </c>
      <c r="D227" s="424" t="s">
        <v>6</v>
      </c>
      <c r="E227" s="424" t="s">
        <v>7</v>
      </c>
      <c r="F227" s="424" t="s">
        <v>1559</v>
      </c>
      <c r="G227" s="462"/>
    </row>
    <row r="228" spans="1:7" ht="14.25" customHeight="1">
      <c r="A228" s="2004" t="str">
        <f>+'MANO DE OBRA'!$A$95</f>
        <v>MANO OBRA CARPINTERIA MET.</v>
      </c>
      <c r="B228" s="1888"/>
      <c r="C228" s="679">
        <f>+'MANO DE OBRA'!$E$95</f>
        <v>31204.875</v>
      </c>
      <c r="D228" s="680">
        <v>1</v>
      </c>
      <c r="E228" s="680">
        <v>0.8</v>
      </c>
      <c r="F228" s="694">
        <f>+(C228*D228)*E228</f>
        <v>24963.9</v>
      </c>
      <c r="G228" s="676"/>
    </row>
    <row r="229" spans="1:7" ht="14.25" customHeight="1">
      <c r="A229" s="1984"/>
      <c r="B229" s="1819"/>
      <c r="C229" s="747"/>
      <c r="D229" s="614"/>
      <c r="E229" s="614"/>
      <c r="F229" s="753"/>
      <c r="G229" s="709"/>
    </row>
    <row r="230" spans="1:7" ht="14.25" customHeight="1">
      <c r="A230" s="2015" t="str">
        <f>+A225</f>
        <v>SUB-TOTAL</v>
      </c>
      <c r="B230" s="1601"/>
      <c r="C230" s="1601"/>
      <c r="D230" s="1601"/>
      <c r="E230" s="1601"/>
      <c r="F230" s="1801"/>
      <c r="G230" s="462">
        <f>SUM(F228:F229)</f>
        <v>24963.9</v>
      </c>
    </row>
    <row r="231" spans="1:7" ht="11.25" customHeight="1">
      <c r="A231" s="618"/>
      <c r="B231" s="618"/>
      <c r="C231" s="618"/>
      <c r="D231" s="618"/>
      <c r="E231" s="618"/>
      <c r="F231" s="748"/>
      <c r="G231" s="743"/>
    </row>
    <row r="232" spans="1:7" ht="14.25" customHeight="1">
      <c r="A232" s="2015" t="s">
        <v>1567</v>
      </c>
      <c r="B232" s="1601"/>
      <c r="C232" s="1601"/>
      <c r="D232" s="1601"/>
      <c r="E232" s="1601"/>
      <c r="F232" s="1801"/>
      <c r="G232" s="459">
        <f>ROUND(G212+G220+G225+G230,0)</f>
        <v>229000</v>
      </c>
    </row>
    <row r="233" spans="1:7" ht="14.25" customHeight="1">
      <c r="A233" s="637"/>
      <c r="B233" s="637"/>
      <c r="C233" s="637"/>
      <c r="D233" s="637"/>
      <c r="E233" s="637"/>
      <c r="F233" s="637"/>
      <c r="G233" s="466"/>
    </row>
    <row r="234" spans="1:7" ht="14.25" customHeight="1">
      <c r="A234" s="72" t="s">
        <v>271</v>
      </c>
      <c r="B234" s="363"/>
      <c r="C234" s="363"/>
      <c r="D234" s="1985" t="s">
        <v>272</v>
      </c>
      <c r="E234" s="1605"/>
      <c r="F234" s="363"/>
      <c r="G234" s="363"/>
    </row>
    <row r="235" spans="1:7" ht="14.25" customHeight="1">
      <c r="A235" s="1986"/>
      <c r="B235" s="1605"/>
      <c r="C235" s="1605"/>
      <c r="D235" s="1605"/>
    </row>
    <row r="236" spans="1:7" ht="14.25" customHeight="1">
      <c r="A236" s="123"/>
      <c r="B236" s="175"/>
      <c r="C236" s="123"/>
      <c r="D236" s="123"/>
    </row>
    <row r="237" spans="1:7" ht="14.25" customHeight="1"/>
    <row r="238" spans="1:7" ht="14.25" customHeight="1">
      <c r="A238" s="1895" t="s">
        <v>273</v>
      </c>
      <c r="B238" s="1605"/>
      <c r="C238" s="1605"/>
      <c r="D238" s="1895" t="s">
        <v>274</v>
      </c>
      <c r="E238" s="1605"/>
      <c r="F238" s="1605"/>
      <c r="G238" s="1605"/>
    </row>
    <row r="239" spans="1:7" ht="14.25" customHeight="1">
      <c r="A239" s="1890" t="s">
        <v>275</v>
      </c>
      <c r="B239" s="1605"/>
      <c r="C239" s="1605"/>
      <c r="D239" s="1890" t="s">
        <v>276</v>
      </c>
      <c r="E239" s="1605"/>
      <c r="F239" s="1605"/>
      <c r="G239" s="1605"/>
    </row>
    <row r="241" spans="1:7" ht="14.25" customHeight="1">
      <c r="A241" s="1989" t="e">
        <f>+'ANALISIS BASICOS'!$A$7</f>
        <v>#REF!</v>
      </c>
      <c r="B241" s="1616"/>
      <c r="C241" s="1624"/>
      <c r="D241" s="1990" t="s">
        <v>1195</v>
      </c>
      <c r="E241" s="1616"/>
      <c r="F241" s="1616"/>
      <c r="G241" s="1624"/>
    </row>
    <row r="242" spans="1:7" ht="33" customHeight="1">
      <c r="A242" s="1971"/>
      <c r="B242" s="1817"/>
      <c r="C242" s="1972"/>
      <c r="D242" s="1971"/>
      <c r="E242" s="1817"/>
      <c r="F242" s="1817"/>
      <c r="G242" s="1972"/>
    </row>
    <row r="243" spans="1:7" ht="14.25" customHeight="1">
      <c r="A243" s="618"/>
      <c r="B243" s="618"/>
      <c r="C243" s="618"/>
      <c r="D243" s="618"/>
      <c r="E243" s="618"/>
      <c r="F243" s="618"/>
      <c r="G243" s="618"/>
    </row>
    <row r="244" spans="1:7" ht="60.75" customHeight="1">
      <c r="A244" s="1991" t="e">
        <f ca="1">+A203</f>
        <v>#NAME?</v>
      </c>
      <c r="B244" s="1601"/>
      <c r="C244" s="1602"/>
      <c r="D244" s="1975" t="s">
        <v>1710</v>
      </c>
      <c r="E244" s="1601"/>
      <c r="F244" s="1601"/>
      <c r="G244" s="1602"/>
    </row>
    <row r="245" spans="1:7" ht="14.25" customHeight="1">
      <c r="A245" s="620"/>
      <c r="B245" s="620"/>
      <c r="C245" s="620"/>
      <c r="D245" s="620"/>
      <c r="E245" s="620"/>
      <c r="F245" s="620"/>
      <c r="G245" s="620"/>
    </row>
    <row r="246" spans="1:7" ht="12.75" customHeight="1">
      <c r="A246" s="572"/>
      <c r="B246" s="618"/>
      <c r="C246" s="616"/>
      <c r="D246" s="421" t="s">
        <v>1553</v>
      </c>
      <c r="E246" s="422" t="s">
        <v>228</v>
      </c>
      <c r="F246" s="421" t="s">
        <v>1554</v>
      </c>
      <c r="G246" s="422" t="s">
        <v>40</v>
      </c>
    </row>
    <row r="247" spans="1:7" ht="14.25" customHeight="1">
      <c r="A247" s="621" t="s">
        <v>1555</v>
      </c>
      <c r="B247" s="618"/>
      <c r="C247" s="618"/>
      <c r="D247" s="618"/>
      <c r="E247" s="618"/>
      <c r="F247" s="618"/>
      <c r="G247" s="618"/>
    </row>
    <row r="248" spans="1:7" ht="13.5" customHeight="1">
      <c r="A248" s="1975" t="s">
        <v>1556</v>
      </c>
      <c r="B248" s="1601"/>
      <c r="C248" s="1801"/>
      <c r="D248" s="424" t="s">
        <v>208</v>
      </c>
      <c r="E248" s="424" t="s">
        <v>1558</v>
      </c>
      <c r="F248" s="424" t="s">
        <v>1559</v>
      </c>
      <c r="G248" s="425"/>
    </row>
    <row r="249" spans="1:7" ht="14.25" customHeight="1">
      <c r="A249" s="1987" t="str">
        <f>+'LISTADO EQUIPOS'!$C$22</f>
        <v>HERRAMIENTA MENOR.</v>
      </c>
      <c r="B249" s="1811"/>
      <c r="C249" s="1967"/>
      <c r="D249" s="675">
        <f>+'LISTADO EQUIPOS'!$E$22/8</f>
        <v>2850</v>
      </c>
      <c r="E249" s="687">
        <f>+E267</f>
        <v>0.75</v>
      </c>
      <c r="F249" s="442">
        <f t="shared" ref="F249:F252" si="18">+E249*D249</f>
        <v>2137.5</v>
      </c>
      <c r="G249" s="688"/>
    </row>
    <row r="250" spans="1:7" ht="14.25" customHeight="1">
      <c r="A250" s="1995" t="str">
        <f>+'LISTADO EQUIPOS'!$C$18</f>
        <v>EQUIPO ELÉCTRICO SOLDADURA</v>
      </c>
      <c r="B250" s="1610"/>
      <c r="C250" s="1611"/>
      <c r="D250" s="464">
        <f>+INSUMOS!H52</f>
        <v>12350</v>
      </c>
      <c r="E250" s="706">
        <f>+E249*0.1</f>
        <v>7.5000000000000011E-2</v>
      </c>
      <c r="F250" s="440">
        <f t="shared" si="18"/>
        <v>926.25000000000011</v>
      </c>
      <c r="G250" s="751"/>
    </row>
    <row r="251" spans="1:7" ht="14.25" customHeight="1">
      <c r="A251" s="1995" t="str">
        <f>+'LISTADO EQUIPOS'!$C$47</f>
        <v>ANDAMIO TUBULAR. 1.5 x 1.5 SECCIÓN</v>
      </c>
      <c r="B251" s="1610"/>
      <c r="C251" s="1611"/>
      <c r="D251" s="464">
        <f>+INSUMOS!H46</f>
        <v>3420</v>
      </c>
      <c r="E251" s="706">
        <f>+E250</f>
        <v>7.5000000000000011E-2</v>
      </c>
      <c r="F251" s="440">
        <f t="shared" si="18"/>
        <v>256.50000000000006</v>
      </c>
      <c r="G251" s="751"/>
    </row>
    <row r="252" spans="1:7" ht="14.25" customHeight="1">
      <c r="A252" s="1996" t="str">
        <f>+'LISTADO EQUIPOS'!$C$96</f>
        <v>GRUA 5 TON.</v>
      </c>
      <c r="B252" s="1807"/>
      <c r="C252" s="1819"/>
      <c r="D252" s="434">
        <f>+INSUMOS!H53</f>
        <v>145000</v>
      </c>
      <c r="E252" s="433">
        <f>+E250</f>
        <v>7.5000000000000011E-2</v>
      </c>
      <c r="F252" s="700">
        <f t="shared" si="18"/>
        <v>10875.000000000002</v>
      </c>
      <c r="G252" s="435"/>
    </row>
    <row r="253" spans="1:7" ht="14.25" customHeight="1">
      <c r="A253" s="2015" t="s">
        <v>1560</v>
      </c>
      <c r="B253" s="1601"/>
      <c r="C253" s="1601"/>
      <c r="D253" s="1601"/>
      <c r="E253" s="1601"/>
      <c r="F253" s="1801"/>
      <c r="G253" s="462">
        <f>SUM(F249:F252)</f>
        <v>14195.250000000002</v>
      </c>
    </row>
    <row r="254" spans="1:7" ht="14.25" customHeight="1">
      <c r="A254" s="621" t="s">
        <v>1561</v>
      </c>
      <c r="B254" s="618"/>
      <c r="C254" s="618"/>
      <c r="D254" s="618"/>
      <c r="E254" s="618"/>
      <c r="F254" s="618"/>
      <c r="G254" s="743"/>
    </row>
    <row r="255" spans="1:7" ht="14.25" customHeight="1">
      <c r="A255" s="1975" t="s">
        <v>1556</v>
      </c>
      <c r="B255" s="1801"/>
      <c r="C255" s="424" t="s">
        <v>6</v>
      </c>
      <c r="D255" s="424" t="s">
        <v>1562</v>
      </c>
      <c r="E255" s="424" t="s">
        <v>7</v>
      </c>
      <c r="F255" s="424" t="s">
        <v>1559</v>
      </c>
      <c r="G255" s="673"/>
    </row>
    <row r="256" spans="1:7" ht="34.5" customHeight="1">
      <c r="A256" s="1995" t="s">
        <v>1711</v>
      </c>
      <c r="B256" s="1611"/>
      <c r="C256" s="444" t="s">
        <v>228</v>
      </c>
      <c r="D256" s="464">
        <f>+INSUMOS!H55</f>
        <v>159218.75</v>
      </c>
      <c r="E256" s="706">
        <v>1.05</v>
      </c>
      <c r="F256" s="440">
        <f>+E256*D256</f>
        <v>167179.6875</v>
      </c>
      <c r="G256" s="707"/>
    </row>
    <row r="257" spans="1:7" ht="14.25" customHeight="1">
      <c r="A257" s="1995"/>
      <c r="B257" s="1611"/>
      <c r="C257" s="444"/>
      <c r="D257" s="464"/>
      <c r="E257" s="444"/>
      <c r="F257" s="440"/>
      <c r="G257" s="707"/>
    </row>
    <row r="258" spans="1:7" ht="14.25" customHeight="1">
      <c r="A258" s="1996"/>
      <c r="B258" s="1819"/>
      <c r="C258" s="708"/>
      <c r="D258" s="434"/>
      <c r="E258" s="708"/>
      <c r="F258" s="434"/>
      <c r="G258" s="709"/>
    </row>
    <row r="259" spans="1:7" ht="14.25" customHeight="1">
      <c r="A259" s="2015" t="s">
        <v>1560</v>
      </c>
      <c r="B259" s="1601"/>
      <c r="C259" s="1601"/>
      <c r="D259" s="1601"/>
      <c r="E259" s="1601"/>
      <c r="F259" s="1801"/>
      <c r="G259" s="462">
        <f>SUM(F256:F258)</f>
        <v>167179.6875</v>
      </c>
    </row>
    <row r="260" spans="1:7" ht="14.25" customHeight="1">
      <c r="A260" s="163" t="s">
        <v>1563</v>
      </c>
      <c r="B260" s="618"/>
      <c r="C260" s="618"/>
      <c r="D260" s="618"/>
      <c r="E260" s="618"/>
      <c r="F260" s="618"/>
      <c r="G260" s="743"/>
    </row>
    <row r="261" spans="1:7" ht="14.25" customHeight="1">
      <c r="A261" s="1975" t="s">
        <v>1556</v>
      </c>
      <c r="B261" s="1801"/>
      <c r="C261" s="424" t="s">
        <v>6</v>
      </c>
      <c r="D261" s="424" t="s">
        <v>1562</v>
      </c>
      <c r="E261" s="424" t="s">
        <v>7</v>
      </c>
      <c r="F261" s="424" t="s">
        <v>1559</v>
      </c>
      <c r="G261" s="438"/>
    </row>
    <row r="262" spans="1:7" ht="14.25" customHeight="1">
      <c r="A262" s="1987" t="str">
        <f>+'LISTADO EQUIPOS'!$C$125</f>
        <v>VOLQUETA (5-6)M3</v>
      </c>
      <c r="B262" s="1967"/>
      <c r="C262" s="744" t="str">
        <f>+'LISTADO EQUIPOS'!$D$125</f>
        <v>VJ</v>
      </c>
      <c r="D262" s="675">
        <f>6*INSUMOS!H11</f>
        <v>170571.42857142841</v>
      </c>
      <c r="E262" s="745">
        <v>0.15</v>
      </c>
      <c r="F262" s="464">
        <f>+E262*D262</f>
        <v>25585.714285714261</v>
      </c>
      <c r="G262" s="676"/>
    </row>
    <row r="263" spans="1:7" ht="14.25" customHeight="1">
      <c r="A263" s="1996"/>
      <c r="B263" s="1819"/>
      <c r="C263" s="744"/>
      <c r="D263" s="434"/>
      <c r="E263" s="746"/>
      <c r="F263" s="434"/>
      <c r="G263" s="457"/>
    </row>
    <row r="264" spans="1:7" ht="14.25" customHeight="1">
      <c r="A264" s="2015" t="s">
        <v>1560</v>
      </c>
      <c r="B264" s="1601"/>
      <c r="C264" s="1601"/>
      <c r="D264" s="1601"/>
      <c r="E264" s="1601"/>
      <c r="F264" s="1801"/>
      <c r="G264" s="462">
        <f>SUM(F262:F263)</f>
        <v>25585.714285714261</v>
      </c>
    </row>
    <row r="265" spans="1:7" ht="14.25" customHeight="1">
      <c r="A265" s="163" t="s">
        <v>1564</v>
      </c>
      <c r="B265" s="618"/>
      <c r="C265" s="618"/>
      <c r="D265" s="618"/>
      <c r="E265" s="618"/>
      <c r="F265" s="618"/>
      <c r="G265" s="743"/>
    </row>
    <row r="266" spans="1:7" ht="14.25" customHeight="1">
      <c r="A266" s="1975" t="s">
        <v>1565</v>
      </c>
      <c r="B266" s="1801"/>
      <c r="C266" s="424" t="s">
        <v>1566</v>
      </c>
      <c r="D266" s="424" t="s">
        <v>6</v>
      </c>
      <c r="E266" s="424" t="s">
        <v>7</v>
      </c>
      <c r="F266" s="424" t="s">
        <v>1559</v>
      </c>
      <c r="G266" s="462"/>
    </row>
    <row r="267" spans="1:7" ht="14.25" customHeight="1">
      <c r="A267" s="2004" t="str">
        <f>+'MANO DE OBRA'!$A$95</f>
        <v>MANO OBRA CARPINTERIA MET.</v>
      </c>
      <c r="B267" s="1888"/>
      <c r="C267" s="679">
        <f>+'MANO DE OBRA'!$E$95</f>
        <v>31204.875</v>
      </c>
      <c r="D267" s="680">
        <v>1</v>
      </c>
      <c r="E267" s="680">
        <v>0.75</v>
      </c>
      <c r="F267" s="755">
        <f>+(C267*D267)*E267</f>
        <v>23403.65625</v>
      </c>
      <c r="G267" s="676"/>
    </row>
    <row r="268" spans="1:7" ht="14.25" customHeight="1">
      <c r="A268" s="1984"/>
      <c r="B268" s="1819"/>
      <c r="C268" s="747"/>
      <c r="D268" s="614"/>
      <c r="E268" s="614"/>
      <c r="F268" s="753"/>
      <c r="G268" s="709"/>
    </row>
    <row r="269" spans="1:7" ht="14.25" customHeight="1">
      <c r="A269" s="2015" t="str">
        <f>+A264</f>
        <v>SUB-TOTAL</v>
      </c>
      <c r="B269" s="1601"/>
      <c r="C269" s="1601"/>
      <c r="D269" s="1601"/>
      <c r="E269" s="1601"/>
      <c r="F269" s="1801"/>
      <c r="G269" s="462">
        <f>SUM(F267:F268)</f>
        <v>23403.65625</v>
      </c>
    </row>
    <row r="270" spans="1:7" ht="11.25" customHeight="1">
      <c r="A270" s="618"/>
      <c r="B270" s="618"/>
      <c r="C270" s="618"/>
      <c r="D270" s="618"/>
      <c r="E270" s="618"/>
      <c r="F270" s="748"/>
      <c r="G270" s="743"/>
    </row>
    <row r="271" spans="1:7" ht="14.25" customHeight="1">
      <c r="A271" s="2015" t="s">
        <v>1567</v>
      </c>
      <c r="B271" s="1601"/>
      <c r="C271" s="1601"/>
      <c r="D271" s="1601"/>
      <c r="E271" s="1601"/>
      <c r="F271" s="1801"/>
      <c r="G271" s="459">
        <f>ROUND(G253+G259+G264+G269,0)</f>
        <v>230364</v>
      </c>
    </row>
    <row r="273" spans="1:7" ht="14.25" customHeight="1">
      <c r="A273" s="72" t="s">
        <v>271</v>
      </c>
      <c r="B273" s="363"/>
      <c r="C273" s="363"/>
      <c r="D273" s="1985" t="s">
        <v>272</v>
      </c>
      <c r="E273" s="1605"/>
      <c r="F273" s="363"/>
      <c r="G273" s="363"/>
    </row>
    <row r="274" spans="1:7" ht="14.25" customHeight="1">
      <c r="A274" s="1986"/>
      <c r="B274" s="1605"/>
      <c r="C274" s="1605"/>
      <c r="D274" s="1605"/>
    </row>
    <row r="275" spans="1:7" ht="14.25" customHeight="1">
      <c r="A275" s="123"/>
      <c r="B275" s="175"/>
      <c r="C275" s="123"/>
      <c r="D275" s="123"/>
    </row>
    <row r="276" spans="1:7" ht="14.25" customHeight="1"/>
    <row r="277" spans="1:7" ht="14.25" customHeight="1">
      <c r="A277" s="1895" t="s">
        <v>273</v>
      </c>
      <c r="B277" s="1605"/>
      <c r="C277" s="1605"/>
      <c r="D277" s="1895" t="s">
        <v>274</v>
      </c>
      <c r="E277" s="1605"/>
      <c r="F277" s="1605"/>
      <c r="G277" s="1605"/>
    </row>
    <row r="278" spans="1:7" ht="14.25" customHeight="1">
      <c r="A278" s="1890" t="s">
        <v>275</v>
      </c>
      <c r="B278" s="1605"/>
      <c r="C278" s="1605"/>
      <c r="D278" s="1890" t="s">
        <v>276</v>
      </c>
      <c r="E278" s="1605"/>
      <c r="F278" s="1605"/>
      <c r="G278" s="1605"/>
    </row>
    <row r="279" spans="1:7" ht="14.25" hidden="1" customHeight="1">
      <c r="A279" s="616"/>
      <c r="B279" s="616"/>
      <c r="C279" s="616"/>
      <c r="D279" s="616"/>
      <c r="E279" s="616"/>
      <c r="F279" s="616"/>
      <c r="G279" s="616"/>
    </row>
    <row r="280" spans="1:7" ht="27" hidden="1" customHeight="1">
      <c r="A280" s="2005" t="s">
        <v>1604</v>
      </c>
      <c r="B280" s="1616"/>
      <c r="C280" s="1624"/>
      <c r="D280" s="567"/>
      <c r="E280" s="567"/>
      <c r="F280" s="567"/>
      <c r="G280" s="668"/>
    </row>
    <row r="281" spans="1:7" ht="24" hidden="1" customHeight="1">
      <c r="A281" s="1971"/>
      <c r="B281" s="1817"/>
      <c r="C281" s="1972"/>
      <c r="D281" s="669"/>
      <c r="E281" s="669"/>
      <c r="F281" s="669"/>
      <c r="G281" s="670"/>
    </row>
    <row r="282" spans="1:7" ht="14.25" hidden="1" customHeight="1">
      <c r="A282" s="618"/>
      <c r="B282" s="618"/>
      <c r="C282" s="618"/>
      <c r="D282" s="618"/>
      <c r="E282" s="618"/>
      <c r="F282" s="618"/>
      <c r="G282" s="618"/>
    </row>
    <row r="283" spans="1:7" ht="48.75" hidden="1" customHeight="1">
      <c r="A283" s="1973" t="str">
        <f>A10</f>
        <v>PRECIOS UNITARIOS OFICIALES 2014</v>
      </c>
      <c r="B283" s="1601"/>
      <c r="C283" s="1602"/>
      <c r="D283" s="1974" t="s">
        <v>1712</v>
      </c>
      <c r="E283" s="1601"/>
      <c r="F283" s="1601"/>
      <c r="G283" s="1602"/>
    </row>
    <row r="284" spans="1:7" ht="14.25" hidden="1" customHeight="1">
      <c r="A284" s="620"/>
      <c r="B284" s="620"/>
      <c r="C284" s="620"/>
      <c r="D284" s="620"/>
      <c r="E284" s="620"/>
      <c r="F284" s="620"/>
      <c r="G284" s="620"/>
    </row>
    <row r="285" spans="1:7" ht="12.75" hidden="1" customHeight="1">
      <c r="A285" s="572"/>
      <c r="B285" s="618"/>
      <c r="C285" s="616"/>
      <c r="D285" s="421" t="s">
        <v>1553</v>
      </c>
      <c r="E285" s="422" t="s">
        <v>127</v>
      </c>
      <c r="F285" s="572"/>
      <c r="G285" s="572"/>
    </row>
    <row r="286" spans="1:7" ht="14.25" hidden="1" customHeight="1">
      <c r="A286" s="621" t="s">
        <v>1555</v>
      </c>
      <c r="B286" s="618"/>
      <c r="C286" s="618"/>
      <c r="D286" s="618"/>
      <c r="E286" s="618"/>
      <c r="F286" s="618"/>
      <c r="G286" s="618"/>
    </row>
    <row r="287" spans="1:7" ht="13.5" hidden="1" customHeight="1">
      <c r="A287" s="1975" t="s">
        <v>1556</v>
      </c>
      <c r="B287" s="1601"/>
      <c r="C287" s="1801"/>
      <c r="D287" s="424" t="s">
        <v>208</v>
      </c>
      <c r="E287" s="424" t="s">
        <v>1558</v>
      </c>
      <c r="F287" s="424" t="s">
        <v>1559</v>
      </c>
      <c r="G287" s="425"/>
    </row>
    <row r="288" spans="1:7" ht="14.25" hidden="1" customHeight="1">
      <c r="A288" s="1987" t="s">
        <v>1689</v>
      </c>
      <c r="B288" s="1811"/>
      <c r="C288" s="1967"/>
      <c r="D288" s="675">
        <v>2062.5</v>
      </c>
      <c r="E288" s="687">
        <f>+E307</f>
        <v>5.9393797411874276</v>
      </c>
      <c r="F288" s="442">
        <f t="shared" ref="F288:F291" si="19">+E288*D288</f>
        <v>12249.97071619907</v>
      </c>
      <c r="G288" s="688"/>
    </row>
    <row r="289" spans="1:7" ht="14.25" hidden="1" customHeight="1">
      <c r="A289" s="1995" t="s">
        <v>1713</v>
      </c>
      <c r="B289" s="1610"/>
      <c r="C289" s="1611"/>
      <c r="D289" s="464">
        <v>8125</v>
      </c>
      <c r="E289" s="706">
        <v>3.4329999999999998</v>
      </c>
      <c r="F289" s="440">
        <f t="shared" si="19"/>
        <v>27893.125</v>
      </c>
      <c r="G289" s="751"/>
    </row>
    <row r="290" spans="1:7" ht="14.25" hidden="1" customHeight="1">
      <c r="A290" s="1995" t="s">
        <v>1690</v>
      </c>
      <c r="B290" s="1610"/>
      <c r="C290" s="1611"/>
      <c r="D290" s="464">
        <v>1500</v>
      </c>
      <c r="E290" s="706">
        <v>1</v>
      </c>
      <c r="F290" s="440">
        <f t="shared" si="19"/>
        <v>1500</v>
      </c>
      <c r="G290" s="751"/>
    </row>
    <row r="291" spans="1:7" ht="14.25" hidden="1" customHeight="1">
      <c r="A291" s="1996" t="s">
        <v>1714</v>
      </c>
      <c r="B291" s="1807"/>
      <c r="C291" s="1819"/>
      <c r="D291" s="434">
        <v>4375</v>
      </c>
      <c r="E291" s="433">
        <f>+E289</f>
        <v>3.4329999999999998</v>
      </c>
      <c r="F291" s="700">
        <f t="shared" si="19"/>
        <v>15019.375</v>
      </c>
      <c r="G291" s="435"/>
    </row>
    <row r="292" spans="1:7" ht="14.25" hidden="1" customHeight="1">
      <c r="A292" s="2015" t="s">
        <v>1560</v>
      </c>
      <c r="B292" s="1601"/>
      <c r="C292" s="1601"/>
      <c r="D292" s="1601"/>
      <c r="E292" s="1601"/>
      <c r="F292" s="1801"/>
      <c r="G292" s="462">
        <f>SUM(F288:F291)</f>
        <v>56662.470716199066</v>
      </c>
    </row>
    <row r="293" spans="1:7" ht="14.25" hidden="1" customHeight="1">
      <c r="A293" s="621" t="s">
        <v>1561</v>
      </c>
      <c r="B293" s="618"/>
      <c r="C293" s="618"/>
      <c r="D293" s="618"/>
      <c r="E293" s="618"/>
      <c r="F293" s="618"/>
      <c r="G293" s="743"/>
    </row>
    <row r="294" spans="1:7" ht="14.25" hidden="1" customHeight="1">
      <c r="A294" s="1975" t="s">
        <v>1556</v>
      </c>
      <c r="B294" s="1801"/>
      <c r="C294" s="424" t="s">
        <v>6</v>
      </c>
      <c r="D294" s="424" t="s">
        <v>1562</v>
      </c>
      <c r="E294" s="424" t="s">
        <v>7</v>
      </c>
      <c r="F294" s="424" t="s">
        <v>1559</v>
      </c>
      <c r="G294" s="673"/>
    </row>
    <row r="295" spans="1:7" ht="14.25" hidden="1" customHeight="1">
      <c r="A295" s="1995" t="s">
        <v>1715</v>
      </c>
      <c r="B295" s="1611"/>
      <c r="C295" s="444" t="s">
        <v>120</v>
      </c>
      <c r="D295" s="464">
        <v>10150</v>
      </c>
      <c r="E295" s="444">
        <v>14.35</v>
      </c>
      <c r="F295" s="440">
        <f t="shared" ref="F295:F297" si="20">+E295*D295</f>
        <v>145652.5</v>
      </c>
      <c r="G295" s="707"/>
    </row>
    <row r="296" spans="1:7" ht="14.25" hidden="1" customHeight="1">
      <c r="A296" s="1995" t="s">
        <v>1705</v>
      </c>
      <c r="B296" s="1611"/>
      <c r="C296" s="444" t="s">
        <v>171</v>
      </c>
      <c r="D296" s="464">
        <v>15600</v>
      </c>
      <c r="E296" s="444">
        <v>0.5</v>
      </c>
      <c r="F296" s="440">
        <f t="shared" si="20"/>
        <v>7800</v>
      </c>
      <c r="G296" s="707"/>
    </row>
    <row r="297" spans="1:7" ht="12.75" hidden="1" customHeight="1">
      <c r="A297" s="1995" t="s">
        <v>1706</v>
      </c>
      <c r="B297" s="1611"/>
      <c r="C297" s="444" t="s">
        <v>1707</v>
      </c>
      <c r="D297" s="464">
        <v>24450</v>
      </c>
      <c r="E297" s="444">
        <v>0.5</v>
      </c>
      <c r="F297" s="440">
        <f t="shared" si="20"/>
        <v>12225</v>
      </c>
      <c r="G297" s="707"/>
    </row>
    <row r="298" spans="1:7" ht="14.25" hidden="1" customHeight="1">
      <c r="A298" s="1996"/>
      <c r="B298" s="1819"/>
      <c r="C298" s="708"/>
      <c r="D298" s="434"/>
      <c r="E298" s="708"/>
      <c r="F298" s="434"/>
      <c r="G298" s="709"/>
    </row>
    <row r="299" spans="1:7" ht="14.25" hidden="1" customHeight="1">
      <c r="A299" s="2015" t="s">
        <v>1560</v>
      </c>
      <c r="B299" s="1601"/>
      <c r="C299" s="1601"/>
      <c r="D299" s="1601"/>
      <c r="E299" s="1601"/>
      <c r="F299" s="1801"/>
      <c r="G299" s="462">
        <f>SUM(F295:F298)</f>
        <v>165677.5</v>
      </c>
    </row>
    <row r="300" spans="1:7" ht="14.25" hidden="1" customHeight="1">
      <c r="A300" s="163" t="s">
        <v>1563</v>
      </c>
      <c r="B300" s="618"/>
      <c r="C300" s="618"/>
      <c r="D300" s="618"/>
      <c r="E300" s="618"/>
      <c r="F300" s="618"/>
      <c r="G300" s="743"/>
    </row>
    <row r="301" spans="1:7" ht="14.25" hidden="1" customHeight="1">
      <c r="A301" s="1975" t="s">
        <v>1556</v>
      </c>
      <c r="B301" s="1801"/>
      <c r="C301" s="424" t="s">
        <v>6</v>
      </c>
      <c r="D301" s="424" t="s">
        <v>1562</v>
      </c>
      <c r="E301" s="424" t="s">
        <v>7</v>
      </c>
      <c r="F301" s="424" t="s">
        <v>1559</v>
      </c>
      <c r="G301" s="438"/>
    </row>
    <row r="302" spans="1:7" ht="14.25" hidden="1" customHeight="1">
      <c r="A302" s="1987" t="s">
        <v>1645</v>
      </c>
      <c r="B302" s="1967"/>
      <c r="C302" s="744" t="s">
        <v>1639</v>
      </c>
      <c r="D302" s="675">
        <v>60714.285714285717</v>
      </c>
      <c r="E302" s="745">
        <v>0</v>
      </c>
      <c r="F302" s="440">
        <f t="shared" ref="F302:F303" si="21">D302*E302</f>
        <v>0</v>
      </c>
      <c r="G302" s="676"/>
    </row>
    <row r="303" spans="1:7" ht="14.25" hidden="1" customHeight="1">
      <c r="A303" s="1996"/>
      <c r="B303" s="1819"/>
      <c r="C303" s="744"/>
      <c r="D303" s="434"/>
      <c r="E303" s="746"/>
      <c r="F303" s="700">
        <f t="shared" si="21"/>
        <v>0</v>
      </c>
      <c r="G303" s="457"/>
    </row>
    <row r="304" spans="1:7" ht="14.25" hidden="1" customHeight="1">
      <c r="A304" s="2015" t="s">
        <v>1560</v>
      </c>
      <c r="B304" s="1601"/>
      <c r="C304" s="1601"/>
      <c r="D304" s="1601"/>
      <c r="E304" s="1601"/>
      <c r="F304" s="1801"/>
      <c r="G304" s="462">
        <f>SUM(F303)</f>
        <v>0</v>
      </c>
    </row>
    <row r="305" spans="1:7" ht="14.25" hidden="1" customHeight="1">
      <c r="A305" s="163" t="s">
        <v>1564</v>
      </c>
      <c r="B305" s="618"/>
      <c r="C305" s="618"/>
      <c r="D305" s="618"/>
      <c r="E305" s="618"/>
      <c r="F305" s="618"/>
      <c r="G305" s="743"/>
    </row>
    <row r="306" spans="1:7" ht="14.25" hidden="1" customHeight="1">
      <c r="A306" s="1975" t="s">
        <v>1565</v>
      </c>
      <c r="B306" s="1801"/>
      <c r="C306" s="424" t="s">
        <v>1566</v>
      </c>
      <c r="D306" s="424" t="s">
        <v>6</v>
      </c>
      <c r="E306" s="424" t="s">
        <v>7</v>
      </c>
      <c r="F306" s="424" t="s">
        <v>1559</v>
      </c>
      <c r="G306" s="462"/>
    </row>
    <row r="307" spans="1:7" ht="14.25" hidden="1" customHeight="1">
      <c r="A307" s="2004" t="s">
        <v>1716</v>
      </c>
      <c r="B307" s="1888"/>
      <c r="C307" s="679">
        <v>14142.890951641079</v>
      </c>
      <c r="D307" s="680">
        <v>1</v>
      </c>
      <c r="E307" s="680">
        <v>5.9393797411874276</v>
      </c>
      <c r="F307" s="694">
        <f>+(C307*D307)*E307</f>
        <v>84000</v>
      </c>
      <c r="G307" s="676"/>
    </row>
    <row r="308" spans="1:7" ht="14.25" hidden="1" customHeight="1">
      <c r="A308" s="1984"/>
      <c r="B308" s="1819"/>
      <c r="C308" s="747"/>
      <c r="D308" s="614"/>
      <c r="E308" s="614"/>
      <c r="F308" s="753"/>
      <c r="G308" s="709"/>
    </row>
    <row r="309" spans="1:7" ht="14.25" hidden="1" customHeight="1">
      <c r="A309" s="2015" t="str">
        <f>+A304</f>
        <v>SUB-TOTAL</v>
      </c>
      <c r="B309" s="1601"/>
      <c r="C309" s="1601"/>
      <c r="D309" s="1601"/>
      <c r="E309" s="1601"/>
      <c r="F309" s="1801"/>
      <c r="G309" s="462">
        <f>SUM(F307:F308)</f>
        <v>84000</v>
      </c>
    </row>
    <row r="310" spans="1:7" ht="11.25" hidden="1" customHeight="1">
      <c r="A310" s="618"/>
      <c r="B310" s="618"/>
      <c r="C310" s="618"/>
      <c r="D310" s="618"/>
      <c r="E310" s="618"/>
      <c r="F310" s="748"/>
      <c r="G310" s="743"/>
    </row>
    <row r="311" spans="1:7" ht="14.25" hidden="1" customHeight="1">
      <c r="A311" s="2015" t="s">
        <v>1567</v>
      </c>
      <c r="B311" s="1601"/>
      <c r="C311" s="1601"/>
      <c r="D311" s="1601"/>
      <c r="E311" s="1601"/>
      <c r="F311" s="1801"/>
      <c r="G311" s="459">
        <f>ROUND(G292+G299+G304+G309,0)</f>
        <v>306340</v>
      </c>
    </row>
    <row r="312" spans="1:7" ht="14.25" hidden="1" customHeight="1">
      <c r="A312" s="616"/>
      <c r="B312" s="616"/>
      <c r="C312" s="616"/>
      <c r="D312" s="616"/>
      <c r="E312" s="616"/>
      <c r="F312" s="616"/>
      <c r="G312" s="616"/>
    </row>
    <row r="313" spans="1:7" ht="14.25" hidden="1" customHeight="1">
      <c r="A313" s="616"/>
      <c r="B313" s="616"/>
      <c r="C313" s="616"/>
      <c r="D313" s="616"/>
      <c r="E313" s="616"/>
      <c r="F313" s="616"/>
      <c r="G313" s="616"/>
    </row>
    <row r="314" spans="1:7" ht="27" hidden="1" customHeight="1">
      <c r="A314" s="2005" t="s">
        <v>1604</v>
      </c>
      <c r="B314" s="1616"/>
      <c r="C314" s="1624"/>
      <c r="D314" s="567"/>
      <c r="E314" s="567"/>
      <c r="F314" s="567"/>
      <c r="G314" s="668"/>
    </row>
    <row r="315" spans="1:7" ht="24" hidden="1" customHeight="1">
      <c r="A315" s="1971"/>
      <c r="B315" s="1817"/>
      <c r="C315" s="1972"/>
      <c r="D315" s="669"/>
      <c r="E315" s="669"/>
      <c r="F315" s="669"/>
      <c r="G315" s="670"/>
    </row>
    <row r="316" spans="1:7" ht="14.25" hidden="1" customHeight="1">
      <c r="A316" s="618"/>
      <c r="B316" s="618"/>
      <c r="C316" s="618"/>
      <c r="D316" s="618"/>
      <c r="E316" s="618"/>
      <c r="F316" s="618"/>
      <c r="G316" s="618"/>
    </row>
    <row r="317" spans="1:7" ht="81.75" hidden="1" customHeight="1">
      <c r="A317" s="1973" t="str">
        <f>A10</f>
        <v>PRECIOS UNITARIOS OFICIALES 2014</v>
      </c>
      <c r="B317" s="1601"/>
      <c r="C317" s="1602"/>
      <c r="D317" s="1974" t="s">
        <v>1717</v>
      </c>
      <c r="E317" s="1601"/>
      <c r="F317" s="1601"/>
      <c r="G317" s="1602"/>
    </row>
    <row r="318" spans="1:7" ht="14.25" hidden="1" customHeight="1">
      <c r="A318" s="620"/>
      <c r="B318" s="620"/>
      <c r="C318" s="620"/>
      <c r="D318" s="620"/>
      <c r="E318" s="620"/>
      <c r="F318" s="620"/>
      <c r="G318" s="620"/>
    </row>
    <row r="319" spans="1:7" ht="12.75" hidden="1" customHeight="1">
      <c r="A319" s="572"/>
      <c r="B319" s="618"/>
      <c r="C319" s="616"/>
      <c r="D319" s="421" t="s">
        <v>1553</v>
      </c>
      <c r="E319" s="422" t="s">
        <v>120</v>
      </c>
      <c r="F319" s="572"/>
      <c r="G319" s="572"/>
    </row>
    <row r="320" spans="1:7" ht="14.25" hidden="1" customHeight="1">
      <c r="A320" s="621" t="s">
        <v>1555</v>
      </c>
      <c r="B320" s="618"/>
      <c r="C320" s="618"/>
      <c r="D320" s="618"/>
      <c r="E320" s="618"/>
      <c r="F320" s="618"/>
      <c r="G320" s="618"/>
    </row>
    <row r="321" spans="1:7" ht="13.5" hidden="1" customHeight="1">
      <c r="A321" s="1975" t="s">
        <v>1556</v>
      </c>
      <c r="B321" s="1601"/>
      <c r="C321" s="1801"/>
      <c r="D321" s="424" t="s">
        <v>208</v>
      </c>
      <c r="E321" s="424" t="s">
        <v>1558</v>
      </c>
      <c r="F321" s="424" t="s">
        <v>1559</v>
      </c>
      <c r="G321" s="425"/>
    </row>
    <row r="322" spans="1:7" ht="14.25" hidden="1" customHeight="1">
      <c r="A322" s="1987" t="s">
        <v>1689</v>
      </c>
      <c r="B322" s="1811"/>
      <c r="C322" s="1967"/>
      <c r="D322" s="675">
        <v>2062.5</v>
      </c>
      <c r="E322" s="687">
        <f>+E344</f>
        <v>1.4530268295404951</v>
      </c>
      <c r="F322" s="442">
        <f t="shared" ref="F322:F325" si="22">+E322*D322</f>
        <v>2996.8678359272712</v>
      </c>
      <c r="G322" s="688"/>
    </row>
    <row r="323" spans="1:7" ht="14.25" hidden="1" customHeight="1">
      <c r="A323" s="1995" t="s">
        <v>1713</v>
      </c>
      <c r="B323" s="1610"/>
      <c r="C323" s="1611"/>
      <c r="D323" s="464">
        <v>8125</v>
      </c>
      <c r="E323" s="706">
        <v>0.08</v>
      </c>
      <c r="F323" s="440">
        <f t="shared" si="22"/>
        <v>650</v>
      </c>
      <c r="G323" s="751"/>
    </row>
    <row r="324" spans="1:7" ht="14.25" hidden="1" customHeight="1">
      <c r="A324" s="1995" t="s">
        <v>1690</v>
      </c>
      <c r="B324" s="1610"/>
      <c r="C324" s="1611"/>
      <c r="D324" s="464">
        <v>1500</v>
      </c>
      <c r="E324" s="706">
        <v>1</v>
      </c>
      <c r="F324" s="440">
        <f t="shared" si="22"/>
        <v>1500</v>
      </c>
      <c r="G324" s="751"/>
    </row>
    <row r="325" spans="1:7" ht="14.25" hidden="1" customHeight="1">
      <c r="A325" s="1996" t="s">
        <v>1714</v>
      </c>
      <c r="B325" s="1807"/>
      <c r="C325" s="1819"/>
      <c r="D325" s="434">
        <v>4375</v>
      </c>
      <c r="E325" s="433">
        <f>+E323</f>
        <v>0.08</v>
      </c>
      <c r="F325" s="700">
        <f t="shared" si="22"/>
        <v>350</v>
      </c>
      <c r="G325" s="435"/>
    </row>
    <row r="326" spans="1:7" ht="14.25" hidden="1" customHeight="1">
      <c r="A326" s="2015" t="s">
        <v>1560</v>
      </c>
      <c r="B326" s="1601"/>
      <c r="C326" s="1601"/>
      <c r="D326" s="1601"/>
      <c r="E326" s="1601"/>
      <c r="F326" s="1801"/>
      <c r="G326" s="462">
        <f>SUM(F322:F325)</f>
        <v>5496.8678359272708</v>
      </c>
    </row>
    <row r="327" spans="1:7" ht="14.25" hidden="1" customHeight="1">
      <c r="A327" s="621" t="s">
        <v>1561</v>
      </c>
      <c r="B327" s="618"/>
      <c r="C327" s="618"/>
      <c r="D327" s="618"/>
      <c r="E327" s="618"/>
      <c r="F327" s="618"/>
      <c r="G327" s="743"/>
    </row>
    <row r="328" spans="1:7" ht="14.25" hidden="1" customHeight="1">
      <c r="A328" s="1975" t="s">
        <v>1556</v>
      </c>
      <c r="B328" s="1801"/>
      <c r="C328" s="424" t="s">
        <v>6</v>
      </c>
      <c r="D328" s="424" t="s">
        <v>1562</v>
      </c>
      <c r="E328" s="424" t="s">
        <v>7</v>
      </c>
      <c r="F328" s="424" t="s">
        <v>1559</v>
      </c>
      <c r="G328" s="673"/>
    </row>
    <row r="329" spans="1:7" ht="14.25" hidden="1" customHeight="1">
      <c r="A329" s="1995" t="s">
        <v>1718</v>
      </c>
      <c r="B329" s="1611"/>
      <c r="C329" s="444" t="s">
        <v>120</v>
      </c>
      <c r="D329" s="464">
        <v>2050</v>
      </c>
      <c r="E329" s="444">
        <v>1.05</v>
      </c>
      <c r="F329" s="440">
        <f t="shared" ref="F329:F335" si="23">+E329*D329</f>
        <v>2152.5</v>
      </c>
      <c r="G329" s="707"/>
    </row>
    <row r="330" spans="1:7" ht="14.25" hidden="1" customHeight="1">
      <c r="A330" s="1995" t="s">
        <v>1719</v>
      </c>
      <c r="B330" s="1611"/>
      <c r="C330" s="444" t="s">
        <v>120</v>
      </c>
      <c r="D330" s="464">
        <v>6266.666666666667</v>
      </c>
      <c r="E330" s="444">
        <v>1.05</v>
      </c>
      <c r="F330" s="440">
        <f t="shared" si="23"/>
        <v>6580.0000000000009</v>
      </c>
      <c r="G330" s="707"/>
    </row>
    <row r="331" spans="1:7" ht="12.75" hidden="1" customHeight="1">
      <c r="A331" s="1995" t="s">
        <v>1720</v>
      </c>
      <c r="B331" s="1611"/>
      <c r="C331" s="444" t="s">
        <v>120</v>
      </c>
      <c r="D331" s="464">
        <v>2250</v>
      </c>
      <c r="E331" s="444">
        <v>1.98</v>
      </c>
      <c r="F331" s="440">
        <f t="shared" si="23"/>
        <v>4455</v>
      </c>
      <c r="G331" s="707"/>
    </row>
    <row r="332" spans="1:7" ht="14.25" hidden="1" customHeight="1">
      <c r="A332" s="1995" t="s">
        <v>1721</v>
      </c>
      <c r="B332" s="1611"/>
      <c r="C332" s="444" t="s">
        <v>120</v>
      </c>
      <c r="D332" s="464">
        <v>1665.76</v>
      </c>
      <c r="E332" s="444">
        <v>1.01</v>
      </c>
      <c r="F332" s="440">
        <f t="shared" si="23"/>
        <v>1682.4176</v>
      </c>
      <c r="G332" s="707"/>
    </row>
    <row r="333" spans="1:7" ht="14.25" hidden="1" customHeight="1">
      <c r="A333" s="1995" t="s">
        <v>1722</v>
      </c>
      <c r="B333" s="1611"/>
      <c r="C333" s="444" t="s">
        <v>120</v>
      </c>
      <c r="D333" s="464">
        <v>2400</v>
      </c>
      <c r="E333" s="444">
        <v>0.3</v>
      </c>
      <c r="F333" s="440">
        <f t="shared" si="23"/>
        <v>720</v>
      </c>
      <c r="G333" s="707"/>
    </row>
    <row r="334" spans="1:7" ht="12.75" hidden="1" customHeight="1">
      <c r="A334" s="1995" t="s">
        <v>1705</v>
      </c>
      <c r="B334" s="1611"/>
      <c r="C334" s="444" t="s">
        <v>171</v>
      </c>
      <c r="D334" s="464">
        <v>15600</v>
      </c>
      <c r="E334" s="444">
        <v>0.41</v>
      </c>
      <c r="F334" s="440">
        <f t="shared" si="23"/>
        <v>6396</v>
      </c>
      <c r="G334" s="707"/>
    </row>
    <row r="335" spans="1:7" ht="14.25" hidden="1" customHeight="1">
      <c r="A335" s="1996" t="s">
        <v>1706</v>
      </c>
      <c r="B335" s="1819"/>
      <c r="C335" s="708" t="s">
        <v>1707</v>
      </c>
      <c r="D335" s="434">
        <v>24450</v>
      </c>
      <c r="E335" s="708">
        <v>0.3</v>
      </c>
      <c r="F335" s="700">
        <f t="shared" si="23"/>
        <v>7335</v>
      </c>
      <c r="G335" s="709"/>
    </row>
    <row r="336" spans="1:7" ht="14.25" hidden="1" customHeight="1">
      <c r="A336" s="2015" t="s">
        <v>1560</v>
      </c>
      <c r="B336" s="1601"/>
      <c r="C336" s="1601"/>
      <c r="D336" s="1601"/>
      <c r="E336" s="1601"/>
      <c r="F336" s="1801"/>
      <c r="G336" s="462">
        <f>SUM(F329:F335)</f>
        <v>29320.917600000001</v>
      </c>
    </row>
    <row r="337" spans="1:7" ht="14.25" hidden="1" customHeight="1">
      <c r="A337" s="163" t="s">
        <v>1563</v>
      </c>
      <c r="B337" s="618"/>
      <c r="C337" s="618"/>
      <c r="D337" s="618"/>
      <c r="E337" s="618"/>
      <c r="F337" s="618"/>
      <c r="G337" s="743"/>
    </row>
    <row r="338" spans="1:7" ht="14.25" hidden="1" customHeight="1">
      <c r="A338" s="1975" t="s">
        <v>1556</v>
      </c>
      <c r="B338" s="1801"/>
      <c r="C338" s="424" t="s">
        <v>6</v>
      </c>
      <c r="D338" s="424" t="s">
        <v>1562</v>
      </c>
      <c r="E338" s="424" t="s">
        <v>7</v>
      </c>
      <c r="F338" s="424" t="s">
        <v>1559</v>
      </c>
      <c r="G338" s="438"/>
    </row>
    <row r="339" spans="1:7" ht="14.25" hidden="1" customHeight="1">
      <c r="A339" s="1987" t="s">
        <v>1645</v>
      </c>
      <c r="B339" s="1967"/>
      <c r="C339" s="744" t="s">
        <v>1639</v>
      </c>
      <c r="D339" s="675">
        <v>60714.285714285717</v>
      </c>
      <c r="E339" s="745">
        <v>0</v>
      </c>
      <c r="F339" s="440">
        <f t="shared" ref="F339:F340" si="24">D339*E339</f>
        <v>0</v>
      </c>
      <c r="G339" s="676"/>
    </row>
    <row r="340" spans="1:7" ht="14.25" hidden="1" customHeight="1">
      <c r="A340" s="1996"/>
      <c r="B340" s="1819"/>
      <c r="C340" s="744"/>
      <c r="D340" s="434"/>
      <c r="E340" s="746"/>
      <c r="F340" s="700">
        <f t="shared" si="24"/>
        <v>0</v>
      </c>
      <c r="G340" s="457"/>
    </row>
    <row r="341" spans="1:7" ht="14.25" hidden="1" customHeight="1">
      <c r="A341" s="2015" t="s">
        <v>1560</v>
      </c>
      <c r="B341" s="1601"/>
      <c r="C341" s="1601"/>
      <c r="D341" s="1601"/>
      <c r="E341" s="1601"/>
      <c r="F341" s="1801"/>
      <c r="G341" s="462">
        <f>SUM(F340)</f>
        <v>0</v>
      </c>
    </row>
    <row r="342" spans="1:7" ht="14.25" hidden="1" customHeight="1">
      <c r="A342" s="163" t="s">
        <v>1564</v>
      </c>
      <c r="B342" s="618"/>
      <c r="C342" s="618"/>
      <c r="D342" s="618"/>
      <c r="E342" s="618"/>
      <c r="F342" s="618"/>
      <c r="G342" s="743"/>
    </row>
    <row r="343" spans="1:7" ht="14.25" hidden="1" customHeight="1">
      <c r="A343" s="1975" t="s">
        <v>1565</v>
      </c>
      <c r="B343" s="1801"/>
      <c r="C343" s="424" t="s">
        <v>1566</v>
      </c>
      <c r="D343" s="424" t="s">
        <v>6</v>
      </c>
      <c r="E343" s="424" t="s">
        <v>7</v>
      </c>
      <c r="F343" s="424" t="s">
        <v>1559</v>
      </c>
      <c r="G343" s="462"/>
    </row>
    <row r="344" spans="1:7" ht="14.25" hidden="1" customHeight="1">
      <c r="A344" s="2004" t="s">
        <v>1716</v>
      </c>
      <c r="B344" s="1888"/>
      <c r="C344" s="679">
        <v>14142.890951641079</v>
      </c>
      <c r="D344" s="680">
        <v>1</v>
      </c>
      <c r="E344" s="680">
        <v>1.4530268295404951</v>
      </c>
      <c r="F344" s="694">
        <f>+(C344*D344)*E344</f>
        <v>20549.999999999993</v>
      </c>
      <c r="G344" s="676"/>
    </row>
    <row r="345" spans="1:7" ht="14.25" hidden="1" customHeight="1">
      <c r="A345" s="1984"/>
      <c r="B345" s="1819"/>
      <c r="C345" s="747"/>
      <c r="D345" s="614"/>
      <c r="E345" s="614"/>
      <c r="F345" s="753"/>
      <c r="G345" s="709"/>
    </row>
    <row r="346" spans="1:7" ht="14.25" hidden="1" customHeight="1">
      <c r="A346" s="2015" t="str">
        <f>+A341</f>
        <v>SUB-TOTAL</v>
      </c>
      <c r="B346" s="1601"/>
      <c r="C346" s="1601"/>
      <c r="D346" s="1601"/>
      <c r="E346" s="1601"/>
      <c r="F346" s="1801"/>
      <c r="G346" s="462">
        <f>SUM(F344:F345)</f>
        <v>20549.999999999993</v>
      </c>
    </row>
    <row r="347" spans="1:7" ht="11.25" hidden="1" customHeight="1">
      <c r="A347" s="618"/>
      <c r="B347" s="618"/>
      <c r="C347" s="618"/>
      <c r="D347" s="618"/>
      <c r="E347" s="618"/>
      <c r="F347" s="748"/>
      <c r="G347" s="743"/>
    </row>
    <row r="348" spans="1:7" ht="14.25" hidden="1" customHeight="1">
      <c r="A348" s="2015" t="s">
        <v>1567</v>
      </c>
      <c r="B348" s="1601"/>
      <c r="C348" s="1601"/>
      <c r="D348" s="1601"/>
      <c r="E348" s="1601"/>
      <c r="F348" s="1801"/>
      <c r="G348" s="459">
        <f>ROUND(G326+G336+G341+G346,0)</f>
        <v>55368</v>
      </c>
    </row>
    <row r="349" spans="1:7" ht="14.25" hidden="1" customHeight="1">
      <c r="A349" s="616"/>
      <c r="B349" s="616"/>
      <c r="C349" s="616"/>
      <c r="D349" s="616"/>
      <c r="E349" s="616"/>
      <c r="F349" s="616"/>
      <c r="G349" s="616"/>
    </row>
    <row r="350" spans="1:7" ht="14.25" hidden="1" customHeight="1">
      <c r="A350" s="616"/>
      <c r="B350" s="616"/>
      <c r="C350" s="616"/>
      <c r="D350" s="616"/>
      <c r="E350" s="616"/>
      <c r="F350" s="616"/>
      <c r="G350" s="616"/>
    </row>
    <row r="351" spans="1:7" ht="27" hidden="1" customHeight="1">
      <c r="A351" s="2005" t="s">
        <v>1604</v>
      </c>
      <c r="B351" s="1616"/>
      <c r="C351" s="1624"/>
      <c r="D351" s="567"/>
      <c r="E351" s="567"/>
      <c r="F351" s="567"/>
      <c r="G351" s="668"/>
    </row>
    <row r="352" spans="1:7" ht="24" hidden="1" customHeight="1">
      <c r="A352" s="1971"/>
      <c r="B352" s="1817"/>
      <c r="C352" s="1972"/>
      <c r="D352" s="669"/>
      <c r="E352" s="669"/>
      <c r="F352" s="669"/>
      <c r="G352" s="670"/>
    </row>
    <row r="354" spans="1:7" ht="48.75" hidden="1" customHeight="1">
      <c r="A354" s="1973" t="str">
        <f>A10</f>
        <v>PRECIOS UNITARIOS OFICIALES 2014</v>
      </c>
      <c r="B354" s="1601"/>
      <c r="C354" s="1602"/>
      <c r="D354" s="1974" t="s">
        <v>1723</v>
      </c>
      <c r="E354" s="1601"/>
      <c r="F354" s="1601"/>
      <c r="G354" s="1602"/>
    </row>
    <row r="355" spans="1:7" ht="14.25" hidden="1" customHeight="1">
      <c r="A355" s="620"/>
      <c r="B355" s="620"/>
      <c r="C355" s="620"/>
      <c r="D355" s="620"/>
      <c r="E355" s="620"/>
      <c r="F355" s="620"/>
      <c r="G355" s="620"/>
    </row>
    <row r="356" spans="1:7" ht="12.75" hidden="1" customHeight="1">
      <c r="A356" s="572"/>
      <c r="B356" s="618"/>
      <c r="C356" s="616"/>
      <c r="D356" s="421" t="s">
        <v>1553</v>
      </c>
      <c r="E356" s="422" t="s">
        <v>127</v>
      </c>
      <c r="F356" s="572"/>
      <c r="G356" s="572"/>
    </row>
    <row r="357" spans="1:7" ht="14.25" hidden="1" customHeight="1">
      <c r="A357" s="621" t="s">
        <v>1555</v>
      </c>
      <c r="B357" s="618"/>
      <c r="C357" s="618"/>
      <c r="D357" s="618"/>
      <c r="E357" s="618"/>
      <c r="F357" s="618"/>
      <c r="G357" s="618"/>
    </row>
    <row r="358" spans="1:7" ht="13.5" hidden="1" customHeight="1">
      <c r="A358" s="1975" t="s">
        <v>1556</v>
      </c>
      <c r="B358" s="1601"/>
      <c r="C358" s="1801"/>
      <c r="D358" s="424" t="s">
        <v>208</v>
      </c>
      <c r="E358" s="424" t="s">
        <v>1558</v>
      </c>
      <c r="F358" s="424" t="s">
        <v>1559</v>
      </c>
      <c r="G358" s="425"/>
    </row>
    <row r="359" spans="1:7" ht="14.25" hidden="1" customHeight="1">
      <c r="A359" s="1987" t="s">
        <v>1689</v>
      </c>
      <c r="B359" s="1811"/>
      <c r="C359" s="1967"/>
      <c r="D359" s="675">
        <v>2062.5</v>
      </c>
      <c r="E359" s="687">
        <f>+E376</f>
        <v>3.9</v>
      </c>
      <c r="F359" s="442">
        <f t="shared" ref="F359:F361" si="25">+E359*D359</f>
        <v>8043.75</v>
      </c>
      <c r="G359" s="688"/>
    </row>
    <row r="360" spans="1:7" ht="14.25" hidden="1" customHeight="1">
      <c r="A360" s="1995" t="s">
        <v>1713</v>
      </c>
      <c r="B360" s="1610"/>
      <c r="C360" s="1611"/>
      <c r="D360" s="464">
        <v>8125</v>
      </c>
      <c r="E360" s="706">
        <v>0.39</v>
      </c>
      <c r="F360" s="440">
        <f t="shared" si="25"/>
        <v>3168.75</v>
      </c>
      <c r="G360" s="751"/>
    </row>
    <row r="361" spans="1:7" ht="14.25" hidden="1" customHeight="1">
      <c r="A361" s="1996" t="s">
        <v>1714</v>
      </c>
      <c r="B361" s="1807"/>
      <c r="C361" s="1819"/>
      <c r="D361" s="434">
        <v>4375</v>
      </c>
      <c r="E361" s="433">
        <v>0.39</v>
      </c>
      <c r="F361" s="700">
        <f t="shared" si="25"/>
        <v>1706.25</v>
      </c>
      <c r="G361" s="435"/>
    </row>
    <row r="362" spans="1:7" ht="14.25" hidden="1" customHeight="1">
      <c r="A362" s="2015" t="s">
        <v>1560</v>
      </c>
      <c r="B362" s="1601"/>
      <c r="C362" s="1601"/>
      <c r="D362" s="1601"/>
      <c r="E362" s="1601"/>
      <c r="F362" s="1801"/>
      <c r="G362" s="462">
        <f>SUM(F359:F361)</f>
        <v>12918.75</v>
      </c>
    </row>
    <row r="363" spans="1:7" ht="14.25" hidden="1" customHeight="1">
      <c r="A363" s="621" t="s">
        <v>1561</v>
      </c>
      <c r="B363" s="618"/>
      <c r="C363" s="618"/>
      <c r="D363" s="618"/>
      <c r="E363" s="618"/>
      <c r="F363" s="618"/>
      <c r="G363" s="743"/>
    </row>
    <row r="364" spans="1:7" ht="14.25" hidden="1" customHeight="1">
      <c r="A364" s="1975" t="s">
        <v>1556</v>
      </c>
      <c r="B364" s="1801"/>
      <c r="C364" s="424" t="s">
        <v>6</v>
      </c>
      <c r="D364" s="424" t="s">
        <v>1562</v>
      </c>
      <c r="E364" s="424" t="s">
        <v>7</v>
      </c>
      <c r="F364" s="424" t="s">
        <v>1559</v>
      </c>
      <c r="G364" s="673"/>
    </row>
    <row r="365" spans="1:7" ht="14.25" hidden="1" customHeight="1">
      <c r="A365" s="1995" t="s">
        <v>1724</v>
      </c>
      <c r="B365" s="1611"/>
      <c r="C365" s="444" t="s">
        <v>127</v>
      </c>
      <c r="D365" s="464">
        <v>100000</v>
      </c>
      <c r="E365" s="444">
        <v>1</v>
      </c>
      <c r="F365" s="440">
        <f t="shared" ref="F365:F367" si="26">+E365*D365</f>
        <v>100000</v>
      </c>
      <c r="G365" s="707"/>
    </row>
    <row r="366" spans="1:7" ht="12.75" hidden="1" customHeight="1">
      <c r="A366" s="1995" t="s">
        <v>1705</v>
      </c>
      <c r="B366" s="1611"/>
      <c r="C366" s="444" t="s">
        <v>171</v>
      </c>
      <c r="D366" s="464">
        <v>15600</v>
      </c>
      <c r="E366" s="444">
        <v>0.1</v>
      </c>
      <c r="F366" s="440">
        <f t="shared" si="26"/>
        <v>1560</v>
      </c>
      <c r="G366" s="707"/>
    </row>
    <row r="367" spans="1:7" ht="14.25" hidden="1" customHeight="1">
      <c r="A367" s="1996" t="s">
        <v>1706</v>
      </c>
      <c r="B367" s="1819"/>
      <c r="C367" s="708" t="s">
        <v>1707</v>
      </c>
      <c r="D367" s="434">
        <v>24450</v>
      </c>
      <c r="E367" s="708">
        <v>0.1</v>
      </c>
      <c r="F367" s="700">
        <f t="shared" si="26"/>
        <v>2445</v>
      </c>
      <c r="G367" s="709"/>
    </row>
    <row r="368" spans="1:7" ht="14.25" hidden="1" customHeight="1">
      <c r="A368" s="2015" t="s">
        <v>1560</v>
      </c>
      <c r="B368" s="1601"/>
      <c r="C368" s="1601"/>
      <c r="D368" s="1601"/>
      <c r="E368" s="1601"/>
      <c r="F368" s="1801"/>
      <c r="G368" s="462">
        <f>SUM(F365:F367)</f>
        <v>104005</v>
      </c>
    </row>
    <row r="369" spans="1:7" ht="14.25" hidden="1" customHeight="1">
      <c r="A369" s="621" t="s">
        <v>1563</v>
      </c>
      <c r="B369" s="618"/>
      <c r="C369" s="618"/>
      <c r="D369" s="618"/>
      <c r="E369" s="618"/>
      <c r="F369" s="618"/>
      <c r="G369" s="743"/>
    </row>
    <row r="370" spans="1:7" ht="14.25" hidden="1" customHeight="1">
      <c r="A370" s="1975" t="s">
        <v>1556</v>
      </c>
      <c r="B370" s="1801"/>
      <c r="C370" s="424" t="s">
        <v>6</v>
      </c>
      <c r="D370" s="424" t="s">
        <v>1562</v>
      </c>
      <c r="E370" s="424" t="s">
        <v>7</v>
      </c>
      <c r="F370" s="424" t="s">
        <v>1559</v>
      </c>
      <c r="G370" s="438"/>
    </row>
    <row r="371" spans="1:7" ht="14.25" hidden="1" customHeight="1">
      <c r="A371" s="1987"/>
      <c r="B371" s="1967"/>
      <c r="C371" s="744"/>
      <c r="D371" s="675"/>
      <c r="E371" s="745"/>
      <c r="F371" s="464"/>
      <c r="G371" s="676"/>
    </row>
    <row r="372" spans="1:7" ht="14.25" hidden="1" customHeight="1">
      <c r="A372" s="1996"/>
      <c r="B372" s="1819"/>
      <c r="C372" s="744"/>
      <c r="D372" s="434"/>
      <c r="E372" s="746"/>
      <c r="F372" s="434"/>
      <c r="G372" s="457"/>
    </row>
    <row r="373" spans="1:7" ht="14.25" hidden="1" customHeight="1">
      <c r="A373" s="2015" t="s">
        <v>1560</v>
      </c>
      <c r="B373" s="1601"/>
      <c r="C373" s="1601"/>
      <c r="D373" s="1601"/>
      <c r="E373" s="1601"/>
      <c r="F373" s="1801"/>
      <c r="G373" s="462"/>
    </row>
    <row r="374" spans="1:7" ht="14.25" hidden="1" customHeight="1">
      <c r="A374" s="621" t="s">
        <v>1564</v>
      </c>
      <c r="B374" s="618"/>
      <c r="C374" s="618"/>
      <c r="D374" s="618"/>
      <c r="E374" s="618"/>
      <c r="F374" s="618"/>
      <c r="G374" s="743"/>
    </row>
    <row r="375" spans="1:7" ht="14.25" hidden="1" customHeight="1">
      <c r="A375" s="1975" t="s">
        <v>1565</v>
      </c>
      <c r="B375" s="1801"/>
      <c r="C375" s="424" t="s">
        <v>1566</v>
      </c>
      <c r="D375" s="424" t="s">
        <v>6</v>
      </c>
      <c r="E375" s="424" t="s">
        <v>7</v>
      </c>
      <c r="F375" s="424" t="s">
        <v>1559</v>
      </c>
      <c r="G375" s="462"/>
    </row>
    <row r="376" spans="1:7" ht="14.25" hidden="1" customHeight="1">
      <c r="A376" s="2004" t="s">
        <v>1716</v>
      </c>
      <c r="B376" s="1888"/>
      <c r="C376" s="679">
        <v>14142.890951641079</v>
      </c>
      <c r="D376" s="680">
        <v>1</v>
      </c>
      <c r="E376" s="680">
        <v>3.9</v>
      </c>
      <c r="F376" s="694">
        <f>+(C376*D376)*E376</f>
        <v>55157.274711400205</v>
      </c>
      <c r="G376" s="676"/>
    </row>
    <row r="377" spans="1:7" ht="14.25" hidden="1" customHeight="1">
      <c r="A377" s="1984"/>
      <c r="B377" s="1819"/>
      <c r="C377" s="747"/>
      <c r="D377" s="614"/>
      <c r="E377" s="614"/>
      <c r="F377" s="753"/>
      <c r="G377" s="709"/>
    </row>
    <row r="378" spans="1:7" ht="14.25" hidden="1" customHeight="1">
      <c r="A378" s="2015" t="str">
        <f>+A373</f>
        <v>SUB-TOTAL</v>
      </c>
      <c r="B378" s="1601"/>
      <c r="C378" s="1601"/>
      <c r="D378" s="1601"/>
      <c r="E378" s="1601"/>
      <c r="F378" s="1801"/>
      <c r="G378" s="462">
        <f>SUM(F376:F377)</f>
        <v>55157.274711400205</v>
      </c>
    </row>
    <row r="379" spans="1:7" ht="11.25" hidden="1" customHeight="1">
      <c r="A379" s="618"/>
      <c r="B379" s="618"/>
      <c r="C379" s="618"/>
      <c r="D379" s="618"/>
      <c r="E379" s="618"/>
      <c r="F379" s="748"/>
      <c r="G379" s="743"/>
    </row>
    <row r="380" spans="1:7" ht="14.25" hidden="1" customHeight="1">
      <c r="A380" s="2015" t="s">
        <v>1567</v>
      </c>
      <c r="B380" s="1601"/>
      <c r="C380" s="1601"/>
      <c r="D380" s="1601"/>
      <c r="E380" s="1601"/>
      <c r="F380" s="1801"/>
      <c r="G380" s="459">
        <f>ROUND(G362+G368+G373+G378,0)</f>
        <v>172081</v>
      </c>
    </row>
    <row r="381" spans="1:7" ht="14.25" hidden="1" customHeight="1">
      <c r="A381" s="616"/>
      <c r="B381" s="616"/>
      <c r="C381" s="616"/>
      <c r="D381" s="616"/>
      <c r="E381" s="616"/>
      <c r="F381" s="616"/>
      <c r="G381" s="616"/>
    </row>
    <row r="382" spans="1:7" ht="14.25" hidden="1" customHeight="1">
      <c r="A382" s="616"/>
      <c r="B382" s="616"/>
      <c r="C382" s="616"/>
      <c r="D382" s="616"/>
      <c r="E382" s="616"/>
      <c r="F382" s="616"/>
      <c r="G382" s="616"/>
    </row>
    <row r="383" spans="1:7" ht="27" hidden="1" customHeight="1">
      <c r="A383" s="2005" t="s">
        <v>1604</v>
      </c>
      <c r="B383" s="1616"/>
      <c r="C383" s="1624"/>
      <c r="D383" s="567"/>
      <c r="E383" s="567"/>
      <c r="F383" s="567"/>
      <c r="G383" s="668"/>
    </row>
    <row r="384" spans="1:7" ht="24" hidden="1" customHeight="1">
      <c r="A384" s="1971"/>
      <c r="B384" s="1817"/>
      <c r="C384" s="1972"/>
      <c r="D384" s="669"/>
      <c r="E384" s="669"/>
      <c r="F384" s="669"/>
      <c r="G384" s="670"/>
    </row>
    <row r="386" spans="1:7" ht="48.75" hidden="1" customHeight="1">
      <c r="A386" s="1973" t="str">
        <f>A10</f>
        <v>PRECIOS UNITARIOS OFICIALES 2014</v>
      </c>
      <c r="B386" s="1601"/>
      <c r="C386" s="1602"/>
      <c r="D386" s="1974" t="s">
        <v>1725</v>
      </c>
      <c r="E386" s="1601"/>
      <c r="F386" s="1601"/>
      <c r="G386" s="1602"/>
    </row>
    <row r="387" spans="1:7" ht="14.25" hidden="1" customHeight="1">
      <c r="A387" s="620"/>
      <c r="B387" s="620"/>
      <c r="C387" s="620"/>
      <c r="D387" s="620"/>
      <c r="E387" s="620"/>
      <c r="F387" s="620"/>
      <c r="G387" s="620"/>
    </row>
    <row r="388" spans="1:7" ht="12.75" hidden="1" customHeight="1">
      <c r="A388" s="572"/>
      <c r="B388" s="618"/>
      <c r="C388" s="616"/>
      <c r="D388" s="421" t="s">
        <v>1553</v>
      </c>
      <c r="E388" s="422" t="s">
        <v>127</v>
      </c>
      <c r="F388" s="572"/>
      <c r="G388" s="572"/>
    </row>
    <row r="389" spans="1:7" ht="14.25" hidden="1" customHeight="1">
      <c r="A389" s="621" t="s">
        <v>1555</v>
      </c>
      <c r="B389" s="618"/>
      <c r="C389" s="618"/>
      <c r="D389" s="618"/>
      <c r="E389" s="618"/>
      <c r="F389" s="618"/>
      <c r="G389" s="618"/>
    </row>
    <row r="390" spans="1:7" ht="13.5" hidden="1" customHeight="1">
      <c r="A390" s="1975" t="s">
        <v>1556</v>
      </c>
      <c r="B390" s="1601"/>
      <c r="C390" s="1801"/>
      <c r="D390" s="424" t="s">
        <v>208</v>
      </c>
      <c r="E390" s="424" t="s">
        <v>1558</v>
      </c>
      <c r="F390" s="424" t="s">
        <v>1559</v>
      </c>
      <c r="G390" s="425"/>
    </row>
    <row r="391" spans="1:7" ht="14.25" hidden="1" customHeight="1">
      <c r="A391" s="1987" t="s">
        <v>1689</v>
      </c>
      <c r="B391" s="1811"/>
      <c r="C391" s="1967"/>
      <c r="D391" s="675">
        <v>2062.5</v>
      </c>
      <c r="E391" s="687">
        <f>+E407</f>
        <v>1.0606035252120407</v>
      </c>
      <c r="F391" s="442">
        <f t="shared" ref="F391:F392" si="27">+E391*D391</f>
        <v>2187.4947707498341</v>
      </c>
      <c r="G391" s="688"/>
    </row>
    <row r="392" spans="1:7" ht="14.25" hidden="1" customHeight="1">
      <c r="A392" s="1996" t="s">
        <v>1714</v>
      </c>
      <c r="B392" s="1807"/>
      <c r="C392" s="1819"/>
      <c r="D392" s="434">
        <v>4375</v>
      </c>
      <c r="E392" s="433">
        <v>0.39</v>
      </c>
      <c r="F392" s="700">
        <f t="shared" si="27"/>
        <v>1706.25</v>
      </c>
      <c r="G392" s="435"/>
    </row>
    <row r="393" spans="1:7" ht="14.25" hidden="1" customHeight="1">
      <c r="A393" s="2015" t="s">
        <v>1560</v>
      </c>
      <c r="B393" s="1601"/>
      <c r="C393" s="1601"/>
      <c r="D393" s="1601"/>
      <c r="E393" s="1601"/>
      <c r="F393" s="1801"/>
      <c r="G393" s="462">
        <f>SUM(F391:F392)</f>
        <v>3893.7447707498341</v>
      </c>
    </row>
    <row r="394" spans="1:7" ht="14.25" hidden="1" customHeight="1">
      <c r="A394" s="621" t="s">
        <v>1561</v>
      </c>
      <c r="B394" s="618"/>
      <c r="C394" s="618"/>
      <c r="D394" s="618"/>
      <c r="E394" s="618"/>
      <c r="F394" s="618"/>
      <c r="G394" s="743"/>
    </row>
    <row r="395" spans="1:7" ht="14.25" hidden="1" customHeight="1">
      <c r="A395" s="1975" t="s">
        <v>1556</v>
      </c>
      <c r="B395" s="1801"/>
      <c r="C395" s="424" t="s">
        <v>6</v>
      </c>
      <c r="D395" s="424" t="s">
        <v>1562</v>
      </c>
      <c r="E395" s="424" t="s">
        <v>7</v>
      </c>
      <c r="F395" s="424" t="s">
        <v>1559</v>
      </c>
      <c r="G395" s="673"/>
    </row>
    <row r="396" spans="1:7" ht="24" hidden="1" customHeight="1">
      <c r="A396" s="1995" t="s">
        <v>1726</v>
      </c>
      <c r="B396" s="1611"/>
      <c r="C396" s="444" t="s">
        <v>127</v>
      </c>
      <c r="D396" s="464">
        <v>45500</v>
      </c>
      <c r="E396" s="444">
        <v>1</v>
      </c>
      <c r="F396" s="440">
        <f>+E396*D396</f>
        <v>45500</v>
      </c>
      <c r="G396" s="707"/>
    </row>
    <row r="397" spans="1:7" ht="12.75" hidden="1" customHeight="1">
      <c r="A397" s="1995"/>
      <c r="B397" s="1611"/>
      <c r="C397" s="444"/>
      <c r="D397" s="464"/>
      <c r="E397" s="444"/>
      <c r="F397" s="464"/>
      <c r="G397" s="707"/>
    </row>
    <row r="398" spans="1:7" ht="14.25" hidden="1" customHeight="1">
      <c r="A398" s="1996"/>
      <c r="B398" s="1819"/>
      <c r="C398" s="708"/>
      <c r="D398" s="434"/>
      <c r="E398" s="708"/>
      <c r="F398" s="434"/>
      <c r="G398" s="709"/>
    </row>
    <row r="399" spans="1:7" ht="14.25" hidden="1" customHeight="1">
      <c r="A399" s="2015" t="s">
        <v>1560</v>
      </c>
      <c r="B399" s="1601"/>
      <c r="C399" s="1601"/>
      <c r="D399" s="1601"/>
      <c r="E399" s="1601"/>
      <c r="F399" s="1801"/>
      <c r="G399" s="462">
        <f>SUM(F396:F398)</f>
        <v>45500</v>
      </c>
    </row>
    <row r="400" spans="1:7" ht="14.25" hidden="1" customHeight="1">
      <c r="A400" s="621" t="s">
        <v>1563</v>
      </c>
      <c r="B400" s="618"/>
      <c r="C400" s="618"/>
      <c r="D400" s="618"/>
      <c r="E400" s="618"/>
      <c r="F400" s="618"/>
      <c r="G400" s="743"/>
    </row>
    <row r="401" spans="1:7" ht="14.25" hidden="1" customHeight="1">
      <c r="A401" s="1975" t="s">
        <v>1556</v>
      </c>
      <c r="B401" s="1801"/>
      <c r="C401" s="424" t="s">
        <v>6</v>
      </c>
      <c r="D401" s="424" t="s">
        <v>1562</v>
      </c>
      <c r="E401" s="424" t="s">
        <v>7</v>
      </c>
      <c r="F401" s="424" t="s">
        <v>1559</v>
      </c>
      <c r="G401" s="438"/>
    </row>
    <row r="402" spans="1:7" ht="14.25" hidden="1" customHeight="1">
      <c r="A402" s="1987"/>
      <c r="B402" s="1967"/>
      <c r="C402" s="744"/>
      <c r="D402" s="675"/>
      <c r="E402" s="745">
        <v>0</v>
      </c>
      <c r="F402" s="464"/>
      <c r="G402" s="676"/>
    </row>
    <row r="403" spans="1:7" ht="14.25" hidden="1" customHeight="1">
      <c r="A403" s="1996"/>
      <c r="B403" s="1819"/>
      <c r="C403" s="744"/>
      <c r="D403" s="434"/>
      <c r="E403" s="746"/>
      <c r="F403" s="434"/>
      <c r="G403" s="457"/>
    </row>
    <row r="404" spans="1:7" ht="14.25" hidden="1" customHeight="1">
      <c r="A404" s="2015" t="s">
        <v>1560</v>
      </c>
      <c r="B404" s="1601"/>
      <c r="C404" s="1601"/>
      <c r="D404" s="1601"/>
      <c r="E404" s="1601"/>
      <c r="F404" s="1801"/>
      <c r="G404" s="462"/>
    </row>
    <row r="405" spans="1:7" ht="14.25" hidden="1" customHeight="1">
      <c r="A405" s="621" t="s">
        <v>1564</v>
      </c>
      <c r="B405" s="618"/>
      <c r="C405" s="618"/>
      <c r="D405" s="618"/>
      <c r="E405" s="618"/>
      <c r="F405" s="618"/>
      <c r="G405" s="743"/>
    </row>
    <row r="406" spans="1:7" ht="14.25" hidden="1" customHeight="1">
      <c r="A406" s="1975" t="s">
        <v>1565</v>
      </c>
      <c r="B406" s="1801"/>
      <c r="C406" s="424" t="s">
        <v>1566</v>
      </c>
      <c r="D406" s="424" t="s">
        <v>6</v>
      </c>
      <c r="E406" s="424" t="s">
        <v>7</v>
      </c>
      <c r="F406" s="424" t="s">
        <v>1559</v>
      </c>
      <c r="G406" s="462"/>
    </row>
    <row r="407" spans="1:7" ht="14.25" hidden="1" customHeight="1">
      <c r="A407" s="2004" t="s">
        <v>1716</v>
      </c>
      <c r="B407" s="1888"/>
      <c r="C407" s="679">
        <v>14142.890951641079</v>
      </c>
      <c r="D407" s="680">
        <v>1</v>
      </c>
      <c r="E407" s="680">
        <v>1.0606035252120407</v>
      </c>
      <c r="F407" s="694">
        <f>+(C407*D407)*E407</f>
        <v>15000.000000000002</v>
      </c>
      <c r="G407" s="676"/>
    </row>
    <row r="408" spans="1:7" ht="14.25" hidden="1" customHeight="1">
      <c r="A408" s="1984"/>
      <c r="B408" s="1819"/>
      <c r="C408" s="747"/>
      <c r="D408" s="614"/>
      <c r="E408" s="614"/>
      <c r="F408" s="753"/>
      <c r="G408" s="709"/>
    </row>
    <row r="409" spans="1:7" ht="14.25" hidden="1" customHeight="1">
      <c r="A409" s="2015" t="str">
        <f>+A404</f>
        <v>SUB-TOTAL</v>
      </c>
      <c r="B409" s="1601"/>
      <c r="C409" s="1601"/>
      <c r="D409" s="1601"/>
      <c r="E409" s="1601"/>
      <c r="F409" s="1801"/>
      <c r="G409" s="462">
        <f>SUM(F407:F408)</f>
        <v>15000.000000000002</v>
      </c>
    </row>
    <row r="410" spans="1:7" ht="11.25" hidden="1" customHeight="1">
      <c r="A410" s="618"/>
      <c r="B410" s="618"/>
      <c r="C410" s="618"/>
      <c r="D410" s="618"/>
      <c r="E410" s="618"/>
      <c r="F410" s="748"/>
      <c r="G410" s="743"/>
    </row>
    <row r="411" spans="1:7" ht="14.25" hidden="1" customHeight="1">
      <c r="A411" s="2015" t="s">
        <v>1567</v>
      </c>
      <c r="B411" s="1601"/>
      <c r="C411" s="1601"/>
      <c r="D411" s="1601"/>
      <c r="E411" s="1601"/>
      <c r="F411" s="1801"/>
      <c r="G411" s="459">
        <f>ROUND(G393+G399+G404+G409,0)</f>
        <v>64394</v>
      </c>
    </row>
    <row r="412" spans="1:7" ht="14.25" hidden="1" customHeight="1">
      <c r="A412" s="616"/>
      <c r="B412" s="616"/>
      <c r="C412" s="616"/>
      <c r="D412" s="616"/>
      <c r="E412" s="616"/>
      <c r="F412" s="616"/>
      <c r="G412" s="616"/>
    </row>
    <row r="413" spans="1:7" ht="14.25" hidden="1" customHeight="1">
      <c r="A413" s="616"/>
      <c r="B413" s="616"/>
      <c r="C413" s="616"/>
      <c r="D413" s="616"/>
      <c r="E413" s="616"/>
      <c r="F413" s="616"/>
      <c r="G413" s="616"/>
    </row>
    <row r="414" spans="1:7" ht="27" hidden="1" customHeight="1">
      <c r="A414" s="2005" t="s">
        <v>1604</v>
      </c>
      <c r="B414" s="1616"/>
      <c r="C414" s="1624"/>
      <c r="D414" s="567"/>
      <c r="E414" s="567"/>
      <c r="F414" s="567"/>
      <c r="G414" s="668"/>
    </row>
    <row r="415" spans="1:7" ht="24" hidden="1" customHeight="1">
      <c r="A415" s="1971"/>
      <c r="B415" s="1817"/>
      <c r="C415" s="1972"/>
      <c r="D415" s="669"/>
      <c r="E415" s="669"/>
      <c r="F415" s="669"/>
      <c r="G415" s="670"/>
    </row>
    <row r="417" spans="1:7" ht="42.75" hidden="1" customHeight="1">
      <c r="A417" s="1973" t="str">
        <f>A10</f>
        <v>PRECIOS UNITARIOS OFICIALES 2014</v>
      </c>
      <c r="B417" s="1601"/>
      <c r="C417" s="1602"/>
      <c r="D417" s="1974" t="s">
        <v>1727</v>
      </c>
      <c r="E417" s="1601"/>
      <c r="F417" s="1601"/>
      <c r="G417" s="1602"/>
    </row>
    <row r="418" spans="1:7" ht="14.25" hidden="1" customHeight="1">
      <c r="A418" s="620"/>
      <c r="B418" s="620"/>
      <c r="C418" s="620"/>
      <c r="D418" s="620"/>
      <c r="E418" s="620"/>
      <c r="F418" s="620"/>
      <c r="G418" s="620"/>
    </row>
    <row r="419" spans="1:7" ht="12.75" hidden="1" customHeight="1">
      <c r="A419" s="572"/>
      <c r="B419" s="618"/>
      <c r="C419" s="616"/>
      <c r="D419" s="421" t="s">
        <v>1553</v>
      </c>
      <c r="E419" s="422" t="s">
        <v>127</v>
      </c>
      <c r="F419" s="572"/>
      <c r="G419" s="572"/>
    </row>
    <row r="420" spans="1:7" ht="14.25" hidden="1" customHeight="1">
      <c r="A420" s="621" t="s">
        <v>1555</v>
      </c>
      <c r="B420" s="618"/>
      <c r="C420" s="618"/>
      <c r="D420" s="618"/>
      <c r="E420" s="618"/>
      <c r="F420" s="618"/>
      <c r="G420" s="618"/>
    </row>
    <row r="421" spans="1:7" ht="13.5" hidden="1" customHeight="1">
      <c r="A421" s="1975" t="s">
        <v>1556</v>
      </c>
      <c r="B421" s="1601"/>
      <c r="C421" s="1801"/>
      <c r="D421" s="424" t="s">
        <v>208</v>
      </c>
      <c r="E421" s="424" t="s">
        <v>1558</v>
      </c>
      <c r="F421" s="424" t="s">
        <v>1559</v>
      </c>
      <c r="G421" s="425"/>
    </row>
    <row r="422" spans="1:7" ht="17.25" hidden="1" customHeight="1">
      <c r="A422" s="1987" t="s">
        <v>1689</v>
      </c>
      <c r="B422" s="1811"/>
      <c r="C422" s="1967"/>
      <c r="D422" s="675">
        <v>2062.5</v>
      </c>
      <c r="E422" s="687">
        <f>+E439</f>
        <v>5</v>
      </c>
      <c r="F422" s="756">
        <f t="shared" ref="F422:F424" si="28">+D422/E422</f>
        <v>412.5</v>
      </c>
      <c r="G422" s="688"/>
    </row>
    <row r="423" spans="1:7" ht="20.25" hidden="1" customHeight="1">
      <c r="A423" s="1995" t="s">
        <v>1713</v>
      </c>
      <c r="B423" s="1610"/>
      <c r="C423" s="1611"/>
      <c r="D423" s="464">
        <v>8125</v>
      </c>
      <c r="E423" s="706">
        <v>5</v>
      </c>
      <c r="F423" s="440">
        <f t="shared" si="28"/>
        <v>1625</v>
      </c>
      <c r="G423" s="751"/>
    </row>
    <row r="424" spans="1:7" ht="15.75" hidden="1" customHeight="1">
      <c r="A424" s="1995" t="s">
        <v>1690</v>
      </c>
      <c r="B424" s="1610"/>
      <c r="C424" s="1611"/>
      <c r="D424" s="464">
        <v>1500</v>
      </c>
      <c r="E424" s="706">
        <v>5</v>
      </c>
      <c r="F424" s="757">
        <f t="shared" si="28"/>
        <v>300</v>
      </c>
      <c r="G424" s="751"/>
    </row>
    <row r="425" spans="1:7" ht="14.25" hidden="1" customHeight="1">
      <c r="A425" s="2015" t="s">
        <v>1560</v>
      </c>
      <c r="B425" s="1601"/>
      <c r="C425" s="1601"/>
      <c r="D425" s="1601"/>
      <c r="E425" s="1601"/>
      <c r="F425" s="1801"/>
      <c r="G425" s="462">
        <f>SUM(F422:F424)</f>
        <v>2337.5</v>
      </c>
    </row>
    <row r="426" spans="1:7" ht="14.25" hidden="1" customHeight="1">
      <c r="A426" s="621" t="s">
        <v>1561</v>
      </c>
      <c r="B426" s="618"/>
      <c r="C426" s="618"/>
      <c r="D426" s="618"/>
      <c r="E426" s="618"/>
      <c r="F426" s="618"/>
      <c r="G426" s="743"/>
    </row>
    <row r="427" spans="1:7" ht="14.25" hidden="1" customHeight="1">
      <c r="A427" s="1975" t="s">
        <v>1556</v>
      </c>
      <c r="B427" s="1801"/>
      <c r="C427" s="424" t="s">
        <v>6</v>
      </c>
      <c r="D427" s="424" t="s">
        <v>1562</v>
      </c>
      <c r="E427" s="424" t="s">
        <v>7</v>
      </c>
      <c r="F427" s="424" t="s">
        <v>1559</v>
      </c>
      <c r="G427" s="673"/>
    </row>
    <row r="428" spans="1:7" ht="18" hidden="1" customHeight="1">
      <c r="A428" s="1995" t="s">
        <v>1728</v>
      </c>
      <c r="B428" s="1611"/>
      <c r="C428" s="444" t="s">
        <v>171</v>
      </c>
      <c r="D428" s="464">
        <v>2550</v>
      </c>
      <c r="E428" s="444">
        <v>0.65</v>
      </c>
      <c r="F428" s="440">
        <f t="shared" ref="F428:F430" si="29">+E428*D428</f>
        <v>1657.5</v>
      </c>
      <c r="G428" s="707"/>
    </row>
    <row r="429" spans="1:7" ht="18.75" hidden="1" customHeight="1">
      <c r="A429" s="1995" t="s">
        <v>1705</v>
      </c>
      <c r="B429" s="1611"/>
      <c r="C429" s="444" t="s">
        <v>171</v>
      </c>
      <c r="D429" s="464">
        <v>15600</v>
      </c>
      <c r="E429" s="444">
        <v>0.1</v>
      </c>
      <c r="F429" s="440">
        <f t="shared" si="29"/>
        <v>1560</v>
      </c>
      <c r="G429" s="707"/>
    </row>
    <row r="430" spans="1:7" ht="18.75" hidden="1" customHeight="1">
      <c r="A430" s="1996" t="s">
        <v>1706</v>
      </c>
      <c r="B430" s="1819"/>
      <c r="C430" s="708" t="s">
        <v>1707</v>
      </c>
      <c r="D430" s="434">
        <v>24450</v>
      </c>
      <c r="E430" s="708">
        <v>0.1</v>
      </c>
      <c r="F430" s="700">
        <f t="shared" si="29"/>
        <v>2445</v>
      </c>
      <c r="G430" s="709"/>
    </row>
    <row r="431" spans="1:7" ht="14.25" hidden="1" customHeight="1">
      <c r="A431" s="2015" t="s">
        <v>1560</v>
      </c>
      <c r="B431" s="1601"/>
      <c r="C431" s="1601"/>
      <c r="D431" s="1601"/>
      <c r="E431" s="1601"/>
      <c r="F431" s="1801"/>
      <c r="G431" s="462">
        <f>SUM(F428:F430)</f>
        <v>5662.5</v>
      </c>
    </row>
    <row r="432" spans="1:7" ht="14.25" hidden="1" customHeight="1">
      <c r="A432" s="621" t="s">
        <v>1563</v>
      </c>
      <c r="B432" s="618"/>
      <c r="C432" s="618"/>
      <c r="D432" s="618"/>
      <c r="E432" s="618"/>
      <c r="F432" s="618"/>
      <c r="G432" s="743"/>
    </row>
    <row r="433" spans="1:7" ht="14.25" hidden="1" customHeight="1">
      <c r="A433" s="1975" t="s">
        <v>1556</v>
      </c>
      <c r="B433" s="1801"/>
      <c r="C433" s="424" t="s">
        <v>6</v>
      </c>
      <c r="D433" s="424" t="s">
        <v>1562</v>
      </c>
      <c r="E433" s="424" t="s">
        <v>7</v>
      </c>
      <c r="F433" s="424" t="s">
        <v>1559</v>
      </c>
      <c r="G433" s="438"/>
    </row>
    <row r="434" spans="1:7" ht="14.25" hidden="1" customHeight="1">
      <c r="A434" s="1987"/>
      <c r="B434" s="1967"/>
      <c r="C434" s="744"/>
      <c r="D434" s="675"/>
      <c r="E434" s="745">
        <v>0</v>
      </c>
      <c r="F434" s="464"/>
      <c r="G434" s="676"/>
    </row>
    <row r="435" spans="1:7" ht="14.25" hidden="1" customHeight="1">
      <c r="A435" s="1996"/>
      <c r="B435" s="1819"/>
      <c r="C435" s="744"/>
      <c r="D435" s="434"/>
      <c r="E435" s="746"/>
      <c r="F435" s="434"/>
      <c r="G435" s="457"/>
    </row>
    <row r="436" spans="1:7" ht="14.25" hidden="1" customHeight="1">
      <c r="A436" s="2015" t="s">
        <v>1560</v>
      </c>
      <c r="B436" s="1601"/>
      <c r="C436" s="1601"/>
      <c r="D436" s="1601"/>
      <c r="E436" s="1601"/>
      <c r="F436" s="1801"/>
      <c r="G436" s="462"/>
    </row>
    <row r="437" spans="1:7" ht="14.25" hidden="1" customHeight="1">
      <c r="A437" s="621" t="s">
        <v>1564</v>
      </c>
      <c r="B437" s="618"/>
      <c r="C437" s="618"/>
      <c r="D437" s="618"/>
      <c r="E437" s="618"/>
      <c r="F437" s="618"/>
      <c r="G437" s="743"/>
    </row>
    <row r="438" spans="1:7" ht="14.25" hidden="1" customHeight="1">
      <c r="A438" s="1975" t="s">
        <v>1565</v>
      </c>
      <c r="B438" s="1801"/>
      <c r="C438" s="424" t="s">
        <v>1566</v>
      </c>
      <c r="D438" s="424" t="s">
        <v>6</v>
      </c>
      <c r="E438" s="424" t="s">
        <v>7</v>
      </c>
      <c r="F438" s="424" t="s">
        <v>1559</v>
      </c>
      <c r="G438" s="462"/>
    </row>
    <row r="439" spans="1:7" ht="20.25" hidden="1" customHeight="1">
      <c r="A439" s="2004" t="s">
        <v>1716</v>
      </c>
      <c r="B439" s="1888"/>
      <c r="C439" s="679">
        <v>14142.890951641079</v>
      </c>
      <c r="D439" s="680">
        <v>1</v>
      </c>
      <c r="E439" s="680">
        <v>5</v>
      </c>
      <c r="F439" s="694">
        <f>+(D439*C439)/E439</f>
        <v>2828.5781903282159</v>
      </c>
      <c r="G439" s="676"/>
    </row>
    <row r="440" spans="1:7" ht="14.25" hidden="1" customHeight="1">
      <c r="A440" s="1984"/>
      <c r="B440" s="1819"/>
      <c r="C440" s="747"/>
      <c r="D440" s="614"/>
      <c r="E440" s="614"/>
      <c r="F440" s="753"/>
      <c r="G440" s="709"/>
    </row>
    <row r="441" spans="1:7" ht="14.25" hidden="1" customHeight="1">
      <c r="A441" s="2015" t="str">
        <f>+A436</f>
        <v>SUB-TOTAL</v>
      </c>
      <c r="B441" s="1601"/>
      <c r="C441" s="1601"/>
      <c r="D441" s="1601"/>
      <c r="E441" s="1601"/>
      <c r="F441" s="1801"/>
      <c r="G441" s="462">
        <f>SUM(F439:F440)</f>
        <v>2828.5781903282159</v>
      </c>
    </row>
    <row r="442" spans="1:7" ht="11.25" hidden="1" customHeight="1">
      <c r="A442" s="618"/>
      <c r="B442" s="618"/>
      <c r="C442" s="618"/>
      <c r="D442" s="618"/>
      <c r="E442" s="618"/>
      <c r="F442" s="748"/>
      <c r="G442" s="743"/>
    </row>
    <row r="443" spans="1:7" ht="14.25" hidden="1" customHeight="1">
      <c r="A443" s="2015" t="s">
        <v>1567</v>
      </c>
      <c r="B443" s="1601"/>
      <c r="C443" s="1601"/>
      <c r="D443" s="1601"/>
      <c r="E443" s="1601"/>
      <c r="F443" s="1801"/>
      <c r="G443" s="459">
        <f>ROUND(G425+G431+G436+G441,0)</f>
        <v>10829</v>
      </c>
    </row>
    <row r="444" spans="1:7" ht="14.25" hidden="1" customHeight="1">
      <c r="A444" s="616"/>
      <c r="B444" s="616"/>
      <c r="C444" s="616"/>
      <c r="D444" s="616"/>
      <c r="E444" s="616"/>
      <c r="F444" s="616"/>
      <c r="G444" s="616"/>
    </row>
    <row r="445" spans="1:7" ht="14.25" hidden="1" customHeight="1">
      <c r="A445" s="616"/>
      <c r="B445" s="616"/>
      <c r="C445" s="616"/>
      <c r="D445" s="616"/>
      <c r="E445" s="616"/>
      <c r="F445" s="616"/>
      <c r="G445" s="616"/>
    </row>
    <row r="446" spans="1:7" ht="27" hidden="1" customHeight="1">
      <c r="A446" s="2005" t="s">
        <v>1604</v>
      </c>
      <c r="B446" s="1616"/>
      <c r="C446" s="1624"/>
      <c r="D446" s="567"/>
      <c r="E446" s="567"/>
      <c r="F446" s="567"/>
      <c r="G446" s="668"/>
    </row>
    <row r="447" spans="1:7" ht="24" hidden="1" customHeight="1">
      <c r="A447" s="1971"/>
      <c r="B447" s="1817"/>
      <c r="C447" s="1972"/>
      <c r="D447" s="669"/>
      <c r="E447" s="669"/>
      <c r="F447" s="669"/>
      <c r="G447" s="670"/>
    </row>
    <row r="449" spans="1:7" ht="35.25" hidden="1" customHeight="1">
      <c r="A449" s="1973" t="str">
        <f>A10</f>
        <v>PRECIOS UNITARIOS OFICIALES 2014</v>
      </c>
      <c r="B449" s="1601"/>
      <c r="C449" s="1602"/>
      <c r="D449" s="1974" t="s">
        <v>1729</v>
      </c>
      <c r="E449" s="1601"/>
      <c r="F449" s="1601"/>
      <c r="G449" s="1602"/>
    </row>
    <row r="450" spans="1:7" ht="14.25" hidden="1" customHeight="1">
      <c r="A450" s="620"/>
      <c r="B450" s="620"/>
      <c r="C450" s="620"/>
      <c r="D450" s="620"/>
      <c r="E450" s="620"/>
      <c r="F450" s="620"/>
      <c r="G450" s="620"/>
    </row>
    <row r="451" spans="1:7" ht="12.75" hidden="1" customHeight="1">
      <c r="A451" s="572"/>
      <c r="B451" s="618"/>
      <c r="C451" s="616"/>
      <c r="D451" s="421" t="s">
        <v>1553</v>
      </c>
      <c r="E451" s="422" t="s">
        <v>120</v>
      </c>
      <c r="F451" s="572"/>
      <c r="G451" s="572"/>
    </row>
    <row r="452" spans="1:7" ht="14.25" hidden="1" customHeight="1">
      <c r="A452" s="621" t="s">
        <v>1555</v>
      </c>
      <c r="B452" s="618"/>
      <c r="C452" s="618"/>
      <c r="D452" s="618"/>
      <c r="E452" s="618"/>
      <c r="F452" s="618"/>
      <c r="G452" s="618"/>
    </row>
    <row r="453" spans="1:7" ht="13.5" hidden="1" customHeight="1">
      <c r="A453" s="1975" t="s">
        <v>1556</v>
      </c>
      <c r="B453" s="1601"/>
      <c r="C453" s="1801"/>
      <c r="D453" s="424" t="s">
        <v>208</v>
      </c>
      <c r="E453" s="424" t="s">
        <v>1558</v>
      </c>
      <c r="F453" s="424" t="s">
        <v>1559</v>
      </c>
      <c r="G453" s="425"/>
    </row>
    <row r="454" spans="1:7" ht="14.25" hidden="1" customHeight="1">
      <c r="A454" s="1987" t="s">
        <v>1689</v>
      </c>
      <c r="B454" s="1811"/>
      <c r="C454" s="1967"/>
      <c r="D454" s="675">
        <v>2062.5</v>
      </c>
      <c r="E454" s="687">
        <f>+E472</f>
        <v>0.70353367172398718</v>
      </c>
      <c r="F454" s="442">
        <f t="shared" ref="F454:F455" si="30">+E454*D454</f>
        <v>1451.0381979307235</v>
      </c>
      <c r="G454" s="688"/>
    </row>
    <row r="455" spans="1:7" ht="14.25" hidden="1" customHeight="1">
      <c r="A455" s="1995" t="s">
        <v>1690</v>
      </c>
      <c r="B455" s="1610"/>
      <c r="C455" s="1611"/>
      <c r="D455" s="464">
        <v>1500</v>
      </c>
      <c r="E455" s="706">
        <v>0.6</v>
      </c>
      <c r="F455" s="440">
        <f t="shared" si="30"/>
        <v>900</v>
      </c>
      <c r="G455" s="751"/>
    </row>
    <row r="456" spans="1:7" ht="14.25" hidden="1" customHeight="1">
      <c r="A456" s="1996"/>
      <c r="B456" s="1807"/>
      <c r="C456" s="1819"/>
      <c r="D456" s="434"/>
      <c r="E456" s="758"/>
      <c r="F456" s="434"/>
      <c r="G456" s="435"/>
    </row>
    <row r="457" spans="1:7" ht="14.25" hidden="1" customHeight="1">
      <c r="A457" s="2015" t="s">
        <v>1560</v>
      </c>
      <c r="B457" s="1601"/>
      <c r="C457" s="1601"/>
      <c r="D457" s="1601"/>
      <c r="E457" s="1601"/>
      <c r="F457" s="1801"/>
      <c r="G457" s="462">
        <f>SUM(F454:F456)</f>
        <v>2351.0381979307235</v>
      </c>
    </row>
    <row r="458" spans="1:7" ht="14.25" hidden="1" customHeight="1">
      <c r="A458" s="621" t="s">
        <v>1561</v>
      </c>
      <c r="B458" s="618"/>
      <c r="C458" s="618"/>
      <c r="D458" s="618"/>
      <c r="E458" s="618"/>
      <c r="F458" s="618"/>
      <c r="G458" s="743"/>
    </row>
    <row r="459" spans="1:7" ht="14.25" hidden="1" customHeight="1">
      <c r="A459" s="1975" t="s">
        <v>1556</v>
      </c>
      <c r="B459" s="1801"/>
      <c r="C459" s="424" t="s">
        <v>6</v>
      </c>
      <c r="D459" s="424" t="s">
        <v>1562</v>
      </c>
      <c r="E459" s="424" t="s">
        <v>7</v>
      </c>
      <c r="F459" s="424" t="s">
        <v>1559</v>
      </c>
      <c r="G459" s="673"/>
    </row>
    <row r="460" spans="1:7" ht="26.25" hidden="1" customHeight="1">
      <c r="A460" s="1987" t="s">
        <v>1730</v>
      </c>
      <c r="B460" s="1967"/>
      <c r="C460" s="674" t="s">
        <v>120</v>
      </c>
      <c r="D460" s="675">
        <v>14350</v>
      </c>
      <c r="E460" s="674">
        <v>1.03</v>
      </c>
      <c r="F460" s="442">
        <f>+E460*D460</f>
        <v>14780.5</v>
      </c>
      <c r="G460" s="676"/>
    </row>
    <row r="461" spans="1:7" ht="14.25" hidden="1" customHeight="1">
      <c r="A461" s="1995"/>
      <c r="B461" s="1611"/>
      <c r="C461" s="444"/>
      <c r="D461" s="464"/>
      <c r="E461" s="444"/>
      <c r="F461" s="464"/>
      <c r="G461" s="707"/>
    </row>
    <row r="462" spans="1:7" ht="14.25" hidden="1" customHeight="1">
      <c r="A462" s="1995"/>
      <c r="B462" s="1611"/>
      <c r="C462" s="444"/>
      <c r="D462" s="464"/>
      <c r="E462" s="444"/>
      <c r="F462" s="464"/>
      <c r="G462" s="707"/>
    </row>
    <row r="463" spans="1:7" ht="14.25" hidden="1" customHeight="1">
      <c r="A463" s="1995"/>
      <c r="B463" s="1611"/>
      <c r="C463" s="444"/>
      <c r="D463" s="464"/>
      <c r="E463" s="444"/>
      <c r="F463" s="464"/>
      <c r="G463" s="707"/>
    </row>
    <row r="464" spans="1:7" ht="14.25" hidden="1" customHeight="1">
      <c r="A464" s="2015" t="s">
        <v>1560</v>
      </c>
      <c r="B464" s="1601"/>
      <c r="C464" s="1601"/>
      <c r="D464" s="1601"/>
      <c r="E464" s="1601"/>
      <c r="F464" s="1801"/>
      <c r="G464" s="462">
        <f>SUM(F460:F463)</f>
        <v>14780.5</v>
      </c>
    </row>
    <row r="465" spans="1:7" ht="14.25" hidden="1" customHeight="1">
      <c r="A465" s="621" t="s">
        <v>1563</v>
      </c>
      <c r="B465" s="618"/>
      <c r="C465" s="618"/>
      <c r="D465" s="618"/>
      <c r="E465" s="618"/>
      <c r="F465" s="618"/>
      <c r="G465" s="743"/>
    </row>
    <row r="466" spans="1:7" ht="14.25" hidden="1" customHeight="1">
      <c r="A466" s="1975" t="s">
        <v>1556</v>
      </c>
      <c r="B466" s="1801"/>
      <c r="C466" s="424" t="s">
        <v>6</v>
      </c>
      <c r="D466" s="424" t="s">
        <v>1562</v>
      </c>
      <c r="E466" s="424" t="s">
        <v>7</v>
      </c>
      <c r="F466" s="424" t="s">
        <v>1559</v>
      </c>
      <c r="G466" s="438"/>
    </row>
    <row r="467" spans="1:7" ht="14.25" hidden="1" customHeight="1">
      <c r="A467" s="1987"/>
      <c r="B467" s="1967"/>
      <c r="C467" s="744"/>
      <c r="D467" s="675"/>
      <c r="E467" s="745"/>
      <c r="F467" s="464"/>
      <c r="G467" s="676"/>
    </row>
    <row r="468" spans="1:7" ht="14.25" hidden="1" customHeight="1">
      <c r="A468" s="1996"/>
      <c r="B468" s="1819"/>
      <c r="C468" s="744"/>
      <c r="D468" s="434"/>
      <c r="E468" s="746"/>
      <c r="F468" s="434"/>
      <c r="G468" s="457"/>
    </row>
    <row r="469" spans="1:7" ht="14.25" hidden="1" customHeight="1">
      <c r="A469" s="2015" t="s">
        <v>1560</v>
      </c>
      <c r="B469" s="1601"/>
      <c r="C469" s="1601"/>
      <c r="D469" s="1601"/>
      <c r="E469" s="1601"/>
      <c r="F469" s="1801"/>
      <c r="G469" s="462"/>
    </row>
    <row r="470" spans="1:7" ht="14.25" hidden="1" customHeight="1">
      <c r="A470" s="621" t="s">
        <v>1564</v>
      </c>
      <c r="B470" s="618"/>
      <c r="C470" s="618"/>
      <c r="D470" s="618"/>
      <c r="E470" s="618"/>
      <c r="F470" s="618"/>
      <c r="G470" s="743"/>
    </row>
    <row r="471" spans="1:7" ht="14.25" hidden="1" customHeight="1">
      <c r="A471" s="1975" t="s">
        <v>1565</v>
      </c>
      <c r="B471" s="1801"/>
      <c r="C471" s="424" t="s">
        <v>1566</v>
      </c>
      <c r="D471" s="424" t="s">
        <v>6</v>
      </c>
      <c r="E471" s="424" t="s">
        <v>7</v>
      </c>
      <c r="F471" s="424" t="s">
        <v>1559</v>
      </c>
      <c r="G471" s="462"/>
    </row>
    <row r="472" spans="1:7" ht="14.25" hidden="1" customHeight="1">
      <c r="A472" s="2004" t="s">
        <v>1716</v>
      </c>
      <c r="B472" s="1888"/>
      <c r="C472" s="679">
        <v>14142.890951641079</v>
      </c>
      <c r="D472" s="680">
        <v>1</v>
      </c>
      <c r="E472" s="680">
        <v>0.70353367172398718</v>
      </c>
      <c r="F472" s="694">
        <f>+(C472*D472)*E472</f>
        <v>9950.0000000000036</v>
      </c>
      <c r="G472" s="676"/>
    </row>
    <row r="473" spans="1:7" ht="14.25" hidden="1" customHeight="1">
      <c r="A473" s="1984"/>
      <c r="B473" s="1819"/>
      <c r="C473" s="747"/>
      <c r="D473" s="614"/>
      <c r="E473" s="614"/>
      <c r="F473" s="753"/>
      <c r="G473" s="709"/>
    </row>
    <row r="474" spans="1:7" ht="14.25" hidden="1" customHeight="1">
      <c r="A474" s="2015" t="str">
        <f>+A469</f>
        <v>SUB-TOTAL</v>
      </c>
      <c r="B474" s="1601"/>
      <c r="C474" s="1601"/>
      <c r="D474" s="1601"/>
      <c r="E474" s="1601"/>
      <c r="F474" s="1801"/>
      <c r="G474" s="462">
        <f>SUM(F472:F473)</f>
        <v>9950.0000000000036</v>
      </c>
    </row>
    <row r="475" spans="1:7" ht="11.25" hidden="1" customHeight="1">
      <c r="A475" s="618"/>
      <c r="B475" s="618"/>
      <c r="C475" s="618"/>
      <c r="D475" s="618"/>
      <c r="E475" s="618"/>
      <c r="F475" s="748"/>
      <c r="G475" s="743"/>
    </row>
    <row r="476" spans="1:7" ht="14.25" hidden="1" customHeight="1">
      <c r="A476" s="2015" t="s">
        <v>1567</v>
      </c>
      <c r="B476" s="1601"/>
      <c r="C476" s="1601"/>
      <c r="D476" s="1601"/>
      <c r="E476" s="1601"/>
      <c r="F476" s="1801"/>
      <c r="G476" s="459">
        <f>ROUND(G457+G464+G469+G474,0)</f>
        <v>27082</v>
      </c>
    </row>
    <row r="477" spans="1:7" ht="14.25" hidden="1" customHeight="1">
      <c r="A477" s="616"/>
      <c r="B477" s="616"/>
      <c r="C477" s="616"/>
      <c r="D477" s="616"/>
      <c r="E477" s="616"/>
      <c r="F477" s="616"/>
      <c r="G477" s="616"/>
    </row>
    <row r="478" spans="1:7" ht="14.25" hidden="1" customHeight="1">
      <c r="A478" s="616"/>
      <c r="B478" s="616"/>
      <c r="C478" s="616"/>
      <c r="D478" s="616"/>
      <c r="E478" s="616"/>
      <c r="F478" s="616"/>
      <c r="G478" s="616"/>
    </row>
    <row r="479" spans="1:7" ht="24" hidden="1" customHeight="1">
      <c r="A479" s="1994" t="e">
        <f>+'ANALISIS BASICOS'!$A$7</f>
        <v>#REF!</v>
      </c>
      <c r="B479" s="1616"/>
      <c r="C479" s="1624"/>
      <c r="D479" s="1990"/>
      <c r="E479" s="1616"/>
      <c r="F479" s="1616"/>
      <c r="G479" s="1624"/>
    </row>
    <row r="480" spans="1:7" ht="30" hidden="1" customHeight="1">
      <c r="A480" s="1971"/>
      <c r="B480" s="1817"/>
      <c r="C480" s="1972"/>
      <c r="D480" s="1971"/>
      <c r="E480" s="1817"/>
      <c r="F480" s="1817"/>
      <c r="G480" s="1972"/>
    </row>
    <row r="482" spans="1:7" ht="43.5" hidden="1" customHeight="1">
      <c r="A482" s="1991" t="e">
        <f ca="1">+A244</f>
        <v>#NAME?</v>
      </c>
      <c r="B482" s="1601"/>
      <c r="C482" s="1602"/>
      <c r="D482" s="1974" t="s">
        <v>1731</v>
      </c>
      <c r="E482" s="1601"/>
      <c r="F482" s="1601"/>
      <c r="G482" s="1602"/>
    </row>
    <row r="483" spans="1:7" ht="14.25" hidden="1" customHeight="1">
      <c r="A483" s="620"/>
      <c r="B483" s="620"/>
      <c r="C483" s="620"/>
      <c r="D483" s="620"/>
      <c r="E483" s="620"/>
      <c r="F483" s="620"/>
      <c r="G483" s="620"/>
    </row>
    <row r="484" spans="1:7" ht="12.75" hidden="1" customHeight="1">
      <c r="A484" s="572"/>
      <c r="B484" s="618"/>
      <c r="C484" s="616"/>
      <c r="D484" s="421" t="s">
        <v>1553</v>
      </c>
      <c r="E484" s="422" t="s">
        <v>120</v>
      </c>
      <c r="F484" s="421" t="s">
        <v>1554</v>
      </c>
      <c r="G484" s="422" t="s">
        <v>401</v>
      </c>
    </row>
    <row r="485" spans="1:7" ht="14.25" hidden="1" customHeight="1">
      <c r="A485" s="621" t="s">
        <v>1555</v>
      </c>
      <c r="B485" s="618"/>
      <c r="C485" s="618"/>
      <c r="D485" s="618"/>
      <c r="E485" s="618"/>
      <c r="F485" s="618"/>
      <c r="G485" s="618"/>
    </row>
    <row r="486" spans="1:7" ht="13.5" hidden="1" customHeight="1">
      <c r="A486" s="1975" t="s">
        <v>1556</v>
      </c>
      <c r="B486" s="1601"/>
      <c r="C486" s="1801"/>
      <c r="D486" s="424" t="s">
        <v>208</v>
      </c>
      <c r="E486" s="424" t="s">
        <v>1558</v>
      </c>
      <c r="F486" s="424" t="s">
        <v>1559</v>
      </c>
      <c r="G486" s="425"/>
    </row>
    <row r="487" spans="1:7" ht="14.25" hidden="1" customHeight="1">
      <c r="A487" s="1987" t="str">
        <f>+'LISTADO EQUIPOS'!$C$22</f>
        <v>HERRAMIENTA MENOR.</v>
      </c>
      <c r="B487" s="1811"/>
      <c r="C487" s="1967"/>
      <c r="D487" s="675">
        <f>+'LISTADO EQUIPOS'!$E$22/8</f>
        <v>2850</v>
      </c>
      <c r="E487" s="687">
        <v>2.09</v>
      </c>
      <c r="F487" s="442">
        <f t="shared" ref="F487:F490" si="31">+E487*D487</f>
        <v>5956.5</v>
      </c>
      <c r="G487" s="688"/>
    </row>
    <row r="488" spans="1:7" ht="14.25" hidden="1" customHeight="1">
      <c r="A488" s="1995" t="str">
        <f>+'LISTADO EQUIPOS'!$C$18</f>
        <v>EQUIPO ELÉCTRICO SOLDADURA</v>
      </c>
      <c r="B488" s="1610"/>
      <c r="C488" s="1611"/>
      <c r="D488" s="464">
        <f>+'LISTADO EQUIPOS'!$E$19</f>
        <v>9750</v>
      </c>
      <c r="E488" s="706">
        <v>8.7999999999999995E-2</v>
      </c>
      <c r="F488" s="440">
        <f t="shared" si="31"/>
        <v>858</v>
      </c>
      <c r="G488" s="751"/>
    </row>
    <row r="489" spans="1:7" ht="14.25" hidden="1" customHeight="1">
      <c r="A489" s="1995" t="str">
        <f>+'LISTADO EQUIPOS'!$C$47</f>
        <v>ANDAMIO TUBULAR. 1.5 x 1.5 SECCIÓN</v>
      </c>
      <c r="B489" s="1610"/>
      <c r="C489" s="1611"/>
      <c r="D489" s="464">
        <f>+'LISTADO EQUIPOS'!$E$47</f>
        <v>1750</v>
      </c>
      <c r="E489" s="706">
        <v>1</v>
      </c>
      <c r="F489" s="440">
        <f t="shared" si="31"/>
        <v>1750</v>
      </c>
      <c r="G489" s="751"/>
    </row>
    <row r="490" spans="1:7" ht="14.25" hidden="1" customHeight="1">
      <c r="A490" s="1996" t="str">
        <f>+'LISTADO EQUIPOS'!$C$15</f>
        <v>DOBLADORA DE ACERO</v>
      </c>
      <c r="B490" s="1807"/>
      <c r="C490" s="1819"/>
      <c r="D490" s="434">
        <f>+'LISTADO EQUIPOS'!$E416</f>
        <v>0</v>
      </c>
      <c r="E490" s="433">
        <f>+E488</f>
        <v>8.7999999999999995E-2</v>
      </c>
      <c r="F490" s="700">
        <f t="shared" si="31"/>
        <v>0</v>
      </c>
      <c r="G490" s="435"/>
    </row>
    <row r="491" spans="1:7" ht="14.25" hidden="1" customHeight="1">
      <c r="A491" s="2015" t="s">
        <v>1560</v>
      </c>
      <c r="B491" s="1601"/>
      <c r="C491" s="1601"/>
      <c r="D491" s="1601"/>
      <c r="E491" s="1601"/>
      <c r="F491" s="1801"/>
      <c r="G491" s="462">
        <f>SUM(F487:F490)</f>
        <v>8564.5</v>
      </c>
    </row>
    <row r="492" spans="1:7" ht="14.25" hidden="1" customHeight="1">
      <c r="A492" s="621" t="s">
        <v>1561</v>
      </c>
      <c r="B492" s="618"/>
      <c r="C492" s="618"/>
      <c r="D492" s="618"/>
      <c r="E492" s="618"/>
      <c r="F492" s="618"/>
      <c r="G492" s="743"/>
    </row>
    <row r="493" spans="1:7" ht="14.25" hidden="1" customHeight="1">
      <c r="A493" s="1975" t="s">
        <v>1556</v>
      </c>
      <c r="B493" s="1801"/>
      <c r="C493" s="424" t="s">
        <v>6</v>
      </c>
      <c r="D493" s="424" t="s">
        <v>1562</v>
      </c>
      <c r="E493" s="424" t="s">
        <v>7</v>
      </c>
      <c r="F493" s="424" t="s">
        <v>1559</v>
      </c>
      <c r="G493" s="673"/>
    </row>
    <row r="494" spans="1:7" ht="14.25" hidden="1" customHeight="1">
      <c r="A494" s="1995" t="s">
        <v>1722</v>
      </c>
      <c r="B494" s="1611"/>
      <c r="C494" s="444" t="s">
        <v>120</v>
      </c>
      <c r="D494" s="464">
        <v>2400</v>
      </c>
      <c r="E494" s="444">
        <v>0.37</v>
      </c>
      <c r="F494" s="440">
        <f t="shared" ref="F494:F497" si="32">+E494*D494</f>
        <v>888</v>
      </c>
      <c r="G494" s="707"/>
    </row>
    <row r="495" spans="1:7" ht="14.25" hidden="1" customHeight="1">
      <c r="A495" s="1995" t="s">
        <v>1732</v>
      </c>
      <c r="B495" s="1611"/>
      <c r="C495" s="444" t="s">
        <v>127</v>
      </c>
      <c r="D495" s="464">
        <v>39350</v>
      </c>
      <c r="E495" s="444">
        <v>0.5</v>
      </c>
      <c r="F495" s="440">
        <f t="shared" si="32"/>
        <v>19675</v>
      </c>
      <c r="G495" s="707"/>
    </row>
    <row r="496" spans="1:7" ht="12.75" hidden="1" customHeight="1">
      <c r="A496" s="1995" t="s">
        <v>1705</v>
      </c>
      <c r="B496" s="1611"/>
      <c r="C496" s="444" t="s">
        <v>171</v>
      </c>
      <c r="D496" s="464">
        <v>15600</v>
      </c>
      <c r="E496" s="444">
        <v>0.25</v>
      </c>
      <c r="F496" s="440">
        <f t="shared" si="32"/>
        <v>3900</v>
      </c>
      <c r="G496" s="707"/>
    </row>
    <row r="497" spans="1:7" ht="14.25" hidden="1" customHeight="1">
      <c r="A497" s="1996" t="s">
        <v>1706</v>
      </c>
      <c r="B497" s="1819"/>
      <c r="C497" s="708" t="s">
        <v>1707</v>
      </c>
      <c r="D497" s="434">
        <v>24450</v>
      </c>
      <c r="E497" s="708">
        <v>7.0000000000000007E-2</v>
      </c>
      <c r="F497" s="700">
        <f t="shared" si="32"/>
        <v>1711.5000000000002</v>
      </c>
      <c r="G497" s="709"/>
    </row>
    <row r="498" spans="1:7" ht="14.25" hidden="1" customHeight="1">
      <c r="A498" s="2015" t="s">
        <v>1560</v>
      </c>
      <c r="B498" s="1601"/>
      <c r="C498" s="1601"/>
      <c r="D498" s="1601"/>
      <c r="E498" s="1601"/>
      <c r="F498" s="1801"/>
      <c r="G498" s="462">
        <f>SUM(F494:F497)</f>
        <v>26174.5</v>
      </c>
    </row>
    <row r="499" spans="1:7" ht="14.25" hidden="1" customHeight="1">
      <c r="A499" s="621" t="s">
        <v>1563</v>
      </c>
      <c r="B499" s="618"/>
      <c r="C499" s="618"/>
      <c r="D499" s="618"/>
      <c r="E499" s="618"/>
      <c r="F499" s="618"/>
      <c r="G499" s="743"/>
    </row>
    <row r="500" spans="1:7" ht="14.25" hidden="1" customHeight="1">
      <c r="A500" s="1975" t="s">
        <v>1556</v>
      </c>
      <c r="B500" s="1801"/>
      <c r="C500" s="424" t="s">
        <v>6</v>
      </c>
      <c r="D500" s="424" t="s">
        <v>1562</v>
      </c>
      <c r="E500" s="424" t="s">
        <v>7</v>
      </c>
      <c r="F500" s="424" t="s">
        <v>1559</v>
      </c>
      <c r="G500" s="438"/>
    </row>
    <row r="501" spans="1:7" ht="14.25" hidden="1" customHeight="1">
      <c r="A501" s="1987"/>
      <c r="B501" s="1967"/>
      <c r="C501" s="744"/>
      <c r="D501" s="675"/>
      <c r="E501" s="745"/>
      <c r="F501" s="464"/>
      <c r="G501" s="676"/>
    </row>
    <row r="502" spans="1:7" ht="14.25" hidden="1" customHeight="1">
      <c r="A502" s="1996"/>
      <c r="B502" s="1819"/>
      <c r="C502" s="744"/>
      <c r="D502" s="434"/>
      <c r="E502" s="746"/>
      <c r="F502" s="434"/>
      <c r="G502" s="457"/>
    </row>
    <row r="503" spans="1:7" ht="14.25" hidden="1" customHeight="1">
      <c r="A503" s="2015" t="s">
        <v>1560</v>
      </c>
      <c r="B503" s="1601"/>
      <c r="C503" s="1601"/>
      <c r="D503" s="1601"/>
      <c r="E503" s="1601"/>
      <c r="F503" s="1801"/>
      <c r="G503" s="462"/>
    </row>
    <row r="504" spans="1:7" ht="14.25" hidden="1" customHeight="1">
      <c r="A504" s="621" t="s">
        <v>1564</v>
      </c>
      <c r="B504" s="618"/>
      <c r="C504" s="618"/>
      <c r="D504" s="618"/>
      <c r="E504" s="618"/>
      <c r="F504" s="618"/>
      <c r="G504" s="743"/>
    </row>
    <row r="505" spans="1:7" ht="14.25" hidden="1" customHeight="1">
      <c r="A505" s="1975" t="s">
        <v>1565</v>
      </c>
      <c r="B505" s="1801"/>
      <c r="C505" s="424" t="s">
        <v>1566</v>
      </c>
      <c r="D505" s="424" t="s">
        <v>6</v>
      </c>
      <c r="E505" s="424" t="s">
        <v>7</v>
      </c>
      <c r="F505" s="424" t="s">
        <v>1559</v>
      </c>
      <c r="G505" s="462"/>
    </row>
    <row r="506" spans="1:7" ht="14.25" hidden="1" customHeight="1">
      <c r="A506" s="2004" t="str">
        <f>+'MANO DE OBRA'!$A$95</f>
        <v>MANO OBRA CARPINTERIA MET.</v>
      </c>
      <c r="B506" s="1888"/>
      <c r="C506" s="679">
        <f>+'MANO DE OBRA'!$E$95</f>
        <v>31204.875</v>
      </c>
      <c r="D506" s="680">
        <v>1</v>
      </c>
      <c r="E506" s="680">
        <v>2.1353332280224788</v>
      </c>
      <c r="F506" s="694">
        <f>+(C506*D506)*E506</f>
        <v>66632.806463787943</v>
      </c>
      <c r="G506" s="676"/>
    </row>
    <row r="507" spans="1:7" ht="14.25" hidden="1" customHeight="1">
      <c r="A507" s="1984"/>
      <c r="B507" s="1819"/>
      <c r="C507" s="747"/>
      <c r="D507" s="614"/>
      <c r="E507" s="614"/>
      <c r="F507" s="753"/>
      <c r="G507" s="709"/>
    </row>
    <row r="508" spans="1:7" ht="14.25" hidden="1" customHeight="1">
      <c r="A508" s="2015" t="str">
        <f>+A503</f>
        <v>SUB-TOTAL</v>
      </c>
      <c r="B508" s="1601"/>
      <c r="C508" s="1601"/>
      <c r="D508" s="1601"/>
      <c r="E508" s="1601"/>
      <c r="F508" s="1801"/>
      <c r="G508" s="462">
        <f>SUM(F506:F507)</f>
        <v>66632.806463787943</v>
      </c>
    </row>
    <row r="509" spans="1:7" ht="11.25" hidden="1" customHeight="1">
      <c r="A509" s="618"/>
      <c r="B509" s="618"/>
      <c r="C509" s="618"/>
      <c r="D509" s="618"/>
      <c r="E509" s="618"/>
      <c r="F509" s="748"/>
      <c r="G509" s="743"/>
    </row>
    <row r="510" spans="1:7" ht="14.25" hidden="1" customHeight="1">
      <c r="A510" s="2015" t="s">
        <v>1567</v>
      </c>
      <c r="B510" s="1601"/>
      <c r="C510" s="1601"/>
      <c r="D510" s="1601"/>
      <c r="E510" s="1601"/>
      <c r="F510" s="1801"/>
      <c r="G510" s="459">
        <f>ROUND(G491+G498+G503+G508,0)</f>
        <v>101372</v>
      </c>
    </row>
    <row r="513" spans="1:9" ht="24" customHeight="1">
      <c r="A513" s="1989" t="e">
        <f>+'ANALISIS BASICOS'!$A$7</f>
        <v>#REF!</v>
      </c>
      <c r="B513" s="1616"/>
      <c r="C513" s="1624"/>
      <c r="D513" s="1990" t="s">
        <v>1195</v>
      </c>
      <c r="E513" s="1616"/>
      <c r="F513" s="1616"/>
      <c r="G513" s="1624"/>
    </row>
    <row r="514" spans="1:9" ht="28.5" customHeight="1">
      <c r="A514" s="1971"/>
      <c r="B514" s="1817"/>
      <c r="C514" s="1972"/>
      <c r="D514" s="1971"/>
      <c r="E514" s="1817"/>
      <c r="F514" s="1817"/>
      <c r="G514" s="1972"/>
    </row>
    <row r="515" spans="1:9" ht="14.25" customHeight="1">
      <c r="A515" s="618"/>
      <c r="B515" s="618"/>
      <c r="C515" s="618"/>
      <c r="D515" s="618"/>
      <c r="E515" s="618"/>
      <c r="F515" s="618"/>
      <c r="G515" s="618"/>
    </row>
    <row r="516" spans="1:9" ht="42.75" customHeight="1">
      <c r="A516" s="1991" t="e">
        <f ca="1">+A482</f>
        <v>#NAME?</v>
      </c>
      <c r="B516" s="1601"/>
      <c r="C516" s="1602"/>
      <c r="D516" s="1975" t="s">
        <v>1733</v>
      </c>
      <c r="E516" s="1601"/>
      <c r="F516" s="1601"/>
      <c r="G516" s="1602"/>
    </row>
    <row r="517" spans="1:9" ht="14.25" customHeight="1">
      <c r="A517" s="620"/>
      <c r="B517" s="620"/>
      <c r="C517" s="620"/>
      <c r="D517" s="620"/>
      <c r="E517" s="620"/>
      <c r="F517" s="620"/>
      <c r="G517" s="620"/>
    </row>
    <row r="518" spans="1:9" ht="12.75" customHeight="1">
      <c r="A518" s="572"/>
      <c r="B518" s="618"/>
      <c r="C518" s="616"/>
      <c r="D518" s="421" t="s">
        <v>1553</v>
      </c>
      <c r="E518" s="422" t="s">
        <v>120</v>
      </c>
      <c r="F518" s="421" t="s">
        <v>1554</v>
      </c>
      <c r="G518" s="422" t="s">
        <v>54</v>
      </c>
    </row>
    <row r="519" spans="1:9" ht="14.25" customHeight="1">
      <c r="A519" s="621" t="s">
        <v>1555</v>
      </c>
      <c r="B519" s="618"/>
      <c r="C519" s="618"/>
      <c r="D519" s="618"/>
      <c r="E519" s="618"/>
      <c r="F519" s="618"/>
      <c r="G519" s="618"/>
    </row>
    <row r="520" spans="1:9" ht="13.5" customHeight="1">
      <c r="A520" s="1975" t="s">
        <v>1556</v>
      </c>
      <c r="B520" s="1601"/>
      <c r="C520" s="1801"/>
      <c r="D520" s="424" t="s">
        <v>208</v>
      </c>
      <c r="E520" s="424" t="s">
        <v>1558</v>
      </c>
      <c r="F520" s="424" t="s">
        <v>1559</v>
      </c>
      <c r="G520" s="425"/>
    </row>
    <row r="521" spans="1:9" ht="14.25" customHeight="1">
      <c r="A521" s="1987" t="str">
        <f>+'LISTADO EQUIPOS'!$C$22</f>
        <v>HERRAMIENTA MENOR.</v>
      </c>
      <c r="B521" s="1811"/>
      <c r="C521" s="1967"/>
      <c r="D521" s="675">
        <f>+'LISTADO EQUIPOS'!$E$22/8</f>
        <v>2850</v>
      </c>
      <c r="E521" s="687">
        <v>0.3</v>
      </c>
      <c r="F521" s="442">
        <f t="shared" ref="F521:F522" si="33">+E521*D521</f>
        <v>855</v>
      </c>
      <c r="G521" s="688"/>
    </row>
    <row r="522" spans="1:9" ht="14.25" customHeight="1">
      <c r="A522" s="1995" t="str">
        <f>+'LISTADO EQUIPOS'!$C$47</f>
        <v>ANDAMIO TUBULAR. 1.5 x 1.5 SECCIÓN</v>
      </c>
      <c r="B522" s="1610"/>
      <c r="C522" s="1611"/>
      <c r="D522" s="464">
        <f>+INSUMOS!H46</f>
        <v>3420</v>
      </c>
      <c r="E522" s="706">
        <v>2</v>
      </c>
      <c r="F522" s="440">
        <f t="shared" si="33"/>
        <v>6840</v>
      </c>
      <c r="G522" s="751"/>
    </row>
    <row r="523" spans="1:9" ht="14.25" customHeight="1">
      <c r="A523" s="2015" t="s">
        <v>1560</v>
      </c>
      <c r="B523" s="1601"/>
      <c r="C523" s="1601"/>
      <c r="D523" s="1601"/>
      <c r="E523" s="1601"/>
      <c r="F523" s="1801"/>
      <c r="G523" s="462">
        <f>SUM(F521:F522)</f>
        <v>7695</v>
      </c>
    </row>
    <row r="524" spans="1:9" ht="14.25" customHeight="1">
      <c r="A524" s="621" t="s">
        <v>1561</v>
      </c>
      <c r="B524" s="618"/>
      <c r="C524" s="618"/>
      <c r="D524" s="618"/>
      <c r="E524" s="618"/>
      <c r="F524" s="618"/>
      <c r="G524" s="743"/>
    </row>
    <row r="525" spans="1:9" ht="14.25" customHeight="1">
      <c r="A525" s="1975" t="s">
        <v>1556</v>
      </c>
      <c r="B525" s="1801"/>
      <c r="C525" s="424" t="s">
        <v>6</v>
      </c>
      <c r="D525" s="424" t="s">
        <v>1562</v>
      </c>
      <c r="E525" s="424" t="s">
        <v>7</v>
      </c>
      <c r="F525" s="424" t="s">
        <v>1559</v>
      </c>
      <c r="G525" s="673"/>
    </row>
    <row r="526" spans="1:9" ht="14.25" customHeight="1">
      <c r="A526" s="1995" t="str">
        <f>'LISTADO MATERIALES'!$C$437</f>
        <v>CODO SANITARIO PVC DE 4"</v>
      </c>
      <c r="B526" s="1611"/>
      <c r="C526" s="444" t="str">
        <f>+'LISTADO MATERIALES'!$D$437</f>
        <v>UND</v>
      </c>
      <c r="D526" s="464">
        <f>+INSUMOS!H56</f>
        <v>12560</v>
      </c>
      <c r="E526" s="444">
        <v>2</v>
      </c>
      <c r="F526" s="440">
        <f t="shared" ref="F526:F530" si="34">+E526*D526</f>
        <v>25120</v>
      </c>
      <c r="G526" s="707"/>
    </row>
    <row r="527" spans="1:9" ht="12.75" customHeight="1">
      <c r="A527" s="1995" t="str">
        <f>+'LISTADO MATERIALES'!$C$624</f>
        <v>TUBO PVC Ø 4"  SANITARIO</v>
      </c>
      <c r="B527" s="1611"/>
      <c r="C527" s="444" t="str">
        <f>+'LISTADO MATERIALES'!$D$624</f>
        <v>ML</v>
      </c>
      <c r="D527" s="464">
        <f>+INSUMOS!H57</f>
        <v>21782.399999999998</v>
      </c>
      <c r="E527" s="444">
        <v>1.05</v>
      </c>
      <c r="F527" s="440">
        <f t="shared" si="34"/>
        <v>22871.52</v>
      </c>
      <c r="G527" s="707"/>
      <c r="I527" s="50">
        <v>18152</v>
      </c>
    </row>
    <row r="528" spans="1:9" ht="12.75" customHeight="1">
      <c r="A528" s="1995" t="str">
        <f>+'LISTADO MATERIALES'!$C$518</f>
        <v>SOLDADURA LIQUIDA C PVC.  (1/4 Gal )</v>
      </c>
      <c r="B528" s="1611"/>
      <c r="C528" s="444" t="str">
        <f>+'LISTADO MATERIALES'!$D$518</f>
        <v>UND</v>
      </c>
      <c r="D528" s="464">
        <f>+INSUMOS!H42</f>
        <v>69138</v>
      </c>
      <c r="E528" s="444">
        <v>0.06</v>
      </c>
      <c r="F528" s="440">
        <f t="shared" si="34"/>
        <v>4148.28</v>
      </c>
      <c r="G528" s="707"/>
    </row>
    <row r="529" spans="1:7" ht="12.75" customHeight="1">
      <c r="A529" s="1995" t="str">
        <f>+'LISTADO MATERIALES'!$C$577</f>
        <v xml:space="preserve">YEE  PVC DE 4 * 6" </v>
      </c>
      <c r="B529" s="1611"/>
      <c r="C529" s="444" t="str">
        <f>+'LISTADO MATERIALES'!$D$577</f>
        <v>UND</v>
      </c>
      <c r="D529" s="464">
        <f>+INSUMOS!H58</f>
        <v>89750</v>
      </c>
      <c r="E529" s="444">
        <v>1</v>
      </c>
      <c r="F529" s="440">
        <f t="shared" si="34"/>
        <v>89750</v>
      </c>
      <c r="G529" s="707"/>
    </row>
    <row r="530" spans="1:7" ht="14.25" customHeight="1">
      <c r="A530" s="1996" t="str">
        <f>+'LISTADO MATERIALES'!$C$494</f>
        <v>PLATINA PARA ABRAZADERA 1 1/2"  * 3/16"</v>
      </c>
      <c r="B530" s="1819"/>
      <c r="C530" s="708" t="str">
        <f>+'LISTADO MATERIALES'!$D$494</f>
        <v>ML</v>
      </c>
      <c r="D530" s="434">
        <f>+INSUMOS!H59</f>
        <v>9150</v>
      </c>
      <c r="E530" s="708">
        <v>0.5</v>
      </c>
      <c r="F530" s="700">
        <f t="shared" si="34"/>
        <v>4575</v>
      </c>
      <c r="G530" s="709"/>
    </row>
    <row r="531" spans="1:7" ht="14.25" customHeight="1">
      <c r="A531" s="2015" t="s">
        <v>1560</v>
      </c>
      <c r="B531" s="1601"/>
      <c r="C531" s="1601"/>
      <c r="D531" s="1601"/>
      <c r="E531" s="1601"/>
      <c r="F531" s="1801"/>
      <c r="G531" s="462">
        <f>SUM(F526:F530)</f>
        <v>146464.79999999999</v>
      </c>
    </row>
    <row r="532" spans="1:7" ht="14.25" customHeight="1">
      <c r="A532" s="621" t="s">
        <v>1563</v>
      </c>
      <c r="B532" s="618"/>
      <c r="C532" s="618"/>
      <c r="D532" s="618"/>
      <c r="E532" s="618"/>
      <c r="F532" s="618"/>
      <c r="G532" s="743"/>
    </row>
    <row r="533" spans="1:7" ht="14.25" customHeight="1">
      <c r="A533" s="1975" t="s">
        <v>1556</v>
      </c>
      <c r="B533" s="1801"/>
      <c r="C533" s="424" t="s">
        <v>6</v>
      </c>
      <c r="D533" s="424" t="s">
        <v>1562</v>
      </c>
      <c r="E533" s="424" t="s">
        <v>7</v>
      </c>
      <c r="F533" s="424" t="s">
        <v>1559</v>
      </c>
      <c r="G533" s="438"/>
    </row>
    <row r="534" spans="1:7" ht="14.25" customHeight="1">
      <c r="A534" s="1987"/>
      <c r="B534" s="1967"/>
      <c r="C534" s="744"/>
      <c r="D534" s="675"/>
      <c r="E534" s="745"/>
      <c r="F534" s="464"/>
      <c r="G534" s="676"/>
    </row>
    <row r="535" spans="1:7" ht="14.25" customHeight="1">
      <c r="A535" s="1996"/>
      <c r="B535" s="1819"/>
      <c r="C535" s="744"/>
      <c r="D535" s="434"/>
      <c r="E535" s="746"/>
      <c r="F535" s="434"/>
      <c r="G535" s="457"/>
    </row>
    <row r="536" spans="1:7" ht="14.25" customHeight="1">
      <c r="A536" s="2015" t="s">
        <v>1560</v>
      </c>
      <c r="B536" s="1601"/>
      <c r="C536" s="1601"/>
      <c r="D536" s="1601"/>
      <c r="E536" s="1601"/>
      <c r="F536" s="1801"/>
      <c r="G536" s="462"/>
    </row>
    <row r="537" spans="1:7" ht="14.25" customHeight="1">
      <c r="A537" s="621" t="s">
        <v>1564</v>
      </c>
      <c r="B537" s="618"/>
      <c r="C537" s="618"/>
      <c r="D537" s="618"/>
      <c r="E537" s="618"/>
      <c r="F537" s="618"/>
      <c r="G537" s="743"/>
    </row>
    <row r="538" spans="1:7" ht="14.25" customHeight="1">
      <c r="A538" s="1975" t="s">
        <v>1565</v>
      </c>
      <c r="B538" s="1801"/>
      <c r="C538" s="424" t="s">
        <v>1566</v>
      </c>
      <c r="D538" s="424" t="s">
        <v>6</v>
      </c>
      <c r="E538" s="424" t="s">
        <v>7</v>
      </c>
      <c r="F538" s="424" t="s">
        <v>1559</v>
      </c>
      <c r="G538" s="462"/>
    </row>
    <row r="539" spans="1:7" ht="14.25" customHeight="1">
      <c r="A539" s="2004" t="str">
        <f>+'MANO DE OBRA'!$A$95</f>
        <v>MANO OBRA CARPINTERIA MET.</v>
      </c>
      <c r="B539" s="1888"/>
      <c r="C539" s="679">
        <f>+'MANO DE OBRA'!$E$95</f>
        <v>31204.875</v>
      </c>
      <c r="D539" s="680">
        <v>1</v>
      </c>
      <c r="E539" s="680">
        <v>0.5</v>
      </c>
      <c r="F539" s="694">
        <f>+(C539*D539)*E539</f>
        <v>15602.4375</v>
      </c>
      <c r="G539" s="676"/>
    </row>
    <row r="540" spans="1:7" ht="14.25" customHeight="1">
      <c r="A540" s="1984"/>
      <c r="B540" s="1819"/>
      <c r="C540" s="747"/>
      <c r="D540" s="614"/>
      <c r="E540" s="614"/>
      <c r="F540" s="753"/>
      <c r="G540" s="709"/>
    </row>
    <row r="541" spans="1:7" ht="14.25" customHeight="1">
      <c r="A541" s="2015" t="str">
        <f>+A536</f>
        <v>SUB-TOTAL</v>
      </c>
      <c r="B541" s="1601"/>
      <c r="C541" s="1601"/>
      <c r="D541" s="1601"/>
      <c r="E541" s="1601"/>
      <c r="F541" s="1801"/>
      <c r="G541" s="462">
        <f>SUM(F539:F540)</f>
        <v>15602.4375</v>
      </c>
    </row>
    <row r="542" spans="1:7" ht="11.25" customHeight="1">
      <c r="A542" s="618"/>
      <c r="B542" s="618"/>
      <c r="C542" s="618"/>
      <c r="D542" s="618"/>
      <c r="E542" s="618"/>
      <c r="F542" s="748"/>
      <c r="G542" s="743"/>
    </row>
    <row r="543" spans="1:7" ht="14.25" customHeight="1">
      <c r="A543" s="2015" t="s">
        <v>1567</v>
      </c>
      <c r="B543" s="1601"/>
      <c r="C543" s="1601"/>
      <c r="D543" s="1601"/>
      <c r="E543" s="1601"/>
      <c r="F543" s="1801"/>
      <c r="G543" s="459">
        <f>ROUND(G523+G531+G536+G541,0)</f>
        <v>169762</v>
      </c>
    </row>
    <row r="545" spans="1:7" ht="14.25" customHeight="1">
      <c r="A545" s="72" t="s">
        <v>271</v>
      </c>
      <c r="B545" s="363"/>
      <c r="C545" s="363"/>
      <c r="D545" s="1985" t="s">
        <v>272</v>
      </c>
      <c r="E545" s="1605"/>
      <c r="F545" s="363"/>
      <c r="G545" s="363"/>
    </row>
    <row r="546" spans="1:7" ht="14.25" customHeight="1">
      <c r="A546" s="1986"/>
      <c r="B546" s="1605"/>
      <c r="C546" s="1605"/>
      <c r="D546" s="1605"/>
    </row>
    <row r="547" spans="1:7" ht="14.25" customHeight="1">
      <c r="A547" s="123"/>
      <c r="B547" s="175"/>
      <c r="C547" s="123"/>
      <c r="D547" s="123"/>
    </row>
    <row r="548" spans="1:7" ht="14.25" customHeight="1"/>
    <row r="549" spans="1:7" ht="14.25" customHeight="1">
      <c r="A549" s="1895" t="s">
        <v>273</v>
      </c>
      <c r="B549" s="1605"/>
      <c r="C549" s="1605"/>
      <c r="D549" s="1895" t="s">
        <v>274</v>
      </c>
      <c r="E549" s="1605"/>
      <c r="F549" s="1605"/>
      <c r="G549" s="1605"/>
    </row>
    <row r="550" spans="1:7" ht="14.25" customHeight="1">
      <c r="A550" s="1890" t="s">
        <v>275</v>
      </c>
      <c r="B550" s="1605"/>
      <c r="C550" s="1605"/>
      <c r="D550" s="1890" t="s">
        <v>276</v>
      </c>
      <c r="E550" s="1605"/>
      <c r="F550" s="1605"/>
      <c r="G550" s="1605"/>
    </row>
    <row r="551" spans="1:7" ht="11.25" hidden="1" customHeight="1">
      <c r="A551" s="616"/>
      <c r="B551" s="616"/>
      <c r="C551" s="616"/>
      <c r="D551" s="616"/>
      <c r="E551" s="616"/>
      <c r="F551" s="616"/>
      <c r="G551" s="616"/>
    </row>
    <row r="552" spans="1:7" ht="29.25" hidden="1" customHeight="1">
      <c r="A552" s="2005" t="s">
        <v>1604</v>
      </c>
      <c r="B552" s="1616"/>
      <c r="C552" s="1624"/>
      <c r="D552" s="567"/>
      <c r="E552" s="567"/>
      <c r="F552" s="567"/>
      <c r="G552" s="668"/>
    </row>
    <row r="553" spans="1:7" ht="27" hidden="1" customHeight="1">
      <c r="A553" s="1971"/>
      <c r="B553" s="1817"/>
      <c r="C553" s="1972"/>
      <c r="D553" s="669"/>
      <c r="E553" s="669"/>
      <c r="F553" s="669"/>
      <c r="G553" s="670"/>
    </row>
    <row r="554" spans="1:7" ht="14.25" hidden="1" customHeight="1">
      <c r="A554" s="618"/>
      <c r="B554" s="618"/>
      <c r="C554" s="618"/>
      <c r="D554" s="618"/>
      <c r="E554" s="618"/>
      <c r="F554" s="618"/>
      <c r="G554" s="618"/>
    </row>
    <row r="555" spans="1:7" ht="20.25" hidden="1" customHeight="1">
      <c r="A555" s="1973" t="str">
        <f>A10</f>
        <v>PRECIOS UNITARIOS OFICIALES 2014</v>
      </c>
      <c r="B555" s="1601"/>
      <c r="C555" s="1602"/>
      <c r="D555" s="1974" t="s">
        <v>1734</v>
      </c>
      <c r="E555" s="1601"/>
      <c r="F555" s="1601"/>
      <c r="G555" s="1602"/>
    </row>
    <row r="556" spans="1:7" ht="14.25" hidden="1" customHeight="1">
      <c r="A556" s="620"/>
      <c r="B556" s="620"/>
      <c r="C556" s="620"/>
      <c r="D556" s="620"/>
      <c r="E556" s="620"/>
      <c r="F556" s="620"/>
      <c r="G556" s="620"/>
    </row>
    <row r="557" spans="1:7" ht="14.25" hidden="1" customHeight="1">
      <c r="A557" s="572"/>
      <c r="B557" s="618"/>
      <c r="C557" s="616"/>
      <c r="D557" s="421" t="s">
        <v>1553</v>
      </c>
      <c r="E557" s="422" t="s">
        <v>120</v>
      </c>
      <c r="F557" s="572"/>
      <c r="G557" s="572"/>
    </row>
    <row r="558" spans="1:7" ht="14.25" hidden="1" customHeight="1">
      <c r="A558" s="621" t="s">
        <v>1555</v>
      </c>
      <c r="B558" s="618"/>
      <c r="C558" s="618"/>
      <c r="D558" s="618"/>
      <c r="E558" s="618"/>
      <c r="F558" s="618"/>
      <c r="G558" s="618"/>
    </row>
    <row r="559" spans="1:7" ht="14.25" hidden="1" customHeight="1">
      <c r="A559" s="1975" t="s">
        <v>1556</v>
      </c>
      <c r="B559" s="1601"/>
      <c r="C559" s="1801"/>
      <c r="D559" s="424" t="s">
        <v>208</v>
      </c>
      <c r="E559" s="424" t="s">
        <v>1558</v>
      </c>
      <c r="F559" s="424" t="s">
        <v>1559</v>
      </c>
      <c r="G559" s="425"/>
    </row>
    <row r="560" spans="1:7" ht="14.25" hidden="1" customHeight="1">
      <c r="A560" s="1987" t="s">
        <v>1689</v>
      </c>
      <c r="B560" s="1811"/>
      <c r="C560" s="1967"/>
      <c r="D560" s="675">
        <v>2062.5</v>
      </c>
      <c r="E560" s="687">
        <v>10</v>
      </c>
      <c r="F560" s="442">
        <f>+D560/E560</f>
        <v>206.25</v>
      </c>
      <c r="G560" s="688"/>
    </row>
    <row r="561" spans="1:7" ht="14.25" hidden="1" customHeight="1">
      <c r="A561" s="1995" t="s">
        <v>1690</v>
      </c>
      <c r="B561" s="1610"/>
      <c r="C561" s="1611"/>
      <c r="D561" s="464">
        <v>1500</v>
      </c>
      <c r="E561" s="706">
        <v>1</v>
      </c>
      <c r="F561" s="440">
        <f>+D561*E561</f>
        <v>1500</v>
      </c>
      <c r="G561" s="751"/>
    </row>
    <row r="562" spans="1:7" ht="14.25" hidden="1" customHeight="1">
      <c r="A562" s="2015" t="s">
        <v>1560</v>
      </c>
      <c r="B562" s="1601"/>
      <c r="C562" s="1601"/>
      <c r="D562" s="1601"/>
      <c r="E562" s="1601"/>
      <c r="F562" s="1801"/>
      <c r="G562" s="462">
        <f>SUM(F560:F561)</f>
        <v>1706.25</v>
      </c>
    </row>
    <row r="563" spans="1:7" ht="14.25" hidden="1" customHeight="1">
      <c r="A563" s="621" t="s">
        <v>1561</v>
      </c>
      <c r="B563" s="618"/>
      <c r="C563" s="618"/>
      <c r="D563" s="618"/>
      <c r="E563" s="618"/>
      <c r="F563" s="618"/>
      <c r="G563" s="743"/>
    </row>
    <row r="564" spans="1:7" ht="14.25" hidden="1" customHeight="1">
      <c r="A564" s="1975" t="s">
        <v>1556</v>
      </c>
      <c r="B564" s="1801"/>
      <c r="C564" s="424" t="s">
        <v>6</v>
      </c>
      <c r="D564" s="424" t="s">
        <v>1562</v>
      </c>
      <c r="E564" s="424" t="s">
        <v>7</v>
      </c>
      <c r="F564" s="424" t="s">
        <v>1559</v>
      </c>
      <c r="G564" s="673"/>
    </row>
    <row r="565" spans="1:7" ht="14.25" hidden="1" customHeight="1">
      <c r="A565" s="1995" t="s">
        <v>1735</v>
      </c>
      <c r="B565" s="1611"/>
      <c r="C565" s="444" t="s">
        <v>6</v>
      </c>
      <c r="D565" s="464">
        <v>29588</v>
      </c>
      <c r="E565" s="444">
        <v>1</v>
      </c>
      <c r="F565" s="440">
        <f>+E565*D565</f>
        <v>29588</v>
      </c>
      <c r="G565" s="707"/>
    </row>
    <row r="566" spans="1:7" ht="14.25" hidden="1" customHeight="1">
      <c r="A566" s="1995"/>
      <c r="B566" s="1611"/>
      <c r="C566" s="444"/>
      <c r="D566" s="464"/>
      <c r="E566" s="444"/>
      <c r="F566" s="464"/>
      <c r="G566" s="707"/>
    </row>
    <row r="567" spans="1:7" ht="14.25" hidden="1" customHeight="1">
      <c r="A567" s="1995"/>
      <c r="B567" s="1611"/>
      <c r="C567" s="444"/>
      <c r="D567" s="464"/>
      <c r="E567" s="444"/>
      <c r="F567" s="464"/>
      <c r="G567" s="707"/>
    </row>
    <row r="568" spans="1:7" ht="14.25" hidden="1" customHeight="1">
      <c r="A568" s="1996"/>
      <c r="B568" s="1819"/>
      <c r="C568" s="708"/>
      <c r="D568" s="434"/>
      <c r="E568" s="708"/>
      <c r="F568" s="434"/>
      <c r="G568" s="709"/>
    </row>
    <row r="569" spans="1:7" ht="14.25" hidden="1" customHeight="1">
      <c r="A569" s="2015" t="s">
        <v>1560</v>
      </c>
      <c r="B569" s="1601"/>
      <c r="C569" s="1601"/>
      <c r="D569" s="1601"/>
      <c r="E569" s="1601"/>
      <c r="F569" s="1801"/>
      <c r="G569" s="462">
        <f>SUM(F565:F568)</f>
        <v>29588</v>
      </c>
    </row>
    <row r="570" spans="1:7" ht="14.25" hidden="1" customHeight="1">
      <c r="A570" s="621" t="s">
        <v>1563</v>
      </c>
      <c r="B570" s="618"/>
      <c r="C570" s="618"/>
      <c r="D570" s="618"/>
      <c r="E570" s="618"/>
      <c r="F570" s="618"/>
      <c r="G570" s="743"/>
    </row>
    <row r="571" spans="1:7" ht="14.25" hidden="1" customHeight="1">
      <c r="A571" s="1975" t="s">
        <v>1556</v>
      </c>
      <c r="B571" s="1801"/>
      <c r="C571" s="424" t="s">
        <v>6</v>
      </c>
      <c r="D571" s="424" t="s">
        <v>1562</v>
      </c>
      <c r="E571" s="424" t="s">
        <v>7</v>
      </c>
      <c r="F571" s="424" t="s">
        <v>1559</v>
      </c>
      <c r="G571" s="438"/>
    </row>
    <row r="572" spans="1:7" ht="14.25" hidden="1" customHeight="1">
      <c r="A572" s="1987"/>
      <c r="B572" s="1967"/>
      <c r="C572" s="744"/>
      <c r="D572" s="675"/>
      <c r="E572" s="745"/>
      <c r="F572" s="464"/>
      <c r="G572" s="676"/>
    </row>
    <row r="573" spans="1:7" ht="14.25" hidden="1" customHeight="1">
      <c r="A573" s="1996"/>
      <c r="B573" s="1819"/>
      <c r="C573" s="744"/>
      <c r="D573" s="434"/>
      <c r="E573" s="746"/>
      <c r="F573" s="434"/>
      <c r="G573" s="457"/>
    </row>
    <row r="574" spans="1:7" ht="14.25" hidden="1" customHeight="1">
      <c r="A574" s="2015" t="s">
        <v>1560</v>
      </c>
      <c r="B574" s="1601"/>
      <c r="C574" s="1601"/>
      <c r="D574" s="1601"/>
      <c r="E574" s="1601"/>
      <c r="F574" s="1801"/>
      <c r="G574" s="462"/>
    </row>
    <row r="575" spans="1:7" ht="14.25" hidden="1" customHeight="1">
      <c r="A575" s="621" t="s">
        <v>1564</v>
      </c>
      <c r="B575" s="618"/>
      <c r="C575" s="618"/>
      <c r="D575" s="618"/>
      <c r="E575" s="618"/>
      <c r="F575" s="618"/>
      <c r="G575" s="743"/>
    </row>
    <row r="576" spans="1:7" ht="14.25" hidden="1" customHeight="1">
      <c r="A576" s="1975" t="s">
        <v>1565</v>
      </c>
      <c r="B576" s="1801"/>
      <c r="C576" s="424" t="s">
        <v>1566</v>
      </c>
      <c r="D576" s="424" t="s">
        <v>6</v>
      </c>
      <c r="E576" s="424" t="s">
        <v>7</v>
      </c>
      <c r="F576" s="424" t="s">
        <v>1559</v>
      </c>
      <c r="G576" s="462"/>
    </row>
    <row r="577" spans="1:7" ht="14.25" hidden="1" customHeight="1">
      <c r="A577" s="2004" t="str">
        <f>'MANO DE OBRA'!A40</f>
        <v>OFICIAL</v>
      </c>
      <c r="B577" s="1888"/>
      <c r="C577" s="679">
        <f>'MANO DE OBRA'!E60</f>
        <v>15031.25</v>
      </c>
      <c r="D577" s="680">
        <v>1</v>
      </c>
      <c r="E577" s="680">
        <v>2</v>
      </c>
      <c r="F577" s="694">
        <f>+(C577*D577)/E577</f>
        <v>7515.625</v>
      </c>
      <c r="G577" s="676"/>
    </row>
    <row r="578" spans="1:7" ht="14.25" hidden="1" customHeight="1">
      <c r="A578" s="1984"/>
      <c r="B578" s="1819"/>
      <c r="C578" s="747"/>
      <c r="D578" s="614"/>
      <c r="E578" s="614"/>
      <c r="F578" s="753"/>
      <c r="G578" s="709"/>
    </row>
    <row r="579" spans="1:7" ht="14.25" hidden="1" customHeight="1">
      <c r="A579" s="2015" t="str">
        <f>+A574</f>
        <v>SUB-TOTAL</v>
      </c>
      <c r="B579" s="1601"/>
      <c r="C579" s="1601"/>
      <c r="D579" s="1601"/>
      <c r="E579" s="1601"/>
      <c r="F579" s="1801"/>
      <c r="G579" s="462">
        <f>SUM(F577:F578)</f>
        <v>7515.625</v>
      </c>
    </row>
    <row r="580" spans="1:7" ht="14.25" hidden="1" customHeight="1">
      <c r="A580" s="618"/>
      <c r="B580" s="618"/>
      <c r="C580" s="618"/>
      <c r="D580" s="618"/>
      <c r="E580" s="618"/>
      <c r="F580" s="748"/>
      <c r="G580" s="743"/>
    </row>
    <row r="581" spans="1:7" ht="14.25" hidden="1" customHeight="1">
      <c r="A581" s="2015" t="s">
        <v>1567</v>
      </c>
      <c r="B581" s="1601"/>
      <c r="C581" s="1601"/>
      <c r="D581" s="1601"/>
      <c r="E581" s="1601"/>
      <c r="F581" s="1801"/>
      <c r="G581" s="459">
        <f>ROUND(G562+G569+G574+G579,0)</f>
        <v>38810</v>
      </c>
    </row>
    <row r="582" spans="1:7" ht="14.25" hidden="1" customHeight="1">
      <c r="A582" s="616"/>
      <c r="B582" s="616"/>
      <c r="C582" s="616"/>
      <c r="D582" s="616"/>
      <c r="E582" s="616"/>
      <c r="F582" s="616"/>
      <c r="G582" s="616"/>
    </row>
    <row r="583" spans="1:7" ht="14.25" hidden="1" customHeight="1">
      <c r="A583" s="616"/>
      <c r="B583" s="616"/>
      <c r="C583" s="616"/>
      <c r="D583" s="616"/>
      <c r="E583" s="616"/>
      <c r="F583" s="616"/>
      <c r="G583" s="616"/>
    </row>
    <row r="584" spans="1:7" ht="24.75" hidden="1" customHeight="1">
      <c r="A584" s="2005" t="s">
        <v>1604</v>
      </c>
      <c r="B584" s="1616"/>
      <c r="C584" s="1624"/>
      <c r="D584" s="567"/>
      <c r="E584" s="567"/>
      <c r="F584" s="567"/>
      <c r="G584" s="668"/>
    </row>
    <row r="585" spans="1:7" ht="27.75" hidden="1" customHeight="1">
      <c r="A585" s="1971"/>
      <c r="B585" s="1817"/>
      <c r="C585" s="1972"/>
      <c r="D585" s="669"/>
      <c r="E585" s="669"/>
      <c r="F585" s="669"/>
      <c r="G585" s="670"/>
    </row>
    <row r="586" spans="1:7" ht="14.25" hidden="1" customHeight="1">
      <c r="A586" s="618"/>
      <c r="B586" s="618"/>
      <c r="C586" s="618"/>
      <c r="D586" s="618"/>
      <c r="E586" s="618"/>
      <c r="F586" s="618"/>
      <c r="G586" s="618"/>
    </row>
    <row r="587" spans="1:7" ht="33" hidden="1" customHeight="1">
      <c r="A587" s="1973" t="str">
        <f>A10</f>
        <v>PRECIOS UNITARIOS OFICIALES 2014</v>
      </c>
      <c r="B587" s="1601"/>
      <c r="C587" s="1602"/>
      <c r="D587" s="1974" t="s">
        <v>1736</v>
      </c>
      <c r="E587" s="1601"/>
      <c r="F587" s="1601"/>
      <c r="G587" s="1602"/>
    </row>
    <row r="588" spans="1:7" ht="14.25" hidden="1" customHeight="1">
      <c r="A588" s="620"/>
      <c r="B588" s="620"/>
      <c r="C588" s="620"/>
      <c r="D588" s="620"/>
      <c r="E588" s="620"/>
      <c r="F588" s="620"/>
      <c r="G588" s="620"/>
    </row>
    <row r="589" spans="1:7" ht="14.25" hidden="1" customHeight="1">
      <c r="A589" s="572"/>
      <c r="B589" s="618"/>
      <c r="C589" s="616"/>
      <c r="D589" s="421" t="s">
        <v>1553</v>
      </c>
      <c r="E589" s="422" t="s">
        <v>120</v>
      </c>
      <c r="F589" s="572"/>
      <c r="G589" s="572"/>
    </row>
    <row r="590" spans="1:7" ht="14.25" hidden="1" customHeight="1">
      <c r="A590" s="621" t="s">
        <v>1555</v>
      </c>
      <c r="B590" s="618"/>
      <c r="C590" s="618"/>
      <c r="D590" s="618"/>
      <c r="E590" s="618"/>
      <c r="F590" s="618"/>
      <c r="G590" s="618"/>
    </row>
    <row r="591" spans="1:7" ht="14.25" hidden="1" customHeight="1">
      <c r="A591" s="1975" t="s">
        <v>1556</v>
      </c>
      <c r="B591" s="1601"/>
      <c r="C591" s="1801"/>
      <c r="D591" s="424" t="s">
        <v>208</v>
      </c>
      <c r="E591" s="424" t="s">
        <v>1558</v>
      </c>
      <c r="F591" s="424" t="s">
        <v>1559</v>
      </c>
      <c r="G591" s="425"/>
    </row>
    <row r="592" spans="1:7" ht="14.25" hidden="1" customHeight="1">
      <c r="A592" s="1987" t="s">
        <v>1689</v>
      </c>
      <c r="B592" s="1811"/>
      <c r="C592" s="1967"/>
      <c r="D592" s="675">
        <v>2062.5</v>
      </c>
      <c r="E592" s="687">
        <v>22</v>
      </c>
      <c r="F592" s="440">
        <f t="shared" ref="F592:F594" si="35">+D592/E592</f>
        <v>93.75</v>
      </c>
      <c r="G592" s="688"/>
    </row>
    <row r="593" spans="1:7" ht="14.25" hidden="1" customHeight="1">
      <c r="A593" s="1995" t="s">
        <v>1713</v>
      </c>
      <c r="B593" s="1610"/>
      <c r="C593" s="1611"/>
      <c r="D593" s="464">
        <v>8125</v>
      </c>
      <c r="E593" s="706">
        <v>7</v>
      </c>
      <c r="F593" s="440">
        <f t="shared" si="35"/>
        <v>1160.7142857142858</v>
      </c>
      <c r="G593" s="751"/>
    </row>
    <row r="594" spans="1:7" ht="14.25" hidden="1" customHeight="1">
      <c r="A594" s="1995" t="s">
        <v>1690</v>
      </c>
      <c r="B594" s="1610"/>
      <c r="C594" s="1611"/>
      <c r="D594" s="464">
        <v>1500</v>
      </c>
      <c r="E594" s="706">
        <v>3</v>
      </c>
      <c r="F594" s="440">
        <f t="shared" si="35"/>
        <v>500</v>
      </c>
      <c r="G594" s="751"/>
    </row>
    <row r="595" spans="1:7" ht="14.25" hidden="1" customHeight="1">
      <c r="A595" s="1996"/>
      <c r="B595" s="1807"/>
      <c r="C595" s="1819"/>
      <c r="D595" s="434"/>
      <c r="E595" s="433"/>
      <c r="F595" s="434"/>
      <c r="G595" s="435"/>
    </row>
    <row r="596" spans="1:7" ht="14.25" hidden="1" customHeight="1">
      <c r="A596" s="2015" t="s">
        <v>1560</v>
      </c>
      <c r="B596" s="1601"/>
      <c r="C596" s="1601"/>
      <c r="D596" s="1601"/>
      <c r="E596" s="1601"/>
      <c r="F596" s="1801"/>
      <c r="G596" s="462">
        <f>SUM(F592:F595)</f>
        <v>1754.4642857142858</v>
      </c>
    </row>
    <row r="597" spans="1:7" ht="14.25" hidden="1" customHeight="1">
      <c r="A597" s="621" t="s">
        <v>1561</v>
      </c>
      <c r="B597" s="618"/>
      <c r="C597" s="618"/>
      <c r="D597" s="618"/>
      <c r="E597" s="618"/>
      <c r="F597" s="618"/>
      <c r="G597" s="743"/>
    </row>
    <row r="598" spans="1:7" ht="14.25" hidden="1" customHeight="1">
      <c r="A598" s="1975" t="s">
        <v>1556</v>
      </c>
      <c r="B598" s="1801"/>
      <c r="C598" s="424" t="s">
        <v>6</v>
      </c>
      <c r="D598" s="424" t="s">
        <v>1562</v>
      </c>
      <c r="E598" s="424" t="s">
        <v>7</v>
      </c>
      <c r="F598" s="424" t="s">
        <v>1559</v>
      </c>
      <c r="G598" s="673"/>
    </row>
    <row r="599" spans="1:7" ht="14.25" hidden="1" customHeight="1">
      <c r="A599" s="1995" t="str">
        <f>'LISTADO MATERIALES'!C9</f>
        <v xml:space="preserve">ACERO Fy= 2400 Kg/cm2  </v>
      </c>
      <c r="B599" s="1611"/>
      <c r="C599" s="444" t="str">
        <f>'LISTADO MATERIALES'!D9</f>
        <v>KG</v>
      </c>
      <c r="D599" s="464">
        <f>'LISTADO MATERIALES'!E9</f>
        <v>2800</v>
      </c>
      <c r="E599" s="444">
        <v>1.05</v>
      </c>
      <c r="F599" s="440">
        <f t="shared" ref="F599:F601" si="36">+E599*D599</f>
        <v>2940</v>
      </c>
      <c r="G599" s="707"/>
    </row>
    <row r="600" spans="1:7" ht="14.25" hidden="1" customHeight="1">
      <c r="A600" s="1995" t="s">
        <v>1705</v>
      </c>
      <c r="B600" s="1611"/>
      <c r="C600" s="444" t="s">
        <v>171</v>
      </c>
      <c r="D600" s="464">
        <v>15600</v>
      </c>
      <c r="E600" s="444">
        <v>0.05</v>
      </c>
      <c r="F600" s="440">
        <f t="shared" si="36"/>
        <v>780</v>
      </c>
      <c r="G600" s="707"/>
    </row>
    <row r="601" spans="1:7" ht="14.25" hidden="1" customHeight="1">
      <c r="A601" s="1995" t="s">
        <v>1706</v>
      </c>
      <c r="B601" s="1611"/>
      <c r="C601" s="444" t="s">
        <v>1707</v>
      </c>
      <c r="D601" s="464">
        <v>24450</v>
      </c>
      <c r="E601" s="444">
        <v>0.03</v>
      </c>
      <c r="F601" s="440">
        <f t="shared" si="36"/>
        <v>733.5</v>
      </c>
      <c r="G601" s="707"/>
    </row>
    <row r="602" spans="1:7" ht="14.25" hidden="1" customHeight="1">
      <c r="A602" s="1996"/>
      <c r="B602" s="1819"/>
      <c r="C602" s="759"/>
      <c r="D602" s="760"/>
      <c r="E602" s="759"/>
      <c r="F602" s="761"/>
      <c r="G602" s="762"/>
    </row>
    <row r="603" spans="1:7" ht="14.25" hidden="1" customHeight="1">
      <c r="A603" s="1996"/>
      <c r="B603" s="1819"/>
      <c r="C603" s="708"/>
      <c r="D603" s="434"/>
      <c r="E603" s="708"/>
      <c r="F603" s="434"/>
      <c r="G603" s="709"/>
    </row>
    <row r="604" spans="1:7" ht="14.25" hidden="1" customHeight="1">
      <c r="A604" s="2015" t="s">
        <v>1560</v>
      </c>
      <c r="B604" s="1601"/>
      <c r="C604" s="1601"/>
      <c r="D604" s="1601"/>
      <c r="E604" s="1601"/>
      <c r="F604" s="1801"/>
      <c r="G604" s="462">
        <f>SUM(F599:F603)</f>
        <v>4453.5</v>
      </c>
    </row>
    <row r="605" spans="1:7" ht="14.25" hidden="1" customHeight="1">
      <c r="A605" s="163" t="s">
        <v>1563</v>
      </c>
      <c r="B605" s="618"/>
      <c r="C605" s="618"/>
      <c r="D605" s="618"/>
      <c r="E605" s="618"/>
      <c r="F605" s="618"/>
      <c r="G605" s="743"/>
    </row>
    <row r="606" spans="1:7" ht="14.25" hidden="1" customHeight="1">
      <c r="A606" s="1975" t="s">
        <v>1556</v>
      </c>
      <c r="B606" s="1801"/>
      <c r="C606" s="424" t="s">
        <v>6</v>
      </c>
      <c r="D606" s="424" t="s">
        <v>1562</v>
      </c>
      <c r="E606" s="424" t="s">
        <v>7</v>
      </c>
      <c r="F606" s="424" t="s">
        <v>1559</v>
      </c>
      <c r="G606" s="438"/>
    </row>
    <row r="607" spans="1:7" ht="14.25" hidden="1" customHeight="1">
      <c r="A607" s="1987" t="s">
        <v>1572</v>
      </c>
      <c r="B607" s="1967"/>
      <c r="C607" s="744" t="s">
        <v>1569</v>
      </c>
      <c r="D607" s="675"/>
      <c r="E607" s="745"/>
      <c r="F607" s="464">
        <v>500</v>
      </c>
      <c r="G607" s="676"/>
    </row>
    <row r="608" spans="1:7" ht="14.25" hidden="1" customHeight="1">
      <c r="A608" s="1996"/>
      <c r="B608" s="1819"/>
      <c r="C608" s="744"/>
      <c r="D608" s="434"/>
      <c r="E608" s="746"/>
      <c r="F608" s="434"/>
      <c r="G608" s="457"/>
    </row>
    <row r="609" spans="1:7" ht="14.25" hidden="1" customHeight="1">
      <c r="A609" s="2015" t="s">
        <v>1560</v>
      </c>
      <c r="B609" s="1601"/>
      <c r="C609" s="1601"/>
      <c r="D609" s="1601"/>
      <c r="E609" s="1601"/>
      <c r="F609" s="1801"/>
      <c r="G609" s="462">
        <f>SUM(F607:F608)</f>
        <v>500</v>
      </c>
    </row>
    <row r="610" spans="1:7" ht="14.25" hidden="1" customHeight="1">
      <c r="A610" s="163" t="s">
        <v>1564</v>
      </c>
      <c r="B610" s="618"/>
      <c r="C610" s="618"/>
      <c r="D610" s="618"/>
      <c r="E610" s="618"/>
      <c r="F610" s="618"/>
      <c r="G610" s="743"/>
    </row>
    <row r="611" spans="1:7" ht="14.25" hidden="1" customHeight="1">
      <c r="A611" s="1975" t="s">
        <v>1565</v>
      </c>
      <c r="B611" s="1801"/>
      <c r="C611" s="424" t="s">
        <v>1566</v>
      </c>
      <c r="D611" s="424" t="s">
        <v>6</v>
      </c>
      <c r="E611" s="424" t="s">
        <v>7</v>
      </c>
      <c r="F611" s="424" t="s">
        <v>1559</v>
      </c>
      <c r="G611" s="462"/>
    </row>
    <row r="612" spans="1:7" ht="14.25" hidden="1" customHeight="1">
      <c r="A612" s="2004" t="s">
        <v>1716</v>
      </c>
      <c r="B612" s="1888"/>
      <c r="C612" s="679">
        <v>14142.890951641079</v>
      </c>
      <c r="D612" s="680">
        <v>1</v>
      </c>
      <c r="E612" s="680">
        <v>8</v>
      </c>
      <c r="F612" s="694">
        <f>+(C612*D612)/E612</f>
        <v>1767.8613689551348</v>
      </c>
      <c r="G612" s="676"/>
    </row>
    <row r="613" spans="1:7" ht="14.25" hidden="1" customHeight="1">
      <c r="A613" s="1984"/>
      <c r="B613" s="1819"/>
      <c r="C613" s="747"/>
      <c r="D613" s="614"/>
      <c r="E613" s="614"/>
      <c r="F613" s="753"/>
      <c r="G613" s="709"/>
    </row>
    <row r="614" spans="1:7" ht="14.25" hidden="1" customHeight="1">
      <c r="A614" s="2015" t="str">
        <f>+A609</f>
        <v>SUB-TOTAL</v>
      </c>
      <c r="B614" s="1601"/>
      <c r="C614" s="1601"/>
      <c r="D614" s="1601"/>
      <c r="E614" s="1601"/>
      <c r="F614" s="1801"/>
      <c r="G614" s="462">
        <f>SUM(F612:F613)</f>
        <v>1767.8613689551348</v>
      </c>
    </row>
    <row r="615" spans="1:7" ht="14.25" hidden="1" customHeight="1">
      <c r="A615" s="618"/>
      <c r="B615" s="618"/>
      <c r="C615" s="618"/>
      <c r="D615" s="618"/>
      <c r="E615" s="618"/>
      <c r="F615" s="748"/>
      <c r="G615" s="743"/>
    </row>
    <row r="616" spans="1:7" ht="14.25" hidden="1" customHeight="1">
      <c r="A616" s="2015" t="s">
        <v>1567</v>
      </c>
      <c r="B616" s="1601"/>
      <c r="C616" s="1601"/>
      <c r="D616" s="1601"/>
      <c r="E616" s="1601"/>
      <c r="F616" s="1801"/>
      <c r="G616" s="459">
        <f>ROUND(G596+G604+G609+G614,0)</f>
        <v>8476</v>
      </c>
    </row>
    <row r="617" spans="1:7" ht="14.25" hidden="1" customHeight="1">
      <c r="A617" s="616"/>
      <c r="B617" s="616"/>
      <c r="C617" s="616"/>
      <c r="D617" s="616"/>
      <c r="E617" s="616"/>
      <c r="F617" s="616"/>
      <c r="G617" s="616"/>
    </row>
    <row r="618" spans="1:7" ht="14.25" hidden="1" customHeight="1">
      <c r="A618" s="616"/>
      <c r="B618" s="616"/>
      <c r="C618" s="616"/>
      <c r="D618" s="616"/>
      <c r="E618" s="616"/>
      <c r="F618" s="616"/>
      <c r="G618" s="616"/>
    </row>
    <row r="619" spans="1:7" ht="27" hidden="1" customHeight="1">
      <c r="A619" s="2005" t="s">
        <v>1604</v>
      </c>
      <c r="B619" s="1616"/>
      <c r="C619" s="1624"/>
      <c r="D619" s="567"/>
      <c r="E619" s="567"/>
      <c r="F619" s="567"/>
      <c r="G619" s="668"/>
    </row>
    <row r="620" spans="1:7" ht="25.5" hidden="1" customHeight="1">
      <c r="A620" s="1971"/>
      <c r="B620" s="1817"/>
      <c r="C620" s="1972"/>
      <c r="D620" s="669"/>
      <c r="E620" s="669"/>
      <c r="F620" s="669"/>
      <c r="G620" s="670"/>
    </row>
    <row r="621" spans="1:7" ht="14.25" hidden="1" customHeight="1">
      <c r="A621" s="618"/>
      <c r="B621" s="618"/>
      <c r="C621" s="618"/>
      <c r="D621" s="618"/>
      <c r="E621" s="618"/>
      <c r="F621" s="618"/>
      <c r="G621" s="618"/>
    </row>
    <row r="622" spans="1:7" ht="44.25" hidden="1" customHeight="1">
      <c r="A622" s="1973" t="str">
        <f>A10</f>
        <v>PRECIOS UNITARIOS OFICIALES 2014</v>
      </c>
      <c r="B622" s="1601"/>
      <c r="C622" s="1602"/>
      <c r="D622" s="1974" t="s">
        <v>1737</v>
      </c>
      <c r="E622" s="1601"/>
      <c r="F622" s="1601"/>
      <c r="G622" s="1602"/>
    </row>
    <row r="623" spans="1:7" ht="14.25" hidden="1" customHeight="1">
      <c r="A623" s="620"/>
      <c r="B623" s="620"/>
      <c r="C623" s="620"/>
      <c r="D623" s="620"/>
      <c r="E623" s="620"/>
      <c r="F623" s="620"/>
      <c r="G623" s="620"/>
    </row>
    <row r="624" spans="1:7" ht="14.25" hidden="1" customHeight="1">
      <c r="A624" s="572"/>
      <c r="B624" s="618"/>
      <c r="C624" s="616"/>
      <c r="D624" s="421" t="s">
        <v>1553</v>
      </c>
      <c r="E624" s="422" t="s">
        <v>120</v>
      </c>
      <c r="F624" s="572"/>
      <c r="G624" s="572"/>
    </row>
    <row r="625" spans="1:7" ht="14.25" hidden="1" customHeight="1">
      <c r="A625" s="621" t="s">
        <v>1555</v>
      </c>
      <c r="B625" s="618"/>
      <c r="C625" s="618"/>
      <c r="D625" s="618"/>
      <c r="E625" s="618"/>
      <c r="F625" s="618"/>
      <c r="G625" s="618"/>
    </row>
    <row r="626" spans="1:7" ht="14.25" hidden="1" customHeight="1">
      <c r="A626" s="1975" t="s">
        <v>1556</v>
      </c>
      <c r="B626" s="1601"/>
      <c r="C626" s="1801"/>
      <c r="D626" s="424" t="s">
        <v>208</v>
      </c>
      <c r="E626" s="424" t="s">
        <v>1558</v>
      </c>
      <c r="F626" s="424" t="s">
        <v>1559</v>
      </c>
      <c r="G626" s="425"/>
    </row>
    <row r="627" spans="1:7" ht="14.25" hidden="1" customHeight="1">
      <c r="A627" s="1987" t="s">
        <v>1689</v>
      </c>
      <c r="B627" s="1811"/>
      <c r="C627" s="1967"/>
      <c r="D627" s="675">
        <v>2062.5</v>
      </c>
      <c r="E627" s="687">
        <f>+E649</f>
        <v>6.0454400937086321</v>
      </c>
      <c r="F627" s="442">
        <f t="shared" ref="F627:F630" si="37">+E627*D627</f>
        <v>12468.720193274054</v>
      </c>
      <c r="G627" s="688"/>
    </row>
    <row r="628" spans="1:7" ht="14.25" hidden="1" customHeight="1">
      <c r="A628" s="1995" t="s">
        <v>1713</v>
      </c>
      <c r="B628" s="1610"/>
      <c r="C628" s="1611"/>
      <c r="D628" s="464">
        <v>8125</v>
      </c>
      <c r="E628" s="706">
        <v>0.3</v>
      </c>
      <c r="F628" s="440">
        <f t="shared" si="37"/>
        <v>2437.5</v>
      </c>
      <c r="G628" s="751"/>
    </row>
    <row r="629" spans="1:7" ht="14.25" hidden="1" customHeight="1">
      <c r="A629" s="1995" t="s">
        <v>1690</v>
      </c>
      <c r="B629" s="1610"/>
      <c r="C629" s="1611"/>
      <c r="D629" s="464">
        <v>1500</v>
      </c>
      <c r="E629" s="706">
        <v>1</v>
      </c>
      <c r="F629" s="440">
        <f t="shared" si="37"/>
        <v>1500</v>
      </c>
      <c r="G629" s="751"/>
    </row>
    <row r="630" spans="1:7" ht="14.25" hidden="1" customHeight="1">
      <c r="A630" s="1996" t="s">
        <v>1714</v>
      </c>
      <c r="B630" s="1807"/>
      <c r="C630" s="1819"/>
      <c r="D630" s="434">
        <v>4375</v>
      </c>
      <c r="E630" s="433">
        <f>+E628</f>
        <v>0.3</v>
      </c>
      <c r="F630" s="700">
        <f t="shared" si="37"/>
        <v>1312.5</v>
      </c>
      <c r="G630" s="435"/>
    </row>
    <row r="631" spans="1:7" ht="14.25" hidden="1" customHeight="1">
      <c r="A631" s="2015" t="s">
        <v>1560</v>
      </c>
      <c r="B631" s="1601"/>
      <c r="C631" s="1601"/>
      <c r="D631" s="1601"/>
      <c r="E631" s="1601"/>
      <c r="F631" s="1801"/>
      <c r="G631" s="462">
        <f>SUM(F627:F630)</f>
        <v>17718.720193274054</v>
      </c>
    </row>
    <row r="632" spans="1:7" ht="14.25" hidden="1" customHeight="1">
      <c r="A632" s="621" t="s">
        <v>1561</v>
      </c>
      <c r="B632" s="618"/>
      <c r="C632" s="618"/>
      <c r="D632" s="618"/>
      <c r="E632" s="618"/>
      <c r="F632" s="618"/>
      <c r="G632" s="743"/>
    </row>
    <row r="633" spans="1:7" ht="14.25" hidden="1" customHeight="1">
      <c r="A633" s="1975" t="s">
        <v>1556</v>
      </c>
      <c r="B633" s="1801"/>
      <c r="C633" s="424" t="s">
        <v>6</v>
      </c>
      <c r="D633" s="424" t="s">
        <v>1562</v>
      </c>
      <c r="E633" s="424" t="s">
        <v>7</v>
      </c>
      <c r="F633" s="424" t="s">
        <v>1559</v>
      </c>
      <c r="G633" s="673"/>
    </row>
    <row r="634" spans="1:7" ht="14.25" hidden="1" customHeight="1">
      <c r="A634" s="1995" t="s">
        <v>1738</v>
      </c>
      <c r="B634" s="1611"/>
      <c r="C634" s="444" t="s">
        <v>120</v>
      </c>
      <c r="D634" s="464">
        <v>18850</v>
      </c>
      <c r="E634" s="444">
        <v>4.4000000000000004</v>
      </c>
      <c r="F634" s="440">
        <f t="shared" ref="F634:F640" si="38">+E634*D634</f>
        <v>82940</v>
      </c>
      <c r="G634" s="707"/>
    </row>
    <row r="635" spans="1:7" ht="14.25" hidden="1" customHeight="1">
      <c r="A635" s="1995" t="s">
        <v>1715</v>
      </c>
      <c r="B635" s="1611"/>
      <c r="C635" s="444" t="s">
        <v>120</v>
      </c>
      <c r="D635" s="464">
        <v>10150</v>
      </c>
      <c r="E635" s="444">
        <v>0.5</v>
      </c>
      <c r="F635" s="440">
        <f t="shared" si="38"/>
        <v>5075</v>
      </c>
      <c r="G635" s="707"/>
    </row>
    <row r="636" spans="1:7" ht="14.25" hidden="1" customHeight="1">
      <c r="A636" s="1995" t="s">
        <v>1739</v>
      </c>
      <c r="B636" s="1611"/>
      <c r="C636" s="444" t="s">
        <v>120</v>
      </c>
      <c r="D636" s="464">
        <v>6075</v>
      </c>
      <c r="E636" s="444">
        <v>1.95</v>
      </c>
      <c r="F636" s="440">
        <f t="shared" si="38"/>
        <v>11846.25</v>
      </c>
      <c r="G636" s="707"/>
    </row>
    <row r="637" spans="1:7" ht="14.25" hidden="1" customHeight="1">
      <c r="A637" s="1995" t="s">
        <v>1718</v>
      </c>
      <c r="B637" s="1611"/>
      <c r="C637" s="444" t="s">
        <v>120</v>
      </c>
      <c r="D637" s="464">
        <v>2050</v>
      </c>
      <c r="E637" s="444">
        <v>1.55</v>
      </c>
      <c r="F637" s="440">
        <f t="shared" si="38"/>
        <v>3177.5</v>
      </c>
      <c r="G637" s="707"/>
    </row>
    <row r="638" spans="1:7" ht="14.25" hidden="1" customHeight="1">
      <c r="A638" s="1995" t="s">
        <v>1740</v>
      </c>
      <c r="B638" s="1611"/>
      <c r="C638" s="444" t="s">
        <v>127</v>
      </c>
      <c r="D638" s="464">
        <v>6550</v>
      </c>
      <c r="E638" s="444">
        <v>2</v>
      </c>
      <c r="F638" s="440">
        <f t="shared" si="38"/>
        <v>13100</v>
      </c>
      <c r="G638" s="707"/>
    </row>
    <row r="639" spans="1:7" ht="14.25" hidden="1" customHeight="1">
      <c r="A639" s="1995" t="s">
        <v>1705</v>
      </c>
      <c r="B639" s="1611"/>
      <c r="C639" s="444" t="s">
        <v>171</v>
      </c>
      <c r="D639" s="464">
        <v>15600</v>
      </c>
      <c r="E639" s="444">
        <v>0.6</v>
      </c>
      <c r="F639" s="440">
        <f t="shared" si="38"/>
        <v>9360</v>
      </c>
      <c r="G639" s="707"/>
    </row>
    <row r="640" spans="1:7" ht="14.25" hidden="1" customHeight="1">
      <c r="A640" s="1996" t="s">
        <v>1706</v>
      </c>
      <c r="B640" s="1819"/>
      <c r="C640" s="708" t="s">
        <v>1707</v>
      </c>
      <c r="D640" s="434">
        <v>24450</v>
      </c>
      <c r="E640" s="708">
        <v>0.1</v>
      </c>
      <c r="F640" s="700">
        <f t="shared" si="38"/>
        <v>2445</v>
      </c>
      <c r="G640" s="709"/>
    </row>
    <row r="641" spans="1:7" ht="14.25" hidden="1" customHeight="1">
      <c r="A641" s="2015" t="s">
        <v>1560</v>
      </c>
      <c r="B641" s="1601"/>
      <c r="C641" s="1601"/>
      <c r="D641" s="1601"/>
      <c r="E641" s="1601"/>
      <c r="F641" s="1801"/>
      <c r="G641" s="462">
        <f>SUM(F634:F640)</f>
        <v>127943.75</v>
      </c>
    </row>
    <row r="642" spans="1:7" ht="14.25" hidden="1" customHeight="1">
      <c r="A642" s="163" t="s">
        <v>1563</v>
      </c>
      <c r="B642" s="618"/>
      <c r="C642" s="618"/>
      <c r="D642" s="618"/>
      <c r="E642" s="618"/>
      <c r="F642" s="618"/>
      <c r="G642" s="743"/>
    </row>
    <row r="643" spans="1:7" ht="14.25" hidden="1" customHeight="1">
      <c r="A643" s="1975" t="s">
        <v>1556</v>
      </c>
      <c r="B643" s="1801"/>
      <c r="C643" s="424" t="s">
        <v>6</v>
      </c>
      <c r="D643" s="424" t="s">
        <v>1562</v>
      </c>
      <c r="E643" s="424" t="s">
        <v>7</v>
      </c>
      <c r="F643" s="424" t="s">
        <v>1559</v>
      </c>
      <c r="G643" s="438"/>
    </row>
    <row r="644" spans="1:7" ht="14.25" hidden="1" customHeight="1">
      <c r="A644" s="1987"/>
      <c r="B644" s="1967"/>
      <c r="C644" s="744"/>
      <c r="D644" s="675"/>
      <c r="E644" s="745"/>
      <c r="F644" s="464"/>
      <c r="G644" s="676"/>
    </row>
    <row r="645" spans="1:7" ht="14.25" hidden="1" customHeight="1">
      <c r="A645" s="1996"/>
      <c r="B645" s="1819"/>
      <c r="C645" s="744"/>
      <c r="D645" s="434"/>
      <c r="E645" s="746"/>
      <c r="F645" s="434"/>
      <c r="G645" s="457"/>
    </row>
    <row r="646" spans="1:7" ht="14.25" hidden="1" customHeight="1">
      <c r="A646" s="2015" t="s">
        <v>1560</v>
      </c>
      <c r="B646" s="1601"/>
      <c r="C646" s="1601"/>
      <c r="D646" s="1601"/>
      <c r="E646" s="1601"/>
      <c r="F646" s="1801"/>
      <c r="G646" s="462"/>
    </row>
    <row r="647" spans="1:7" ht="14.25" hidden="1" customHeight="1">
      <c r="A647" s="163" t="s">
        <v>1564</v>
      </c>
      <c r="B647" s="618"/>
      <c r="C647" s="618"/>
      <c r="D647" s="618"/>
      <c r="E647" s="618"/>
      <c r="F647" s="618"/>
      <c r="G647" s="743"/>
    </row>
    <row r="648" spans="1:7" ht="14.25" hidden="1" customHeight="1">
      <c r="A648" s="1975" t="s">
        <v>1565</v>
      </c>
      <c r="B648" s="1801"/>
      <c r="C648" s="424" t="s">
        <v>1566</v>
      </c>
      <c r="D648" s="424" t="s">
        <v>6</v>
      </c>
      <c r="E648" s="424" t="s">
        <v>7</v>
      </c>
      <c r="F648" s="424" t="s">
        <v>1559</v>
      </c>
      <c r="G648" s="462"/>
    </row>
    <row r="649" spans="1:7" ht="14.25" hidden="1" customHeight="1">
      <c r="A649" s="2004" t="s">
        <v>1716</v>
      </c>
      <c r="B649" s="1888"/>
      <c r="C649" s="679">
        <v>14142.890951641079</v>
      </c>
      <c r="D649" s="680">
        <v>1</v>
      </c>
      <c r="E649" s="680">
        <v>6.0454400937086321</v>
      </c>
      <c r="F649" s="694">
        <f>+(C649*D649)*E649</f>
        <v>85500</v>
      </c>
      <c r="G649" s="676"/>
    </row>
    <row r="650" spans="1:7" ht="14.25" hidden="1" customHeight="1">
      <c r="A650" s="1984"/>
      <c r="B650" s="1819"/>
      <c r="C650" s="747"/>
      <c r="D650" s="614"/>
      <c r="E650" s="614"/>
      <c r="F650" s="753"/>
      <c r="G650" s="709"/>
    </row>
    <row r="651" spans="1:7" ht="14.25" hidden="1" customHeight="1">
      <c r="A651" s="2015" t="str">
        <f>+A646</f>
        <v>SUB-TOTAL</v>
      </c>
      <c r="B651" s="1601"/>
      <c r="C651" s="1601"/>
      <c r="D651" s="1601"/>
      <c r="E651" s="1601"/>
      <c r="F651" s="1801"/>
      <c r="G651" s="462">
        <f>SUM(F649:F650)</f>
        <v>85500</v>
      </c>
    </row>
    <row r="652" spans="1:7" ht="14.25" hidden="1" customHeight="1">
      <c r="A652" s="618"/>
      <c r="B652" s="618"/>
      <c r="C652" s="618"/>
      <c r="D652" s="618"/>
      <c r="E652" s="618"/>
      <c r="F652" s="748"/>
      <c r="G652" s="743"/>
    </row>
    <row r="653" spans="1:7" ht="14.25" hidden="1" customHeight="1">
      <c r="A653" s="2015" t="s">
        <v>1567</v>
      </c>
      <c r="B653" s="1601"/>
      <c r="C653" s="1601"/>
      <c r="D653" s="1601"/>
      <c r="E653" s="1601"/>
      <c r="F653" s="1801"/>
      <c r="G653" s="459">
        <f>ROUND(G631+G641+G646+G651,0)</f>
        <v>231162</v>
      </c>
    </row>
    <row r="654" spans="1:7" ht="14.25" hidden="1" customHeight="1">
      <c r="A654" s="616"/>
      <c r="B654" s="616"/>
      <c r="C654" s="616"/>
      <c r="D654" s="616"/>
      <c r="E654" s="616"/>
      <c r="F654" s="616"/>
      <c r="G654" s="616"/>
    </row>
    <row r="655" spans="1:7" ht="14.25" hidden="1" customHeight="1">
      <c r="A655" s="616"/>
      <c r="B655" s="616"/>
      <c r="C655" s="616"/>
      <c r="D655" s="616"/>
      <c r="E655" s="616"/>
      <c r="F655" s="616"/>
      <c r="G655" s="616"/>
    </row>
    <row r="656" spans="1:7" ht="29.25" hidden="1" customHeight="1">
      <c r="A656" s="2005" t="s">
        <v>1604</v>
      </c>
      <c r="B656" s="1616"/>
      <c r="C656" s="1624"/>
      <c r="D656" s="567"/>
      <c r="E656" s="567"/>
      <c r="F656" s="567"/>
      <c r="G656" s="668"/>
    </row>
    <row r="657" spans="1:7" ht="24.75" hidden="1" customHeight="1">
      <c r="A657" s="1971"/>
      <c r="B657" s="1817"/>
      <c r="C657" s="1972"/>
      <c r="D657" s="669"/>
      <c r="E657" s="669"/>
      <c r="F657" s="669"/>
      <c r="G657" s="670"/>
    </row>
    <row r="658" spans="1:7" ht="14.25" hidden="1" customHeight="1">
      <c r="A658" s="618"/>
      <c r="B658" s="618"/>
      <c r="C658" s="618"/>
      <c r="D658" s="618"/>
      <c r="E658" s="618"/>
      <c r="F658" s="618"/>
      <c r="G658" s="618"/>
    </row>
    <row r="659" spans="1:7" ht="28.5" hidden="1" customHeight="1">
      <c r="A659" s="1973" t="str">
        <f>A10</f>
        <v>PRECIOS UNITARIOS OFICIALES 2014</v>
      </c>
      <c r="B659" s="1601"/>
      <c r="C659" s="1602"/>
      <c r="D659" s="1974" t="s">
        <v>1741</v>
      </c>
      <c r="E659" s="1601"/>
      <c r="F659" s="1601"/>
      <c r="G659" s="1602"/>
    </row>
    <row r="660" spans="1:7" ht="14.25" hidden="1" customHeight="1">
      <c r="A660" s="620"/>
      <c r="B660" s="620"/>
      <c r="C660" s="620"/>
      <c r="D660" s="620"/>
      <c r="E660" s="620"/>
      <c r="F660" s="620"/>
      <c r="G660" s="620"/>
    </row>
    <row r="661" spans="1:7" ht="14.25" hidden="1" customHeight="1">
      <c r="A661" s="572"/>
      <c r="B661" s="618"/>
      <c r="C661" s="616"/>
      <c r="D661" s="421" t="s">
        <v>1553</v>
      </c>
      <c r="E661" s="422" t="s">
        <v>120</v>
      </c>
      <c r="F661" s="572"/>
      <c r="G661" s="572"/>
    </row>
    <row r="662" spans="1:7" ht="14.25" hidden="1" customHeight="1">
      <c r="A662" s="621" t="s">
        <v>1555</v>
      </c>
      <c r="B662" s="618"/>
      <c r="C662" s="618"/>
      <c r="D662" s="618"/>
      <c r="E662" s="618"/>
      <c r="F662" s="618"/>
      <c r="G662" s="618"/>
    </row>
    <row r="663" spans="1:7" ht="14.25" hidden="1" customHeight="1">
      <c r="A663" s="1975" t="s">
        <v>1556</v>
      </c>
      <c r="B663" s="1601"/>
      <c r="C663" s="1801"/>
      <c r="D663" s="424" t="s">
        <v>208</v>
      </c>
      <c r="E663" s="424" t="s">
        <v>1558</v>
      </c>
      <c r="F663" s="424" t="s">
        <v>1559</v>
      </c>
      <c r="G663" s="425"/>
    </row>
    <row r="664" spans="1:7" ht="14.25" hidden="1" customHeight="1">
      <c r="A664" s="1987" t="s">
        <v>1689</v>
      </c>
      <c r="B664" s="1811"/>
      <c r="C664" s="1967"/>
      <c r="D664" s="675">
        <v>2062.5</v>
      </c>
      <c r="E664" s="687">
        <v>0.2</v>
      </c>
      <c r="F664" s="442">
        <f t="shared" ref="F664:F665" si="39">+E664*D664</f>
        <v>412.5</v>
      </c>
      <c r="G664" s="688"/>
    </row>
    <row r="665" spans="1:7" ht="14.25" hidden="1" customHeight="1">
      <c r="A665" s="1995" t="s">
        <v>1690</v>
      </c>
      <c r="B665" s="1610"/>
      <c r="C665" s="1611"/>
      <c r="D665" s="464">
        <v>1500</v>
      </c>
      <c r="E665" s="706">
        <v>0.6</v>
      </c>
      <c r="F665" s="440">
        <f t="shared" si="39"/>
        <v>900</v>
      </c>
      <c r="G665" s="751"/>
    </row>
    <row r="666" spans="1:7" ht="14.25" hidden="1" customHeight="1">
      <c r="A666" s="1996"/>
      <c r="B666" s="1807"/>
      <c r="C666" s="1819"/>
      <c r="D666" s="434"/>
      <c r="E666" s="758"/>
      <c r="F666" s="434"/>
      <c r="G666" s="435"/>
    </row>
    <row r="667" spans="1:7" ht="14.25" hidden="1" customHeight="1">
      <c r="A667" s="2015" t="s">
        <v>1560</v>
      </c>
      <c r="B667" s="1601"/>
      <c r="C667" s="1601"/>
      <c r="D667" s="1601"/>
      <c r="E667" s="1601"/>
      <c r="F667" s="1801"/>
      <c r="G667" s="462">
        <f>SUM(F664:F666)</f>
        <v>1312.5</v>
      </c>
    </row>
    <row r="668" spans="1:7" ht="14.25" hidden="1" customHeight="1">
      <c r="A668" s="621" t="s">
        <v>1561</v>
      </c>
      <c r="B668" s="618"/>
      <c r="C668" s="618"/>
      <c r="D668" s="618"/>
      <c r="E668" s="618"/>
      <c r="F668" s="618"/>
      <c r="G668" s="743"/>
    </row>
    <row r="669" spans="1:7" ht="14.25" hidden="1" customHeight="1">
      <c r="A669" s="1975" t="s">
        <v>1556</v>
      </c>
      <c r="B669" s="1801"/>
      <c r="C669" s="424" t="s">
        <v>6</v>
      </c>
      <c r="D669" s="424" t="s">
        <v>1562</v>
      </c>
      <c r="E669" s="424" t="s">
        <v>7</v>
      </c>
      <c r="F669" s="424" t="s">
        <v>1559</v>
      </c>
      <c r="G669" s="673"/>
    </row>
    <row r="670" spans="1:7" ht="24" hidden="1" customHeight="1">
      <c r="A670" s="1987" t="str">
        <f>'LISTADO MATERIALES'!$C$57</f>
        <v>PERFIL ACESCO  Galv. PHR C 120x60mm-2.0mm Cal. 12</v>
      </c>
      <c r="B670" s="1967"/>
      <c r="C670" s="674" t="str">
        <f>'LISTADO MATERIALES'!$D$57</f>
        <v>ML</v>
      </c>
      <c r="D670" s="442">
        <f>'LISTADO MATERIALES'!$E$57</f>
        <v>11958</v>
      </c>
      <c r="E670" s="674">
        <v>2.02</v>
      </c>
      <c r="F670" s="442">
        <f t="shared" ref="F670:F675" si="40">+E670*D670</f>
        <v>24155.16</v>
      </c>
      <c r="G670" s="676"/>
    </row>
    <row r="671" spans="1:7" ht="14.25" hidden="1" customHeight="1">
      <c r="A671" s="1995" t="str">
        <f>'LISTADO MATERIALES'!$C$407</f>
        <v>Masilla plástica panel int - exte 28 Kg</v>
      </c>
      <c r="B671" s="1611"/>
      <c r="C671" s="444" t="str">
        <f>'LISTADO MATERIALES'!$D$407</f>
        <v>CUÑ</v>
      </c>
      <c r="D671" s="440">
        <f>'LISTADO MATERIALES'!$E$407</f>
        <v>39755</v>
      </c>
      <c r="E671" s="444">
        <v>0.04</v>
      </c>
      <c r="F671" s="440">
        <f t="shared" si="40"/>
        <v>1590.2</v>
      </c>
      <c r="G671" s="707"/>
    </row>
    <row r="672" spans="1:7" ht="14.25" hidden="1" customHeight="1">
      <c r="A672" s="1995" t="str">
        <f>'LISTADO MATERIALES'!$C$379</f>
        <v>DISOLVENTE THINER</v>
      </c>
      <c r="B672" s="1611"/>
      <c r="C672" s="444" t="str">
        <f>'LISTADO MATERIALES'!$D$379</f>
        <v>GAL</v>
      </c>
      <c r="D672" s="440">
        <f>'LISTADO MATERIALES'!$E$379</f>
        <v>16275</v>
      </c>
      <c r="E672" s="444">
        <v>0.05</v>
      </c>
      <c r="F672" s="440">
        <f t="shared" si="40"/>
        <v>813.75</v>
      </c>
      <c r="G672" s="707"/>
    </row>
    <row r="673" spans="1:7" ht="14.25" hidden="1" customHeight="1">
      <c r="A673" s="1995" t="str">
        <f>'LISTADO MATERIALES'!$C$380</f>
        <v>ESMALTE</v>
      </c>
      <c r="B673" s="1611"/>
      <c r="C673" s="444" t="str">
        <f>'LISTADO MATERIALES'!$D$380</f>
        <v>GAL</v>
      </c>
      <c r="D673" s="440">
        <f>'LISTADO MATERIALES'!$E$380</f>
        <v>51450</v>
      </c>
      <c r="E673" s="444">
        <v>0.01</v>
      </c>
      <c r="F673" s="440">
        <f t="shared" si="40"/>
        <v>514.5</v>
      </c>
      <c r="G673" s="707"/>
    </row>
    <row r="674" spans="1:7" ht="14.25" hidden="1" customHeight="1">
      <c r="A674" s="1995" t="str">
        <f>'LISTADO MATERIALES'!$C$368</f>
        <v>ANTICORROSIVO</v>
      </c>
      <c r="B674" s="1611"/>
      <c r="C674" s="444" t="str">
        <f>'LISTADO MATERIALES'!$D$368</f>
        <v>GAL</v>
      </c>
      <c r="D674" s="440">
        <f>'LISTADO MATERIALES'!$E$368</f>
        <v>33600</v>
      </c>
      <c r="E674" s="444">
        <v>0.02</v>
      </c>
      <c r="F674" s="440">
        <f t="shared" si="40"/>
        <v>672</v>
      </c>
      <c r="G674" s="707"/>
    </row>
    <row r="675" spans="1:7" ht="14.25" hidden="1" customHeight="1">
      <c r="A675" s="1995" t="str">
        <f>'LISTADO MATERIALES'!$C$86</f>
        <v>SOLDADURA WEST ARCO 6013X1/8</v>
      </c>
      <c r="B675" s="1611"/>
      <c r="C675" s="444" t="str">
        <f>'LISTADO MATERIALES'!$D$86</f>
        <v>KG</v>
      </c>
      <c r="D675" s="440">
        <f>'LISTADO MATERIALES'!$E$86</f>
        <v>9975</v>
      </c>
      <c r="E675" s="444">
        <v>0.6</v>
      </c>
      <c r="F675" s="700">
        <f t="shared" si="40"/>
        <v>5985</v>
      </c>
      <c r="G675" s="707"/>
    </row>
    <row r="676" spans="1:7" ht="14.25" hidden="1" customHeight="1">
      <c r="A676" s="2015" t="s">
        <v>1560</v>
      </c>
      <c r="B676" s="1601"/>
      <c r="C676" s="1601"/>
      <c r="D676" s="1601"/>
      <c r="E676" s="1601"/>
      <c r="F676" s="1801"/>
      <c r="G676" s="462">
        <f>SUM(F670:F675)</f>
        <v>33730.61</v>
      </c>
    </row>
    <row r="677" spans="1:7" ht="14.25" hidden="1" customHeight="1">
      <c r="A677" s="621" t="s">
        <v>1563</v>
      </c>
      <c r="B677" s="618"/>
      <c r="C677" s="618"/>
      <c r="D677" s="618"/>
      <c r="E677" s="618"/>
      <c r="F677" s="618"/>
      <c r="G677" s="743"/>
    </row>
    <row r="678" spans="1:7" ht="14.25" hidden="1" customHeight="1">
      <c r="A678" s="1975" t="s">
        <v>1556</v>
      </c>
      <c r="B678" s="1801"/>
      <c r="C678" s="424" t="s">
        <v>6</v>
      </c>
      <c r="D678" s="424" t="s">
        <v>1562</v>
      </c>
      <c r="E678" s="424" t="s">
        <v>7</v>
      </c>
      <c r="F678" s="424" t="s">
        <v>1559</v>
      </c>
      <c r="G678" s="438"/>
    </row>
    <row r="679" spans="1:7" ht="14.25" hidden="1" customHeight="1">
      <c r="A679" s="1987"/>
      <c r="B679" s="1967"/>
      <c r="C679" s="744"/>
      <c r="D679" s="675"/>
      <c r="E679" s="745"/>
      <c r="F679" s="464"/>
      <c r="G679" s="676"/>
    </row>
    <row r="680" spans="1:7" ht="14.25" hidden="1" customHeight="1">
      <c r="A680" s="1996"/>
      <c r="B680" s="1819"/>
      <c r="C680" s="744"/>
      <c r="D680" s="434"/>
      <c r="E680" s="746"/>
      <c r="F680" s="434"/>
      <c r="G680" s="457"/>
    </row>
    <row r="681" spans="1:7" ht="14.25" hidden="1" customHeight="1">
      <c r="A681" s="2015" t="s">
        <v>1560</v>
      </c>
      <c r="B681" s="1601"/>
      <c r="C681" s="1601"/>
      <c r="D681" s="1601"/>
      <c r="E681" s="1601"/>
      <c r="F681" s="1801"/>
      <c r="G681" s="462"/>
    </row>
    <row r="682" spans="1:7" ht="14.25" hidden="1" customHeight="1">
      <c r="A682" s="621" t="s">
        <v>1564</v>
      </c>
      <c r="B682" s="618"/>
      <c r="C682" s="618"/>
      <c r="D682" s="618"/>
      <c r="E682" s="618"/>
      <c r="F682" s="618"/>
      <c r="G682" s="743"/>
    </row>
    <row r="683" spans="1:7" ht="14.25" hidden="1" customHeight="1">
      <c r="A683" s="1975" t="s">
        <v>1565</v>
      </c>
      <c r="B683" s="1801"/>
      <c r="C683" s="424" t="s">
        <v>1566</v>
      </c>
      <c r="D683" s="424" t="s">
        <v>6</v>
      </c>
      <c r="E683" s="424" t="s">
        <v>7</v>
      </c>
      <c r="F683" s="424" t="s">
        <v>1559</v>
      </c>
      <c r="G683" s="462"/>
    </row>
    <row r="684" spans="1:7" ht="14.25" hidden="1" customHeight="1">
      <c r="A684" s="2004" t="s">
        <v>1716</v>
      </c>
      <c r="B684" s="1888"/>
      <c r="C684" s="679">
        <v>14142.890951641079</v>
      </c>
      <c r="D684" s="680">
        <v>1</v>
      </c>
      <c r="E684" s="680">
        <v>0.5</v>
      </c>
      <c r="F684" s="694">
        <f>+(C684*D684)*E684</f>
        <v>7071.4454758205393</v>
      </c>
      <c r="G684" s="676"/>
    </row>
    <row r="685" spans="1:7" ht="14.25" hidden="1" customHeight="1">
      <c r="A685" s="1984"/>
      <c r="B685" s="1819"/>
      <c r="C685" s="747"/>
      <c r="D685" s="614"/>
      <c r="E685" s="614"/>
      <c r="F685" s="753"/>
      <c r="G685" s="709"/>
    </row>
    <row r="686" spans="1:7" ht="14.25" hidden="1" customHeight="1">
      <c r="A686" s="2015" t="str">
        <f>+A681</f>
        <v>SUB-TOTAL</v>
      </c>
      <c r="B686" s="1601"/>
      <c r="C686" s="1601"/>
      <c r="D686" s="1601"/>
      <c r="E686" s="1601"/>
      <c r="F686" s="1801"/>
      <c r="G686" s="462">
        <f>SUM(F684:F685)</f>
        <v>7071.4454758205393</v>
      </c>
    </row>
    <row r="687" spans="1:7" ht="14.25" hidden="1" customHeight="1">
      <c r="A687" s="618"/>
      <c r="B687" s="618"/>
      <c r="C687" s="618"/>
      <c r="D687" s="618"/>
      <c r="E687" s="618"/>
      <c r="F687" s="748"/>
      <c r="G687" s="743"/>
    </row>
    <row r="688" spans="1:7" ht="14.25" hidden="1" customHeight="1">
      <c r="A688" s="2015" t="s">
        <v>1567</v>
      </c>
      <c r="B688" s="1601"/>
      <c r="C688" s="1601"/>
      <c r="D688" s="1601"/>
      <c r="E688" s="1601"/>
      <c r="F688" s="1801"/>
      <c r="G688" s="459">
        <f>ROUND(G667+G676+G681+G686,0)</f>
        <v>42115</v>
      </c>
    </row>
    <row r="691" spans="1:7" ht="26.25" hidden="1" customHeight="1">
      <c r="A691" s="2005" t="s">
        <v>1604</v>
      </c>
      <c r="B691" s="1616"/>
      <c r="C691" s="1624"/>
      <c r="D691" s="567"/>
      <c r="E691" s="567"/>
      <c r="F691" s="567"/>
      <c r="G691" s="668"/>
    </row>
    <row r="692" spans="1:7" ht="30" hidden="1" customHeight="1">
      <c r="A692" s="1971"/>
      <c r="B692" s="1817"/>
      <c r="C692" s="1972"/>
      <c r="D692" s="669"/>
      <c r="E692" s="669"/>
      <c r="F692" s="669"/>
      <c r="G692" s="670"/>
    </row>
    <row r="693" spans="1:7" ht="14.25" hidden="1" customHeight="1">
      <c r="A693" s="618"/>
      <c r="B693" s="618"/>
      <c r="C693" s="618"/>
      <c r="D693" s="618"/>
      <c r="E693" s="618"/>
      <c r="F693" s="618"/>
      <c r="G693" s="618"/>
    </row>
    <row r="694" spans="1:7" ht="27" hidden="1" customHeight="1">
      <c r="A694" s="1973" t="str">
        <f>A10</f>
        <v>PRECIOS UNITARIOS OFICIALES 2014</v>
      </c>
      <c r="B694" s="1601"/>
      <c r="C694" s="1602"/>
      <c r="D694" s="1974" t="s">
        <v>1742</v>
      </c>
      <c r="E694" s="1601"/>
      <c r="F694" s="1601"/>
      <c r="G694" s="1602"/>
    </row>
    <row r="695" spans="1:7" ht="14.25" hidden="1" customHeight="1">
      <c r="A695" s="620"/>
      <c r="B695" s="620"/>
      <c r="C695" s="620"/>
      <c r="D695" s="620"/>
      <c r="E695" s="620"/>
      <c r="F695" s="620"/>
      <c r="G695" s="620"/>
    </row>
    <row r="696" spans="1:7" ht="14.25" hidden="1" customHeight="1">
      <c r="A696" s="572"/>
      <c r="B696" s="618"/>
      <c r="C696" s="616"/>
      <c r="D696" s="421" t="s">
        <v>1553</v>
      </c>
      <c r="E696" s="422" t="s">
        <v>120</v>
      </c>
      <c r="F696" s="572"/>
      <c r="G696" s="572"/>
    </row>
    <row r="697" spans="1:7" ht="14.25" hidden="1" customHeight="1">
      <c r="A697" s="621" t="s">
        <v>1555</v>
      </c>
      <c r="B697" s="618"/>
      <c r="C697" s="618"/>
      <c r="D697" s="618"/>
      <c r="E697" s="618"/>
      <c r="F697" s="618"/>
      <c r="G697" s="618"/>
    </row>
    <row r="698" spans="1:7" ht="14.25" hidden="1" customHeight="1">
      <c r="A698" s="1975" t="s">
        <v>1556</v>
      </c>
      <c r="B698" s="1601"/>
      <c r="C698" s="1801"/>
      <c r="D698" s="424" t="s">
        <v>208</v>
      </c>
      <c r="E698" s="424" t="s">
        <v>1558</v>
      </c>
      <c r="F698" s="424" t="s">
        <v>1559</v>
      </c>
      <c r="G698" s="425"/>
    </row>
    <row r="699" spans="1:7" ht="14.25" hidden="1" customHeight="1">
      <c r="A699" s="1987" t="s">
        <v>1689</v>
      </c>
      <c r="B699" s="1811"/>
      <c r="C699" s="1967"/>
      <c r="D699" s="675">
        <v>2062.5</v>
      </c>
      <c r="E699" s="687">
        <v>0.2</v>
      </c>
      <c r="F699" s="442">
        <f t="shared" ref="F699:F700" si="41">+E699*D699</f>
        <v>412.5</v>
      </c>
      <c r="G699" s="688"/>
    </row>
    <row r="700" spans="1:7" ht="14.25" hidden="1" customHeight="1">
      <c r="A700" s="1995" t="s">
        <v>1690</v>
      </c>
      <c r="B700" s="1610"/>
      <c r="C700" s="1611"/>
      <c r="D700" s="464">
        <v>1500</v>
      </c>
      <c r="E700" s="706">
        <v>0.6</v>
      </c>
      <c r="F700" s="440">
        <f t="shared" si="41"/>
        <v>900</v>
      </c>
      <c r="G700" s="751"/>
    </row>
    <row r="701" spans="1:7" ht="14.25" hidden="1" customHeight="1">
      <c r="A701" s="1996"/>
      <c r="B701" s="1807"/>
      <c r="C701" s="1819"/>
      <c r="D701" s="434"/>
      <c r="E701" s="758"/>
      <c r="F701" s="434"/>
      <c r="G701" s="435"/>
    </row>
    <row r="702" spans="1:7" ht="14.25" hidden="1" customHeight="1">
      <c r="A702" s="2015" t="s">
        <v>1560</v>
      </c>
      <c r="B702" s="1601"/>
      <c r="C702" s="1601"/>
      <c r="D702" s="1601"/>
      <c r="E702" s="1601"/>
      <c r="F702" s="1801"/>
      <c r="G702" s="462">
        <f>SUM(F699:F701)</f>
        <v>1312.5</v>
      </c>
    </row>
    <row r="703" spans="1:7" ht="14.25" hidden="1" customHeight="1">
      <c r="A703" s="621" t="s">
        <v>1561</v>
      </c>
      <c r="B703" s="618"/>
      <c r="C703" s="618"/>
      <c r="D703" s="618"/>
      <c r="E703" s="618"/>
      <c r="F703" s="618"/>
      <c r="G703" s="743"/>
    </row>
    <row r="704" spans="1:7" ht="14.25" hidden="1" customHeight="1">
      <c r="A704" s="1975" t="s">
        <v>1556</v>
      </c>
      <c r="B704" s="1801"/>
      <c r="C704" s="424" t="s">
        <v>6</v>
      </c>
      <c r="D704" s="424" t="s">
        <v>1562</v>
      </c>
      <c r="E704" s="424" t="s">
        <v>7</v>
      </c>
      <c r="F704" s="424" t="s">
        <v>1559</v>
      </c>
      <c r="G704" s="673"/>
    </row>
    <row r="705" spans="1:7" ht="24" hidden="1" customHeight="1">
      <c r="A705" s="1987" t="str">
        <f>'LISTADO MATERIALES'!C58</f>
        <v>PERFIL Galv. PHR Cal. 12 305X80 e= 3 mm</v>
      </c>
      <c r="B705" s="1967"/>
      <c r="C705" s="674" t="str">
        <f>'LISTADO MATERIALES'!$D$57</f>
        <v>ML</v>
      </c>
      <c r="D705" s="442">
        <f>'LISTADO MATERIALES'!E58</f>
        <v>7875</v>
      </c>
      <c r="E705" s="674">
        <v>2.02</v>
      </c>
      <c r="F705" s="442">
        <f t="shared" ref="F705:F710" si="42">+E705*D705</f>
        <v>15907.5</v>
      </c>
      <c r="G705" s="676"/>
    </row>
    <row r="706" spans="1:7" ht="12" hidden="1" customHeight="1">
      <c r="A706" s="1995" t="str">
        <f>'LISTADO MATERIALES'!$C$407</f>
        <v>Masilla plástica panel int - exte 28 Kg</v>
      </c>
      <c r="B706" s="1611"/>
      <c r="C706" s="444" t="str">
        <f>'LISTADO MATERIALES'!$D$407</f>
        <v>CUÑ</v>
      </c>
      <c r="D706" s="440">
        <f>'LISTADO MATERIALES'!$E$407</f>
        <v>39755</v>
      </c>
      <c r="E706" s="444">
        <v>0.04</v>
      </c>
      <c r="F706" s="440">
        <f t="shared" si="42"/>
        <v>1590.2</v>
      </c>
      <c r="G706" s="707"/>
    </row>
    <row r="707" spans="1:7" ht="14.25" hidden="1" customHeight="1">
      <c r="A707" s="1995" t="str">
        <f>'LISTADO MATERIALES'!$C$379</f>
        <v>DISOLVENTE THINER</v>
      </c>
      <c r="B707" s="1611"/>
      <c r="C707" s="444" t="str">
        <f>'LISTADO MATERIALES'!$D$379</f>
        <v>GAL</v>
      </c>
      <c r="D707" s="440">
        <f>'LISTADO MATERIALES'!$E$379</f>
        <v>16275</v>
      </c>
      <c r="E707" s="444">
        <v>0.05</v>
      </c>
      <c r="F707" s="440">
        <f t="shared" si="42"/>
        <v>813.75</v>
      </c>
      <c r="G707" s="707"/>
    </row>
    <row r="708" spans="1:7" ht="14.25" hidden="1" customHeight="1">
      <c r="A708" s="1995" t="str">
        <f>'LISTADO MATERIALES'!$C$380</f>
        <v>ESMALTE</v>
      </c>
      <c r="B708" s="1611"/>
      <c r="C708" s="444" t="str">
        <f>'LISTADO MATERIALES'!$D$380</f>
        <v>GAL</v>
      </c>
      <c r="D708" s="440">
        <f>'LISTADO MATERIALES'!$E$380</f>
        <v>51450</v>
      </c>
      <c r="E708" s="444">
        <v>0.01</v>
      </c>
      <c r="F708" s="440">
        <f t="shared" si="42"/>
        <v>514.5</v>
      </c>
      <c r="G708" s="707"/>
    </row>
    <row r="709" spans="1:7" ht="14.25" hidden="1" customHeight="1">
      <c r="A709" s="1995" t="str">
        <f>'LISTADO MATERIALES'!$C$368</f>
        <v>ANTICORROSIVO</v>
      </c>
      <c r="B709" s="1611"/>
      <c r="C709" s="444" t="str">
        <f>'LISTADO MATERIALES'!$D$368</f>
        <v>GAL</v>
      </c>
      <c r="D709" s="440">
        <f>'LISTADO MATERIALES'!$E$368</f>
        <v>33600</v>
      </c>
      <c r="E709" s="444">
        <v>0.02</v>
      </c>
      <c r="F709" s="440">
        <f t="shared" si="42"/>
        <v>672</v>
      </c>
      <c r="G709" s="707"/>
    </row>
    <row r="710" spans="1:7" ht="15" hidden="1" customHeight="1">
      <c r="A710" s="1995" t="str">
        <f>'LISTADO MATERIALES'!$C$86</f>
        <v>SOLDADURA WEST ARCO 6013X1/8</v>
      </c>
      <c r="B710" s="1611"/>
      <c r="C710" s="444" t="str">
        <f>'LISTADO MATERIALES'!$D$86</f>
        <v>KG</v>
      </c>
      <c r="D710" s="440">
        <f>'LISTADO MATERIALES'!$E$86</f>
        <v>9975</v>
      </c>
      <c r="E710" s="444">
        <v>0.6</v>
      </c>
      <c r="F710" s="700">
        <f t="shared" si="42"/>
        <v>5985</v>
      </c>
      <c r="G710" s="707"/>
    </row>
    <row r="711" spans="1:7" ht="14.25" hidden="1" customHeight="1">
      <c r="A711" s="2015" t="s">
        <v>1560</v>
      </c>
      <c r="B711" s="1601"/>
      <c r="C711" s="1601"/>
      <c r="D711" s="1601"/>
      <c r="E711" s="1601"/>
      <c r="F711" s="1801"/>
      <c r="G711" s="462">
        <f>SUM(F705:F710)</f>
        <v>25482.95</v>
      </c>
    </row>
    <row r="712" spans="1:7" ht="14.25" hidden="1" customHeight="1">
      <c r="A712" s="621" t="s">
        <v>1563</v>
      </c>
      <c r="B712" s="618"/>
      <c r="C712" s="618"/>
      <c r="D712" s="618"/>
      <c r="E712" s="618"/>
      <c r="F712" s="618"/>
      <c r="G712" s="743"/>
    </row>
    <row r="713" spans="1:7" ht="14.25" hidden="1" customHeight="1">
      <c r="A713" s="1975" t="s">
        <v>1556</v>
      </c>
      <c r="B713" s="1801"/>
      <c r="C713" s="424" t="s">
        <v>6</v>
      </c>
      <c r="D713" s="424" t="s">
        <v>1562</v>
      </c>
      <c r="E713" s="424" t="s">
        <v>7</v>
      </c>
      <c r="F713" s="424" t="s">
        <v>1559</v>
      </c>
      <c r="G713" s="438"/>
    </row>
    <row r="714" spans="1:7" ht="14.25" hidden="1" customHeight="1">
      <c r="A714" s="1987"/>
      <c r="B714" s="1967"/>
      <c r="C714" s="744"/>
      <c r="D714" s="675"/>
      <c r="E714" s="745"/>
      <c r="F714" s="464"/>
      <c r="G714" s="676"/>
    </row>
    <row r="715" spans="1:7" ht="14.25" hidden="1" customHeight="1">
      <c r="A715" s="1996"/>
      <c r="B715" s="1819"/>
      <c r="C715" s="744"/>
      <c r="D715" s="434"/>
      <c r="E715" s="746"/>
      <c r="F715" s="434"/>
      <c r="G715" s="457"/>
    </row>
    <row r="716" spans="1:7" ht="14.25" hidden="1" customHeight="1">
      <c r="A716" s="2015" t="s">
        <v>1560</v>
      </c>
      <c r="B716" s="1601"/>
      <c r="C716" s="1601"/>
      <c r="D716" s="1601"/>
      <c r="E716" s="1601"/>
      <c r="F716" s="1801"/>
      <c r="G716" s="462"/>
    </row>
    <row r="717" spans="1:7" ht="14.25" hidden="1" customHeight="1">
      <c r="A717" s="621" t="s">
        <v>1564</v>
      </c>
      <c r="B717" s="618"/>
      <c r="C717" s="618"/>
      <c r="D717" s="618"/>
      <c r="E717" s="618"/>
      <c r="F717" s="618"/>
      <c r="G717" s="743"/>
    </row>
    <row r="718" spans="1:7" ht="14.25" hidden="1" customHeight="1">
      <c r="A718" s="1975" t="s">
        <v>1565</v>
      </c>
      <c r="B718" s="1801"/>
      <c r="C718" s="424" t="s">
        <v>1566</v>
      </c>
      <c r="D718" s="424" t="s">
        <v>6</v>
      </c>
      <c r="E718" s="424" t="s">
        <v>7</v>
      </c>
      <c r="F718" s="424" t="s">
        <v>1559</v>
      </c>
      <c r="G718" s="462"/>
    </row>
    <row r="719" spans="1:7" ht="14.25" hidden="1" customHeight="1">
      <c r="A719" s="2004" t="s">
        <v>1716</v>
      </c>
      <c r="B719" s="1888"/>
      <c r="C719" s="679">
        <v>14142.890951641079</v>
      </c>
      <c r="D719" s="680">
        <v>1</v>
      </c>
      <c r="E719" s="680">
        <v>0.5</v>
      </c>
      <c r="F719" s="694">
        <f>+(C719*D719)*E719</f>
        <v>7071.4454758205393</v>
      </c>
      <c r="G719" s="676"/>
    </row>
    <row r="720" spans="1:7" ht="14.25" hidden="1" customHeight="1">
      <c r="A720" s="1984"/>
      <c r="B720" s="1819"/>
      <c r="C720" s="747"/>
      <c r="D720" s="614"/>
      <c r="E720" s="614"/>
      <c r="F720" s="753"/>
      <c r="G720" s="709"/>
    </row>
    <row r="721" spans="1:7" ht="14.25" hidden="1" customHeight="1">
      <c r="A721" s="2015" t="str">
        <f>+A716</f>
        <v>SUB-TOTAL</v>
      </c>
      <c r="B721" s="1601"/>
      <c r="C721" s="1601"/>
      <c r="D721" s="1601"/>
      <c r="E721" s="1601"/>
      <c r="F721" s="1801"/>
      <c r="G721" s="462">
        <f>SUM(F719:F720)</f>
        <v>7071.4454758205393</v>
      </c>
    </row>
    <row r="722" spans="1:7" ht="14.25" hidden="1" customHeight="1">
      <c r="A722" s="618"/>
      <c r="B722" s="618"/>
      <c r="C722" s="618"/>
      <c r="D722" s="618"/>
      <c r="E722" s="618"/>
      <c r="F722" s="748"/>
      <c r="G722" s="743"/>
    </row>
    <row r="723" spans="1:7" ht="14.25" hidden="1" customHeight="1">
      <c r="A723" s="2015" t="s">
        <v>1567</v>
      </c>
      <c r="B723" s="1601"/>
      <c r="C723" s="1601"/>
      <c r="D723" s="1601"/>
      <c r="E723" s="1601"/>
      <c r="F723" s="1801"/>
      <c r="G723" s="459">
        <f>ROUND(G702+G711+G716+G721,0)</f>
        <v>33867</v>
      </c>
    </row>
    <row r="724" spans="1:7" ht="14.25" hidden="1" customHeight="1">
      <c r="A724" s="616"/>
      <c r="B724" s="616"/>
      <c r="C724" s="616"/>
      <c r="D724" s="616"/>
      <c r="E724" s="616"/>
      <c r="F724" s="616"/>
      <c r="G724" s="616"/>
    </row>
    <row r="725" spans="1:7" ht="14.25" hidden="1" customHeight="1">
      <c r="A725" s="616"/>
      <c r="B725" s="616"/>
      <c r="C725" s="616"/>
      <c r="D725" s="616"/>
      <c r="E725" s="616"/>
      <c r="F725" s="616"/>
      <c r="G725" s="616"/>
    </row>
    <row r="726" spans="1:7" ht="25.5" hidden="1" customHeight="1">
      <c r="A726" s="2005" t="s">
        <v>1604</v>
      </c>
      <c r="B726" s="1616"/>
      <c r="C726" s="1624"/>
      <c r="D726" s="567"/>
      <c r="E726" s="567"/>
      <c r="F726" s="567"/>
      <c r="G726" s="668"/>
    </row>
    <row r="727" spans="1:7" ht="27" hidden="1" customHeight="1">
      <c r="A727" s="1971"/>
      <c r="B727" s="1817"/>
      <c r="C727" s="1972"/>
      <c r="D727" s="669"/>
      <c r="E727" s="669"/>
      <c r="F727" s="669"/>
      <c r="G727" s="670"/>
    </row>
    <row r="728" spans="1:7" ht="14.25" hidden="1" customHeight="1">
      <c r="A728" s="618"/>
      <c r="B728" s="618"/>
      <c r="C728" s="618"/>
      <c r="D728" s="618"/>
      <c r="E728" s="618"/>
      <c r="F728" s="618"/>
      <c r="G728" s="618"/>
    </row>
    <row r="729" spans="1:7" ht="27.75" hidden="1" customHeight="1">
      <c r="A729" s="1973" t="str">
        <f>A10</f>
        <v>PRECIOS UNITARIOS OFICIALES 2014</v>
      </c>
      <c r="B729" s="1601"/>
      <c r="C729" s="1602"/>
      <c r="D729" s="1974" t="s">
        <v>1743</v>
      </c>
      <c r="E729" s="1601"/>
      <c r="F729" s="1601"/>
      <c r="G729" s="1602"/>
    </row>
    <row r="730" spans="1:7" ht="14.25" hidden="1" customHeight="1">
      <c r="A730" s="620"/>
      <c r="B730" s="620"/>
      <c r="C730" s="620"/>
      <c r="D730" s="620"/>
      <c r="E730" s="620"/>
      <c r="F730" s="620"/>
      <c r="G730" s="620"/>
    </row>
    <row r="731" spans="1:7" ht="14.25" hidden="1" customHeight="1">
      <c r="A731" s="572"/>
      <c r="B731" s="618"/>
      <c r="C731" s="616"/>
      <c r="D731" s="421" t="s">
        <v>1553</v>
      </c>
      <c r="E731" s="422" t="s">
        <v>127</v>
      </c>
      <c r="F731" s="572"/>
      <c r="G731" s="572"/>
    </row>
    <row r="732" spans="1:7" ht="14.25" hidden="1" customHeight="1">
      <c r="A732" s="621" t="s">
        <v>1555</v>
      </c>
      <c r="B732" s="618"/>
      <c r="C732" s="618"/>
      <c r="D732" s="618"/>
      <c r="E732" s="618"/>
      <c r="F732" s="618"/>
      <c r="G732" s="618"/>
    </row>
    <row r="733" spans="1:7" ht="14.25" hidden="1" customHeight="1">
      <c r="A733" s="1975" t="s">
        <v>1556</v>
      </c>
      <c r="B733" s="1601"/>
      <c r="C733" s="1801"/>
      <c r="D733" s="424" t="s">
        <v>208</v>
      </c>
      <c r="E733" s="424" t="s">
        <v>1558</v>
      </c>
      <c r="F733" s="424" t="s">
        <v>1559</v>
      </c>
      <c r="G733" s="425"/>
    </row>
    <row r="734" spans="1:7" ht="14.25" hidden="1" customHeight="1">
      <c r="A734" s="1987" t="s">
        <v>1689</v>
      </c>
      <c r="B734" s="1811"/>
      <c r="C734" s="1967"/>
      <c r="D734" s="675">
        <v>2062.5</v>
      </c>
      <c r="E734" s="687">
        <v>0.2</v>
      </c>
      <c r="F734" s="442">
        <f t="shared" ref="F734:F735" si="43">+E734*D734</f>
        <v>412.5</v>
      </c>
      <c r="G734" s="688"/>
    </row>
    <row r="735" spans="1:7" ht="14.25" hidden="1" customHeight="1">
      <c r="A735" s="1995" t="s">
        <v>1690</v>
      </c>
      <c r="B735" s="1610"/>
      <c r="C735" s="1611"/>
      <c r="D735" s="464">
        <v>1500</v>
      </c>
      <c r="E735" s="706">
        <v>0.6</v>
      </c>
      <c r="F735" s="440">
        <f t="shared" si="43"/>
        <v>900</v>
      </c>
      <c r="G735" s="751"/>
    </row>
    <row r="736" spans="1:7" ht="14.25" hidden="1" customHeight="1">
      <c r="A736" s="1996"/>
      <c r="B736" s="1807"/>
      <c r="C736" s="1819"/>
      <c r="D736" s="434"/>
      <c r="E736" s="758"/>
      <c r="F736" s="434"/>
      <c r="G736" s="435"/>
    </row>
    <row r="737" spans="1:7" ht="14.25" hidden="1" customHeight="1">
      <c r="A737" s="2015" t="s">
        <v>1560</v>
      </c>
      <c r="B737" s="1601"/>
      <c r="C737" s="1601"/>
      <c r="D737" s="1601"/>
      <c r="E737" s="1601"/>
      <c r="F737" s="1801"/>
      <c r="G737" s="462">
        <f>SUM(F734:F736)</f>
        <v>1312.5</v>
      </c>
    </row>
    <row r="738" spans="1:7" ht="14.25" hidden="1" customHeight="1">
      <c r="A738" s="621" t="s">
        <v>1561</v>
      </c>
      <c r="B738" s="618"/>
      <c r="C738" s="618"/>
      <c r="D738" s="618"/>
      <c r="E738" s="618"/>
      <c r="F738" s="618"/>
      <c r="G738" s="743"/>
    </row>
    <row r="739" spans="1:7" ht="14.25" hidden="1" customHeight="1">
      <c r="A739" s="1975" t="s">
        <v>1556</v>
      </c>
      <c r="B739" s="1801"/>
      <c r="C739" s="424" t="s">
        <v>6</v>
      </c>
      <c r="D739" s="424" t="s">
        <v>1562</v>
      </c>
      <c r="E739" s="424" t="s">
        <v>7</v>
      </c>
      <c r="F739" s="424" t="s">
        <v>1559</v>
      </c>
      <c r="G739" s="673"/>
    </row>
    <row r="740" spans="1:7" ht="14.25" hidden="1" customHeight="1">
      <c r="A740" s="1987" t="str">
        <f>'LISTADO MATERIALES'!C24</f>
        <v>ANGULO 2" X  3/16"</v>
      </c>
      <c r="B740" s="1967"/>
      <c r="C740" s="674" t="str">
        <f>'LISTADO MATERIALES'!$D$57</f>
        <v>ML</v>
      </c>
      <c r="D740" s="442">
        <f>'LISTADO MATERIALES'!E24</f>
        <v>7140</v>
      </c>
      <c r="E740" s="674">
        <v>0.5</v>
      </c>
      <c r="F740" s="442">
        <f t="shared" ref="F740:F746" si="44">+E740*D740</f>
        <v>3570</v>
      </c>
      <c r="G740" s="676"/>
    </row>
    <row r="741" spans="1:7" ht="14.25" hidden="1" customHeight="1">
      <c r="A741" s="1995" t="s">
        <v>1744</v>
      </c>
      <c r="B741" s="1611"/>
      <c r="C741" s="444" t="s">
        <v>127</v>
      </c>
      <c r="D741" s="440">
        <v>2000</v>
      </c>
      <c r="E741" s="444">
        <v>4</v>
      </c>
      <c r="F741" s="440">
        <f t="shared" si="44"/>
        <v>8000</v>
      </c>
      <c r="G741" s="707"/>
    </row>
    <row r="742" spans="1:7" ht="14.25" hidden="1" customHeight="1">
      <c r="A742" s="1995" t="str">
        <f>'LISTADO MATERIALES'!$C$379</f>
        <v>DISOLVENTE THINER</v>
      </c>
      <c r="B742" s="1611"/>
      <c r="C742" s="444" t="str">
        <f>'LISTADO MATERIALES'!$D$379</f>
        <v>GAL</v>
      </c>
      <c r="D742" s="440">
        <f>'LISTADO MATERIALES'!$E$379</f>
        <v>16275</v>
      </c>
      <c r="E742" s="444">
        <v>0.05</v>
      </c>
      <c r="F742" s="440">
        <f t="shared" si="44"/>
        <v>813.75</v>
      </c>
      <c r="G742" s="707"/>
    </row>
    <row r="743" spans="1:7" ht="14.25" hidden="1" customHeight="1">
      <c r="A743" s="1995" t="str">
        <f>'LISTADO MATERIALES'!$C$380</f>
        <v>ESMALTE</v>
      </c>
      <c r="B743" s="1611"/>
      <c r="C743" s="444" t="str">
        <f>'LISTADO MATERIALES'!$D$380</f>
        <v>GAL</v>
      </c>
      <c r="D743" s="440">
        <f>'LISTADO MATERIALES'!$E$380</f>
        <v>51450</v>
      </c>
      <c r="E743" s="444">
        <v>0.02</v>
      </c>
      <c r="F743" s="440">
        <f t="shared" si="44"/>
        <v>1029</v>
      </c>
      <c r="G743" s="707"/>
    </row>
    <row r="744" spans="1:7" ht="14.25" hidden="1" customHeight="1">
      <c r="A744" s="1995" t="s">
        <v>1745</v>
      </c>
      <c r="B744" s="1611"/>
      <c r="C744" s="444" t="s">
        <v>171</v>
      </c>
      <c r="D744" s="440">
        <v>9000</v>
      </c>
      <c r="E744" s="444">
        <v>0.2</v>
      </c>
      <c r="F744" s="440">
        <f t="shared" si="44"/>
        <v>1800</v>
      </c>
      <c r="G744" s="707"/>
    </row>
    <row r="745" spans="1:7" ht="14.25" hidden="1" customHeight="1">
      <c r="A745" s="1995" t="str">
        <f>'LISTADO MATERIALES'!$C$368</f>
        <v>ANTICORROSIVO</v>
      </c>
      <c r="B745" s="1611"/>
      <c r="C745" s="444" t="str">
        <f>'LISTADO MATERIALES'!$D$368</f>
        <v>GAL</v>
      </c>
      <c r="D745" s="440">
        <f>'LISTADO MATERIALES'!$E$368</f>
        <v>33600</v>
      </c>
      <c r="E745" s="444">
        <v>0.02</v>
      </c>
      <c r="F745" s="440">
        <f t="shared" si="44"/>
        <v>672</v>
      </c>
      <c r="G745" s="707"/>
    </row>
    <row r="746" spans="1:7" ht="14.25" hidden="1" customHeight="1">
      <c r="A746" s="1995" t="str">
        <f>'LISTADO MATERIALES'!$C$86</f>
        <v>SOLDADURA WEST ARCO 6013X1/8</v>
      </c>
      <c r="B746" s="1611"/>
      <c r="C746" s="444" t="str">
        <f>'LISTADO MATERIALES'!$D$86</f>
        <v>KG</v>
      </c>
      <c r="D746" s="440">
        <f>'LISTADO MATERIALES'!$E$86</f>
        <v>9975</v>
      </c>
      <c r="E746" s="444">
        <v>0.6</v>
      </c>
      <c r="F746" s="700">
        <f t="shared" si="44"/>
        <v>5985</v>
      </c>
      <c r="G746" s="707"/>
    </row>
    <row r="747" spans="1:7" ht="14.25" hidden="1" customHeight="1">
      <c r="A747" s="2015" t="s">
        <v>1560</v>
      </c>
      <c r="B747" s="1601"/>
      <c r="C747" s="1601"/>
      <c r="D747" s="1601"/>
      <c r="E747" s="1601"/>
      <c r="F747" s="1801"/>
      <c r="G747" s="462">
        <f>SUM(F740:F746)</f>
        <v>21869.75</v>
      </c>
    </row>
    <row r="748" spans="1:7" ht="14.25" hidden="1" customHeight="1">
      <c r="A748" s="621" t="s">
        <v>1563</v>
      </c>
      <c r="B748" s="618"/>
      <c r="C748" s="618"/>
      <c r="D748" s="618"/>
      <c r="E748" s="618"/>
      <c r="F748" s="618"/>
      <c r="G748" s="743"/>
    </row>
    <row r="749" spans="1:7" ht="14.25" hidden="1" customHeight="1">
      <c r="A749" s="1975" t="s">
        <v>1556</v>
      </c>
      <c r="B749" s="1801"/>
      <c r="C749" s="424" t="s">
        <v>6</v>
      </c>
      <c r="D749" s="424" t="s">
        <v>1562</v>
      </c>
      <c r="E749" s="424" t="s">
        <v>7</v>
      </c>
      <c r="F749" s="424" t="s">
        <v>1559</v>
      </c>
      <c r="G749" s="438"/>
    </row>
    <row r="750" spans="1:7" ht="14.25" hidden="1" customHeight="1">
      <c r="A750" s="1987"/>
      <c r="B750" s="1967"/>
      <c r="C750" s="744"/>
      <c r="D750" s="675"/>
      <c r="E750" s="745"/>
      <c r="F750" s="464"/>
      <c r="G750" s="676"/>
    </row>
    <row r="751" spans="1:7" ht="14.25" hidden="1" customHeight="1">
      <c r="A751" s="1996"/>
      <c r="B751" s="1819"/>
      <c r="C751" s="744"/>
      <c r="D751" s="434"/>
      <c r="E751" s="746"/>
      <c r="F751" s="434"/>
      <c r="G751" s="457"/>
    </row>
    <row r="752" spans="1:7" ht="14.25" hidden="1" customHeight="1">
      <c r="A752" s="2015" t="s">
        <v>1560</v>
      </c>
      <c r="B752" s="1601"/>
      <c r="C752" s="1601"/>
      <c r="D752" s="1601"/>
      <c r="E752" s="1601"/>
      <c r="F752" s="1801"/>
      <c r="G752" s="462"/>
    </row>
    <row r="753" spans="1:7" ht="14.25" hidden="1" customHeight="1">
      <c r="A753" s="621" t="s">
        <v>1564</v>
      </c>
      <c r="B753" s="618"/>
      <c r="C753" s="618"/>
      <c r="D753" s="618"/>
      <c r="E753" s="618"/>
      <c r="F753" s="618"/>
      <c r="G753" s="743"/>
    </row>
    <row r="754" spans="1:7" ht="14.25" hidden="1" customHeight="1">
      <c r="A754" s="1975" t="s">
        <v>1565</v>
      </c>
      <c r="B754" s="1801"/>
      <c r="C754" s="424" t="s">
        <v>1566</v>
      </c>
      <c r="D754" s="424" t="s">
        <v>6</v>
      </c>
      <c r="E754" s="424" t="s">
        <v>7</v>
      </c>
      <c r="F754" s="424" t="s">
        <v>1559</v>
      </c>
      <c r="G754" s="462"/>
    </row>
    <row r="755" spans="1:7" ht="14.25" hidden="1" customHeight="1">
      <c r="A755" s="2004" t="s">
        <v>1716</v>
      </c>
      <c r="B755" s="1888"/>
      <c r="C755" s="679">
        <v>14142.890951641079</v>
      </c>
      <c r="D755" s="680">
        <v>1</v>
      </c>
      <c r="E755" s="680">
        <v>1</v>
      </c>
      <c r="F755" s="694">
        <f>+(C755*D755)*E755</f>
        <v>14142.890951641079</v>
      </c>
      <c r="G755" s="676"/>
    </row>
    <row r="756" spans="1:7" ht="14.25" hidden="1" customHeight="1">
      <c r="A756" s="1984"/>
      <c r="B756" s="1819"/>
      <c r="C756" s="747"/>
      <c r="D756" s="614"/>
      <c r="E756" s="614"/>
      <c r="F756" s="753"/>
      <c r="G756" s="709"/>
    </row>
    <row r="757" spans="1:7" ht="14.25" hidden="1" customHeight="1">
      <c r="A757" s="2015" t="str">
        <f>+A752</f>
        <v>SUB-TOTAL</v>
      </c>
      <c r="B757" s="1601"/>
      <c r="C757" s="1601"/>
      <c r="D757" s="1601"/>
      <c r="E757" s="1601"/>
      <c r="F757" s="1801"/>
      <c r="G757" s="462">
        <f>SUM(F755:F756)</f>
        <v>14142.890951641079</v>
      </c>
    </row>
    <row r="758" spans="1:7" ht="14.25" hidden="1" customHeight="1">
      <c r="A758" s="618"/>
      <c r="B758" s="618"/>
      <c r="C758" s="618"/>
      <c r="D758" s="618"/>
      <c r="E758" s="618"/>
      <c r="F758" s="748"/>
      <c r="G758" s="743"/>
    </row>
    <row r="759" spans="1:7" ht="14.25" hidden="1" customHeight="1">
      <c r="A759" s="2015" t="s">
        <v>1567</v>
      </c>
      <c r="B759" s="1601"/>
      <c r="C759" s="1601"/>
      <c r="D759" s="1601"/>
      <c r="E759" s="1601"/>
      <c r="F759" s="1801"/>
      <c r="G759" s="459">
        <f>ROUND(G737+G747+G752+G757,0)</f>
        <v>37325</v>
      </c>
    </row>
    <row r="760" spans="1:7" ht="14.25" hidden="1" customHeight="1">
      <c r="A760" s="616"/>
      <c r="B760" s="616"/>
      <c r="C760" s="616"/>
      <c r="D760" s="616"/>
      <c r="E760" s="616"/>
      <c r="F760" s="616"/>
      <c r="G760" s="616"/>
    </row>
    <row r="761" spans="1:7" ht="14.25" hidden="1" customHeight="1">
      <c r="A761" s="616"/>
      <c r="B761" s="616"/>
      <c r="C761" s="616"/>
      <c r="D761" s="616"/>
      <c r="E761" s="616"/>
      <c r="F761" s="616"/>
      <c r="G761" s="616"/>
    </row>
    <row r="762" spans="1:7" ht="26.25" hidden="1" customHeight="1">
      <c r="A762" s="2005" t="s">
        <v>1604</v>
      </c>
      <c r="B762" s="1616"/>
      <c r="C762" s="1624"/>
      <c r="D762" s="567"/>
      <c r="E762" s="567"/>
      <c r="F762" s="567"/>
      <c r="G762" s="668"/>
    </row>
    <row r="763" spans="1:7" ht="28.5" hidden="1" customHeight="1">
      <c r="A763" s="1971"/>
      <c r="B763" s="1817"/>
      <c r="C763" s="1972"/>
      <c r="D763" s="669"/>
      <c r="E763" s="669"/>
      <c r="F763" s="669"/>
      <c r="G763" s="670"/>
    </row>
    <row r="764" spans="1:7" ht="14.25" hidden="1" customHeight="1">
      <c r="A764" s="618"/>
      <c r="B764" s="618"/>
      <c r="C764" s="618"/>
      <c r="D764" s="618"/>
      <c r="E764" s="618"/>
      <c r="F764" s="618"/>
      <c r="G764" s="618"/>
    </row>
    <row r="765" spans="1:7" ht="28.5" hidden="1" customHeight="1">
      <c r="A765" s="1973" t="str">
        <f>A10</f>
        <v>PRECIOS UNITARIOS OFICIALES 2014</v>
      </c>
      <c r="B765" s="1601"/>
      <c r="C765" s="1602"/>
      <c r="D765" s="1974" t="s">
        <v>1746</v>
      </c>
      <c r="E765" s="1601"/>
      <c r="F765" s="1601"/>
      <c r="G765" s="1602"/>
    </row>
    <row r="766" spans="1:7" ht="14.25" hidden="1" customHeight="1">
      <c r="A766" s="620"/>
      <c r="B766" s="620"/>
      <c r="C766" s="620"/>
      <c r="D766" s="620"/>
      <c r="E766" s="620"/>
      <c r="F766" s="620"/>
      <c r="G766" s="620"/>
    </row>
    <row r="767" spans="1:7" ht="14.25" hidden="1" customHeight="1">
      <c r="A767" s="572"/>
      <c r="B767" s="618"/>
      <c r="C767" s="616"/>
      <c r="D767" s="421" t="s">
        <v>1553</v>
      </c>
      <c r="E767" s="422" t="s">
        <v>127</v>
      </c>
      <c r="F767" s="572"/>
      <c r="G767" s="572"/>
    </row>
    <row r="768" spans="1:7" ht="14.25" hidden="1" customHeight="1">
      <c r="A768" s="621" t="s">
        <v>1555</v>
      </c>
      <c r="B768" s="618"/>
      <c r="C768" s="618"/>
      <c r="D768" s="618"/>
      <c r="E768" s="618"/>
      <c r="F768" s="618"/>
      <c r="G768" s="618"/>
    </row>
    <row r="769" spans="1:7" ht="14.25" hidden="1" customHeight="1">
      <c r="A769" s="1975" t="s">
        <v>1556</v>
      </c>
      <c r="B769" s="1601"/>
      <c r="C769" s="1801"/>
      <c r="D769" s="424" t="s">
        <v>208</v>
      </c>
      <c r="E769" s="424" t="s">
        <v>1558</v>
      </c>
      <c r="F769" s="424" t="s">
        <v>1559</v>
      </c>
      <c r="G769" s="425"/>
    </row>
    <row r="770" spans="1:7" ht="14.25" hidden="1" customHeight="1">
      <c r="A770" s="1987" t="s">
        <v>1689</v>
      </c>
      <c r="B770" s="1811"/>
      <c r="C770" s="1967"/>
      <c r="D770" s="675">
        <v>2062.5</v>
      </c>
      <c r="E770" s="687">
        <v>0.2</v>
      </c>
      <c r="F770" s="442">
        <f t="shared" ref="F770:F771" si="45">+E770*D770</f>
        <v>412.5</v>
      </c>
      <c r="G770" s="688"/>
    </row>
    <row r="771" spans="1:7" ht="14.25" hidden="1" customHeight="1">
      <c r="A771" s="1995" t="s">
        <v>1690</v>
      </c>
      <c r="B771" s="1610"/>
      <c r="C771" s="1611"/>
      <c r="D771" s="464">
        <v>1500</v>
      </c>
      <c r="E771" s="706">
        <v>0.6</v>
      </c>
      <c r="F771" s="440">
        <f t="shared" si="45"/>
        <v>900</v>
      </c>
      <c r="G771" s="751"/>
    </row>
    <row r="772" spans="1:7" ht="14.25" hidden="1" customHeight="1">
      <c r="A772" s="1996"/>
      <c r="B772" s="1807"/>
      <c r="C772" s="1819"/>
      <c r="D772" s="434"/>
      <c r="E772" s="758"/>
      <c r="F772" s="700"/>
      <c r="G772" s="435"/>
    </row>
    <row r="773" spans="1:7" ht="14.25" hidden="1" customHeight="1">
      <c r="A773" s="2015" t="s">
        <v>1560</v>
      </c>
      <c r="B773" s="1601"/>
      <c r="C773" s="1601"/>
      <c r="D773" s="1601"/>
      <c r="E773" s="1601"/>
      <c r="F773" s="1801"/>
      <c r="G773" s="462">
        <f>SUM(F770:F772)</f>
        <v>1312.5</v>
      </c>
    </row>
    <row r="774" spans="1:7" ht="14.25" hidden="1" customHeight="1">
      <c r="A774" s="621" t="s">
        <v>1561</v>
      </c>
      <c r="B774" s="618"/>
      <c r="C774" s="618"/>
      <c r="D774" s="618"/>
      <c r="E774" s="618"/>
      <c r="F774" s="618"/>
      <c r="G774" s="743"/>
    </row>
    <row r="775" spans="1:7" ht="14.25" hidden="1" customHeight="1">
      <c r="A775" s="1975" t="s">
        <v>1556</v>
      </c>
      <c r="B775" s="1801"/>
      <c r="C775" s="424" t="s">
        <v>6</v>
      </c>
      <c r="D775" s="424" t="s">
        <v>1562</v>
      </c>
      <c r="E775" s="424" t="s">
        <v>7</v>
      </c>
      <c r="F775" s="424" t="s">
        <v>1559</v>
      </c>
      <c r="G775" s="673"/>
    </row>
    <row r="776" spans="1:7" ht="14.25" hidden="1" customHeight="1">
      <c r="A776" s="1987" t="s">
        <v>1747</v>
      </c>
      <c r="B776" s="1967"/>
      <c r="C776" s="674" t="s">
        <v>228</v>
      </c>
      <c r="D776" s="442">
        <v>273000</v>
      </c>
      <c r="E776" s="687">
        <v>1</v>
      </c>
      <c r="F776" s="442">
        <f t="shared" ref="F776:F780" si="46">+E776*D776</f>
        <v>273000</v>
      </c>
      <c r="G776" s="676"/>
    </row>
    <row r="777" spans="1:7" ht="14.25" hidden="1" customHeight="1">
      <c r="A777" s="1995" t="str">
        <f>'LISTADO MATERIALES'!$C$379</f>
        <v>DISOLVENTE THINER</v>
      </c>
      <c r="B777" s="1611"/>
      <c r="C777" s="444" t="str">
        <f>'LISTADO MATERIALES'!$D$379</f>
        <v>GAL</v>
      </c>
      <c r="D777" s="440">
        <f>'LISTADO MATERIALES'!$E$379</f>
        <v>16275</v>
      </c>
      <c r="E777" s="444">
        <v>0.05</v>
      </c>
      <c r="F777" s="440">
        <f t="shared" si="46"/>
        <v>813.75</v>
      </c>
      <c r="G777" s="707"/>
    </row>
    <row r="778" spans="1:7" ht="14.25" hidden="1" customHeight="1">
      <c r="A778" s="1995" t="str">
        <f>'LISTADO MATERIALES'!$C$380</f>
        <v>ESMALTE</v>
      </c>
      <c r="B778" s="1611"/>
      <c r="C778" s="444" t="str">
        <f>'LISTADO MATERIALES'!$D$380</f>
        <v>GAL</v>
      </c>
      <c r="D778" s="440">
        <f>'LISTADO MATERIALES'!$E$380</f>
        <v>51450</v>
      </c>
      <c r="E778" s="444">
        <v>0.02</v>
      </c>
      <c r="F778" s="440">
        <f t="shared" si="46"/>
        <v>1029</v>
      </c>
      <c r="G778" s="707"/>
    </row>
    <row r="779" spans="1:7" ht="14.25" hidden="1" customHeight="1">
      <c r="A779" s="1995" t="str">
        <f>'LISTADO MATERIALES'!$C$368</f>
        <v>ANTICORROSIVO</v>
      </c>
      <c r="B779" s="1611"/>
      <c r="C779" s="444" t="str">
        <f>'LISTADO MATERIALES'!$D$368</f>
        <v>GAL</v>
      </c>
      <c r="D779" s="440">
        <f>'LISTADO MATERIALES'!$E$368</f>
        <v>33600</v>
      </c>
      <c r="E779" s="444">
        <v>0.02</v>
      </c>
      <c r="F779" s="440">
        <f t="shared" si="46"/>
        <v>672</v>
      </c>
      <c r="G779" s="707"/>
    </row>
    <row r="780" spans="1:7" ht="14.25" hidden="1" customHeight="1">
      <c r="A780" s="1995" t="str">
        <f>'LISTADO MATERIALES'!$C$86</f>
        <v>SOLDADURA WEST ARCO 6013X1/8</v>
      </c>
      <c r="B780" s="1611"/>
      <c r="C780" s="444" t="str">
        <f>'LISTADO MATERIALES'!$D$86</f>
        <v>KG</v>
      </c>
      <c r="D780" s="440">
        <f>'LISTADO MATERIALES'!$E$86</f>
        <v>9975</v>
      </c>
      <c r="E780" s="444">
        <v>0.6</v>
      </c>
      <c r="F780" s="700">
        <f t="shared" si="46"/>
        <v>5985</v>
      </c>
      <c r="G780" s="707"/>
    </row>
    <row r="781" spans="1:7" ht="14.25" hidden="1" customHeight="1">
      <c r="A781" s="2015" t="s">
        <v>1560</v>
      </c>
      <c r="B781" s="1601"/>
      <c r="C781" s="1601"/>
      <c r="D781" s="1601"/>
      <c r="E781" s="1601"/>
      <c r="F781" s="1801"/>
      <c r="G781" s="462">
        <f>SUM(F776:F780)</f>
        <v>281499.75</v>
      </c>
    </row>
    <row r="782" spans="1:7" ht="14.25" hidden="1" customHeight="1">
      <c r="A782" s="621" t="s">
        <v>1563</v>
      </c>
      <c r="B782" s="618"/>
      <c r="C782" s="618"/>
      <c r="D782" s="618"/>
      <c r="E782" s="618"/>
      <c r="F782" s="618"/>
      <c r="G782" s="743"/>
    </row>
    <row r="783" spans="1:7" ht="14.25" hidden="1" customHeight="1">
      <c r="A783" s="1975" t="s">
        <v>1556</v>
      </c>
      <c r="B783" s="1801"/>
      <c r="C783" s="424" t="s">
        <v>6</v>
      </c>
      <c r="D783" s="424" t="s">
        <v>1562</v>
      </c>
      <c r="E783" s="424" t="s">
        <v>7</v>
      </c>
      <c r="F783" s="424" t="s">
        <v>1559</v>
      </c>
      <c r="G783" s="438"/>
    </row>
    <row r="784" spans="1:7" ht="14.25" hidden="1" customHeight="1">
      <c r="A784" s="1987"/>
      <c r="B784" s="1967"/>
      <c r="C784" s="744"/>
      <c r="D784" s="675"/>
      <c r="E784" s="745"/>
      <c r="F784" s="464"/>
      <c r="G784" s="676"/>
    </row>
    <row r="785" spans="1:7" ht="14.25" hidden="1" customHeight="1">
      <c r="A785" s="1996"/>
      <c r="B785" s="1819"/>
      <c r="C785" s="744"/>
      <c r="D785" s="434"/>
      <c r="E785" s="746"/>
      <c r="F785" s="434"/>
      <c r="G785" s="457"/>
    </row>
    <row r="786" spans="1:7" ht="14.25" hidden="1" customHeight="1">
      <c r="A786" s="2015" t="s">
        <v>1560</v>
      </c>
      <c r="B786" s="1601"/>
      <c r="C786" s="1601"/>
      <c r="D786" s="1601"/>
      <c r="E786" s="1601"/>
      <c r="F786" s="1801"/>
      <c r="G786" s="462"/>
    </row>
    <row r="787" spans="1:7" ht="14.25" hidden="1" customHeight="1">
      <c r="A787" s="621" t="s">
        <v>1564</v>
      </c>
      <c r="B787" s="618"/>
      <c r="C787" s="618"/>
      <c r="D787" s="618"/>
      <c r="E787" s="618"/>
      <c r="F787" s="618"/>
      <c r="G787" s="743"/>
    </row>
    <row r="788" spans="1:7" ht="14.25" hidden="1" customHeight="1">
      <c r="A788" s="1975" t="s">
        <v>1565</v>
      </c>
      <c r="B788" s="1801"/>
      <c r="C788" s="424" t="s">
        <v>1566</v>
      </c>
      <c r="D788" s="424" t="s">
        <v>6</v>
      </c>
      <c r="E788" s="424" t="s">
        <v>7</v>
      </c>
      <c r="F788" s="424" t="s">
        <v>1559</v>
      </c>
      <c r="G788" s="462"/>
    </row>
    <row r="789" spans="1:7" ht="14.25" hidden="1" customHeight="1">
      <c r="A789" s="2004" t="s">
        <v>1716</v>
      </c>
      <c r="B789" s="1888"/>
      <c r="C789" s="679">
        <v>14142.890951641079</v>
      </c>
      <c r="D789" s="680">
        <v>1</v>
      </c>
      <c r="E789" s="680">
        <v>1</v>
      </c>
      <c r="F789" s="694">
        <f>+(C789*D789)*E789</f>
        <v>14142.890951641079</v>
      </c>
      <c r="G789" s="676"/>
    </row>
    <row r="790" spans="1:7" ht="14.25" hidden="1" customHeight="1">
      <c r="A790" s="1984"/>
      <c r="B790" s="1819"/>
      <c r="C790" s="747"/>
      <c r="D790" s="614"/>
      <c r="E790" s="614"/>
      <c r="F790" s="753"/>
      <c r="G790" s="709"/>
    </row>
    <row r="791" spans="1:7" ht="14.25" hidden="1" customHeight="1">
      <c r="A791" s="2015" t="str">
        <f>+A786</f>
        <v>SUB-TOTAL</v>
      </c>
      <c r="B791" s="1601"/>
      <c r="C791" s="1601"/>
      <c r="D791" s="1601"/>
      <c r="E791" s="1601"/>
      <c r="F791" s="1801"/>
      <c r="G791" s="462">
        <f>SUM(F789:F790)</f>
        <v>14142.890951641079</v>
      </c>
    </row>
    <row r="792" spans="1:7" ht="14.25" hidden="1" customHeight="1">
      <c r="A792" s="618"/>
      <c r="B792" s="618"/>
      <c r="C792" s="618"/>
      <c r="D792" s="618"/>
      <c r="E792" s="618"/>
      <c r="F792" s="748"/>
      <c r="G792" s="743"/>
    </row>
    <row r="793" spans="1:7" ht="14.25" hidden="1" customHeight="1">
      <c r="A793" s="2015" t="s">
        <v>1567</v>
      </c>
      <c r="B793" s="1601"/>
      <c r="C793" s="1601"/>
      <c r="D793" s="1601"/>
      <c r="E793" s="1601"/>
      <c r="F793" s="1801"/>
      <c r="G793" s="459">
        <f>ROUND(G773+G781+G786+G791,0)</f>
        <v>296955</v>
      </c>
    </row>
    <row r="794" spans="1:7" ht="14.25" hidden="1" customHeight="1">
      <c r="A794" s="616"/>
      <c r="B794" s="616"/>
      <c r="C794" s="616"/>
      <c r="D794" s="616"/>
      <c r="E794" s="616"/>
      <c r="F794" s="616"/>
      <c r="G794" s="616"/>
    </row>
    <row r="795" spans="1:7" ht="14.25" hidden="1" customHeight="1">
      <c r="A795" s="616"/>
      <c r="B795" s="616"/>
      <c r="C795" s="616"/>
      <c r="D795" s="616"/>
      <c r="E795" s="616"/>
      <c r="F795" s="616"/>
      <c r="G795" s="616"/>
    </row>
    <row r="796" spans="1:7" ht="22.5" hidden="1" customHeight="1">
      <c r="A796" s="2005" t="s">
        <v>1604</v>
      </c>
      <c r="B796" s="1616"/>
      <c r="C796" s="1624"/>
      <c r="D796" s="567"/>
      <c r="E796" s="567"/>
      <c r="F796" s="567"/>
      <c r="G796" s="668"/>
    </row>
    <row r="797" spans="1:7" ht="28.5" hidden="1" customHeight="1">
      <c r="A797" s="1971"/>
      <c r="B797" s="1817"/>
      <c r="C797" s="1972"/>
      <c r="D797" s="669"/>
      <c r="E797" s="669"/>
      <c r="F797" s="669"/>
      <c r="G797" s="670"/>
    </row>
    <row r="798" spans="1:7" ht="14.25" hidden="1" customHeight="1">
      <c r="A798" s="618"/>
      <c r="B798" s="618"/>
      <c r="C798" s="618"/>
      <c r="D798" s="618"/>
      <c r="E798" s="618"/>
      <c r="F798" s="618"/>
      <c r="G798" s="618"/>
    </row>
    <row r="799" spans="1:7" ht="36" hidden="1" customHeight="1">
      <c r="A799" s="1973" t="str">
        <f>A10</f>
        <v>PRECIOS UNITARIOS OFICIALES 2014</v>
      </c>
      <c r="B799" s="1601"/>
      <c r="C799" s="1602"/>
      <c r="D799" s="1974" t="s">
        <v>1748</v>
      </c>
      <c r="E799" s="1601"/>
      <c r="F799" s="1601"/>
      <c r="G799" s="1602"/>
    </row>
    <row r="801" spans="1:7" ht="14.25" hidden="1" customHeight="1">
      <c r="A801" s="572"/>
      <c r="B801" s="618"/>
      <c r="C801" s="616"/>
      <c r="D801" s="421" t="s">
        <v>1553</v>
      </c>
      <c r="E801" s="422" t="s">
        <v>1749</v>
      </c>
      <c r="F801" s="572"/>
      <c r="G801" s="572"/>
    </row>
    <row r="802" spans="1:7" ht="14.25" hidden="1" customHeight="1">
      <c r="A802" s="621" t="s">
        <v>1555</v>
      </c>
      <c r="B802" s="618"/>
      <c r="C802" s="618"/>
      <c r="D802" s="618"/>
      <c r="E802" s="618"/>
      <c r="F802" s="618"/>
      <c r="G802" s="618"/>
    </row>
    <row r="803" spans="1:7" ht="14.25" hidden="1" customHeight="1">
      <c r="A803" s="1975" t="s">
        <v>1556</v>
      </c>
      <c r="B803" s="1601"/>
      <c r="C803" s="1801"/>
      <c r="D803" s="424" t="s">
        <v>208</v>
      </c>
      <c r="E803" s="424" t="s">
        <v>1558</v>
      </c>
      <c r="F803" s="424" t="s">
        <v>1559</v>
      </c>
      <c r="G803" s="425"/>
    </row>
    <row r="804" spans="1:7" ht="14.25" hidden="1" customHeight="1">
      <c r="A804" s="1987" t="s">
        <v>1689</v>
      </c>
      <c r="B804" s="1811"/>
      <c r="C804" s="1967"/>
      <c r="D804" s="739" t="s">
        <v>1569</v>
      </c>
      <c r="E804" s="687">
        <v>1</v>
      </c>
      <c r="F804" s="442">
        <v>10150</v>
      </c>
      <c r="G804" s="688"/>
    </row>
    <row r="805" spans="1:7" ht="14.25" hidden="1" customHeight="1">
      <c r="A805" s="1995" t="s">
        <v>1690</v>
      </c>
      <c r="B805" s="1610"/>
      <c r="C805" s="1611"/>
      <c r="D805" s="464">
        <v>1500</v>
      </c>
      <c r="E805" s="706">
        <v>8</v>
      </c>
      <c r="F805" s="440">
        <f>+E805*D805</f>
        <v>12000</v>
      </c>
      <c r="G805" s="751"/>
    </row>
    <row r="806" spans="1:7" ht="14.25" hidden="1" customHeight="1">
      <c r="A806" s="1996"/>
      <c r="B806" s="1807"/>
      <c r="C806" s="1819"/>
      <c r="D806" s="434"/>
      <c r="E806" s="758"/>
      <c r="F806" s="434"/>
      <c r="G806" s="435"/>
    </row>
    <row r="807" spans="1:7" ht="14.25" hidden="1" customHeight="1">
      <c r="A807" s="2015" t="s">
        <v>1560</v>
      </c>
      <c r="B807" s="1601"/>
      <c r="C807" s="1601"/>
      <c r="D807" s="1601"/>
      <c r="E807" s="1601"/>
      <c r="F807" s="1801"/>
      <c r="G807" s="763">
        <f>SUM(F804:F806)</f>
        <v>22150</v>
      </c>
    </row>
    <row r="808" spans="1:7" ht="14.25" hidden="1" customHeight="1">
      <c r="A808" s="621" t="s">
        <v>1561</v>
      </c>
      <c r="B808" s="618"/>
      <c r="C808" s="618"/>
      <c r="D808" s="618"/>
      <c r="E808" s="618"/>
      <c r="F808" s="618"/>
      <c r="G808" s="764"/>
    </row>
    <row r="809" spans="1:7" ht="14.25" hidden="1" customHeight="1">
      <c r="A809" s="1975" t="s">
        <v>1556</v>
      </c>
      <c r="B809" s="1801"/>
      <c r="C809" s="424" t="s">
        <v>6</v>
      </c>
      <c r="D809" s="424" t="s">
        <v>1562</v>
      </c>
      <c r="E809" s="424" t="s">
        <v>7</v>
      </c>
      <c r="F809" s="424" t="s">
        <v>1559</v>
      </c>
      <c r="G809" s="765"/>
    </row>
    <row r="810" spans="1:7" ht="26.25" hidden="1" customHeight="1">
      <c r="A810" s="1987" t="s">
        <v>1750</v>
      </c>
      <c r="B810" s="1967"/>
      <c r="C810" s="674" t="s">
        <v>1749</v>
      </c>
      <c r="D810" s="442">
        <v>245000</v>
      </c>
      <c r="E810" s="687">
        <v>1</v>
      </c>
      <c r="F810" s="442">
        <f t="shared" ref="F810:F811" si="47">+E810*D810</f>
        <v>245000</v>
      </c>
      <c r="G810" s="766"/>
    </row>
    <row r="811" spans="1:7" ht="14.25" hidden="1" customHeight="1">
      <c r="A811" s="1995" t="s">
        <v>1751</v>
      </c>
      <c r="B811" s="1611"/>
      <c r="C811" s="444" t="s">
        <v>1569</v>
      </c>
      <c r="D811" s="440">
        <v>12000</v>
      </c>
      <c r="E811" s="444">
        <v>1</v>
      </c>
      <c r="F811" s="440">
        <f t="shared" si="47"/>
        <v>12000</v>
      </c>
      <c r="G811" s="767"/>
    </row>
    <row r="812" spans="1:7" ht="14.25" hidden="1" customHeight="1">
      <c r="A812" s="1995"/>
      <c r="B812" s="1611"/>
      <c r="C812" s="444"/>
      <c r="D812" s="440"/>
      <c r="E812" s="444"/>
      <c r="F812" s="440"/>
      <c r="G812" s="767"/>
    </row>
    <row r="813" spans="1:7" ht="14.25" hidden="1" customHeight="1">
      <c r="A813" s="1995"/>
      <c r="B813" s="1611"/>
      <c r="C813" s="444"/>
      <c r="D813" s="440"/>
      <c r="E813" s="444"/>
      <c r="F813" s="440"/>
      <c r="G813" s="767"/>
    </row>
    <row r="814" spans="1:7" ht="14.25" hidden="1" customHeight="1">
      <c r="A814" s="1995"/>
      <c r="B814" s="1611"/>
      <c r="C814" s="444"/>
      <c r="D814" s="440"/>
      <c r="E814" s="444"/>
      <c r="F814" s="700"/>
      <c r="G814" s="767"/>
    </row>
    <row r="815" spans="1:7" ht="14.25" hidden="1" customHeight="1">
      <c r="A815" s="2015" t="s">
        <v>1560</v>
      </c>
      <c r="B815" s="1601"/>
      <c r="C815" s="1601"/>
      <c r="D815" s="1601"/>
      <c r="E815" s="1601"/>
      <c r="F815" s="1801"/>
      <c r="G815" s="763">
        <f>SUM(F810:F814)</f>
        <v>257000</v>
      </c>
    </row>
    <row r="816" spans="1:7" ht="14.25" hidden="1" customHeight="1">
      <c r="A816" s="621" t="s">
        <v>1563</v>
      </c>
      <c r="B816" s="618"/>
      <c r="C816" s="618"/>
      <c r="D816" s="618"/>
      <c r="E816" s="618"/>
      <c r="F816" s="618"/>
      <c r="G816" s="618"/>
    </row>
    <row r="817" spans="1:7" ht="14.25" hidden="1" customHeight="1">
      <c r="A817" s="1975" t="s">
        <v>1556</v>
      </c>
      <c r="B817" s="1801"/>
      <c r="C817" s="424" t="s">
        <v>6</v>
      </c>
      <c r="D817" s="424" t="s">
        <v>1562</v>
      </c>
      <c r="E817" s="424" t="s">
        <v>7</v>
      </c>
      <c r="F817" s="424" t="s">
        <v>1559</v>
      </c>
      <c r="G817" s="690"/>
    </row>
    <row r="818" spans="1:7" ht="14.25" hidden="1" customHeight="1">
      <c r="A818" s="1987"/>
      <c r="B818" s="1967"/>
      <c r="C818" s="744"/>
      <c r="D818" s="675"/>
      <c r="E818" s="745"/>
      <c r="F818" s="464"/>
      <c r="G818" s="688"/>
    </row>
    <row r="819" spans="1:7" ht="14.25" hidden="1" customHeight="1">
      <c r="A819" s="1996"/>
      <c r="B819" s="1819"/>
      <c r="C819" s="744"/>
      <c r="D819" s="434"/>
      <c r="E819" s="746"/>
      <c r="F819" s="434"/>
      <c r="G819" s="768"/>
    </row>
    <row r="820" spans="1:7" ht="14.25" hidden="1" customHeight="1">
      <c r="A820" s="2015" t="s">
        <v>1560</v>
      </c>
      <c r="B820" s="1601"/>
      <c r="C820" s="1601"/>
      <c r="D820" s="1601"/>
      <c r="E820" s="1601"/>
      <c r="F820" s="1801"/>
      <c r="G820" s="769"/>
    </row>
    <row r="821" spans="1:7" ht="14.25" hidden="1" customHeight="1">
      <c r="A821" s="621" t="s">
        <v>1564</v>
      </c>
      <c r="B821" s="618"/>
      <c r="C821" s="618"/>
      <c r="D821" s="618"/>
      <c r="E821" s="618"/>
      <c r="F821" s="618"/>
      <c r="G821" s="618"/>
    </row>
    <row r="822" spans="1:7" ht="14.25" hidden="1" customHeight="1">
      <c r="A822" s="1975" t="s">
        <v>1565</v>
      </c>
      <c r="B822" s="1801"/>
      <c r="C822" s="424" t="s">
        <v>1566</v>
      </c>
      <c r="D822" s="424" t="s">
        <v>6</v>
      </c>
      <c r="E822" s="424" t="s">
        <v>1752</v>
      </c>
      <c r="F822" s="424" t="s">
        <v>1559</v>
      </c>
      <c r="G822" s="693"/>
    </row>
    <row r="823" spans="1:7" ht="17.25" hidden="1" customHeight="1">
      <c r="A823" s="2004" t="str">
        <f>'MANO DE OBRA'!$A$85</f>
        <v>Oficial (Incl. Prestaciones)</v>
      </c>
      <c r="B823" s="1888"/>
      <c r="C823" s="679">
        <f>'MANO DE OBRA'!$D$85</f>
        <v>15031.25</v>
      </c>
      <c r="D823" s="680">
        <v>1</v>
      </c>
      <c r="E823" s="680">
        <v>0.22571724821848563</v>
      </c>
      <c r="F823" s="454">
        <f t="shared" ref="F823:F824" si="48">+(C823*D823)/E823</f>
        <v>66593.271531692284</v>
      </c>
      <c r="G823" s="688"/>
    </row>
    <row r="824" spans="1:7" ht="14.25" hidden="1" customHeight="1">
      <c r="A824" s="1984" t="str">
        <f>'MANO DE OBRA'!$A$86</f>
        <v>Ayudante (Incl. Prestaciones)</v>
      </c>
      <c r="B824" s="1819"/>
      <c r="C824" s="747">
        <f>'MANO DE OBRA'!$D$86</f>
        <v>10972.8125</v>
      </c>
      <c r="D824" s="614">
        <v>3</v>
      </c>
      <c r="E824" s="614">
        <f>E823</f>
        <v>0.22571724821848563</v>
      </c>
      <c r="F824" s="455">
        <f t="shared" si="48"/>
        <v>145839.26465440611</v>
      </c>
      <c r="G824" s="435"/>
    </row>
    <row r="825" spans="1:7" ht="14.25" hidden="1" customHeight="1">
      <c r="A825" s="2015" t="str">
        <f>+A820</f>
        <v>SUB-TOTAL</v>
      </c>
      <c r="B825" s="1601"/>
      <c r="C825" s="1601"/>
      <c r="D825" s="1601"/>
      <c r="E825" s="1601"/>
      <c r="F825" s="1801"/>
      <c r="G825" s="462">
        <f>SUM(F823:F824)</f>
        <v>212432.53618609841</v>
      </c>
    </row>
    <row r="826" spans="1:7" ht="14.25" hidden="1" customHeight="1">
      <c r="A826" s="618"/>
      <c r="B826" s="618"/>
      <c r="C826" s="618"/>
      <c r="D826" s="618"/>
      <c r="E826" s="618"/>
      <c r="F826" s="748"/>
      <c r="G826" s="743"/>
    </row>
    <row r="827" spans="1:7" ht="14.25" hidden="1" customHeight="1">
      <c r="A827" s="2015" t="s">
        <v>1567</v>
      </c>
      <c r="B827" s="1601"/>
      <c r="C827" s="1601"/>
      <c r="D827" s="1601"/>
      <c r="E827" s="1601"/>
      <c r="F827" s="1801"/>
      <c r="G827" s="459">
        <f>ROUND(G807+G815+G820+G825,0)</f>
        <v>491583</v>
      </c>
    </row>
    <row r="828" spans="1:7" ht="14.25" hidden="1" customHeight="1">
      <c r="A828" s="616"/>
      <c r="B828" s="616"/>
      <c r="C828" s="616"/>
      <c r="D828" s="616"/>
      <c r="E828" s="616"/>
      <c r="F828" s="616"/>
      <c r="G828" s="616"/>
    </row>
    <row r="829" spans="1:7" ht="14.25" hidden="1" customHeight="1">
      <c r="A829" s="616"/>
      <c r="B829" s="616"/>
      <c r="C829" s="616"/>
      <c r="D829" s="616"/>
      <c r="E829" s="616"/>
      <c r="F829" s="616"/>
      <c r="G829" s="616"/>
    </row>
    <row r="830" spans="1:7" ht="26.25" hidden="1" customHeight="1">
      <c r="A830" s="2005" t="s">
        <v>1604</v>
      </c>
      <c r="B830" s="1616"/>
      <c r="C830" s="1624"/>
      <c r="D830" s="567"/>
      <c r="E830" s="567"/>
      <c r="F830" s="567"/>
      <c r="G830" s="668"/>
    </row>
    <row r="831" spans="1:7" ht="29.25" hidden="1" customHeight="1">
      <c r="A831" s="1971"/>
      <c r="B831" s="1817"/>
      <c r="C831" s="1972"/>
      <c r="D831" s="669"/>
      <c r="E831" s="669"/>
      <c r="F831" s="669"/>
      <c r="G831" s="670"/>
    </row>
    <row r="833" spans="1:7" ht="60.75" hidden="1" customHeight="1">
      <c r="A833" s="1973" t="str">
        <f>A10</f>
        <v>PRECIOS UNITARIOS OFICIALES 2014</v>
      </c>
      <c r="B833" s="1601"/>
      <c r="C833" s="1602"/>
      <c r="D833" s="1974" t="s">
        <v>1753</v>
      </c>
      <c r="E833" s="1601"/>
      <c r="F833" s="1601"/>
      <c r="G833" s="1602"/>
    </row>
    <row r="834" spans="1:7" ht="14.25" hidden="1" customHeight="1">
      <c r="A834" s="620"/>
      <c r="B834" s="620"/>
      <c r="C834" s="620"/>
      <c r="D834" s="620"/>
      <c r="E834" s="620"/>
      <c r="F834" s="620"/>
      <c r="G834" s="620"/>
    </row>
    <row r="835" spans="1:7" ht="14.25" hidden="1" customHeight="1">
      <c r="A835" s="572"/>
      <c r="B835" s="618"/>
      <c r="C835" s="616"/>
      <c r="D835" s="421" t="s">
        <v>1553</v>
      </c>
      <c r="E835" s="422" t="s">
        <v>127</v>
      </c>
      <c r="F835" s="572"/>
      <c r="G835" s="572"/>
    </row>
    <row r="836" spans="1:7" ht="14.25" hidden="1" customHeight="1">
      <c r="A836" s="621" t="s">
        <v>1555</v>
      </c>
      <c r="B836" s="618"/>
      <c r="C836" s="618"/>
      <c r="D836" s="618"/>
      <c r="E836" s="618"/>
      <c r="F836" s="618"/>
      <c r="G836" s="618"/>
    </row>
    <row r="837" spans="1:7" ht="14.25" hidden="1" customHeight="1">
      <c r="A837" s="1975" t="s">
        <v>1556</v>
      </c>
      <c r="B837" s="1601"/>
      <c r="C837" s="1801"/>
      <c r="D837" s="424" t="s">
        <v>208</v>
      </c>
      <c r="E837" s="424" t="s">
        <v>1558</v>
      </c>
      <c r="F837" s="424" t="s">
        <v>1559</v>
      </c>
      <c r="G837" s="425"/>
    </row>
    <row r="838" spans="1:7" ht="14.25" hidden="1" customHeight="1">
      <c r="A838" s="1987" t="s">
        <v>1689</v>
      </c>
      <c r="B838" s="1811"/>
      <c r="C838" s="1967"/>
      <c r="D838" s="739" t="s">
        <v>1569</v>
      </c>
      <c r="E838" s="687">
        <v>1</v>
      </c>
      <c r="F838" s="442">
        <v>129357</v>
      </c>
      <c r="G838" s="688"/>
    </row>
    <row r="839" spans="1:7" ht="14.25" hidden="1" customHeight="1">
      <c r="A839" s="1995" t="s">
        <v>1690</v>
      </c>
      <c r="B839" s="1610"/>
      <c r="C839" s="1611"/>
      <c r="D839" s="464">
        <v>1500</v>
      </c>
      <c r="E839" s="706">
        <v>24</v>
      </c>
      <c r="F839" s="440">
        <f>+E839*D839</f>
        <v>36000</v>
      </c>
      <c r="G839" s="751"/>
    </row>
    <row r="840" spans="1:7" ht="14.25" hidden="1" customHeight="1">
      <c r="A840" s="1996"/>
      <c r="B840" s="1807"/>
      <c r="C840" s="1819"/>
      <c r="D840" s="434"/>
      <c r="E840" s="758"/>
      <c r="F840" s="434"/>
      <c r="G840" s="435"/>
    </row>
    <row r="841" spans="1:7" ht="14.25" hidden="1" customHeight="1">
      <c r="A841" s="2015" t="s">
        <v>1560</v>
      </c>
      <c r="B841" s="1601"/>
      <c r="C841" s="1601"/>
      <c r="D841" s="1601"/>
      <c r="E841" s="1601"/>
      <c r="F841" s="1801"/>
      <c r="G841" s="763">
        <f>SUM(F838:F840)</f>
        <v>165357</v>
      </c>
    </row>
    <row r="842" spans="1:7" ht="14.25" hidden="1" customHeight="1">
      <c r="A842" s="621" t="s">
        <v>1561</v>
      </c>
      <c r="B842" s="618"/>
      <c r="C842" s="618"/>
      <c r="D842" s="618"/>
      <c r="E842" s="618"/>
      <c r="F842" s="618"/>
      <c r="G842" s="764"/>
    </row>
    <row r="843" spans="1:7" ht="14.25" hidden="1" customHeight="1">
      <c r="A843" s="1975" t="s">
        <v>1556</v>
      </c>
      <c r="B843" s="1801"/>
      <c r="C843" s="424" t="s">
        <v>6</v>
      </c>
      <c r="D843" s="424" t="s">
        <v>1562</v>
      </c>
      <c r="E843" s="424" t="s">
        <v>7</v>
      </c>
      <c r="F843" s="424" t="s">
        <v>1559</v>
      </c>
      <c r="G843" s="765"/>
    </row>
    <row r="844" spans="1:7" ht="14.25" hidden="1" customHeight="1">
      <c r="A844" s="1987" t="s">
        <v>1754</v>
      </c>
      <c r="B844" s="1967"/>
      <c r="C844" s="674" t="s">
        <v>120</v>
      </c>
      <c r="D844" s="442">
        <v>14500</v>
      </c>
      <c r="E844" s="687">
        <v>72</v>
      </c>
      <c r="F844" s="442">
        <f t="shared" ref="F844:F852" si="49">+E844*D844</f>
        <v>1044000</v>
      </c>
      <c r="G844" s="766"/>
    </row>
    <row r="845" spans="1:7" ht="14.25" hidden="1" customHeight="1">
      <c r="A845" s="1995" t="s">
        <v>1755</v>
      </c>
      <c r="B845" s="1611"/>
      <c r="C845" s="444" t="s">
        <v>171</v>
      </c>
      <c r="D845" s="440">
        <v>3612</v>
      </c>
      <c r="E845" s="444">
        <v>54</v>
      </c>
      <c r="F845" s="440">
        <f t="shared" si="49"/>
        <v>195048</v>
      </c>
      <c r="G845" s="767"/>
    </row>
    <row r="846" spans="1:7" ht="14.25" hidden="1" customHeight="1">
      <c r="A846" s="1995" t="s">
        <v>1756</v>
      </c>
      <c r="B846" s="1611"/>
      <c r="C846" s="444" t="s">
        <v>120</v>
      </c>
      <c r="D846" s="440">
        <v>19000</v>
      </c>
      <c r="E846" s="444">
        <v>180</v>
      </c>
      <c r="F846" s="440">
        <f t="shared" si="49"/>
        <v>3420000</v>
      </c>
      <c r="G846" s="767"/>
    </row>
    <row r="847" spans="1:7" ht="14.25" hidden="1" customHeight="1">
      <c r="A847" s="1995" t="s">
        <v>1757</v>
      </c>
      <c r="B847" s="1611"/>
      <c r="C847" s="444" t="s">
        <v>127</v>
      </c>
      <c r="D847" s="440">
        <v>155000</v>
      </c>
      <c r="E847" s="444">
        <v>12</v>
      </c>
      <c r="F847" s="440">
        <f t="shared" si="49"/>
        <v>1860000</v>
      </c>
      <c r="G847" s="767"/>
    </row>
    <row r="848" spans="1:7" ht="14.25" hidden="1" customHeight="1">
      <c r="A848" s="1995" t="s">
        <v>1758</v>
      </c>
      <c r="B848" s="1611"/>
      <c r="C848" s="444" t="s">
        <v>127</v>
      </c>
      <c r="D848" s="440">
        <v>20000</v>
      </c>
      <c r="E848" s="444">
        <v>36</v>
      </c>
      <c r="F848" s="440">
        <f t="shared" si="49"/>
        <v>720000</v>
      </c>
      <c r="G848" s="767"/>
    </row>
    <row r="849" spans="1:7" ht="14.25" hidden="1" customHeight="1">
      <c r="A849" s="1995" t="s">
        <v>1759</v>
      </c>
      <c r="B849" s="1611"/>
      <c r="C849" s="444" t="s">
        <v>171</v>
      </c>
      <c r="D849" s="440">
        <v>9000</v>
      </c>
      <c r="E849" s="444">
        <v>50</v>
      </c>
      <c r="F849" s="440">
        <f t="shared" si="49"/>
        <v>450000</v>
      </c>
      <c r="G849" s="767"/>
    </row>
    <row r="850" spans="1:7" ht="14.25" hidden="1" customHeight="1">
      <c r="A850" s="1995" t="s">
        <v>1760</v>
      </c>
      <c r="B850" s="1611"/>
      <c r="C850" s="444" t="s">
        <v>127</v>
      </c>
      <c r="D850" s="440">
        <v>9000</v>
      </c>
      <c r="E850" s="444">
        <v>30</v>
      </c>
      <c r="F850" s="440">
        <f t="shared" si="49"/>
        <v>270000</v>
      </c>
      <c r="G850" s="767"/>
    </row>
    <row r="851" spans="1:7" ht="27" hidden="1" customHeight="1">
      <c r="A851" s="1995" t="s">
        <v>1761</v>
      </c>
      <c r="B851" s="1611"/>
      <c r="C851" s="444" t="s">
        <v>1762</v>
      </c>
      <c r="D851" s="440">
        <v>85000</v>
      </c>
      <c r="E851" s="444">
        <v>10</v>
      </c>
      <c r="F851" s="440">
        <f t="shared" si="49"/>
        <v>850000</v>
      </c>
      <c r="G851" s="767"/>
    </row>
    <row r="852" spans="1:7" ht="25.5" hidden="1" customHeight="1">
      <c r="A852" s="1995" t="s">
        <v>1763</v>
      </c>
      <c r="B852" s="1611"/>
      <c r="C852" s="444" t="s">
        <v>127</v>
      </c>
      <c r="D852" s="440">
        <v>97000</v>
      </c>
      <c r="E852" s="444">
        <v>6</v>
      </c>
      <c r="F852" s="440">
        <f t="shared" si="49"/>
        <v>582000</v>
      </c>
      <c r="G852" s="767"/>
    </row>
    <row r="853" spans="1:7" ht="14.25" hidden="1" customHeight="1">
      <c r="A853" s="1995"/>
      <c r="B853" s="1611"/>
      <c r="C853" s="444"/>
      <c r="D853" s="440"/>
      <c r="E853" s="444"/>
      <c r="F853" s="440"/>
      <c r="G853" s="767"/>
    </row>
    <row r="854" spans="1:7" ht="14.25" hidden="1" customHeight="1">
      <c r="A854" s="1995"/>
      <c r="B854" s="1611"/>
      <c r="C854" s="444"/>
      <c r="D854" s="440"/>
      <c r="E854" s="444"/>
      <c r="F854" s="440"/>
      <c r="G854" s="767"/>
    </row>
    <row r="855" spans="1:7" ht="14.25" hidden="1" customHeight="1">
      <c r="A855" s="1995"/>
      <c r="B855" s="1611"/>
      <c r="C855" s="444"/>
      <c r="D855" s="440"/>
      <c r="E855" s="444"/>
      <c r="F855" s="700"/>
      <c r="G855" s="767"/>
    </row>
    <row r="856" spans="1:7" ht="14.25" hidden="1" customHeight="1">
      <c r="A856" s="2015" t="s">
        <v>1560</v>
      </c>
      <c r="B856" s="1601"/>
      <c r="C856" s="1601"/>
      <c r="D856" s="1601"/>
      <c r="E856" s="1601"/>
      <c r="F856" s="1801"/>
      <c r="G856" s="763">
        <f>SUM(F844:F855)</f>
        <v>9391048</v>
      </c>
    </row>
    <row r="857" spans="1:7" ht="14.25" hidden="1" customHeight="1">
      <c r="A857" s="621" t="s">
        <v>1563</v>
      </c>
      <c r="B857" s="618"/>
      <c r="C857" s="618"/>
      <c r="D857" s="618"/>
      <c r="E857" s="618"/>
      <c r="F857" s="618"/>
      <c r="G857" s="618"/>
    </row>
    <row r="858" spans="1:7" ht="14.25" hidden="1" customHeight="1">
      <c r="A858" s="1975" t="s">
        <v>1556</v>
      </c>
      <c r="B858" s="1801"/>
      <c r="C858" s="424" t="s">
        <v>6</v>
      </c>
      <c r="D858" s="424" t="s">
        <v>1562</v>
      </c>
      <c r="E858" s="424" t="s">
        <v>7</v>
      </c>
      <c r="F858" s="424" t="s">
        <v>1559</v>
      </c>
      <c r="G858" s="690"/>
    </row>
    <row r="859" spans="1:7" ht="14.25" hidden="1" customHeight="1">
      <c r="A859" s="1987"/>
      <c r="B859" s="1967"/>
      <c r="C859" s="744"/>
      <c r="D859" s="675"/>
      <c r="E859" s="745"/>
      <c r="F859" s="464"/>
      <c r="G859" s="688"/>
    </row>
    <row r="860" spans="1:7" ht="14.25" hidden="1" customHeight="1">
      <c r="A860" s="1996"/>
      <c r="B860" s="1819"/>
      <c r="C860" s="744"/>
      <c r="D860" s="434"/>
      <c r="E860" s="746"/>
      <c r="F860" s="434"/>
      <c r="G860" s="768"/>
    </row>
    <row r="861" spans="1:7" ht="14.25" hidden="1" customHeight="1">
      <c r="A861" s="2015" t="s">
        <v>1560</v>
      </c>
      <c r="B861" s="1601"/>
      <c r="C861" s="1601"/>
      <c r="D861" s="1601"/>
      <c r="E861" s="1601"/>
      <c r="F861" s="1801"/>
      <c r="G861" s="769"/>
    </row>
    <row r="862" spans="1:7" ht="14.25" hidden="1" customHeight="1">
      <c r="A862" s="621" t="s">
        <v>1564</v>
      </c>
      <c r="B862" s="618"/>
      <c r="C862" s="618"/>
      <c r="D862" s="618"/>
      <c r="E862" s="618"/>
      <c r="F862" s="618"/>
      <c r="G862" s="618"/>
    </row>
    <row r="863" spans="1:7" ht="14.25" hidden="1" customHeight="1">
      <c r="A863" s="1975" t="s">
        <v>1565</v>
      </c>
      <c r="B863" s="1801"/>
      <c r="C863" s="424" t="s">
        <v>1566</v>
      </c>
      <c r="D863" s="424" t="s">
        <v>6</v>
      </c>
      <c r="E863" s="424" t="s">
        <v>1752</v>
      </c>
      <c r="F863" s="424" t="s">
        <v>1559</v>
      </c>
      <c r="G863" s="693"/>
    </row>
    <row r="864" spans="1:7" ht="14.25" hidden="1" customHeight="1">
      <c r="A864" s="2004" t="str">
        <f>'MANO DE OBRA'!$A$85</f>
        <v>Oficial (Incl. Prestaciones)</v>
      </c>
      <c r="B864" s="1888"/>
      <c r="C864" s="679">
        <f>'MANO DE OBRA'!$D$85</f>
        <v>15031.25</v>
      </c>
      <c r="D864" s="680">
        <v>1</v>
      </c>
      <c r="E864" s="680">
        <v>0.03</v>
      </c>
      <c r="F864" s="454">
        <f t="shared" ref="F864:F866" si="50">+(C864*D864)/E864</f>
        <v>501041.66666666669</v>
      </c>
      <c r="G864" s="688"/>
    </row>
    <row r="865" spans="1:7" ht="14.25" hidden="1" customHeight="1">
      <c r="A865" s="2016" t="str">
        <f>'MANO DE OBRA'!$A$86</f>
        <v>Ayudante (Incl. Prestaciones)</v>
      </c>
      <c r="B865" s="1611"/>
      <c r="C865" s="747">
        <f>'MANO DE OBRA'!$D$86</f>
        <v>10972.8125</v>
      </c>
      <c r="D865" s="614">
        <v>3</v>
      </c>
      <c r="E865" s="614">
        <f>E864</f>
        <v>0.03</v>
      </c>
      <c r="F865" s="770">
        <f t="shared" si="50"/>
        <v>1097281.25</v>
      </c>
      <c r="G865" s="771"/>
    </row>
    <row r="866" spans="1:7" ht="14.25" hidden="1" customHeight="1">
      <c r="A866" s="1984" t="str">
        <f>'MANO DE OBRA'!$A$95</f>
        <v>MANO OBRA CARPINTERIA MET.</v>
      </c>
      <c r="B866" s="1819"/>
      <c r="C866" s="747">
        <f>'MANO DE OBRA'!E95</f>
        <v>31204.875</v>
      </c>
      <c r="D866" s="614">
        <v>1</v>
      </c>
      <c r="E866" s="614">
        <v>2.1999999999999999E-2</v>
      </c>
      <c r="F866" s="455">
        <f t="shared" si="50"/>
        <v>1418403.4090909092</v>
      </c>
      <c r="G866" s="435"/>
    </row>
    <row r="867" spans="1:7" ht="14.25" hidden="1" customHeight="1">
      <c r="A867" s="2015" t="str">
        <f>+A861</f>
        <v>SUB-TOTAL</v>
      </c>
      <c r="B867" s="1601"/>
      <c r="C867" s="1601"/>
      <c r="D867" s="1601"/>
      <c r="E867" s="1601"/>
      <c r="F867" s="1801"/>
      <c r="G867" s="462">
        <f>SUM(F864:F866)</f>
        <v>3016726.3257575762</v>
      </c>
    </row>
    <row r="868" spans="1:7" ht="14.25" hidden="1" customHeight="1">
      <c r="A868" s="618"/>
      <c r="B868" s="618"/>
      <c r="C868" s="618"/>
      <c r="D868" s="618"/>
      <c r="E868" s="618"/>
      <c r="F868" s="748"/>
      <c r="G868" s="743"/>
    </row>
    <row r="869" spans="1:7" ht="14.25" hidden="1" customHeight="1">
      <c r="A869" s="2015" t="s">
        <v>1567</v>
      </c>
      <c r="B869" s="1601"/>
      <c r="C869" s="1601"/>
      <c r="D869" s="1601"/>
      <c r="E869" s="1601"/>
      <c r="F869" s="1801"/>
      <c r="G869" s="459">
        <f>ROUND(G841+G856+G861+G867,0)</f>
        <v>12573131</v>
      </c>
    </row>
    <row r="870" spans="1:7" ht="24.75" hidden="1" customHeight="1">
      <c r="A870" s="2005" t="s">
        <v>1604</v>
      </c>
      <c r="B870" s="1616"/>
      <c r="C870" s="1624"/>
      <c r="D870" s="567"/>
      <c r="E870" s="567"/>
      <c r="F870" s="567"/>
      <c r="G870" s="668"/>
    </row>
    <row r="871" spans="1:7" ht="28.5" hidden="1" customHeight="1">
      <c r="A871" s="1971"/>
      <c r="B871" s="1817"/>
      <c r="C871" s="1972"/>
      <c r="D871" s="669"/>
      <c r="E871" s="669"/>
      <c r="F871" s="669"/>
      <c r="G871" s="670"/>
    </row>
    <row r="872" spans="1:7" ht="14.25" hidden="1" customHeight="1">
      <c r="A872" s="618"/>
      <c r="B872" s="618"/>
      <c r="C872" s="618"/>
      <c r="D872" s="618"/>
      <c r="E872" s="618"/>
      <c r="F872" s="618"/>
      <c r="G872" s="618"/>
    </row>
    <row r="873" spans="1:7" ht="32.25" hidden="1" customHeight="1">
      <c r="A873" s="1973" t="str">
        <f>A10</f>
        <v>PRECIOS UNITARIOS OFICIALES 2014</v>
      </c>
      <c r="B873" s="1601"/>
      <c r="C873" s="1602"/>
      <c r="D873" s="1974" t="s">
        <v>1764</v>
      </c>
      <c r="E873" s="1601"/>
      <c r="F873" s="1601"/>
      <c r="G873" s="1602"/>
    </row>
    <row r="874" spans="1:7" ht="14.25" hidden="1" customHeight="1">
      <c r="A874" s="620"/>
      <c r="B874" s="620"/>
      <c r="C874" s="620"/>
      <c r="D874" s="620"/>
      <c r="E874" s="620"/>
      <c r="F874" s="620"/>
      <c r="G874" s="620"/>
    </row>
    <row r="875" spans="1:7" ht="14.25" hidden="1" customHeight="1">
      <c r="A875" s="572"/>
      <c r="B875" s="618"/>
      <c r="C875" s="616"/>
      <c r="D875" s="421" t="s">
        <v>1553</v>
      </c>
      <c r="E875" s="422" t="s">
        <v>120</v>
      </c>
      <c r="F875" s="572"/>
      <c r="G875" s="572"/>
    </row>
    <row r="876" spans="1:7" ht="14.25" hidden="1" customHeight="1">
      <c r="A876" s="621" t="s">
        <v>1555</v>
      </c>
      <c r="B876" s="618"/>
      <c r="C876" s="618"/>
      <c r="D876" s="618"/>
      <c r="E876" s="618"/>
      <c r="F876" s="618"/>
      <c r="G876" s="618"/>
    </row>
    <row r="877" spans="1:7" ht="14.25" hidden="1" customHeight="1">
      <c r="A877" s="1975" t="s">
        <v>1556</v>
      </c>
      <c r="B877" s="1601"/>
      <c r="C877" s="1801"/>
      <c r="D877" s="424" t="s">
        <v>208</v>
      </c>
      <c r="E877" s="424" t="s">
        <v>1558</v>
      </c>
      <c r="F877" s="424" t="s">
        <v>1559</v>
      </c>
      <c r="G877" s="425"/>
    </row>
    <row r="878" spans="1:7" ht="14.25" hidden="1" customHeight="1">
      <c r="A878" s="1987" t="s">
        <v>1689</v>
      </c>
      <c r="B878" s="1811"/>
      <c r="C878" s="1967"/>
      <c r="D878" s="739" t="s">
        <v>1569</v>
      </c>
      <c r="E878" s="687">
        <v>1</v>
      </c>
      <c r="F878" s="442">
        <v>730</v>
      </c>
      <c r="G878" s="688"/>
    </row>
    <row r="879" spans="1:7" ht="14.25" hidden="1" customHeight="1">
      <c r="A879" s="1995" t="s">
        <v>1690</v>
      </c>
      <c r="B879" s="1610"/>
      <c r="C879" s="1611"/>
      <c r="D879" s="464">
        <v>1500</v>
      </c>
      <c r="E879" s="706">
        <v>0.5</v>
      </c>
      <c r="F879" s="440">
        <f>+E879*D879</f>
        <v>750</v>
      </c>
      <c r="G879" s="751"/>
    </row>
    <row r="880" spans="1:7" ht="14.25" hidden="1" customHeight="1">
      <c r="A880" s="1996"/>
      <c r="B880" s="1807"/>
      <c r="C880" s="1819"/>
      <c r="D880" s="434"/>
      <c r="E880" s="758"/>
      <c r="F880" s="434"/>
      <c r="G880" s="435"/>
    </row>
    <row r="881" spans="1:7" ht="14.25" hidden="1" customHeight="1">
      <c r="A881" s="2015" t="s">
        <v>1560</v>
      </c>
      <c r="B881" s="1601"/>
      <c r="C881" s="1601"/>
      <c r="D881" s="1601"/>
      <c r="E881" s="1601"/>
      <c r="F881" s="1801"/>
      <c r="G881" s="763">
        <f>SUM(F878:F880)</f>
        <v>1480</v>
      </c>
    </row>
    <row r="882" spans="1:7" ht="14.25" hidden="1" customHeight="1">
      <c r="A882" s="621" t="s">
        <v>1561</v>
      </c>
      <c r="B882" s="618"/>
      <c r="C882" s="618"/>
      <c r="D882" s="618"/>
      <c r="E882" s="618"/>
      <c r="F882" s="618"/>
      <c r="G882" s="764"/>
    </row>
    <row r="883" spans="1:7" ht="14.25" hidden="1" customHeight="1">
      <c r="A883" s="1975" t="s">
        <v>1556</v>
      </c>
      <c r="B883" s="1801"/>
      <c r="C883" s="424" t="s">
        <v>6</v>
      </c>
      <c r="D883" s="424" t="s">
        <v>1562</v>
      </c>
      <c r="E883" s="424" t="s">
        <v>7</v>
      </c>
      <c r="F883" s="424" t="s">
        <v>1559</v>
      </c>
      <c r="G883" s="765"/>
    </row>
    <row r="884" spans="1:7" ht="16.5" hidden="1" customHeight="1">
      <c r="A884" s="1987" t="str">
        <f>'LISTADO MATERIALES'!$C$105</f>
        <v>TUBO ESTRUCTURAL D=6"</v>
      </c>
      <c r="B884" s="1967"/>
      <c r="C884" s="674" t="str">
        <f>'LISTADO MATERIALES'!$D$105</f>
        <v>ML</v>
      </c>
      <c r="D884" s="442">
        <f>'LISTADO MATERIALES'!$E$105</f>
        <v>68250</v>
      </c>
      <c r="E884" s="687">
        <v>1</v>
      </c>
      <c r="F884" s="442">
        <f t="shared" ref="F884:F887" si="51">+E884*D884</f>
        <v>68250</v>
      </c>
      <c r="G884" s="766"/>
    </row>
    <row r="885" spans="1:7" ht="15.75" hidden="1" customHeight="1">
      <c r="A885" s="1995" t="str">
        <f>'LISTADO MATERIALES'!$C$519</f>
        <v>SOLDADURA METÁLICA 6013 * 1/8</v>
      </c>
      <c r="B885" s="1611"/>
      <c r="C885" s="444" t="str">
        <f>'LISTADO MATERIALES'!$D$519</f>
        <v>KG</v>
      </c>
      <c r="D885" s="440">
        <f>'LISTADO MATERIALES'!$E$519</f>
        <v>9450</v>
      </c>
      <c r="E885" s="706">
        <v>1</v>
      </c>
      <c r="F885" s="440">
        <f t="shared" si="51"/>
        <v>9450</v>
      </c>
      <c r="G885" s="767"/>
    </row>
    <row r="886" spans="1:7" ht="15.75" hidden="1" customHeight="1">
      <c r="A886" s="1995" t="str">
        <f>'LISTADO MATERIALES'!$C$368</f>
        <v>ANTICORROSIVO</v>
      </c>
      <c r="B886" s="1611"/>
      <c r="C886" s="444" t="str">
        <f>'LISTADO MATERIALES'!$D$368</f>
        <v>GAL</v>
      </c>
      <c r="D886" s="440">
        <f>'LISTADO MATERIALES'!$E$368</f>
        <v>33600</v>
      </c>
      <c r="E886" s="706">
        <v>0.1</v>
      </c>
      <c r="F886" s="440">
        <f t="shared" si="51"/>
        <v>3360</v>
      </c>
      <c r="G886" s="767"/>
    </row>
    <row r="887" spans="1:7" ht="15.75" hidden="1" customHeight="1">
      <c r="A887" s="1995" t="str">
        <f>'LISTADO MATERIALES'!$C$380</f>
        <v>ESMALTE</v>
      </c>
      <c r="B887" s="1611"/>
      <c r="C887" s="444" t="str">
        <f>'LISTADO MATERIALES'!$D$380</f>
        <v>GAL</v>
      </c>
      <c r="D887" s="440">
        <f>'LISTADO MATERIALES'!$E$380</f>
        <v>51450</v>
      </c>
      <c r="E887" s="706">
        <v>0.1</v>
      </c>
      <c r="F887" s="440">
        <f t="shared" si="51"/>
        <v>5145</v>
      </c>
      <c r="G887" s="767"/>
    </row>
    <row r="888" spans="1:7" ht="14.25" hidden="1" customHeight="1">
      <c r="A888" s="1995"/>
      <c r="B888" s="1611"/>
      <c r="C888" s="444"/>
      <c r="D888" s="440"/>
      <c r="E888" s="444"/>
      <c r="F888" s="700"/>
      <c r="G888" s="767"/>
    </row>
    <row r="889" spans="1:7" ht="14.25" hidden="1" customHeight="1">
      <c r="A889" s="2015" t="s">
        <v>1560</v>
      </c>
      <c r="B889" s="1601"/>
      <c r="C889" s="1601"/>
      <c r="D889" s="1601"/>
      <c r="E889" s="1601"/>
      <c r="F889" s="1801"/>
      <c r="G889" s="763">
        <f>SUM(F884:F888)</f>
        <v>86205</v>
      </c>
    </row>
    <row r="890" spans="1:7" ht="14.25" hidden="1" customHeight="1">
      <c r="A890" s="621" t="s">
        <v>1563</v>
      </c>
      <c r="B890" s="618"/>
      <c r="C890" s="618"/>
      <c r="D890" s="618"/>
      <c r="E890" s="618"/>
      <c r="F890" s="618"/>
      <c r="G890" s="618"/>
    </row>
    <row r="891" spans="1:7" ht="14.25" hidden="1" customHeight="1">
      <c r="A891" s="1975" t="s">
        <v>1556</v>
      </c>
      <c r="B891" s="1801"/>
      <c r="C891" s="424" t="s">
        <v>6</v>
      </c>
      <c r="D891" s="424" t="s">
        <v>1562</v>
      </c>
      <c r="E891" s="424" t="s">
        <v>7</v>
      </c>
      <c r="F891" s="424" t="s">
        <v>1559</v>
      </c>
      <c r="G891" s="690"/>
    </row>
    <row r="892" spans="1:7" ht="14.25" hidden="1" customHeight="1">
      <c r="A892" s="1987"/>
      <c r="B892" s="1967"/>
      <c r="C892" s="744"/>
      <c r="D892" s="675"/>
      <c r="E892" s="745"/>
      <c r="F892" s="464"/>
      <c r="G892" s="688"/>
    </row>
    <row r="893" spans="1:7" ht="14.25" hidden="1" customHeight="1">
      <c r="A893" s="1996"/>
      <c r="B893" s="1819"/>
      <c r="C893" s="744"/>
      <c r="D893" s="434"/>
      <c r="E893" s="746"/>
      <c r="F893" s="434"/>
      <c r="G893" s="768"/>
    </row>
    <row r="894" spans="1:7" ht="14.25" hidden="1" customHeight="1">
      <c r="A894" s="2015" t="s">
        <v>1560</v>
      </c>
      <c r="B894" s="1601"/>
      <c r="C894" s="1601"/>
      <c r="D894" s="1601"/>
      <c r="E894" s="1601"/>
      <c r="F894" s="1801"/>
      <c r="G894" s="769"/>
    </row>
    <row r="895" spans="1:7" ht="14.25" hidden="1" customHeight="1">
      <c r="A895" s="621" t="s">
        <v>1564</v>
      </c>
      <c r="B895" s="618"/>
      <c r="C895" s="618"/>
      <c r="D895" s="618"/>
      <c r="E895" s="618"/>
      <c r="F895" s="618"/>
      <c r="G895" s="618"/>
    </row>
    <row r="896" spans="1:7" ht="14.25" hidden="1" customHeight="1">
      <c r="A896" s="1975" t="s">
        <v>1565</v>
      </c>
      <c r="B896" s="1801"/>
      <c r="C896" s="424" t="s">
        <v>1566</v>
      </c>
      <c r="D896" s="424" t="s">
        <v>6</v>
      </c>
      <c r="E896" s="424" t="s">
        <v>1752</v>
      </c>
      <c r="F896" s="424" t="s">
        <v>1559</v>
      </c>
      <c r="G896" s="693"/>
    </row>
    <row r="897" spans="1:7" ht="14.25" hidden="1" customHeight="1">
      <c r="A897" s="2004" t="str">
        <f>'MANO DE OBRA'!$A$85</f>
        <v>Oficial (Incl. Prestaciones)</v>
      </c>
      <c r="B897" s="1888"/>
      <c r="C897" s="679">
        <f>'MANO DE OBRA'!$D$85</f>
        <v>15031.25</v>
      </c>
      <c r="D897" s="680">
        <v>1</v>
      </c>
      <c r="E897" s="680">
        <v>1.6</v>
      </c>
      <c r="F897" s="454">
        <f t="shared" ref="F897:F898" si="52">+(C897*D897)/E897</f>
        <v>9394.53125</v>
      </c>
      <c r="G897" s="688"/>
    </row>
    <row r="898" spans="1:7" ht="14.25" hidden="1" customHeight="1">
      <c r="A898" s="1984" t="str">
        <f>'MANO DE OBRA'!$A$86</f>
        <v>Ayudante (Incl. Prestaciones)</v>
      </c>
      <c r="B898" s="1819"/>
      <c r="C898" s="747">
        <f>'MANO DE OBRA'!$D$86</f>
        <v>10972.8125</v>
      </c>
      <c r="D898" s="614">
        <v>2</v>
      </c>
      <c r="E898" s="614">
        <f>E897</f>
        <v>1.6</v>
      </c>
      <c r="F898" s="455">
        <f t="shared" si="52"/>
        <v>13716.015625</v>
      </c>
      <c r="G898" s="435"/>
    </row>
    <row r="899" spans="1:7" ht="14.25" hidden="1" customHeight="1">
      <c r="A899" s="2015" t="str">
        <f>+A894</f>
        <v>SUB-TOTAL</v>
      </c>
      <c r="B899" s="1601"/>
      <c r="C899" s="1601"/>
      <c r="D899" s="1601"/>
      <c r="E899" s="1601"/>
      <c r="F899" s="1801"/>
      <c r="G899" s="462">
        <f>SUM(F897:F898)</f>
        <v>23110.546875</v>
      </c>
    </row>
    <row r="900" spans="1:7" ht="14.25" hidden="1" customHeight="1">
      <c r="A900" s="618"/>
      <c r="B900" s="618"/>
      <c r="C900" s="618"/>
      <c r="D900" s="618"/>
      <c r="E900" s="618"/>
      <c r="F900" s="748"/>
      <c r="G900" s="743"/>
    </row>
    <row r="901" spans="1:7" ht="14.25" hidden="1" customHeight="1">
      <c r="A901" s="2015" t="s">
        <v>1567</v>
      </c>
      <c r="B901" s="1601"/>
      <c r="C901" s="1601"/>
      <c r="D901" s="1601"/>
      <c r="E901" s="1601"/>
      <c r="F901" s="1801"/>
      <c r="G901" s="459">
        <f>ROUND(G881+G889+G894+G899,0)</f>
        <v>110796</v>
      </c>
    </row>
    <row r="902" spans="1:7" ht="14.25" hidden="1" customHeight="1">
      <c r="A902" s="616"/>
      <c r="B902" s="616"/>
      <c r="C902" s="616"/>
      <c r="D902" s="616"/>
      <c r="E902" s="616"/>
      <c r="F902" s="616"/>
      <c r="G902" s="616"/>
    </row>
    <row r="903" spans="1:7" ht="14.25" hidden="1" customHeight="1">
      <c r="A903" s="616"/>
      <c r="B903" s="616"/>
      <c r="C903" s="616"/>
      <c r="D903" s="616"/>
      <c r="E903" s="616"/>
      <c r="F903" s="616"/>
      <c r="G903" s="616"/>
    </row>
    <row r="904" spans="1:7" ht="30.75" hidden="1" customHeight="1">
      <c r="A904" s="2005" t="s">
        <v>1604</v>
      </c>
      <c r="B904" s="1616"/>
      <c r="C904" s="1624"/>
      <c r="D904" s="567"/>
      <c r="E904" s="567"/>
      <c r="F904" s="567"/>
      <c r="G904" s="668"/>
    </row>
    <row r="905" spans="1:7" ht="27.75" hidden="1" customHeight="1">
      <c r="A905" s="1971"/>
      <c r="B905" s="1817"/>
      <c r="C905" s="1972"/>
      <c r="D905" s="669"/>
      <c r="E905" s="669"/>
      <c r="F905" s="669"/>
      <c r="G905" s="670"/>
    </row>
    <row r="906" spans="1:7" ht="14.25" hidden="1" customHeight="1">
      <c r="A906" s="618"/>
      <c r="B906" s="618"/>
      <c r="C906" s="618"/>
      <c r="D906" s="618"/>
      <c r="E906" s="618"/>
      <c r="F906" s="618"/>
      <c r="G906" s="618"/>
    </row>
    <row r="907" spans="1:7" ht="35.25" hidden="1" customHeight="1">
      <c r="A907" s="1973" t="str">
        <f>A10</f>
        <v>PRECIOS UNITARIOS OFICIALES 2014</v>
      </c>
      <c r="B907" s="1601"/>
      <c r="C907" s="1602"/>
      <c r="D907" s="1974" t="s">
        <v>1765</v>
      </c>
      <c r="E907" s="1601"/>
      <c r="F907" s="1601"/>
      <c r="G907" s="1602"/>
    </row>
    <row r="908" spans="1:7" ht="14.25" hidden="1" customHeight="1">
      <c r="A908" s="620"/>
      <c r="B908" s="620"/>
      <c r="C908" s="620"/>
      <c r="D908" s="620"/>
      <c r="E908" s="620"/>
      <c r="F908" s="620"/>
      <c r="G908" s="620"/>
    </row>
    <row r="909" spans="1:7" ht="14.25" hidden="1" customHeight="1">
      <c r="A909" s="572"/>
      <c r="B909" s="618"/>
      <c r="C909" s="616"/>
      <c r="D909" s="421" t="s">
        <v>1553</v>
      </c>
      <c r="E909" s="422" t="s">
        <v>120</v>
      </c>
      <c r="F909" s="572"/>
      <c r="G909" s="572"/>
    </row>
    <row r="910" spans="1:7" ht="14.25" hidden="1" customHeight="1">
      <c r="A910" s="621" t="s">
        <v>1555</v>
      </c>
      <c r="B910" s="618"/>
      <c r="C910" s="618"/>
      <c r="D910" s="618"/>
      <c r="E910" s="618"/>
      <c r="F910" s="618"/>
      <c r="G910" s="618"/>
    </row>
    <row r="911" spans="1:7" ht="14.25" hidden="1" customHeight="1">
      <c r="A911" s="1975" t="s">
        <v>1556</v>
      </c>
      <c r="B911" s="1601"/>
      <c r="C911" s="1801"/>
      <c r="D911" s="424" t="s">
        <v>208</v>
      </c>
      <c r="E911" s="424" t="s">
        <v>1558</v>
      </c>
      <c r="F911" s="424" t="s">
        <v>1559</v>
      </c>
      <c r="G911" s="425"/>
    </row>
    <row r="912" spans="1:7" ht="14.25" hidden="1" customHeight="1">
      <c r="A912" s="1987" t="s">
        <v>1689</v>
      </c>
      <c r="B912" s="1811"/>
      <c r="C912" s="1967"/>
      <c r="D912" s="739" t="s">
        <v>1569</v>
      </c>
      <c r="E912" s="687">
        <v>1</v>
      </c>
      <c r="F912" s="442">
        <v>171</v>
      </c>
      <c r="G912" s="688"/>
    </row>
    <row r="913" spans="1:7" ht="14.25" hidden="1" customHeight="1">
      <c r="A913" s="1995" t="s">
        <v>1690</v>
      </c>
      <c r="B913" s="1610"/>
      <c r="C913" s="1611"/>
      <c r="D913" s="464">
        <v>1500</v>
      </c>
      <c r="E913" s="706">
        <v>0.2</v>
      </c>
      <c r="F913" s="440">
        <f>+E913*D913</f>
        <v>300</v>
      </c>
      <c r="G913" s="751"/>
    </row>
    <row r="914" spans="1:7" ht="14.25" hidden="1" customHeight="1">
      <c r="A914" s="1996"/>
      <c r="B914" s="1807"/>
      <c r="C914" s="1819"/>
      <c r="D914" s="434"/>
      <c r="E914" s="758"/>
      <c r="F914" s="434"/>
      <c r="G914" s="435"/>
    </row>
    <row r="915" spans="1:7" ht="14.25" hidden="1" customHeight="1">
      <c r="A915" s="2015" t="s">
        <v>1560</v>
      </c>
      <c r="B915" s="1601"/>
      <c r="C915" s="1601"/>
      <c r="D915" s="1601"/>
      <c r="E915" s="1601"/>
      <c r="F915" s="1801"/>
      <c r="G915" s="763">
        <f>SUM(F912:F914)</f>
        <v>471</v>
      </c>
    </row>
    <row r="916" spans="1:7" ht="14.25" hidden="1" customHeight="1">
      <c r="A916" s="621" t="s">
        <v>1561</v>
      </c>
      <c r="B916" s="618"/>
      <c r="C916" s="618"/>
      <c r="D916" s="618"/>
      <c r="E916" s="618"/>
      <c r="F916" s="618"/>
      <c r="G916" s="764"/>
    </row>
    <row r="917" spans="1:7" ht="14.25" hidden="1" customHeight="1">
      <c r="A917" s="1975" t="s">
        <v>1556</v>
      </c>
      <c r="B917" s="1801"/>
      <c r="C917" s="424" t="s">
        <v>6</v>
      </c>
      <c r="D917" s="424" t="s">
        <v>1562</v>
      </c>
      <c r="E917" s="424" t="s">
        <v>7</v>
      </c>
      <c r="F917" s="424" t="s">
        <v>1559</v>
      </c>
      <c r="G917" s="765"/>
    </row>
    <row r="918" spans="1:7" ht="14.25" hidden="1" customHeight="1">
      <c r="A918" s="1987" t="str">
        <f>'LISTADO MATERIALES'!$C$104</f>
        <v>TUBO ESTRUCTURAL D=2"</v>
      </c>
      <c r="B918" s="1967"/>
      <c r="C918" s="674" t="str">
        <f>'LISTADO MATERIALES'!$D$104</f>
        <v>ML</v>
      </c>
      <c r="D918" s="442">
        <f>'LISTADO MATERIALES'!$E$104</f>
        <v>17325</v>
      </c>
      <c r="E918" s="687">
        <v>1</v>
      </c>
      <c r="F918" s="442">
        <f t="shared" ref="F918:F921" si="53">+E918*D918</f>
        <v>17325</v>
      </c>
      <c r="G918" s="766"/>
    </row>
    <row r="919" spans="1:7" ht="14.25" hidden="1" customHeight="1">
      <c r="A919" s="1995" t="str">
        <f>'LISTADO MATERIALES'!$C$519</f>
        <v>SOLDADURA METÁLICA 6013 * 1/8</v>
      </c>
      <c r="B919" s="1611"/>
      <c r="C919" s="444" t="str">
        <f>'LISTADO MATERIALES'!$D$519</f>
        <v>KG</v>
      </c>
      <c r="D919" s="440">
        <f>'LISTADO MATERIALES'!$E$519</f>
        <v>9450</v>
      </c>
      <c r="E919" s="706">
        <v>0.1</v>
      </c>
      <c r="F919" s="440">
        <f t="shared" si="53"/>
        <v>945</v>
      </c>
      <c r="G919" s="767"/>
    </row>
    <row r="920" spans="1:7" ht="14.25" hidden="1" customHeight="1">
      <c r="A920" s="1995" t="str">
        <f>'LISTADO MATERIALES'!$C$368</f>
        <v>ANTICORROSIVO</v>
      </c>
      <c r="B920" s="1611"/>
      <c r="C920" s="444" t="str">
        <f>'LISTADO MATERIALES'!$D$368</f>
        <v>GAL</v>
      </c>
      <c r="D920" s="440">
        <f>'LISTADO MATERIALES'!$E$368</f>
        <v>33600</v>
      </c>
      <c r="E920" s="706">
        <v>0.05</v>
      </c>
      <c r="F920" s="440">
        <f t="shared" si="53"/>
        <v>1680</v>
      </c>
      <c r="G920" s="767"/>
    </row>
    <row r="921" spans="1:7" ht="14.25" hidden="1" customHeight="1">
      <c r="A921" s="1995" t="str">
        <f>'LISTADO MATERIALES'!$C$380</f>
        <v>ESMALTE</v>
      </c>
      <c r="B921" s="1611"/>
      <c r="C921" s="444" t="str">
        <f>'LISTADO MATERIALES'!$D$380</f>
        <v>GAL</v>
      </c>
      <c r="D921" s="440">
        <f>'LISTADO MATERIALES'!$E$380</f>
        <v>51450</v>
      </c>
      <c r="E921" s="706">
        <v>0.03</v>
      </c>
      <c r="F921" s="440">
        <f t="shared" si="53"/>
        <v>1543.5</v>
      </c>
      <c r="G921" s="767"/>
    </row>
    <row r="922" spans="1:7" ht="14.25" hidden="1" customHeight="1">
      <c r="A922" s="1995"/>
      <c r="B922" s="1611"/>
      <c r="C922" s="444"/>
      <c r="D922" s="440"/>
      <c r="E922" s="444"/>
      <c r="F922" s="700"/>
      <c r="G922" s="767"/>
    </row>
    <row r="923" spans="1:7" ht="14.25" hidden="1" customHeight="1">
      <c r="A923" s="2015" t="s">
        <v>1560</v>
      </c>
      <c r="B923" s="1601"/>
      <c r="C923" s="1601"/>
      <c r="D923" s="1601"/>
      <c r="E923" s="1601"/>
      <c r="F923" s="1801"/>
      <c r="G923" s="763">
        <f>SUM(F918:F922)</f>
        <v>21493.5</v>
      </c>
    </row>
    <row r="924" spans="1:7" ht="14.25" hidden="1" customHeight="1">
      <c r="A924" s="621" t="s">
        <v>1563</v>
      </c>
      <c r="B924" s="618"/>
      <c r="C924" s="618"/>
      <c r="D924" s="618"/>
      <c r="E924" s="618"/>
      <c r="F924" s="618"/>
      <c r="G924" s="618"/>
    </row>
    <row r="925" spans="1:7" ht="14.25" hidden="1" customHeight="1">
      <c r="A925" s="1975" t="s">
        <v>1556</v>
      </c>
      <c r="B925" s="1801"/>
      <c r="C925" s="424" t="s">
        <v>6</v>
      </c>
      <c r="D925" s="424" t="s">
        <v>1562</v>
      </c>
      <c r="E925" s="424" t="s">
        <v>7</v>
      </c>
      <c r="F925" s="424" t="s">
        <v>1559</v>
      </c>
      <c r="G925" s="690"/>
    </row>
    <row r="926" spans="1:7" ht="14.25" hidden="1" customHeight="1">
      <c r="A926" s="1987"/>
      <c r="B926" s="1967"/>
      <c r="C926" s="744"/>
      <c r="D926" s="675"/>
      <c r="E926" s="745"/>
      <c r="F926" s="464"/>
      <c r="G926" s="688"/>
    </row>
    <row r="927" spans="1:7" ht="14.25" hidden="1" customHeight="1">
      <c r="A927" s="1996"/>
      <c r="B927" s="1819"/>
      <c r="C927" s="744"/>
      <c r="D927" s="434"/>
      <c r="E927" s="746"/>
      <c r="F927" s="434"/>
      <c r="G927" s="768"/>
    </row>
    <row r="928" spans="1:7" ht="14.25" hidden="1" customHeight="1">
      <c r="A928" s="2015" t="s">
        <v>1560</v>
      </c>
      <c r="B928" s="1601"/>
      <c r="C928" s="1601"/>
      <c r="D928" s="1601"/>
      <c r="E928" s="1601"/>
      <c r="F928" s="1801"/>
      <c r="G928" s="769"/>
    </row>
    <row r="929" spans="1:7" ht="14.25" hidden="1" customHeight="1">
      <c r="A929" s="621" t="s">
        <v>1564</v>
      </c>
      <c r="B929" s="618"/>
      <c r="C929" s="618"/>
      <c r="D929" s="618"/>
      <c r="E929" s="618"/>
      <c r="F929" s="618"/>
      <c r="G929" s="618"/>
    </row>
    <row r="930" spans="1:7" ht="14.25" hidden="1" customHeight="1">
      <c r="A930" s="1975" t="s">
        <v>1565</v>
      </c>
      <c r="B930" s="1801"/>
      <c r="C930" s="424" t="s">
        <v>1566</v>
      </c>
      <c r="D930" s="424" t="s">
        <v>6</v>
      </c>
      <c r="E930" s="424" t="s">
        <v>1752</v>
      </c>
      <c r="F930" s="424" t="s">
        <v>1559</v>
      </c>
      <c r="G930" s="693"/>
    </row>
    <row r="931" spans="1:7" ht="14.25" hidden="1" customHeight="1">
      <c r="A931" s="2004" t="str">
        <f>'MANO DE OBRA'!$A$85</f>
        <v>Oficial (Incl. Prestaciones)</v>
      </c>
      <c r="B931" s="1888"/>
      <c r="C931" s="679">
        <f>'MANO DE OBRA'!$D$85</f>
        <v>15031.25</v>
      </c>
      <c r="D931" s="680">
        <v>1</v>
      </c>
      <c r="E931" s="680">
        <v>5</v>
      </c>
      <c r="F931" s="454">
        <f t="shared" ref="F931:F932" si="54">+(C931*D931)/E931</f>
        <v>3006.25</v>
      </c>
      <c r="G931" s="688"/>
    </row>
    <row r="932" spans="1:7" ht="14.25" hidden="1" customHeight="1">
      <c r="A932" s="1984" t="str">
        <f>'MANO DE OBRA'!$A$86</f>
        <v>Ayudante (Incl. Prestaciones)</v>
      </c>
      <c r="B932" s="1819"/>
      <c r="C932" s="747">
        <f>'MANO DE OBRA'!$D$86</f>
        <v>10972.8125</v>
      </c>
      <c r="D932" s="614">
        <v>2</v>
      </c>
      <c r="E932" s="614">
        <f>E931</f>
        <v>5</v>
      </c>
      <c r="F932" s="455">
        <f t="shared" si="54"/>
        <v>4389.125</v>
      </c>
      <c r="G932" s="435"/>
    </row>
    <row r="933" spans="1:7" ht="14.25" hidden="1" customHeight="1">
      <c r="A933" s="2015" t="str">
        <f>+A928</f>
        <v>SUB-TOTAL</v>
      </c>
      <c r="B933" s="1601"/>
      <c r="C933" s="1601"/>
      <c r="D933" s="1601"/>
      <c r="E933" s="1601"/>
      <c r="F933" s="1801"/>
      <c r="G933" s="462">
        <f>SUM(F931:F932)</f>
        <v>7395.375</v>
      </c>
    </row>
    <row r="934" spans="1:7" ht="14.25" hidden="1" customHeight="1">
      <c r="A934" s="618"/>
      <c r="B934" s="618"/>
      <c r="C934" s="618"/>
      <c r="D934" s="618"/>
      <c r="E934" s="618"/>
      <c r="F934" s="748"/>
      <c r="G934" s="743"/>
    </row>
    <row r="935" spans="1:7" ht="14.25" hidden="1" customHeight="1">
      <c r="A935" s="2015" t="s">
        <v>1567</v>
      </c>
      <c r="B935" s="1601"/>
      <c r="C935" s="1601"/>
      <c r="D935" s="1601"/>
      <c r="E935" s="1601"/>
      <c r="F935" s="1801"/>
      <c r="G935" s="459">
        <f>ROUND(G915+G923+G928+G933,0)</f>
        <v>29360</v>
      </c>
    </row>
    <row r="936" spans="1:7" ht="14.25" hidden="1" customHeight="1">
      <c r="A936" s="616"/>
      <c r="B936" s="616"/>
      <c r="C936" s="616"/>
      <c r="D936" s="616"/>
      <c r="E936" s="616"/>
      <c r="F936" s="616"/>
      <c r="G936" s="616"/>
    </row>
    <row r="937" spans="1:7" ht="14.25" hidden="1" customHeight="1">
      <c r="A937" s="616"/>
      <c r="B937" s="616"/>
      <c r="C937" s="616"/>
      <c r="D937" s="616"/>
      <c r="E937" s="616"/>
      <c r="F937" s="616"/>
      <c r="G937" s="616"/>
    </row>
    <row r="938" spans="1:7" ht="14.25" hidden="1" customHeight="1">
      <c r="A938" s="616"/>
      <c r="B938" s="616"/>
      <c r="C938" s="616"/>
      <c r="D938" s="616"/>
      <c r="E938" s="616"/>
      <c r="F938" s="616"/>
      <c r="G938" s="616"/>
    </row>
    <row r="939" spans="1:7" ht="20.25" hidden="1" customHeight="1">
      <c r="A939" s="2005" t="s">
        <v>1604</v>
      </c>
      <c r="B939" s="1616"/>
      <c r="C939" s="1624"/>
      <c r="D939" s="567"/>
      <c r="E939" s="567"/>
      <c r="F939" s="567"/>
      <c r="G939" s="668"/>
    </row>
    <row r="940" spans="1:7" ht="30.75" hidden="1" customHeight="1">
      <c r="A940" s="1971"/>
      <c r="B940" s="1817"/>
      <c r="C940" s="1972"/>
      <c r="D940" s="669"/>
      <c r="E940" s="669"/>
      <c r="F940" s="669"/>
      <c r="G940" s="670"/>
    </row>
    <row r="941" spans="1:7" ht="14.25" hidden="1" customHeight="1">
      <c r="A941" s="618"/>
      <c r="B941" s="618"/>
      <c r="C941" s="618"/>
      <c r="D941" s="618"/>
      <c r="E941" s="618"/>
      <c r="F941" s="618"/>
      <c r="G941" s="618"/>
    </row>
    <row r="942" spans="1:7" ht="28.5" hidden="1" customHeight="1">
      <c r="A942" s="1973" t="str">
        <f>A10</f>
        <v>PRECIOS UNITARIOS OFICIALES 2014</v>
      </c>
      <c r="B942" s="1601"/>
      <c r="C942" s="1602"/>
      <c r="D942" s="1974" t="s">
        <v>1766</v>
      </c>
      <c r="E942" s="1601"/>
      <c r="F942" s="1601"/>
      <c r="G942" s="1602"/>
    </row>
    <row r="943" spans="1:7" ht="14.25" hidden="1" customHeight="1">
      <c r="A943" s="620"/>
      <c r="B943" s="620"/>
      <c r="C943" s="620"/>
      <c r="D943" s="620"/>
      <c r="E943" s="620"/>
      <c r="F943" s="620"/>
      <c r="G943" s="620"/>
    </row>
    <row r="944" spans="1:7" ht="14.25" hidden="1" customHeight="1">
      <c r="A944" s="572"/>
      <c r="B944" s="618"/>
      <c r="C944" s="616"/>
      <c r="D944" s="421" t="s">
        <v>1553</v>
      </c>
      <c r="E944" s="422" t="s">
        <v>120</v>
      </c>
      <c r="F944" s="572"/>
      <c r="G944" s="572"/>
    </row>
    <row r="945" spans="1:7" ht="14.25" hidden="1" customHeight="1">
      <c r="A945" s="621" t="s">
        <v>1555</v>
      </c>
      <c r="B945" s="618"/>
      <c r="C945" s="618"/>
      <c r="D945" s="618"/>
      <c r="E945" s="618"/>
      <c r="F945" s="618"/>
      <c r="G945" s="618"/>
    </row>
    <row r="946" spans="1:7" ht="14.25" hidden="1" customHeight="1">
      <c r="A946" s="1975" t="s">
        <v>1556</v>
      </c>
      <c r="B946" s="1601"/>
      <c r="C946" s="1801"/>
      <c r="D946" s="424" t="s">
        <v>208</v>
      </c>
      <c r="E946" s="424" t="s">
        <v>1558</v>
      </c>
      <c r="F946" s="424" t="s">
        <v>1559</v>
      </c>
      <c r="G946" s="425"/>
    </row>
    <row r="947" spans="1:7" ht="14.25" hidden="1" customHeight="1">
      <c r="A947" s="1987" t="s">
        <v>1689</v>
      </c>
      <c r="B947" s="1811"/>
      <c r="C947" s="1967"/>
      <c r="D947" s="675">
        <v>2062.5</v>
      </c>
      <c r="E947" s="687">
        <f>+E968</f>
        <v>1.2</v>
      </c>
      <c r="F947" s="442">
        <f t="shared" ref="F947:F948" si="55">+E947*D947</f>
        <v>2475</v>
      </c>
      <c r="G947" s="688"/>
    </row>
    <row r="948" spans="1:7" ht="14.25" hidden="1" customHeight="1">
      <c r="A948" s="1995" t="s">
        <v>1690</v>
      </c>
      <c r="B948" s="1610"/>
      <c r="C948" s="1611"/>
      <c r="D948" s="464">
        <v>1500</v>
      </c>
      <c r="E948" s="706">
        <v>0.6</v>
      </c>
      <c r="F948" s="440">
        <f t="shared" si="55"/>
        <v>900</v>
      </c>
      <c r="G948" s="751"/>
    </row>
    <row r="949" spans="1:7" ht="14.25" hidden="1" customHeight="1">
      <c r="A949" s="1996" t="str">
        <f>'LISTADO EQUIPOS'!$C$19</f>
        <v>EQUIPO ELÉCTRICO SOLDADURA</v>
      </c>
      <c r="B949" s="1807"/>
      <c r="C949" s="1819"/>
      <c r="D949" s="760">
        <f>'LISTADO EQUIPOS'!$E$19</f>
        <v>9750</v>
      </c>
      <c r="E949" s="772">
        <v>1.3</v>
      </c>
      <c r="F949" s="440">
        <f>+D949/E949</f>
        <v>7500</v>
      </c>
      <c r="G949" s="773"/>
    </row>
    <row r="950" spans="1:7" ht="14.25" hidden="1" customHeight="1">
      <c r="A950" s="1996"/>
      <c r="B950" s="1807"/>
      <c r="C950" s="1819"/>
      <c r="D950" s="434"/>
      <c r="E950" s="758"/>
      <c r="F950" s="434"/>
      <c r="G950" s="435"/>
    </row>
    <row r="951" spans="1:7" ht="14.25" hidden="1" customHeight="1">
      <c r="A951" s="2015" t="s">
        <v>1560</v>
      </c>
      <c r="B951" s="1601"/>
      <c r="C951" s="1601"/>
      <c r="D951" s="1601"/>
      <c r="E951" s="1601"/>
      <c r="F951" s="1801"/>
      <c r="G951" s="462">
        <f>SUM(F947:F950)</f>
        <v>10875</v>
      </c>
    </row>
    <row r="952" spans="1:7" ht="14.25" hidden="1" customHeight="1">
      <c r="A952" s="621" t="s">
        <v>1561</v>
      </c>
      <c r="B952" s="618"/>
      <c r="C952" s="618"/>
      <c r="D952" s="618"/>
      <c r="E952" s="618"/>
      <c r="F952" s="618"/>
      <c r="G952" s="743"/>
    </row>
    <row r="953" spans="1:7" ht="14.25" hidden="1" customHeight="1">
      <c r="A953" s="1975" t="s">
        <v>1556</v>
      </c>
      <c r="B953" s="1801"/>
      <c r="C953" s="424" t="s">
        <v>6</v>
      </c>
      <c r="D953" s="424" t="s">
        <v>1562</v>
      </c>
      <c r="E953" s="424" t="s">
        <v>7</v>
      </c>
      <c r="F953" s="424" t="s">
        <v>1559</v>
      </c>
      <c r="G953" s="673"/>
    </row>
    <row r="954" spans="1:7" ht="28.5" hidden="1" customHeight="1">
      <c r="A954" s="1987" t="str">
        <f>'LISTADO MATERIALES'!$C$66</f>
        <v>PERFIL METÁLICO CERRADO CAL. 18 -10X4</v>
      </c>
      <c r="B954" s="1967"/>
      <c r="C954" s="674" t="str">
        <f>'LISTADO MATERIALES'!$D$66</f>
        <v>ML</v>
      </c>
      <c r="D954" s="675">
        <f>'LISTADO MATERIALES'!$E$66</f>
        <v>7350</v>
      </c>
      <c r="E954" s="687">
        <v>2.0499999999999998</v>
      </c>
      <c r="F954" s="442">
        <f t="shared" ref="F954:F957" si="56">+E954*D954</f>
        <v>15067.499999999998</v>
      </c>
      <c r="G954" s="676"/>
    </row>
    <row r="955" spans="1:7" ht="14.25" hidden="1" customHeight="1">
      <c r="A955" s="1995" t="str">
        <f>'LISTADO MATERIALES'!$C$86</f>
        <v>SOLDADURA WEST ARCO 6013X1/8</v>
      </c>
      <c r="B955" s="1611"/>
      <c r="C955" s="444" t="str">
        <f>'LISTADO MATERIALES'!$D$86</f>
        <v>KG</v>
      </c>
      <c r="D955" s="464">
        <f>'LISTADO MATERIALES'!$E$86</f>
        <v>9975</v>
      </c>
      <c r="E955" s="706">
        <v>0.2</v>
      </c>
      <c r="F955" s="442">
        <f t="shared" si="56"/>
        <v>1995</v>
      </c>
      <c r="G955" s="707"/>
    </row>
    <row r="956" spans="1:7" ht="14.25" hidden="1" customHeight="1">
      <c r="A956" s="1995" t="str">
        <f>'LISTADO MATERIALES'!$C$368</f>
        <v>ANTICORROSIVO</v>
      </c>
      <c r="B956" s="1611"/>
      <c r="C956" s="444" t="str">
        <f>'LISTADO MATERIALES'!$D$368</f>
        <v>GAL</v>
      </c>
      <c r="D956" s="440">
        <f>'LISTADO MATERIALES'!$E$368</f>
        <v>33600</v>
      </c>
      <c r="E956" s="706">
        <v>0.08</v>
      </c>
      <c r="F956" s="440">
        <f t="shared" si="56"/>
        <v>2688</v>
      </c>
      <c r="G956" s="707"/>
    </row>
    <row r="957" spans="1:7" ht="14.25" hidden="1" customHeight="1">
      <c r="A957" s="1995" t="str">
        <f>'LISTADO MATERIALES'!$C$380</f>
        <v>ESMALTE</v>
      </c>
      <c r="B957" s="1611"/>
      <c r="C957" s="444" t="str">
        <f>'LISTADO MATERIALES'!$D$380</f>
        <v>GAL</v>
      </c>
      <c r="D957" s="440">
        <f>'LISTADO MATERIALES'!$E$380</f>
        <v>51450</v>
      </c>
      <c r="E957" s="706">
        <v>0.06</v>
      </c>
      <c r="F957" s="440">
        <f t="shared" si="56"/>
        <v>3087</v>
      </c>
      <c r="G957" s="707"/>
    </row>
    <row r="958" spans="1:7" ht="14.25" hidden="1" customHeight="1">
      <c r="A958" s="1995"/>
      <c r="B958" s="1611"/>
      <c r="C958" s="444"/>
      <c r="D958" s="464"/>
      <c r="E958" s="444"/>
      <c r="F958" s="464"/>
      <c r="G958" s="707"/>
    </row>
    <row r="959" spans="1:7" ht="14.25" hidden="1" customHeight="1">
      <c r="A959" s="1995"/>
      <c r="B959" s="1611"/>
      <c r="C959" s="444"/>
      <c r="D959" s="464"/>
      <c r="E959" s="444"/>
      <c r="F959" s="464"/>
      <c r="G959" s="707"/>
    </row>
    <row r="960" spans="1:7" ht="14.25" hidden="1" customHeight="1">
      <c r="A960" s="2015" t="s">
        <v>1560</v>
      </c>
      <c r="B960" s="1601"/>
      <c r="C960" s="1601"/>
      <c r="D960" s="1601"/>
      <c r="E960" s="1601"/>
      <c r="F960" s="1801"/>
      <c r="G960" s="462">
        <f>SUM(F954:F959)</f>
        <v>22837.5</v>
      </c>
    </row>
    <row r="961" spans="1:7" ht="14.25" hidden="1" customHeight="1">
      <c r="A961" s="621" t="s">
        <v>1563</v>
      </c>
      <c r="B961" s="618"/>
      <c r="C961" s="618"/>
      <c r="D961" s="618"/>
      <c r="E961" s="618"/>
      <c r="F961" s="618"/>
      <c r="G961" s="743"/>
    </row>
    <row r="962" spans="1:7" ht="14.25" hidden="1" customHeight="1">
      <c r="A962" s="1975" t="s">
        <v>1556</v>
      </c>
      <c r="B962" s="1801"/>
      <c r="C962" s="424" t="s">
        <v>6</v>
      </c>
      <c r="D962" s="424" t="s">
        <v>1562</v>
      </c>
      <c r="E962" s="424" t="s">
        <v>7</v>
      </c>
      <c r="F962" s="424" t="s">
        <v>1559</v>
      </c>
      <c r="G962" s="438"/>
    </row>
    <row r="963" spans="1:7" ht="14.25" hidden="1" customHeight="1">
      <c r="A963" s="1987" t="s">
        <v>1767</v>
      </c>
      <c r="B963" s="1967"/>
      <c r="C963" s="744" t="s">
        <v>1569</v>
      </c>
      <c r="D963" s="675"/>
      <c r="E963" s="745"/>
      <c r="F963" s="464">
        <v>1000</v>
      </c>
      <c r="G963" s="676"/>
    </row>
    <row r="964" spans="1:7" ht="14.25" hidden="1" customHeight="1">
      <c r="A964" s="1996"/>
      <c r="B964" s="1819"/>
      <c r="C964" s="744"/>
      <c r="D964" s="434"/>
      <c r="E964" s="746"/>
      <c r="F964" s="434"/>
      <c r="G964" s="457"/>
    </row>
    <row r="965" spans="1:7" ht="14.25" hidden="1" customHeight="1">
      <c r="A965" s="2015" t="s">
        <v>1560</v>
      </c>
      <c r="B965" s="1601"/>
      <c r="C965" s="1601"/>
      <c r="D965" s="1601"/>
      <c r="E965" s="1601"/>
      <c r="F965" s="1801"/>
      <c r="G965" s="462">
        <f>SUM(F963:F964)</f>
        <v>1000</v>
      </c>
    </row>
    <row r="966" spans="1:7" ht="14.25" hidden="1" customHeight="1">
      <c r="A966" s="621" t="s">
        <v>1564</v>
      </c>
      <c r="B966" s="618"/>
      <c r="C966" s="618"/>
      <c r="D966" s="618"/>
      <c r="E966" s="618"/>
      <c r="F966" s="618"/>
      <c r="G966" s="743"/>
    </row>
    <row r="967" spans="1:7" ht="14.25" hidden="1" customHeight="1">
      <c r="A967" s="1975" t="s">
        <v>1565</v>
      </c>
      <c r="B967" s="1801"/>
      <c r="C967" s="424" t="s">
        <v>1566</v>
      </c>
      <c r="D967" s="424" t="s">
        <v>6</v>
      </c>
      <c r="E967" s="424" t="s">
        <v>7</v>
      </c>
      <c r="F967" s="424" t="s">
        <v>1559</v>
      </c>
      <c r="G967" s="462"/>
    </row>
    <row r="968" spans="1:7" ht="21" hidden="1" customHeight="1">
      <c r="A968" s="2004" t="s">
        <v>1716</v>
      </c>
      <c r="B968" s="1888"/>
      <c r="C968" s="679">
        <v>14142.890951641079</v>
      </c>
      <c r="D968" s="680">
        <v>1</v>
      </c>
      <c r="E968" s="680">
        <v>1.2</v>
      </c>
      <c r="F968" s="694">
        <f>+(C968*D968)/E968</f>
        <v>11785.742459700899</v>
      </c>
      <c r="G968" s="676"/>
    </row>
    <row r="969" spans="1:7" ht="14.25" hidden="1" customHeight="1">
      <c r="A969" s="1984"/>
      <c r="B969" s="1819"/>
      <c r="C969" s="747"/>
      <c r="D969" s="614"/>
      <c r="E969" s="614"/>
      <c r="F969" s="753"/>
      <c r="G969" s="709"/>
    </row>
    <row r="970" spans="1:7" ht="14.25" hidden="1" customHeight="1">
      <c r="A970" s="2015" t="str">
        <f>+A965</f>
        <v>SUB-TOTAL</v>
      </c>
      <c r="B970" s="1601"/>
      <c r="C970" s="1601"/>
      <c r="D970" s="1601"/>
      <c r="E970" s="1601"/>
      <c r="F970" s="1801"/>
      <c r="G970" s="462">
        <f>SUM(F968:F969)</f>
        <v>11785.742459700899</v>
      </c>
    </row>
    <row r="971" spans="1:7" ht="14.25" hidden="1" customHeight="1">
      <c r="A971" s="618"/>
      <c r="B971" s="618"/>
      <c r="C971" s="618"/>
      <c r="D971" s="618"/>
      <c r="E971" s="618"/>
      <c r="F971" s="748"/>
      <c r="G971" s="743"/>
    </row>
    <row r="972" spans="1:7" ht="14.25" hidden="1" customHeight="1">
      <c r="A972" s="2015" t="s">
        <v>1567</v>
      </c>
      <c r="B972" s="1601"/>
      <c r="C972" s="1601"/>
      <c r="D972" s="1601"/>
      <c r="E972" s="1601"/>
      <c r="F972" s="1801"/>
      <c r="G972" s="459">
        <f>ROUND(G951+G960+G965+G970,0)</f>
        <v>46498</v>
      </c>
    </row>
    <row r="973" spans="1:7" ht="14.25" hidden="1" customHeight="1">
      <c r="A973" s="616"/>
      <c r="B973" s="616"/>
      <c r="C973" s="616"/>
      <c r="D973" s="616"/>
      <c r="E973" s="616"/>
      <c r="F973" s="616"/>
      <c r="G973" s="616"/>
    </row>
    <row r="974" spans="1:7" ht="14.25" hidden="1" customHeight="1">
      <c r="A974" s="616"/>
      <c r="B974" s="616"/>
      <c r="C974" s="616"/>
      <c r="D974" s="616"/>
      <c r="E974" s="616"/>
      <c r="F974" s="616"/>
      <c r="G974" s="616"/>
    </row>
    <row r="975" spans="1:7" ht="23.25" hidden="1" customHeight="1">
      <c r="A975" s="2005" t="s">
        <v>1604</v>
      </c>
      <c r="B975" s="1616"/>
      <c r="C975" s="1624"/>
      <c r="D975" s="567"/>
      <c r="E975" s="567"/>
      <c r="F975" s="567"/>
      <c r="G975" s="668"/>
    </row>
    <row r="976" spans="1:7" ht="30" hidden="1" customHeight="1">
      <c r="A976" s="1971"/>
      <c r="B976" s="1817"/>
      <c r="C976" s="1972"/>
      <c r="D976" s="669"/>
      <c r="E976" s="669"/>
      <c r="F976" s="669"/>
      <c r="G976" s="670"/>
    </row>
    <row r="978" spans="1:7" ht="33" hidden="1" customHeight="1">
      <c r="A978" s="1973" t="str">
        <f>A10</f>
        <v>PRECIOS UNITARIOS OFICIALES 2014</v>
      </c>
      <c r="B978" s="1601"/>
      <c r="C978" s="1602"/>
      <c r="D978" s="1974" t="s">
        <v>1768</v>
      </c>
      <c r="E978" s="1601"/>
      <c r="F978" s="1601"/>
      <c r="G978" s="1602"/>
    </row>
    <row r="979" spans="1:7" ht="14.25" hidden="1" customHeight="1">
      <c r="A979" s="620"/>
      <c r="B979" s="620"/>
      <c r="C979" s="620"/>
      <c r="D979" s="620"/>
      <c r="E979" s="620"/>
      <c r="F979" s="620"/>
      <c r="G979" s="620"/>
    </row>
    <row r="980" spans="1:7" ht="14.25" hidden="1" customHeight="1">
      <c r="A980" s="572"/>
      <c r="B980" s="618"/>
      <c r="C980" s="616"/>
      <c r="D980" s="421" t="s">
        <v>1553</v>
      </c>
      <c r="E980" s="422" t="s">
        <v>120</v>
      </c>
      <c r="F980" s="572"/>
      <c r="G980" s="572"/>
    </row>
    <row r="981" spans="1:7" ht="14.25" hidden="1" customHeight="1">
      <c r="A981" s="621" t="s">
        <v>1555</v>
      </c>
      <c r="B981" s="618"/>
      <c r="C981" s="618"/>
      <c r="D981" s="618"/>
      <c r="E981" s="618"/>
      <c r="F981" s="618"/>
      <c r="G981" s="618"/>
    </row>
    <row r="982" spans="1:7" ht="14.25" hidden="1" customHeight="1">
      <c r="A982" s="1975" t="s">
        <v>1556</v>
      </c>
      <c r="B982" s="1601"/>
      <c r="C982" s="1801"/>
      <c r="D982" s="424" t="s">
        <v>208</v>
      </c>
      <c r="E982" s="424" t="s">
        <v>1558</v>
      </c>
      <c r="F982" s="424" t="s">
        <v>1559</v>
      </c>
      <c r="G982" s="425"/>
    </row>
    <row r="983" spans="1:7" ht="14.25" hidden="1" customHeight="1">
      <c r="A983" s="1987" t="s">
        <v>1689</v>
      </c>
      <c r="B983" s="1811"/>
      <c r="C983" s="1967"/>
      <c r="D983" s="675">
        <v>2062.5</v>
      </c>
      <c r="E983" s="687">
        <f>+E1005</f>
        <v>1.1000000000000001</v>
      </c>
      <c r="F983" s="442">
        <f>+E983*D983</f>
        <v>2268.75</v>
      </c>
      <c r="G983" s="688"/>
    </row>
    <row r="984" spans="1:7" ht="14.25" hidden="1" customHeight="1">
      <c r="A984" s="1995" t="s">
        <v>1690</v>
      </c>
      <c r="B984" s="1610"/>
      <c r="C984" s="1611"/>
      <c r="D984" s="464">
        <v>1500</v>
      </c>
      <c r="E984" s="706">
        <v>1.1000000000000001</v>
      </c>
      <c r="F984" s="440">
        <f t="shared" ref="F984:F985" si="57">+D984/E984</f>
        <v>1363.6363636363635</v>
      </c>
      <c r="G984" s="751"/>
    </row>
    <row r="985" spans="1:7" ht="14.25" hidden="1" customHeight="1">
      <c r="A985" s="1996" t="str">
        <f>'LISTADO EQUIPOS'!$C$19</f>
        <v>EQUIPO ELÉCTRICO SOLDADURA</v>
      </c>
      <c r="B985" s="1807"/>
      <c r="C985" s="1819"/>
      <c r="D985" s="760">
        <f>'LISTADO EQUIPOS'!$E$19</f>
        <v>9750</v>
      </c>
      <c r="E985" s="772">
        <v>1.1000000000000001</v>
      </c>
      <c r="F985" s="440">
        <f t="shared" si="57"/>
        <v>8863.6363636363621</v>
      </c>
      <c r="G985" s="773"/>
    </row>
    <row r="986" spans="1:7" ht="14.25" hidden="1" customHeight="1">
      <c r="A986" s="1995"/>
      <c r="B986" s="1610"/>
      <c r="C986" s="1611"/>
      <c r="D986" s="760"/>
      <c r="E986" s="772"/>
      <c r="F986" s="761"/>
      <c r="G986" s="773"/>
    </row>
    <row r="987" spans="1:7" ht="14.25" hidden="1" customHeight="1">
      <c r="A987" s="1996"/>
      <c r="B987" s="1807"/>
      <c r="C987" s="1819"/>
      <c r="D987" s="434"/>
      <c r="E987" s="758"/>
      <c r="F987" s="434"/>
      <c r="G987" s="435"/>
    </row>
    <row r="988" spans="1:7" ht="14.25" hidden="1" customHeight="1">
      <c r="A988" s="2015" t="s">
        <v>1560</v>
      </c>
      <c r="B988" s="1601"/>
      <c r="C988" s="1601"/>
      <c r="D988" s="1601"/>
      <c r="E988" s="1601"/>
      <c r="F988" s="1801"/>
      <c r="G988" s="462">
        <f>SUM(F983:F987)</f>
        <v>12496.022727272726</v>
      </c>
    </row>
    <row r="989" spans="1:7" ht="14.25" hidden="1" customHeight="1">
      <c r="A989" s="621" t="s">
        <v>1561</v>
      </c>
      <c r="B989" s="618"/>
      <c r="C989" s="618"/>
      <c r="D989" s="618"/>
      <c r="E989" s="618"/>
      <c r="F989" s="618"/>
      <c r="G989" s="743"/>
    </row>
    <row r="990" spans="1:7" ht="14.25" hidden="1" customHeight="1">
      <c r="A990" s="1975" t="s">
        <v>1556</v>
      </c>
      <c r="B990" s="1801"/>
      <c r="C990" s="424" t="s">
        <v>6</v>
      </c>
      <c r="D990" s="424" t="s">
        <v>1562</v>
      </c>
      <c r="E990" s="424" t="s">
        <v>7</v>
      </c>
      <c r="F990" s="424" t="s">
        <v>1559</v>
      </c>
      <c r="G990" s="673"/>
    </row>
    <row r="991" spans="1:7" ht="27.75" hidden="1" customHeight="1">
      <c r="A991" s="1987" t="str">
        <f>'LISTADO MATERIALES'!$C$67</f>
        <v>PERFIL METÁLICO EN C - CAL. 14 -15X5</v>
      </c>
      <c r="B991" s="1967"/>
      <c r="C991" s="674" t="str">
        <f>'LISTADO MATERIALES'!$D$67</f>
        <v>ML</v>
      </c>
      <c r="D991" s="675">
        <f>'LISTADO MATERIALES'!$E$67</f>
        <v>12600</v>
      </c>
      <c r="E991" s="687">
        <v>2.04</v>
      </c>
      <c r="F991" s="442">
        <f t="shared" ref="F991:F994" si="58">+E991*D991</f>
        <v>25704</v>
      </c>
      <c r="G991" s="676"/>
    </row>
    <row r="992" spans="1:7" ht="17.25" hidden="1" customHeight="1">
      <c r="A992" s="1995" t="str">
        <f>'LISTADO MATERIALES'!$C$86</f>
        <v>SOLDADURA WEST ARCO 6013X1/8</v>
      </c>
      <c r="B992" s="1611"/>
      <c r="C992" s="444" t="str">
        <f>'LISTADO MATERIALES'!$D$86</f>
        <v>KG</v>
      </c>
      <c r="D992" s="464">
        <f>'LISTADO MATERIALES'!$E$86</f>
        <v>9975</v>
      </c>
      <c r="E992" s="706">
        <v>0.22</v>
      </c>
      <c r="F992" s="757">
        <f t="shared" si="58"/>
        <v>2194.5</v>
      </c>
      <c r="G992" s="707"/>
    </row>
    <row r="993" spans="1:7" ht="14.25" hidden="1" customHeight="1">
      <c r="A993" s="1995" t="str">
        <f>'LISTADO MATERIALES'!$C$368</f>
        <v>ANTICORROSIVO</v>
      </c>
      <c r="B993" s="1611"/>
      <c r="C993" s="444" t="str">
        <f>'LISTADO MATERIALES'!$D$368</f>
        <v>GAL</v>
      </c>
      <c r="D993" s="440">
        <f>'LISTADO MATERIALES'!$E$368</f>
        <v>33600</v>
      </c>
      <c r="E993" s="706">
        <v>0.1</v>
      </c>
      <c r="F993" s="440">
        <f t="shared" si="58"/>
        <v>3360</v>
      </c>
      <c r="G993" s="707"/>
    </row>
    <row r="994" spans="1:7" ht="14.25" hidden="1" customHeight="1">
      <c r="A994" s="1995" t="str">
        <f>'LISTADO MATERIALES'!$C$380</f>
        <v>ESMALTE</v>
      </c>
      <c r="B994" s="1611"/>
      <c r="C994" s="444" t="str">
        <f>'LISTADO MATERIALES'!$D$380</f>
        <v>GAL</v>
      </c>
      <c r="D994" s="440">
        <f>'LISTADO MATERIALES'!$E$380</f>
        <v>51450</v>
      </c>
      <c r="E994" s="706">
        <v>0.1</v>
      </c>
      <c r="F994" s="440">
        <f t="shared" si="58"/>
        <v>5145</v>
      </c>
      <c r="G994" s="707"/>
    </row>
    <row r="995" spans="1:7" ht="14.25" hidden="1" customHeight="1">
      <c r="A995" s="1995"/>
      <c r="B995" s="1611"/>
      <c r="C995" s="444"/>
      <c r="D995" s="464"/>
      <c r="E995" s="444"/>
      <c r="F995" s="464"/>
      <c r="G995" s="707"/>
    </row>
    <row r="996" spans="1:7" ht="14.25" hidden="1" customHeight="1">
      <c r="A996" s="1995"/>
      <c r="B996" s="1611"/>
      <c r="C996" s="444"/>
      <c r="D996" s="464"/>
      <c r="E996" s="444"/>
      <c r="F996" s="464"/>
      <c r="G996" s="707"/>
    </row>
    <row r="997" spans="1:7" ht="14.25" hidden="1" customHeight="1">
      <c r="A997" s="2015" t="s">
        <v>1560</v>
      </c>
      <c r="B997" s="1601"/>
      <c r="C997" s="1601"/>
      <c r="D997" s="1601"/>
      <c r="E997" s="1601"/>
      <c r="F997" s="1801"/>
      <c r="G997" s="462">
        <f>SUM(F991:F996)</f>
        <v>36403.5</v>
      </c>
    </row>
    <row r="998" spans="1:7" ht="14.25" hidden="1" customHeight="1">
      <c r="A998" s="621" t="s">
        <v>1563</v>
      </c>
      <c r="B998" s="618"/>
      <c r="C998" s="618"/>
      <c r="D998" s="618"/>
      <c r="E998" s="618"/>
      <c r="F998" s="618"/>
      <c r="G998" s="743"/>
    </row>
    <row r="999" spans="1:7" ht="14.25" hidden="1" customHeight="1">
      <c r="A999" s="1975" t="s">
        <v>1556</v>
      </c>
      <c r="B999" s="1801"/>
      <c r="C999" s="424" t="s">
        <v>6</v>
      </c>
      <c r="D999" s="424" t="s">
        <v>1562</v>
      </c>
      <c r="E999" s="424" t="s">
        <v>7</v>
      </c>
      <c r="F999" s="424" t="s">
        <v>1559</v>
      </c>
      <c r="G999" s="438"/>
    </row>
    <row r="1000" spans="1:7" ht="14.25" hidden="1" customHeight="1">
      <c r="A1000" s="1987" t="s">
        <v>1767</v>
      </c>
      <c r="B1000" s="1967"/>
      <c r="C1000" s="744" t="s">
        <v>1569</v>
      </c>
      <c r="D1000" s="675"/>
      <c r="E1000" s="745"/>
      <c r="F1000" s="464">
        <v>1000</v>
      </c>
      <c r="G1000" s="676"/>
    </row>
    <row r="1001" spans="1:7" ht="14.25" hidden="1" customHeight="1">
      <c r="A1001" s="1996"/>
      <c r="B1001" s="1819"/>
      <c r="C1001" s="744"/>
      <c r="D1001" s="434"/>
      <c r="E1001" s="746"/>
      <c r="F1001" s="434"/>
      <c r="G1001" s="457"/>
    </row>
    <row r="1002" spans="1:7" ht="14.25" hidden="1" customHeight="1">
      <c r="A1002" s="2015" t="s">
        <v>1560</v>
      </c>
      <c r="B1002" s="1601"/>
      <c r="C1002" s="1601"/>
      <c r="D1002" s="1601"/>
      <c r="E1002" s="1601"/>
      <c r="F1002" s="1801"/>
      <c r="G1002" s="462">
        <f>SUM(F1000:F1001)</f>
        <v>1000</v>
      </c>
    </row>
    <row r="1003" spans="1:7" ht="14.25" hidden="1" customHeight="1">
      <c r="A1003" s="621" t="s">
        <v>1564</v>
      </c>
      <c r="B1003" s="618"/>
      <c r="C1003" s="618"/>
      <c r="D1003" s="618"/>
      <c r="E1003" s="618"/>
      <c r="F1003" s="618"/>
      <c r="G1003" s="743"/>
    </row>
    <row r="1004" spans="1:7" ht="14.25" hidden="1" customHeight="1">
      <c r="A1004" s="1975" t="s">
        <v>1565</v>
      </c>
      <c r="B1004" s="1801"/>
      <c r="C1004" s="424" t="s">
        <v>1566</v>
      </c>
      <c r="D1004" s="424" t="s">
        <v>6</v>
      </c>
      <c r="E1004" s="424" t="s">
        <v>7</v>
      </c>
      <c r="F1004" s="424" t="s">
        <v>1559</v>
      </c>
      <c r="G1004" s="462"/>
    </row>
    <row r="1005" spans="1:7" ht="21" hidden="1" customHeight="1">
      <c r="A1005" s="2004" t="s">
        <v>1716</v>
      </c>
      <c r="B1005" s="1888"/>
      <c r="C1005" s="679">
        <v>14142.890951641079</v>
      </c>
      <c r="D1005" s="680">
        <v>1</v>
      </c>
      <c r="E1005" s="680">
        <v>1.1000000000000001</v>
      </c>
      <c r="F1005" s="694">
        <f>+(C1005*D1005)/E1005</f>
        <v>12857.173592400979</v>
      </c>
      <c r="G1005" s="676"/>
    </row>
    <row r="1006" spans="1:7" ht="14.25" hidden="1" customHeight="1">
      <c r="A1006" s="1984"/>
      <c r="B1006" s="1819"/>
      <c r="C1006" s="747"/>
      <c r="D1006" s="614"/>
      <c r="E1006" s="614"/>
      <c r="F1006" s="753"/>
      <c r="G1006" s="709"/>
    </row>
    <row r="1007" spans="1:7" ht="14.25" hidden="1" customHeight="1">
      <c r="A1007" s="2015" t="str">
        <f>+A1002</f>
        <v>SUB-TOTAL</v>
      </c>
      <c r="B1007" s="1601"/>
      <c r="C1007" s="1601"/>
      <c r="D1007" s="1601"/>
      <c r="E1007" s="1601"/>
      <c r="F1007" s="1801"/>
      <c r="G1007" s="462">
        <f>SUM(F1005:F1006)</f>
        <v>12857.173592400979</v>
      </c>
    </row>
    <row r="1009" spans="1:7" ht="14.25" hidden="1" customHeight="1">
      <c r="A1009" s="2015" t="s">
        <v>1567</v>
      </c>
      <c r="B1009" s="1601"/>
      <c r="C1009" s="1601"/>
      <c r="D1009" s="1601"/>
      <c r="E1009" s="1601"/>
      <c r="F1009" s="1801"/>
      <c r="G1009" s="459">
        <f>ROUND(G988+G997+G1002+G1007,0)</f>
        <v>62757</v>
      </c>
    </row>
    <row r="1010" spans="1:7" ht="14.25" hidden="1" customHeight="1">
      <c r="A1010" s="616"/>
      <c r="B1010" s="616"/>
      <c r="C1010" s="616"/>
      <c r="D1010" s="616"/>
      <c r="E1010" s="616"/>
      <c r="F1010" s="616"/>
      <c r="G1010" s="616"/>
    </row>
    <row r="1011" spans="1:7" ht="14.25" hidden="1" customHeight="1">
      <c r="A1011" s="616"/>
      <c r="B1011" s="616"/>
      <c r="C1011" s="616"/>
      <c r="D1011" s="616"/>
      <c r="E1011" s="616"/>
      <c r="F1011" s="616"/>
      <c r="G1011" s="616"/>
    </row>
    <row r="1012" spans="1:7" ht="23.25" hidden="1" customHeight="1">
      <c r="A1012" s="2005" t="s">
        <v>1604</v>
      </c>
      <c r="B1012" s="1616"/>
      <c r="C1012" s="1624"/>
      <c r="D1012" s="567"/>
      <c r="E1012" s="567"/>
      <c r="F1012" s="567"/>
      <c r="G1012" s="668"/>
    </row>
    <row r="1013" spans="1:7" ht="33" hidden="1" customHeight="1">
      <c r="A1013" s="1971"/>
      <c r="B1013" s="1817"/>
      <c r="C1013" s="1972"/>
      <c r="D1013" s="669"/>
      <c r="E1013" s="669"/>
      <c r="F1013" s="669"/>
      <c r="G1013" s="670"/>
    </row>
    <row r="1014" spans="1:7" ht="14.25" hidden="1" customHeight="1">
      <c r="A1014" s="618"/>
      <c r="B1014" s="618"/>
      <c r="C1014" s="618"/>
      <c r="D1014" s="618"/>
      <c r="E1014" s="618"/>
      <c r="F1014" s="618"/>
      <c r="G1014" s="618"/>
    </row>
    <row r="1015" spans="1:7" ht="30" hidden="1" customHeight="1">
      <c r="A1015" s="1973" t="str">
        <f>A10</f>
        <v>PRECIOS UNITARIOS OFICIALES 2014</v>
      </c>
      <c r="B1015" s="1601"/>
      <c r="C1015" s="1602"/>
      <c r="D1015" s="1974" t="s">
        <v>1769</v>
      </c>
      <c r="E1015" s="1601"/>
      <c r="F1015" s="1601"/>
      <c r="G1015" s="1602"/>
    </row>
    <row r="1016" spans="1:7" ht="14.25" hidden="1" customHeight="1">
      <c r="A1016" s="620"/>
      <c r="B1016" s="620"/>
      <c r="C1016" s="620"/>
      <c r="D1016" s="620"/>
      <c r="E1016" s="620"/>
      <c r="F1016" s="620"/>
      <c r="G1016" s="620"/>
    </row>
    <row r="1017" spans="1:7" ht="14.25" hidden="1" customHeight="1">
      <c r="A1017" s="572"/>
      <c r="B1017" s="618"/>
      <c r="C1017" s="616"/>
      <c r="D1017" s="421" t="s">
        <v>1553</v>
      </c>
      <c r="E1017" s="422" t="s">
        <v>120</v>
      </c>
      <c r="F1017" s="572"/>
      <c r="G1017" s="572"/>
    </row>
    <row r="1018" spans="1:7" ht="14.25" hidden="1" customHeight="1">
      <c r="A1018" s="621" t="s">
        <v>1555</v>
      </c>
      <c r="B1018" s="618"/>
      <c r="C1018" s="618"/>
      <c r="D1018" s="618"/>
      <c r="E1018" s="618"/>
      <c r="F1018" s="618"/>
      <c r="G1018" s="618"/>
    </row>
    <row r="1019" spans="1:7" ht="14.25" hidden="1" customHeight="1">
      <c r="A1019" s="1975" t="s">
        <v>1556</v>
      </c>
      <c r="B1019" s="1601"/>
      <c r="C1019" s="1801"/>
      <c r="D1019" s="424" t="s">
        <v>208</v>
      </c>
      <c r="E1019" s="424" t="s">
        <v>1558</v>
      </c>
      <c r="F1019" s="424" t="s">
        <v>1559</v>
      </c>
      <c r="G1019" s="425"/>
    </row>
    <row r="1020" spans="1:7" ht="14.25" hidden="1" customHeight="1">
      <c r="A1020" s="1987" t="s">
        <v>1689</v>
      </c>
      <c r="B1020" s="1811"/>
      <c r="C1020" s="1967"/>
      <c r="D1020" s="675">
        <v>2062.5</v>
      </c>
      <c r="E1020" s="687">
        <f>+E1042</f>
        <v>1.2</v>
      </c>
      <c r="F1020" s="442">
        <f>+E1020*D1020</f>
        <v>2475</v>
      </c>
      <c r="G1020" s="688"/>
    </row>
    <row r="1021" spans="1:7" ht="14.25" hidden="1" customHeight="1">
      <c r="A1021" s="1995" t="s">
        <v>1690</v>
      </c>
      <c r="B1021" s="1610"/>
      <c r="C1021" s="1611"/>
      <c r="D1021" s="464">
        <v>1500</v>
      </c>
      <c r="E1021" s="706">
        <v>1.2</v>
      </c>
      <c r="F1021" s="440">
        <f t="shared" ref="F1021:F1022" si="59">+D1021/E1021</f>
        <v>1250</v>
      </c>
      <c r="G1021" s="751"/>
    </row>
    <row r="1022" spans="1:7" ht="14.25" hidden="1" customHeight="1">
      <c r="A1022" s="1996" t="str">
        <f>'LISTADO EQUIPOS'!$C$19</f>
        <v>EQUIPO ELÉCTRICO SOLDADURA</v>
      </c>
      <c r="B1022" s="1807"/>
      <c r="C1022" s="1819"/>
      <c r="D1022" s="760">
        <f>'LISTADO EQUIPOS'!$E$19</f>
        <v>9750</v>
      </c>
      <c r="E1022" s="772">
        <v>1.2</v>
      </c>
      <c r="F1022" s="440">
        <f t="shared" si="59"/>
        <v>8125</v>
      </c>
      <c r="G1022" s="773"/>
    </row>
    <row r="1023" spans="1:7" ht="14.25" hidden="1" customHeight="1">
      <c r="A1023" s="1995"/>
      <c r="B1023" s="1610"/>
      <c r="C1023" s="1611"/>
      <c r="D1023" s="760"/>
      <c r="E1023" s="772"/>
      <c r="F1023" s="761"/>
      <c r="G1023" s="773"/>
    </row>
    <row r="1024" spans="1:7" ht="14.25" hidden="1" customHeight="1">
      <c r="A1024" s="1996"/>
      <c r="B1024" s="1807"/>
      <c r="C1024" s="1819"/>
      <c r="D1024" s="434"/>
      <c r="E1024" s="758"/>
      <c r="F1024" s="434"/>
      <c r="G1024" s="435"/>
    </row>
    <row r="1025" spans="1:7" ht="14.25" hidden="1" customHeight="1">
      <c r="A1025" s="2015" t="s">
        <v>1560</v>
      </c>
      <c r="B1025" s="1601"/>
      <c r="C1025" s="1601"/>
      <c r="D1025" s="1601"/>
      <c r="E1025" s="1601"/>
      <c r="F1025" s="1801"/>
      <c r="G1025" s="462">
        <f>SUM(F1020:F1024)</f>
        <v>11850</v>
      </c>
    </row>
    <row r="1026" spans="1:7" ht="14.25" hidden="1" customHeight="1">
      <c r="A1026" s="621" t="s">
        <v>1561</v>
      </c>
      <c r="B1026" s="618"/>
      <c r="C1026" s="618"/>
      <c r="D1026" s="618"/>
      <c r="E1026" s="618"/>
      <c r="F1026" s="618"/>
      <c r="G1026" s="743"/>
    </row>
    <row r="1027" spans="1:7" ht="14.25" hidden="1" customHeight="1">
      <c r="A1027" s="1975" t="s">
        <v>1556</v>
      </c>
      <c r="B1027" s="1801"/>
      <c r="C1027" s="424" t="s">
        <v>6</v>
      </c>
      <c r="D1027" s="424" t="s">
        <v>1562</v>
      </c>
      <c r="E1027" s="424" t="s">
        <v>7</v>
      </c>
      <c r="F1027" s="424" t="s">
        <v>1559</v>
      </c>
      <c r="G1027" s="673"/>
    </row>
    <row r="1028" spans="1:7" ht="23.25" hidden="1" customHeight="1">
      <c r="A1028" s="1987" t="str">
        <f>'LISTADO MATERIALES'!$C$69</f>
        <v>PERFIL METÁLICO EN C - CAL. 14 -10X5</v>
      </c>
      <c r="B1028" s="1967"/>
      <c r="C1028" s="674" t="str">
        <f>'LISTADO MATERIALES'!$D$67</f>
        <v>ML</v>
      </c>
      <c r="D1028" s="675">
        <v>10000</v>
      </c>
      <c r="E1028" s="687">
        <v>2.04</v>
      </c>
      <c r="F1028" s="442">
        <f t="shared" ref="F1028:F1031" si="60">+E1028*D1028</f>
        <v>20400</v>
      </c>
      <c r="G1028" s="676"/>
    </row>
    <row r="1029" spans="1:7" ht="14.25" hidden="1" customHeight="1">
      <c r="A1029" s="1995" t="str">
        <f>'LISTADO MATERIALES'!$C$86</f>
        <v>SOLDADURA WEST ARCO 6013X1/8</v>
      </c>
      <c r="B1029" s="1611"/>
      <c r="C1029" s="444" t="str">
        <f>'LISTADO MATERIALES'!$D$86</f>
        <v>KG</v>
      </c>
      <c r="D1029" s="464">
        <f>'LISTADO MATERIALES'!$E$86</f>
        <v>9975</v>
      </c>
      <c r="E1029" s="706">
        <v>0.21</v>
      </c>
      <c r="F1029" s="757">
        <f t="shared" si="60"/>
        <v>2094.75</v>
      </c>
      <c r="G1029" s="707"/>
    </row>
    <row r="1030" spans="1:7" ht="14.25" hidden="1" customHeight="1">
      <c r="A1030" s="1995" t="str">
        <f>'LISTADO MATERIALES'!$C$368</f>
        <v>ANTICORROSIVO</v>
      </c>
      <c r="B1030" s="1611"/>
      <c r="C1030" s="444" t="str">
        <f>'LISTADO MATERIALES'!$D$368</f>
        <v>GAL</v>
      </c>
      <c r="D1030" s="440">
        <f>'LISTADO MATERIALES'!$E$368</f>
        <v>33600</v>
      </c>
      <c r="E1030" s="706">
        <v>0.09</v>
      </c>
      <c r="F1030" s="440">
        <f t="shared" si="60"/>
        <v>3024</v>
      </c>
      <c r="G1030" s="707"/>
    </row>
    <row r="1031" spans="1:7" ht="14.25" hidden="1" customHeight="1">
      <c r="A1031" s="1995" t="str">
        <f>'LISTADO MATERIALES'!$C$380</f>
        <v>ESMALTE</v>
      </c>
      <c r="B1031" s="1611"/>
      <c r="C1031" s="444" t="str">
        <f>'LISTADO MATERIALES'!$D$380</f>
        <v>GAL</v>
      </c>
      <c r="D1031" s="440">
        <f>'LISTADO MATERIALES'!$E$380</f>
        <v>51450</v>
      </c>
      <c r="E1031" s="706">
        <v>0.09</v>
      </c>
      <c r="F1031" s="440">
        <f t="shared" si="60"/>
        <v>4630.5</v>
      </c>
      <c r="G1031" s="707"/>
    </row>
    <row r="1032" spans="1:7" ht="14.25" hidden="1" customHeight="1">
      <c r="A1032" s="1995"/>
      <c r="B1032" s="1611"/>
      <c r="C1032" s="444"/>
      <c r="D1032" s="464"/>
      <c r="E1032" s="444"/>
      <c r="F1032" s="464"/>
      <c r="G1032" s="707"/>
    </row>
    <row r="1033" spans="1:7" ht="14.25" hidden="1" customHeight="1">
      <c r="A1033" s="1995"/>
      <c r="B1033" s="1611"/>
      <c r="C1033" s="444"/>
      <c r="D1033" s="464"/>
      <c r="E1033" s="444"/>
      <c r="F1033" s="464"/>
      <c r="G1033" s="707"/>
    </row>
    <row r="1034" spans="1:7" ht="14.25" hidden="1" customHeight="1">
      <c r="A1034" s="2015" t="s">
        <v>1560</v>
      </c>
      <c r="B1034" s="1601"/>
      <c r="C1034" s="1601"/>
      <c r="D1034" s="1601"/>
      <c r="E1034" s="1601"/>
      <c r="F1034" s="1801"/>
      <c r="G1034" s="462">
        <f>SUM(F1028:F1033)</f>
        <v>30149.25</v>
      </c>
    </row>
    <row r="1035" spans="1:7" ht="14.25" hidden="1" customHeight="1">
      <c r="A1035" s="621" t="s">
        <v>1563</v>
      </c>
      <c r="B1035" s="618"/>
      <c r="C1035" s="618"/>
      <c r="D1035" s="618"/>
      <c r="E1035" s="618"/>
      <c r="F1035" s="618"/>
      <c r="G1035" s="743"/>
    </row>
    <row r="1036" spans="1:7" ht="14.25" hidden="1" customHeight="1">
      <c r="A1036" s="1975" t="s">
        <v>1556</v>
      </c>
      <c r="B1036" s="1801"/>
      <c r="C1036" s="424" t="s">
        <v>6</v>
      </c>
      <c r="D1036" s="424" t="s">
        <v>1562</v>
      </c>
      <c r="E1036" s="424" t="s">
        <v>7</v>
      </c>
      <c r="F1036" s="424" t="s">
        <v>1559</v>
      </c>
      <c r="G1036" s="438"/>
    </row>
    <row r="1037" spans="1:7" ht="14.25" hidden="1" customHeight="1">
      <c r="A1037" s="1987" t="s">
        <v>1767</v>
      </c>
      <c r="B1037" s="1967"/>
      <c r="C1037" s="744" t="s">
        <v>1569</v>
      </c>
      <c r="D1037" s="675"/>
      <c r="E1037" s="745"/>
      <c r="F1037" s="464">
        <v>1000</v>
      </c>
      <c r="G1037" s="676"/>
    </row>
    <row r="1038" spans="1:7" ht="14.25" hidden="1" customHeight="1">
      <c r="A1038" s="1996"/>
      <c r="B1038" s="1819"/>
      <c r="C1038" s="744"/>
      <c r="D1038" s="434"/>
      <c r="E1038" s="746"/>
      <c r="F1038" s="434"/>
      <c r="G1038" s="457"/>
    </row>
    <row r="1039" spans="1:7" ht="14.25" hidden="1" customHeight="1">
      <c r="A1039" s="2015" t="s">
        <v>1560</v>
      </c>
      <c r="B1039" s="1601"/>
      <c r="C1039" s="1601"/>
      <c r="D1039" s="1601"/>
      <c r="E1039" s="1601"/>
      <c r="F1039" s="1801"/>
      <c r="G1039" s="462">
        <f>SUM(F1037:F1038)</f>
        <v>1000</v>
      </c>
    </row>
    <row r="1040" spans="1:7" ht="14.25" hidden="1" customHeight="1">
      <c r="A1040" s="621" t="s">
        <v>1564</v>
      </c>
      <c r="B1040" s="618"/>
      <c r="C1040" s="618"/>
      <c r="D1040" s="618"/>
      <c r="E1040" s="618"/>
      <c r="F1040" s="618"/>
      <c r="G1040" s="743"/>
    </row>
    <row r="1041" spans="1:7" ht="14.25" hidden="1" customHeight="1">
      <c r="A1041" s="1975" t="s">
        <v>1565</v>
      </c>
      <c r="B1041" s="1801"/>
      <c r="C1041" s="424" t="s">
        <v>1566</v>
      </c>
      <c r="D1041" s="424" t="s">
        <v>6</v>
      </c>
      <c r="E1041" s="424" t="s">
        <v>7</v>
      </c>
      <c r="F1041" s="424" t="s">
        <v>1559</v>
      </c>
      <c r="G1041" s="462"/>
    </row>
    <row r="1042" spans="1:7" ht="18.75" hidden="1" customHeight="1">
      <c r="A1042" s="2004" t="s">
        <v>1716</v>
      </c>
      <c r="B1042" s="1888"/>
      <c r="C1042" s="679">
        <v>14142.890951641079</v>
      </c>
      <c r="D1042" s="680">
        <v>1</v>
      </c>
      <c r="E1042" s="680">
        <v>1.2</v>
      </c>
      <c r="F1042" s="694">
        <f>+(C1042*D1042)/E1042</f>
        <v>11785.742459700899</v>
      </c>
      <c r="G1042" s="676"/>
    </row>
    <row r="1043" spans="1:7" ht="14.25" hidden="1" customHeight="1">
      <c r="A1043" s="1984"/>
      <c r="B1043" s="1819"/>
      <c r="C1043" s="747"/>
      <c r="D1043" s="614"/>
      <c r="E1043" s="614"/>
      <c r="F1043" s="753"/>
      <c r="G1043" s="709"/>
    </row>
    <row r="1044" spans="1:7" ht="14.25" hidden="1" customHeight="1">
      <c r="A1044" s="2015" t="str">
        <f>+A1039</f>
        <v>SUB-TOTAL</v>
      </c>
      <c r="B1044" s="1601"/>
      <c r="C1044" s="1601"/>
      <c r="D1044" s="1601"/>
      <c r="E1044" s="1601"/>
      <c r="F1044" s="1801"/>
      <c r="G1044" s="462">
        <f>SUM(F1042:F1043)</f>
        <v>11785.742459700899</v>
      </c>
    </row>
    <row r="1045" spans="1:7" ht="14.25" hidden="1" customHeight="1">
      <c r="A1045" s="618"/>
      <c r="B1045" s="618"/>
      <c r="C1045" s="618"/>
      <c r="D1045" s="618"/>
      <c r="E1045" s="618"/>
      <c r="F1045" s="748"/>
      <c r="G1045" s="743"/>
    </row>
    <row r="1046" spans="1:7" ht="14.25" hidden="1" customHeight="1">
      <c r="A1046" s="2015" t="s">
        <v>1567</v>
      </c>
      <c r="B1046" s="1601"/>
      <c r="C1046" s="1601"/>
      <c r="D1046" s="1601"/>
      <c r="E1046" s="1601"/>
      <c r="F1046" s="1801"/>
      <c r="G1046" s="459">
        <f>ROUND(G1025+G1034+G1039+G1044,0)</f>
        <v>54785</v>
      </c>
    </row>
    <row r="1081" spans="1:7" ht="14.25" customHeight="1">
      <c r="A1081" s="1989" t="e">
        <f>+'ANALISIS BASICOS'!$A$7</f>
        <v>#REF!</v>
      </c>
      <c r="B1081" s="1616"/>
      <c r="C1081" s="1624"/>
      <c r="D1081" s="1990" t="s">
        <v>1195</v>
      </c>
      <c r="E1081" s="1616"/>
      <c r="F1081" s="1616"/>
      <c r="G1081" s="1624"/>
    </row>
    <row r="1082" spans="1:7" ht="33" customHeight="1">
      <c r="A1082" s="1971"/>
      <c r="B1082" s="1817"/>
      <c r="C1082" s="1972"/>
      <c r="D1082" s="1971"/>
      <c r="E1082" s="1817"/>
      <c r="F1082" s="1817"/>
      <c r="G1082" s="1972"/>
    </row>
    <row r="1083" spans="1:7" ht="14.25" customHeight="1">
      <c r="A1083" s="618"/>
      <c r="B1083" s="618"/>
      <c r="C1083" s="618"/>
      <c r="D1083" s="618"/>
      <c r="E1083" s="618"/>
      <c r="F1083" s="618"/>
      <c r="G1083" s="618"/>
    </row>
    <row r="1084" spans="1:7" ht="60.75" customHeight="1">
      <c r="A1084" s="1991" t="e">
        <f ca="1">+A516</f>
        <v>#NAME?</v>
      </c>
      <c r="B1084" s="1601"/>
      <c r="C1084" s="1602"/>
      <c r="D1084" s="1974" t="s">
        <v>1770</v>
      </c>
      <c r="E1084" s="1601"/>
      <c r="F1084" s="1601"/>
      <c r="G1084" s="1602"/>
    </row>
    <row r="1085" spans="1:7" ht="14.25" customHeight="1">
      <c r="A1085" s="620"/>
      <c r="B1085" s="620"/>
      <c r="C1085" s="620"/>
      <c r="D1085" s="620"/>
      <c r="E1085" s="620"/>
      <c r="F1085" s="620"/>
      <c r="G1085" s="620"/>
    </row>
    <row r="1086" spans="1:7" ht="12.75" customHeight="1">
      <c r="A1086" s="572"/>
      <c r="B1086" s="618"/>
      <c r="C1086" s="616"/>
      <c r="D1086" s="421" t="s">
        <v>1553</v>
      </c>
      <c r="E1086" s="422" t="s">
        <v>127</v>
      </c>
      <c r="F1086" s="421" t="s">
        <v>1554</v>
      </c>
      <c r="G1086" s="422" t="s">
        <v>158</v>
      </c>
    </row>
    <row r="1087" spans="1:7" ht="14.25" customHeight="1">
      <c r="A1087" s="621" t="s">
        <v>1555</v>
      </c>
      <c r="B1087" s="618"/>
      <c r="C1087" s="618"/>
      <c r="D1087" s="618"/>
      <c r="E1087" s="618"/>
      <c r="F1087" s="618"/>
      <c r="G1087" s="618"/>
    </row>
    <row r="1088" spans="1:7" ht="13.5" customHeight="1">
      <c r="A1088" s="1975" t="s">
        <v>1556</v>
      </c>
      <c r="B1088" s="1601"/>
      <c r="C1088" s="1801"/>
      <c r="D1088" s="424" t="s">
        <v>208</v>
      </c>
      <c r="E1088" s="424" t="s">
        <v>1558</v>
      </c>
      <c r="F1088" s="424" t="s">
        <v>1559</v>
      </c>
      <c r="G1088" s="425"/>
    </row>
    <row r="1089" spans="1:7" ht="14.25" customHeight="1">
      <c r="A1089" s="1987" t="str">
        <f>+'LISTADO EQUIPOS'!$C$22</f>
        <v>HERRAMIENTA MENOR.</v>
      </c>
      <c r="B1089" s="1811"/>
      <c r="C1089" s="1967"/>
      <c r="D1089" s="675">
        <f>+'LISTADO EQUIPOS'!$E$22/8</f>
        <v>2850</v>
      </c>
      <c r="E1089" s="687">
        <f>+E1110</f>
        <v>10.5</v>
      </c>
      <c r="F1089" s="442">
        <f t="shared" ref="F1089:F1092" si="61">+E1089*D1089</f>
        <v>29925</v>
      </c>
      <c r="G1089" s="688"/>
    </row>
    <row r="1090" spans="1:7" ht="14.25" customHeight="1">
      <c r="A1090" s="1995" t="str">
        <f>+'LISTADO EQUIPOS'!$C$18</f>
        <v>EQUIPO ELÉCTRICO SOLDADURA</v>
      </c>
      <c r="B1090" s="1610"/>
      <c r="C1090" s="1611"/>
      <c r="D1090" s="464">
        <f>+INSUMOS!H52</f>
        <v>12350</v>
      </c>
      <c r="E1090" s="706">
        <v>5</v>
      </c>
      <c r="F1090" s="440">
        <f t="shared" si="61"/>
        <v>61750</v>
      </c>
      <c r="G1090" s="751"/>
    </row>
    <row r="1091" spans="1:7" ht="14.25" customHeight="1">
      <c r="A1091" s="1995" t="str">
        <f>+'LISTADO EQUIPOS'!$C$47</f>
        <v>ANDAMIO TUBULAR. 1.5 x 1.5 SECCIÓN</v>
      </c>
      <c r="B1091" s="1610"/>
      <c r="C1091" s="1611"/>
      <c r="D1091" s="464">
        <f>+INSUMOS!H46</f>
        <v>3420</v>
      </c>
      <c r="E1091" s="706">
        <v>1.05</v>
      </c>
      <c r="F1091" s="440">
        <f t="shared" si="61"/>
        <v>3591</v>
      </c>
      <c r="G1091" s="751"/>
    </row>
    <row r="1092" spans="1:7" ht="14.25" customHeight="1">
      <c r="A1092" s="1996" t="str">
        <f>+'LISTADO EQUIPOS'!$C$30</f>
        <v>PULIDORA</v>
      </c>
      <c r="B1092" s="1807"/>
      <c r="C1092" s="1819"/>
      <c r="D1092" s="434">
        <f>+INSUMOS!H60</f>
        <v>6250</v>
      </c>
      <c r="E1092" s="433">
        <v>5</v>
      </c>
      <c r="F1092" s="700">
        <f t="shared" si="61"/>
        <v>31250</v>
      </c>
      <c r="G1092" s="435"/>
    </row>
    <row r="1093" spans="1:7" ht="14.25" customHeight="1">
      <c r="A1093" s="2015" t="s">
        <v>1560</v>
      </c>
      <c r="B1093" s="1601"/>
      <c r="C1093" s="1601"/>
      <c r="D1093" s="1601"/>
      <c r="E1093" s="1601"/>
      <c r="F1093" s="1801"/>
      <c r="G1093" s="462">
        <f>SUM(F1089:F1092)</f>
        <v>126516</v>
      </c>
    </row>
    <row r="1094" spans="1:7" ht="14.25" customHeight="1">
      <c r="A1094" s="621" t="s">
        <v>1561</v>
      </c>
      <c r="B1094" s="618"/>
      <c r="C1094" s="618"/>
      <c r="D1094" s="618"/>
      <c r="E1094" s="618"/>
      <c r="F1094" s="618"/>
      <c r="G1094" s="743"/>
    </row>
    <row r="1095" spans="1:7" ht="14.25" customHeight="1">
      <c r="A1095" s="1975" t="s">
        <v>1556</v>
      </c>
      <c r="B1095" s="1801"/>
      <c r="C1095" s="424" t="s">
        <v>6</v>
      </c>
      <c r="D1095" s="424" t="s">
        <v>1562</v>
      </c>
      <c r="E1095" s="424" t="s">
        <v>7</v>
      </c>
      <c r="F1095" s="424" t="s">
        <v>1559</v>
      </c>
      <c r="G1095" s="673"/>
    </row>
    <row r="1096" spans="1:7" ht="14.25" customHeight="1">
      <c r="A1096" s="1995" t="str">
        <f>'LISTADO MATERIALES'!$C$104</f>
        <v>TUBO ESTRUCTURAL D=2"</v>
      </c>
      <c r="B1096" s="1611"/>
      <c r="C1096" s="444" t="str">
        <f>+'LISTADO MATERIALES'!$D$104</f>
        <v>ML</v>
      </c>
      <c r="D1096" s="464">
        <f>+INSUMOS!H61</f>
        <v>27316.666666666668</v>
      </c>
      <c r="E1096" s="754">
        <v>36.5</v>
      </c>
      <c r="F1096" s="440">
        <f t="shared" ref="F1096:F1101" si="62">+E1096*D1096</f>
        <v>997058.33333333337</v>
      </c>
      <c r="G1096" s="707"/>
    </row>
    <row r="1097" spans="1:7" ht="14.25" customHeight="1">
      <c r="A1097" s="1995" t="str">
        <f>+'LISTADO MATERIALES'!$C$85</f>
        <v>SOLDADURA 1/8" METAL</v>
      </c>
      <c r="B1097" s="1611"/>
      <c r="C1097" s="444" t="str">
        <f>+'LISTADO MATERIALES'!$D$85</f>
        <v>KG</v>
      </c>
      <c r="D1097" s="464">
        <f>+INSUMOS!H39</f>
        <v>25900</v>
      </c>
      <c r="E1097" s="444">
        <v>12.5</v>
      </c>
      <c r="F1097" s="440">
        <f t="shared" si="62"/>
        <v>323750</v>
      </c>
      <c r="G1097" s="707"/>
    </row>
    <row r="1098" spans="1:7" ht="12.75" customHeight="1">
      <c r="A1098" s="1995" t="str">
        <f>+'LISTADO MATERIALES'!$C$368</f>
        <v>ANTICORROSIVO</v>
      </c>
      <c r="B1098" s="1611"/>
      <c r="C1098" s="444" t="str">
        <f>+'LISTADO MATERIALES'!$D$368</f>
        <v>GAL</v>
      </c>
      <c r="D1098" s="464">
        <f>+INSUMOS!H62</f>
        <v>75900</v>
      </c>
      <c r="E1098" s="444">
        <v>2</v>
      </c>
      <c r="F1098" s="440">
        <f t="shared" si="62"/>
        <v>151800</v>
      </c>
      <c r="G1098" s="707"/>
    </row>
    <row r="1099" spans="1:7" ht="12.75" customHeight="1">
      <c r="A1099" s="1995" t="str">
        <f>+'LISTADO MATERIALES'!$C$380</f>
        <v>ESMALTE</v>
      </c>
      <c r="B1099" s="1611"/>
      <c r="C1099" s="444" t="str">
        <f>+'LISTADO MATERIALES'!$D$380</f>
        <v>GAL</v>
      </c>
      <c r="D1099" s="464">
        <f>+INSUMOS!R5</f>
        <v>83900</v>
      </c>
      <c r="E1099" s="444">
        <v>2</v>
      </c>
      <c r="F1099" s="440">
        <f t="shared" si="62"/>
        <v>167800</v>
      </c>
      <c r="G1099" s="707"/>
    </row>
    <row r="1100" spans="1:7" ht="12.75" customHeight="1">
      <c r="A1100" s="1995" t="s">
        <v>1771</v>
      </c>
      <c r="B1100" s="1611"/>
      <c r="C1100" s="444" t="s">
        <v>127</v>
      </c>
      <c r="D1100" s="464">
        <f>+INSUMOS!H63</f>
        <v>85675</v>
      </c>
      <c r="E1100" s="444">
        <v>2</v>
      </c>
      <c r="F1100" s="440">
        <f t="shared" si="62"/>
        <v>171350</v>
      </c>
      <c r="G1100" s="707"/>
    </row>
    <row r="1101" spans="1:7" ht="14.25" customHeight="1">
      <c r="A1101" s="1995" t="s">
        <v>1772</v>
      </c>
      <c r="B1101" s="1611"/>
      <c r="C1101" s="444" t="s">
        <v>127</v>
      </c>
      <c r="D1101" s="464">
        <f>+INSUMOS!H64</f>
        <v>977499.99999999988</v>
      </c>
      <c r="E1101" s="444">
        <v>1</v>
      </c>
      <c r="F1101" s="440">
        <f t="shared" si="62"/>
        <v>977499.99999999988</v>
      </c>
      <c r="G1101" s="707"/>
    </row>
    <row r="1102" spans="1:7" ht="14.25" customHeight="1">
      <c r="A1102" s="2015" t="s">
        <v>1560</v>
      </c>
      <c r="B1102" s="1601"/>
      <c r="C1102" s="1601"/>
      <c r="D1102" s="1601"/>
      <c r="E1102" s="1601"/>
      <c r="F1102" s="1801"/>
      <c r="G1102" s="462">
        <f>SUM(F1096:F1101)</f>
        <v>2789258.3333333335</v>
      </c>
    </row>
    <row r="1103" spans="1:7" ht="14.25" customHeight="1">
      <c r="A1103" s="163" t="s">
        <v>1563</v>
      </c>
      <c r="B1103" s="618"/>
      <c r="C1103" s="618"/>
      <c r="D1103" s="618"/>
      <c r="E1103" s="618"/>
      <c r="F1103" s="618"/>
      <c r="G1103" s="743"/>
    </row>
    <row r="1104" spans="1:7" ht="14.25" customHeight="1">
      <c r="A1104" s="1975" t="s">
        <v>1556</v>
      </c>
      <c r="B1104" s="1801"/>
      <c r="C1104" s="424" t="s">
        <v>6</v>
      </c>
      <c r="D1104" s="424" t="s">
        <v>1562</v>
      </c>
      <c r="E1104" s="424" t="s">
        <v>7</v>
      </c>
      <c r="F1104" s="424" t="s">
        <v>1559</v>
      </c>
      <c r="G1104" s="438"/>
    </row>
    <row r="1105" spans="1:7" ht="14.25" customHeight="1">
      <c r="A1105" s="1987" t="str">
        <f>+'LISTADO EQUIPOS'!$C$125</f>
        <v>VOLQUETA (5-6)M3</v>
      </c>
      <c r="B1105" s="1967"/>
      <c r="C1105" s="744" t="str">
        <f>+'LISTADO EQUIPOS'!$D$125</f>
        <v>VJ</v>
      </c>
      <c r="D1105" s="675">
        <f>6*INSUMOS!H11</f>
        <v>170571.42857142841</v>
      </c>
      <c r="E1105" s="745">
        <v>0.5</v>
      </c>
      <c r="F1105" s="464">
        <f>+E1105*D1105</f>
        <v>85285.714285714203</v>
      </c>
      <c r="G1105" s="676"/>
    </row>
    <row r="1106" spans="1:7" ht="14.25" customHeight="1">
      <c r="A1106" s="1996"/>
      <c r="B1106" s="1819"/>
      <c r="C1106" s="744"/>
      <c r="D1106" s="434"/>
      <c r="E1106" s="746"/>
      <c r="F1106" s="434"/>
      <c r="G1106" s="457"/>
    </row>
    <row r="1107" spans="1:7" ht="14.25" customHeight="1">
      <c r="A1107" s="2015" t="s">
        <v>1560</v>
      </c>
      <c r="B1107" s="1601"/>
      <c r="C1107" s="1601"/>
      <c r="D1107" s="1601"/>
      <c r="E1107" s="1601"/>
      <c r="F1107" s="1801"/>
      <c r="G1107" s="462">
        <f>SUM(F1105:F1106)</f>
        <v>85285.714285714203</v>
      </c>
    </row>
    <row r="1108" spans="1:7" ht="14.25" customHeight="1">
      <c r="A1108" s="163" t="s">
        <v>1564</v>
      </c>
      <c r="B1108" s="618"/>
      <c r="C1108" s="618"/>
      <c r="D1108" s="618"/>
      <c r="E1108" s="618"/>
      <c r="F1108" s="618"/>
      <c r="G1108" s="743"/>
    </row>
    <row r="1109" spans="1:7" ht="14.25" customHeight="1">
      <c r="A1109" s="1975" t="s">
        <v>1565</v>
      </c>
      <c r="B1109" s="1801"/>
      <c r="C1109" s="424" t="s">
        <v>1566</v>
      </c>
      <c r="D1109" s="424" t="s">
        <v>6</v>
      </c>
      <c r="E1109" s="424" t="s">
        <v>7</v>
      </c>
      <c r="F1109" s="424" t="s">
        <v>1559</v>
      </c>
      <c r="G1109" s="462"/>
    </row>
    <row r="1110" spans="1:7" ht="14.25" customHeight="1">
      <c r="A1110" s="2004" t="str">
        <f>+'MANO DE OBRA'!$A$95</f>
        <v>MANO OBRA CARPINTERIA MET.</v>
      </c>
      <c r="B1110" s="1888"/>
      <c r="C1110" s="679">
        <f>+'MANO DE OBRA'!$E$95</f>
        <v>31204.875</v>
      </c>
      <c r="D1110" s="680">
        <v>1</v>
      </c>
      <c r="E1110" s="680">
        <v>10.5</v>
      </c>
      <c r="F1110" s="755">
        <f>+(C1110*D1110)*E1110</f>
        <v>327651.1875</v>
      </c>
      <c r="G1110" s="676"/>
    </row>
    <row r="1111" spans="1:7" ht="14.25" customHeight="1">
      <c r="A1111" s="1984"/>
      <c r="B1111" s="1819"/>
      <c r="C1111" s="747"/>
      <c r="D1111" s="614"/>
      <c r="E1111" s="614"/>
      <c r="F1111" s="753"/>
      <c r="G1111" s="709"/>
    </row>
    <row r="1112" spans="1:7" ht="14.25" customHeight="1">
      <c r="A1112" s="2015" t="str">
        <f>+A1107</f>
        <v>SUB-TOTAL</v>
      </c>
      <c r="B1112" s="1601"/>
      <c r="C1112" s="1601"/>
      <c r="D1112" s="1601"/>
      <c r="E1112" s="1601"/>
      <c r="F1112" s="1801"/>
      <c r="G1112" s="462">
        <f>SUM(F1110:F1111)</f>
        <v>327651.1875</v>
      </c>
    </row>
    <row r="1113" spans="1:7" ht="11.25" customHeight="1">
      <c r="A1113" s="618"/>
      <c r="B1113" s="618"/>
      <c r="C1113" s="618"/>
      <c r="D1113" s="618"/>
      <c r="E1113" s="618"/>
      <c r="F1113" s="748"/>
      <c r="G1113" s="743"/>
    </row>
    <row r="1114" spans="1:7" ht="14.25" customHeight="1">
      <c r="A1114" s="2015" t="s">
        <v>1567</v>
      </c>
      <c r="B1114" s="1601"/>
      <c r="C1114" s="1601"/>
      <c r="D1114" s="1601"/>
      <c r="E1114" s="1601"/>
      <c r="F1114" s="1801"/>
      <c r="G1114" s="459">
        <f>ROUND(G1093+G1102+G1107+G1112,0)</f>
        <v>3328711</v>
      </c>
    </row>
    <row r="1115" spans="1:7" ht="14.25" customHeight="1">
      <c r="A1115" s="637"/>
      <c r="B1115" s="637"/>
      <c r="C1115" s="637"/>
      <c r="D1115" s="637"/>
      <c r="E1115" s="637"/>
      <c r="F1115" s="637"/>
      <c r="G1115" s="466"/>
    </row>
    <row r="1116" spans="1:7" ht="14.25" hidden="1" customHeight="1">
      <c r="A1116" s="616"/>
      <c r="B1116" s="616"/>
      <c r="C1116" s="616"/>
      <c r="D1116" s="616"/>
      <c r="E1116" s="616"/>
      <c r="F1116" s="616"/>
      <c r="G1116" s="616"/>
    </row>
    <row r="1117" spans="1:7" ht="33" hidden="1" customHeight="1">
      <c r="A1117" s="1994" t="e">
        <f>+'ANALISIS BASICOS'!$A$7</f>
        <v>#REF!</v>
      </c>
      <c r="B1117" s="1616"/>
      <c r="C1117" s="1624"/>
      <c r="D1117" s="1990"/>
      <c r="E1117" s="1616"/>
      <c r="F1117" s="1616"/>
      <c r="G1117" s="1624"/>
    </row>
    <row r="1118" spans="1:7" ht="33" hidden="1" customHeight="1">
      <c r="A1118" s="1971"/>
      <c r="B1118" s="1817"/>
      <c r="C1118" s="1972"/>
      <c r="D1118" s="1971"/>
      <c r="E1118" s="1817"/>
      <c r="F1118" s="1817"/>
      <c r="G1118" s="1972"/>
    </row>
    <row r="1119" spans="1:7" ht="14.25" hidden="1" customHeight="1">
      <c r="A1119" s="618"/>
      <c r="B1119" s="618"/>
      <c r="C1119" s="618"/>
      <c r="D1119" s="618"/>
      <c r="E1119" s="618"/>
      <c r="F1119" s="618"/>
      <c r="G1119" s="618"/>
    </row>
    <row r="1120" spans="1:7" ht="50.25" hidden="1" customHeight="1">
      <c r="A1120" s="1991" t="e">
        <f ca="1">+A1084</f>
        <v>#NAME?</v>
      </c>
      <c r="B1120" s="1601"/>
      <c r="C1120" s="1602"/>
      <c r="D1120" s="1974" t="s">
        <v>1773</v>
      </c>
      <c r="E1120" s="1601"/>
      <c r="F1120" s="1601"/>
      <c r="G1120" s="1602"/>
    </row>
    <row r="1122" spans="1:7" ht="12.75" hidden="1" customHeight="1">
      <c r="A1122" s="572"/>
      <c r="B1122" s="618"/>
      <c r="C1122" s="616"/>
      <c r="D1122" s="421" t="s">
        <v>1553</v>
      </c>
      <c r="E1122" s="422" t="s">
        <v>171</v>
      </c>
      <c r="F1122" s="421" t="s">
        <v>1554</v>
      </c>
      <c r="G1122" s="422" t="s">
        <v>36</v>
      </c>
    </row>
    <row r="1123" spans="1:7" ht="14.25" hidden="1" customHeight="1">
      <c r="A1123" s="621" t="s">
        <v>1555</v>
      </c>
      <c r="B1123" s="618"/>
      <c r="C1123" s="618"/>
      <c r="D1123" s="618"/>
      <c r="E1123" s="618"/>
      <c r="F1123" s="618"/>
      <c r="G1123" s="618"/>
    </row>
    <row r="1124" spans="1:7" ht="13.5" hidden="1" customHeight="1">
      <c r="A1124" s="1975" t="s">
        <v>1556</v>
      </c>
      <c r="B1124" s="1601"/>
      <c r="C1124" s="1801"/>
      <c r="D1124" s="424" t="s">
        <v>208</v>
      </c>
      <c r="E1124" s="424" t="s">
        <v>1558</v>
      </c>
      <c r="F1124" s="424" t="s">
        <v>1559</v>
      </c>
      <c r="G1124" s="425"/>
    </row>
    <row r="1125" spans="1:7" ht="14.25" hidden="1" customHeight="1">
      <c r="A1125" s="1987" t="str">
        <f>+'LISTADO EQUIPOS'!$C$22</f>
        <v>HERRAMIENTA MENOR.</v>
      </c>
      <c r="B1125" s="1811"/>
      <c r="C1125" s="1967"/>
      <c r="D1125" s="675">
        <f>+'LISTADO EQUIPOS'!$E$22/8</f>
        <v>2850</v>
      </c>
      <c r="E1125" s="687">
        <f>+E1146</f>
        <v>0.13362773548427023</v>
      </c>
      <c r="F1125" s="442">
        <f t="shared" ref="F1125:F1128" si="63">+E1125*D1125</f>
        <v>380.83904613017017</v>
      </c>
      <c r="G1125" s="688"/>
    </row>
    <row r="1126" spans="1:7" ht="14.25" hidden="1" customHeight="1">
      <c r="A1126" s="1995" t="str">
        <f>+'LISTADO EQUIPOS'!$C$18</f>
        <v>EQUIPO ELÉCTRICO SOLDADURA</v>
      </c>
      <c r="B1126" s="1610"/>
      <c r="C1126" s="1611"/>
      <c r="D1126" s="464">
        <f>+'LISTADO EQUIPOS'!$E$19</f>
        <v>9750</v>
      </c>
      <c r="E1126" s="706">
        <f>+E1125*0.1</f>
        <v>1.3362773548427024E-2</v>
      </c>
      <c r="F1126" s="440">
        <f t="shared" si="63"/>
        <v>130.28704209716349</v>
      </c>
      <c r="G1126" s="751"/>
    </row>
    <row r="1127" spans="1:7" ht="14.25" hidden="1" customHeight="1">
      <c r="A1127" s="1995" t="str">
        <f>+'LISTADO EQUIPOS'!$C$47</f>
        <v>ANDAMIO TUBULAR. 1.5 x 1.5 SECCIÓN</v>
      </c>
      <c r="B1127" s="1610"/>
      <c r="C1127" s="1611"/>
      <c r="D1127" s="464">
        <f>+'LISTADO EQUIPOS'!$E$47</f>
        <v>1750</v>
      </c>
      <c r="E1127" s="706">
        <f>+E1126</f>
        <v>1.3362773548427024E-2</v>
      </c>
      <c r="F1127" s="440">
        <f t="shared" si="63"/>
        <v>23.384853709747293</v>
      </c>
      <c r="G1127" s="751"/>
    </row>
    <row r="1128" spans="1:7" ht="14.25" hidden="1" customHeight="1">
      <c r="A1128" s="1996" t="str">
        <f>+'LISTADO EQUIPOS'!$C$30</f>
        <v>PULIDORA</v>
      </c>
      <c r="B1128" s="1807"/>
      <c r="C1128" s="1819"/>
      <c r="D1128" s="434">
        <f>+'LISTADO EQUIPOS'!$E$30</f>
        <v>5250</v>
      </c>
      <c r="E1128" s="433">
        <f>+E1126</f>
        <v>1.3362773548427024E-2</v>
      </c>
      <c r="F1128" s="700">
        <f t="shared" si="63"/>
        <v>70.15456112924187</v>
      </c>
      <c r="G1128" s="435"/>
    </row>
    <row r="1129" spans="1:7" ht="14.25" hidden="1" customHeight="1">
      <c r="A1129" s="2015" t="s">
        <v>1560</v>
      </c>
      <c r="B1129" s="1601"/>
      <c r="C1129" s="1601"/>
      <c r="D1129" s="1601"/>
      <c r="E1129" s="1601"/>
      <c r="F1129" s="1801"/>
      <c r="G1129" s="462">
        <f>SUM(F1125:F1128)</f>
        <v>604.6655030663228</v>
      </c>
    </row>
    <row r="1130" spans="1:7" ht="14.25" hidden="1" customHeight="1">
      <c r="A1130" s="621" t="s">
        <v>1561</v>
      </c>
      <c r="B1130" s="618"/>
      <c r="C1130" s="618"/>
      <c r="D1130" s="618"/>
      <c r="E1130" s="618"/>
      <c r="F1130" s="618"/>
      <c r="G1130" s="743"/>
    </row>
    <row r="1131" spans="1:7" ht="14.25" hidden="1" customHeight="1">
      <c r="A1131" s="1975" t="s">
        <v>1556</v>
      </c>
      <c r="B1131" s="1801"/>
      <c r="C1131" s="424" t="s">
        <v>6</v>
      </c>
      <c r="D1131" s="424" t="s">
        <v>1562</v>
      </c>
      <c r="E1131" s="424" t="s">
        <v>7</v>
      </c>
      <c r="F1131" s="424" t="s">
        <v>1559</v>
      </c>
      <c r="G1131" s="673"/>
    </row>
    <row r="1132" spans="1:7" ht="14.25" hidden="1" customHeight="1">
      <c r="A1132" s="1995" t="s">
        <v>1774</v>
      </c>
      <c r="B1132" s="1611"/>
      <c r="C1132" s="444" t="s">
        <v>171</v>
      </c>
      <c r="D1132" s="464">
        <v>4510</v>
      </c>
      <c r="E1132" s="706">
        <v>1.03</v>
      </c>
      <c r="F1132" s="440">
        <f t="shared" ref="F1132:F1136" si="64">+E1132*D1132</f>
        <v>4645.3</v>
      </c>
      <c r="G1132" s="707"/>
    </row>
    <row r="1133" spans="1:7" ht="14.25" hidden="1" customHeight="1">
      <c r="A1133" s="1995" t="s">
        <v>1775</v>
      </c>
      <c r="B1133" s="1611"/>
      <c r="C1133" s="444" t="s">
        <v>171</v>
      </c>
      <c r="D1133" s="464">
        <v>15600</v>
      </c>
      <c r="E1133" s="444">
        <v>0.19</v>
      </c>
      <c r="F1133" s="440">
        <f t="shared" si="64"/>
        <v>2964</v>
      </c>
      <c r="G1133" s="707"/>
    </row>
    <row r="1134" spans="1:7" ht="12.75" hidden="1" customHeight="1">
      <c r="A1134" s="1995" t="s">
        <v>1776</v>
      </c>
      <c r="B1134" s="1611"/>
      <c r="C1134" s="444" t="s">
        <v>1707</v>
      </c>
      <c r="D1134" s="464">
        <v>24450</v>
      </c>
      <c r="E1134" s="444">
        <v>0.03</v>
      </c>
      <c r="F1134" s="440">
        <f t="shared" si="64"/>
        <v>733.5</v>
      </c>
      <c r="G1134" s="707"/>
    </row>
    <row r="1135" spans="1:7" ht="12.75" hidden="1" customHeight="1">
      <c r="A1135" s="1995" t="s">
        <v>1777</v>
      </c>
      <c r="B1135" s="1611"/>
      <c r="C1135" s="444" t="s">
        <v>1707</v>
      </c>
      <c r="D1135" s="464">
        <v>32450</v>
      </c>
      <c r="E1135" s="444">
        <v>2.5000000000000001E-2</v>
      </c>
      <c r="F1135" s="440">
        <f t="shared" si="64"/>
        <v>811.25</v>
      </c>
      <c r="G1135" s="707"/>
    </row>
    <row r="1136" spans="1:7" ht="12.75" hidden="1" customHeight="1">
      <c r="A1136" s="1995" t="s">
        <v>1778</v>
      </c>
      <c r="B1136" s="1611"/>
      <c r="C1136" s="444" t="s">
        <v>1707</v>
      </c>
      <c r="D1136" s="464">
        <v>72450</v>
      </c>
      <c r="E1136" s="444">
        <v>0.01</v>
      </c>
      <c r="F1136" s="440">
        <f t="shared" si="64"/>
        <v>724.5</v>
      </c>
      <c r="G1136" s="707"/>
    </row>
    <row r="1137" spans="1:7" ht="14.25" hidden="1" customHeight="1">
      <c r="A1137" s="1996"/>
      <c r="B1137" s="1819"/>
      <c r="C1137" s="708"/>
      <c r="D1137" s="434"/>
      <c r="E1137" s="708"/>
      <c r="F1137" s="434"/>
      <c r="G1137" s="709"/>
    </row>
    <row r="1138" spans="1:7" ht="14.25" hidden="1" customHeight="1">
      <c r="A1138" s="2015" t="s">
        <v>1560</v>
      </c>
      <c r="B1138" s="1601"/>
      <c r="C1138" s="1601"/>
      <c r="D1138" s="1601"/>
      <c r="E1138" s="1601"/>
      <c r="F1138" s="1801"/>
      <c r="G1138" s="462">
        <f>SUM(F1132:F1137)</f>
        <v>9878.5499999999993</v>
      </c>
    </row>
    <row r="1139" spans="1:7" ht="14.25" hidden="1" customHeight="1">
      <c r="A1139" s="163" t="s">
        <v>1563</v>
      </c>
      <c r="B1139" s="618"/>
      <c r="C1139" s="618"/>
      <c r="D1139" s="618"/>
      <c r="E1139" s="618"/>
      <c r="F1139" s="618"/>
      <c r="G1139" s="743"/>
    </row>
    <row r="1140" spans="1:7" ht="14.25" hidden="1" customHeight="1">
      <c r="A1140" s="1975" t="s">
        <v>1556</v>
      </c>
      <c r="B1140" s="1801"/>
      <c r="C1140" s="424" t="s">
        <v>6</v>
      </c>
      <c r="D1140" s="424" t="s">
        <v>1562</v>
      </c>
      <c r="E1140" s="424" t="s">
        <v>7</v>
      </c>
      <c r="F1140" s="424" t="s">
        <v>1559</v>
      </c>
      <c r="G1140" s="438"/>
    </row>
    <row r="1141" spans="1:7" ht="14.25" hidden="1" customHeight="1">
      <c r="A1141" s="1987"/>
      <c r="B1141" s="1967"/>
      <c r="C1141" s="744"/>
      <c r="D1141" s="675"/>
      <c r="E1141" s="745"/>
      <c r="F1141" s="464"/>
      <c r="G1141" s="676"/>
    </row>
    <row r="1142" spans="1:7" ht="14.25" hidden="1" customHeight="1">
      <c r="A1142" s="1996"/>
      <c r="B1142" s="1819"/>
      <c r="C1142" s="744"/>
      <c r="D1142" s="434"/>
      <c r="E1142" s="746"/>
      <c r="F1142" s="434"/>
      <c r="G1142" s="457"/>
    </row>
    <row r="1143" spans="1:7" ht="14.25" hidden="1" customHeight="1">
      <c r="A1143" s="2015" t="s">
        <v>1560</v>
      </c>
      <c r="B1143" s="1601"/>
      <c r="C1143" s="1601"/>
      <c r="D1143" s="1601"/>
      <c r="E1143" s="1601"/>
      <c r="F1143" s="1801"/>
      <c r="G1143" s="462"/>
    </row>
    <row r="1144" spans="1:7" ht="14.25" hidden="1" customHeight="1">
      <c r="A1144" s="163" t="s">
        <v>1564</v>
      </c>
      <c r="B1144" s="618"/>
      <c r="C1144" s="618"/>
      <c r="D1144" s="618"/>
      <c r="E1144" s="618"/>
      <c r="F1144" s="618"/>
      <c r="G1144" s="743"/>
    </row>
    <row r="1145" spans="1:7" ht="14.25" hidden="1" customHeight="1">
      <c r="A1145" s="1975" t="s">
        <v>1565</v>
      </c>
      <c r="B1145" s="1801"/>
      <c r="C1145" s="424" t="s">
        <v>1566</v>
      </c>
      <c r="D1145" s="424" t="s">
        <v>6</v>
      </c>
      <c r="E1145" s="424" t="s">
        <v>7</v>
      </c>
      <c r="F1145" s="424" t="s">
        <v>1559</v>
      </c>
      <c r="G1145" s="462"/>
    </row>
    <row r="1146" spans="1:7" ht="14.25" hidden="1" customHeight="1">
      <c r="A1146" s="2004" t="str">
        <f>+'MANO DE OBRA'!$A$95</f>
        <v>MANO OBRA CARPINTERIA MET.</v>
      </c>
      <c r="B1146" s="1888"/>
      <c r="C1146" s="679">
        <f>+'MANO DE OBRA'!$E$95</f>
        <v>31204.875</v>
      </c>
      <c r="D1146" s="680">
        <v>1</v>
      </c>
      <c r="E1146" s="680">
        <v>0.13362773548427023</v>
      </c>
      <c r="F1146" s="755">
        <f>+(C1146*D1146)*E1146</f>
        <v>4169.8367823197168</v>
      </c>
      <c r="G1146" s="676"/>
    </row>
    <row r="1147" spans="1:7" ht="14.25" hidden="1" customHeight="1">
      <c r="A1147" s="1984"/>
      <c r="B1147" s="1819"/>
      <c r="C1147" s="747"/>
      <c r="D1147" s="614"/>
      <c r="E1147" s="614"/>
      <c r="F1147" s="753"/>
      <c r="G1147" s="709"/>
    </row>
    <row r="1148" spans="1:7" ht="14.25" hidden="1" customHeight="1">
      <c r="A1148" s="2015" t="str">
        <f>+A1143</f>
        <v>SUB-TOTAL</v>
      </c>
      <c r="B1148" s="1601"/>
      <c r="C1148" s="1601"/>
      <c r="D1148" s="1601"/>
      <c r="E1148" s="1601"/>
      <c r="F1148" s="1801"/>
      <c r="G1148" s="462">
        <f>SUM(F1146:F1147)</f>
        <v>4169.8367823197168</v>
      </c>
    </row>
    <row r="1149" spans="1:7" ht="11.25" hidden="1" customHeight="1">
      <c r="A1149" s="618"/>
      <c r="B1149" s="618"/>
      <c r="C1149" s="618"/>
      <c r="D1149" s="618"/>
      <c r="E1149" s="618"/>
      <c r="F1149" s="748"/>
      <c r="G1149" s="743"/>
    </row>
    <row r="1150" spans="1:7" ht="14.25" hidden="1" customHeight="1">
      <c r="A1150" s="2015" t="s">
        <v>1567</v>
      </c>
      <c r="B1150" s="1601"/>
      <c r="C1150" s="1601"/>
      <c r="D1150" s="1601"/>
      <c r="E1150" s="1601"/>
      <c r="F1150" s="1801"/>
      <c r="G1150" s="459">
        <f>ROUND(G1129+G1138+G1143+G1148,0)</f>
        <v>14653</v>
      </c>
    </row>
    <row r="1153" spans="1:7" ht="33" hidden="1" customHeight="1">
      <c r="A1153" s="1994" t="e">
        <f>+'ANALISIS BASICOS'!$A$7</f>
        <v>#REF!</v>
      </c>
      <c r="B1153" s="1616"/>
      <c r="C1153" s="1624"/>
      <c r="D1153" s="1990"/>
      <c r="E1153" s="1616"/>
      <c r="F1153" s="1616"/>
      <c r="G1153" s="1624"/>
    </row>
    <row r="1154" spans="1:7" ht="33" hidden="1" customHeight="1">
      <c r="A1154" s="1971"/>
      <c r="B1154" s="1817"/>
      <c r="C1154" s="1972"/>
      <c r="D1154" s="1971"/>
      <c r="E1154" s="1817"/>
      <c r="F1154" s="1817"/>
      <c r="G1154" s="1972"/>
    </row>
    <row r="1155" spans="1:7" ht="14.25" hidden="1" customHeight="1">
      <c r="A1155" s="618"/>
      <c r="B1155" s="618"/>
      <c r="C1155" s="618"/>
      <c r="D1155" s="618"/>
      <c r="E1155" s="618"/>
      <c r="F1155" s="618"/>
      <c r="G1155" s="618"/>
    </row>
    <row r="1156" spans="1:7" ht="50.25" hidden="1" customHeight="1">
      <c r="A1156" s="1991" t="e">
        <f ca="1">+A1120</f>
        <v>#NAME?</v>
      </c>
      <c r="B1156" s="1601"/>
      <c r="C1156" s="1602"/>
      <c r="D1156" s="1974" t="s">
        <v>1779</v>
      </c>
      <c r="E1156" s="1601"/>
      <c r="F1156" s="1601"/>
      <c r="G1156" s="1602"/>
    </row>
    <row r="1157" spans="1:7" ht="14.25" hidden="1" customHeight="1">
      <c r="A1157" s="620"/>
      <c r="B1157" s="620"/>
      <c r="C1157" s="620"/>
      <c r="D1157" s="620"/>
      <c r="E1157" s="620"/>
      <c r="F1157" s="620"/>
      <c r="G1157" s="620"/>
    </row>
    <row r="1158" spans="1:7" ht="12.75" hidden="1" customHeight="1">
      <c r="A1158" s="572"/>
      <c r="B1158" s="618"/>
      <c r="C1158" s="616"/>
      <c r="D1158" s="421" t="s">
        <v>1553</v>
      </c>
      <c r="E1158" s="422" t="s">
        <v>171</v>
      </c>
      <c r="F1158" s="421" t="s">
        <v>1554</v>
      </c>
      <c r="G1158" s="422" t="s">
        <v>38</v>
      </c>
    </row>
    <row r="1159" spans="1:7" ht="14.25" hidden="1" customHeight="1">
      <c r="A1159" s="621" t="s">
        <v>1555</v>
      </c>
      <c r="B1159" s="618"/>
      <c r="C1159" s="618"/>
      <c r="D1159" s="618"/>
      <c r="E1159" s="618"/>
      <c r="F1159" s="618"/>
      <c r="G1159" s="618"/>
    </row>
    <row r="1160" spans="1:7" ht="13.5" hidden="1" customHeight="1">
      <c r="A1160" s="1975" t="s">
        <v>1556</v>
      </c>
      <c r="B1160" s="1601"/>
      <c r="C1160" s="1801"/>
      <c r="D1160" s="424" t="s">
        <v>208</v>
      </c>
      <c r="E1160" s="424" t="s">
        <v>1558</v>
      </c>
      <c r="F1160" s="424" t="s">
        <v>1559</v>
      </c>
      <c r="G1160" s="425"/>
    </row>
    <row r="1161" spans="1:7" ht="14.25" hidden="1" customHeight="1">
      <c r="A1161" s="1987" t="str">
        <f>+'LISTADO EQUIPOS'!$C$22</f>
        <v>HERRAMIENTA MENOR.</v>
      </c>
      <c r="B1161" s="1811"/>
      <c r="C1161" s="1967"/>
      <c r="D1161" s="675">
        <f>+'LISTADO EQUIPOS'!$E$22/8</f>
        <v>2850</v>
      </c>
      <c r="E1161" s="687">
        <f>+E1182</f>
        <v>0.13</v>
      </c>
      <c r="F1161" s="442">
        <f t="shared" ref="F1161:F1164" si="65">+E1161*D1161</f>
        <v>370.5</v>
      </c>
      <c r="G1161" s="688"/>
    </row>
    <row r="1162" spans="1:7" ht="14.25" hidden="1" customHeight="1">
      <c r="A1162" s="1995" t="str">
        <f>+'LISTADO EQUIPOS'!$C$18</f>
        <v>EQUIPO ELÉCTRICO SOLDADURA</v>
      </c>
      <c r="B1162" s="1610"/>
      <c r="C1162" s="1611"/>
      <c r="D1162" s="464">
        <f>+'LISTADO EQUIPOS'!$E$19</f>
        <v>9750</v>
      </c>
      <c r="E1162" s="706">
        <f>+E1161*0.1</f>
        <v>1.3000000000000001E-2</v>
      </c>
      <c r="F1162" s="440">
        <f t="shared" si="65"/>
        <v>126.75000000000001</v>
      </c>
      <c r="G1162" s="751"/>
    </row>
    <row r="1163" spans="1:7" ht="14.25" hidden="1" customHeight="1">
      <c r="A1163" s="1995" t="str">
        <f>+'LISTADO EQUIPOS'!$C$47</f>
        <v>ANDAMIO TUBULAR. 1.5 x 1.5 SECCIÓN</v>
      </c>
      <c r="B1163" s="1610"/>
      <c r="C1163" s="1611"/>
      <c r="D1163" s="464">
        <f>+'LISTADO EQUIPOS'!$E$47</f>
        <v>1750</v>
      </c>
      <c r="E1163" s="706">
        <f>+E1162</f>
        <v>1.3000000000000001E-2</v>
      </c>
      <c r="F1163" s="440">
        <f t="shared" si="65"/>
        <v>22.750000000000004</v>
      </c>
      <c r="G1163" s="751"/>
    </row>
    <row r="1164" spans="1:7" ht="14.25" hidden="1" customHeight="1">
      <c r="A1164" s="1996" t="str">
        <f>+'LISTADO EQUIPOS'!$C$30</f>
        <v>PULIDORA</v>
      </c>
      <c r="B1164" s="1807"/>
      <c r="C1164" s="1819"/>
      <c r="D1164" s="434">
        <f>+'LISTADO EQUIPOS'!$E$30</f>
        <v>5250</v>
      </c>
      <c r="E1164" s="433">
        <f>+E1162</f>
        <v>1.3000000000000001E-2</v>
      </c>
      <c r="F1164" s="700">
        <f t="shared" si="65"/>
        <v>68.25</v>
      </c>
      <c r="G1164" s="435"/>
    </row>
    <row r="1165" spans="1:7" ht="14.25" hidden="1" customHeight="1">
      <c r="A1165" s="2015" t="s">
        <v>1560</v>
      </c>
      <c r="B1165" s="1601"/>
      <c r="C1165" s="1601"/>
      <c r="D1165" s="1601"/>
      <c r="E1165" s="1601"/>
      <c r="F1165" s="1801"/>
      <c r="G1165" s="462">
        <f>SUM(F1161:F1164)</f>
        <v>588.25</v>
      </c>
    </row>
    <row r="1166" spans="1:7" ht="14.25" hidden="1" customHeight="1">
      <c r="A1166" s="621" t="s">
        <v>1561</v>
      </c>
      <c r="B1166" s="618"/>
      <c r="C1166" s="618"/>
      <c r="D1166" s="618"/>
      <c r="E1166" s="618"/>
      <c r="F1166" s="618"/>
      <c r="G1166" s="743"/>
    </row>
    <row r="1167" spans="1:7" ht="14.25" hidden="1" customHeight="1">
      <c r="A1167" s="1975" t="s">
        <v>1556</v>
      </c>
      <c r="B1167" s="1801"/>
      <c r="C1167" s="424" t="s">
        <v>6</v>
      </c>
      <c r="D1167" s="424" t="s">
        <v>1562</v>
      </c>
      <c r="E1167" s="424" t="s">
        <v>7</v>
      </c>
      <c r="F1167" s="424" t="s">
        <v>1559</v>
      </c>
      <c r="G1167" s="673"/>
    </row>
    <row r="1168" spans="1:7" ht="14.25" hidden="1" customHeight="1">
      <c r="A1168" s="1995" t="s">
        <v>1780</v>
      </c>
      <c r="B1168" s="1611"/>
      <c r="C1168" s="444" t="s">
        <v>171</v>
      </c>
      <c r="D1168" s="464">
        <v>3937.0518640665941</v>
      </c>
      <c r="E1168" s="706">
        <v>1.03</v>
      </c>
      <c r="F1168" s="440">
        <f t="shared" ref="F1168:F1172" si="66">+E1168*D1168</f>
        <v>4055.1634199885921</v>
      </c>
      <c r="G1168" s="707"/>
    </row>
    <row r="1169" spans="1:7" ht="14.25" hidden="1" customHeight="1">
      <c r="A1169" s="1995" t="s">
        <v>1775</v>
      </c>
      <c r="B1169" s="1611"/>
      <c r="C1169" s="444" t="s">
        <v>171</v>
      </c>
      <c r="D1169" s="464">
        <v>15600</v>
      </c>
      <c r="E1169" s="444">
        <v>0.15</v>
      </c>
      <c r="F1169" s="440">
        <f t="shared" si="66"/>
        <v>2340</v>
      </c>
      <c r="G1169" s="707"/>
    </row>
    <row r="1170" spans="1:7" ht="12.75" hidden="1" customHeight="1">
      <c r="A1170" s="1995" t="s">
        <v>1776</v>
      </c>
      <c r="B1170" s="1611"/>
      <c r="C1170" s="444" t="s">
        <v>1707</v>
      </c>
      <c r="D1170" s="464">
        <v>24450</v>
      </c>
      <c r="E1170" s="444">
        <v>0.03</v>
      </c>
      <c r="F1170" s="440">
        <f t="shared" si="66"/>
        <v>733.5</v>
      </c>
      <c r="G1170" s="707"/>
    </row>
    <row r="1171" spans="1:7" ht="12.75" hidden="1" customHeight="1">
      <c r="A1171" s="1995" t="s">
        <v>1777</v>
      </c>
      <c r="B1171" s="1611"/>
      <c r="C1171" s="444" t="s">
        <v>1707</v>
      </c>
      <c r="D1171" s="464">
        <v>32450</v>
      </c>
      <c r="E1171" s="444">
        <v>2.5000000000000001E-2</v>
      </c>
      <c r="F1171" s="440">
        <f t="shared" si="66"/>
        <v>811.25</v>
      </c>
      <c r="G1171" s="707"/>
    </row>
    <row r="1172" spans="1:7" ht="12.75" hidden="1" customHeight="1">
      <c r="A1172" s="1995" t="s">
        <v>1778</v>
      </c>
      <c r="B1172" s="1611"/>
      <c r="C1172" s="444" t="s">
        <v>1707</v>
      </c>
      <c r="D1172" s="464">
        <v>72450</v>
      </c>
      <c r="E1172" s="444">
        <v>0.01</v>
      </c>
      <c r="F1172" s="440">
        <f t="shared" si="66"/>
        <v>724.5</v>
      </c>
      <c r="G1172" s="707"/>
    </row>
    <row r="1173" spans="1:7" ht="14.25" hidden="1" customHeight="1">
      <c r="A1173" s="1996"/>
      <c r="B1173" s="1819"/>
      <c r="C1173" s="708"/>
      <c r="D1173" s="434"/>
      <c r="E1173" s="708"/>
      <c r="F1173" s="434"/>
      <c r="G1173" s="709"/>
    </row>
    <row r="1174" spans="1:7" ht="14.25" hidden="1" customHeight="1">
      <c r="A1174" s="2015" t="s">
        <v>1560</v>
      </c>
      <c r="B1174" s="1601"/>
      <c r="C1174" s="1601"/>
      <c r="D1174" s="1601"/>
      <c r="E1174" s="1601"/>
      <c r="F1174" s="1801"/>
      <c r="G1174" s="462">
        <f>SUM(F1168:F1173)</f>
        <v>8664.4134199885921</v>
      </c>
    </row>
    <row r="1175" spans="1:7" ht="14.25" hidden="1" customHeight="1">
      <c r="A1175" s="163" t="s">
        <v>1563</v>
      </c>
      <c r="B1175" s="618"/>
      <c r="C1175" s="618"/>
      <c r="D1175" s="618"/>
      <c r="E1175" s="618"/>
      <c r="F1175" s="618"/>
      <c r="G1175" s="743"/>
    </row>
    <row r="1176" spans="1:7" ht="14.25" hidden="1" customHeight="1">
      <c r="A1176" s="1975" t="s">
        <v>1556</v>
      </c>
      <c r="B1176" s="1801"/>
      <c r="C1176" s="424" t="s">
        <v>6</v>
      </c>
      <c r="D1176" s="424" t="s">
        <v>1562</v>
      </c>
      <c r="E1176" s="424" t="s">
        <v>7</v>
      </c>
      <c r="F1176" s="424" t="s">
        <v>1559</v>
      </c>
      <c r="G1176" s="438"/>
    </row>
    <row r="1177" spans="1:7" ht="14.25" hidden="1" customHeight="1">
      <c r="A1177" s="1987"/>
      <c r="B1177" s="1967"/>
      <c r="C1177" s="744"/>
      <c r="D1177" s="675"/>
      <c r="E1177" s="745"/>
      <c r="F1177" s="464"/>
      <c r="G1177" s="676"/>
    </row>
    <row r="1178" spans="1:7" ht="14.25" hidden="1" customHeight="1">
      <c r="A1178" s="1996"/>
      <c r="B1178" s="1819"/>
      <c r="C1178" s="744"/>
      <c r="D1178" s="434"/>
      <c r="E1178" s="746"/>
      <c r="F1178" s="434"/>
      <c r="G1178" s="457"/>
    </row>
    <row r="1179" spans="1:7" ht="14.25" hidden="1" customHeight="1">
      <c r="A1179" s="2015" t="s">
        <v>1560</v>
      </c>
      <c r="B1179" s="1601"/>
      <c r="C1179" s="1601"/>
      <c r="D1179" s="1601"/>
      <c r="E1179" s="1601"/>
      <c r="F1179" s="1801"/>
      <c r="G1179" s="462"/>
    </row>
    <row r="1180" spans="1:7" ht="14.25" hidden="1" customHeight="1">
      <c r="A1180" s="163" t="s">
        <v>1564</v>
      </c>
      <c r="B1180" s="618"/>
      <c r="C1180" s="618"/>
      <c r="D1180" s="618"/>
      <c r="E1180" s="618"/>
      <c r="F1180" s="618"/>
      <c r="G1180" s="743"/>
    </row>
    <row r="1181" spans="1:7" ht="14.25" hidden="1" customHeight="1">
      <c r="A1181" s="1975" t="s">
        <v>1565</v>
      </c>
      <c r="B1181" s="1801"/>
      <c r="C1181" s="424" t="s">
        <v>1566</v>
      </c>
      <c r="D1181" s="424" t="s">
        <v>6</v>
      </c>
      <c r="E1181" s="424" t="s">
        <v>7</v>
      </c>
      <c r="F1181" s="424" t="s">
        <v>1559</v>
      </c>
      <c r="G1181" s="462"/>
    </row>
    <row r="1182" spans="1:7" ht="14.25" hidden="1" customHeight="1">
      <c r="A1182" s="2004" t="str">
        <f>+'MANO DE OBRA'!$A$95</f>
        <v>MANO OBRA CARPINTERIA MET.</v>
      </c>
      <c r="B1182" s="1888"/>
      <c r="C1182" s="679">
        <f>+'MANO DE OBRA'!$E$95</f>
        <v>31204.875</v>
      </c>
      <c r="D1182" s="680">
        <v>1</v>
      </c>
      <c r="E1182" s="680">
        <v>0.13</v>
      </c>
      <c r="F1182" s="755">
        <f>+(C1182*D1182)*E1182</f>
        <v>4056.63375</v>
      </c>
      <c r="G1182" s="676"/>
    </row>
    <row r="1183" spans="1:7" ht="14.25" hidden="1" customHeight="1">
      <c r="A1183" s="1984"/>
      <c r="B1183" s="1819"/>
      <c r="C1183" s="747"/>
      <c r="D1183" s="614"/>
      <c r="E1183" s="614"/>
      <c r="F1183" s="753"/>
      <c r="G1183" s="709"/>
    </row>
    <row r="1184" spans="1:7" ht="14.25" hidden="1" customHeight="1">
      <c r="A1184" s="2015" t="str">
        <f>+A1179</f>
        <v>SUB-TOTAL</v>
      </c>
      <c r="B1184" s="1601"/>
      <c r="C1184" s="1601"/>
      <c r="D1184" s="1601"/>
      <c r="E1184" s="1601"/>
      <c r="F1184" s="1801"/>
      <c r="G1184" s="462">
        <f>SUM(F1182:F1183)</f>
        <v>4056.63375</v>
      </c>
    </row>
    <row r="1186" spans="1:7" ht="14.25" hidden="1" customHeight="1">
      <c r="A1186" s="2015" t="s">
        <v>1567</v>
      </c>
      <c r="B1186" s="1601"/>
      <c r="C1186" s="1601"/>
      <c r="D1186" s="1601"/>
      <c r="E1186" s="1601"/>
      <c r="F1186" s="1801"/>
      <c r="G1186" s="459">
        <f>ROUND(G1165+G1174+G1179+G1184,0)</f>
        <v>13309</v>
      </c>
    </row>
    <row r="1187" spans="1:7" ht="14.25" hidden="1" customHeight="1">
      <c r="A1187" s="616"/>
      <c r="B1187" s="616"/>
      <c r="C1187" s="616"/>
      <c r="D1187" s="616"/>
      <c r="E1187" s="616"/>
      <c r="F1187" s="616"/>
      <c r="G1187" s="616"/>
    </row>
    <row r="1188" spans="1:7" ht="14.25" hidden="1" customHeight="1">
      <c r="A1188" s="616"/>
      <c r="B1188" s="616"/>
      <c r="C1188" s="616"/>
      <c r="D1188" s="616"/>
      <c r="E1188" s="616"/>
      <c r="F1188" s="616"/>
      <c r="G1188" s="616"/>
    </row>
    <row r="1189" spans="1:7" ht="33" hidden="1" customHeight="1">
      <c r="A1189" s="1994" t="e">
        <f>+'ANALISIS BASICOS'!$A$7</f>
        <v>#REF!</v>
      </c>
      <c r="B1189" s="1616"/>
      <c r="C1189" s="1624"/>
      <c r="D1189" s="1990"/>
      <c r="E1189" s="1616"/>
      <c r="F1189" s="1616"/>
      <c r="G1189" s="1624"/>
    </row>
    <row r="1190" spans="1:7" ht="33" hidden="1" customHeight="1">
      <c r="A1190" s="1971"/>
      <c r="B1190" s="1817"/>
      <c r="C1190" s="1972"/>
      <c r="D1190" s="1971"/>
      <c r="E1190" s="1817"/>
      <c r="F1190" s="1817"/>
      <c r="G1190" s="1972"/>
    </row>
    <row r="1191" spans="1:7" ht="14.25" hidden="1" customHeight="1">
      <c r="A1191" s="618"/>
      <c r="B1191" s="618"/>
      <c r="C1191" s="618"/>
      <c r="D1191" s="618"/>
      <c r="E1191" s="618"/>
      <c r="F1191" s="618"/>
      <c r="G1191" s="618"/>
    </row>
    <row r="1192" spans="1:7" ht="50.25" hidden="1" customHeight="1">
      <c r="A1192" s="1991" t="e">
        <f ca="1">+A1156</f>
        <v>#NAME?</v>
      </c>
      <c r="B1192" s="1601"/>
      <c r="C1192" s="1602"/>
      <c r="D1192" s="1974" t="s">
        <v>1781</v>
      </c>
      <c r="E1192" s="1601"/>
      <c r="F1192" s="1601"/>
      <c r="G1192" s="1602"/>
    </row>
    <row r="1193" spans="1:7" ht="14.25" hidden="1" customHeight="1">
      <c r="A1193" s="620"/>
      <c r="B1193" s="620"/>
      <c r="C1193" s="620"/>
      <c r="D1193" s="620"/>
      <c r="E1193" s="620"/>
      <c r="F1193" s="620"/>
      <c r="G1193" s="620"/>
    </row>
    <row r="1194" spans="1:7" ht="12.75" hidden="1" customHeight="1">
      <c r="A1194" s="572"/>
      <c r="B1194" s="618"/>
      <c r="C1194" s="616"/>
      <c r="D1194" s="421" t="s">
        <v>1553</v>
      </c>
      <c r="E1194" s="422" t="s">
        <v>171</v>
      </c>
      <c r="F1194" s="421" t="s">
        <v>1554</v>
      </c>
      <c r="G1194" s="422" t="s">
        <v>40</v>
      </c>
    </row>
    <row r="1195" spans="1:7" ht="14.25" hidden="1" customHeight="1">
      <c r="A1195" s="621" t="s">
        <v>1555</v>
      </c>
      <c r="B1195" s="618"/>
      <c r="C1195" s="618"/>
      <c r="D1195" s="618"/>
      <c r="E1195" s="618"/>
      <c r="F1195" s="618"/>
      <c r="G1195" s="618"/>
    </row>
    <row r="1196" spans="1:7" ht="13.5" hidden="1" customHeight="1">
      <c r="A1196" s="1975" t="s">
        <v>1556</v>
      </c>
      <c r="B1196" s="1601"/>
      <c r="C1196" s="1801"/>
      <c r="D1196" s="424" t="s">
        <v>208</v>
      </c>
      <c r="E1196" s="424" t="s">
        <v>1558</v>
      </c>
      <c r="F1196" s="424" t="s">
        <v>1559</v>
      </c>
      <c r="G1196" s="425"/>
    </row>
    <row r="1197" spans="1:7" ht="14.25" hidden="1" customHeight="1">
      <c r="A1197" s="1987" t="str">
        <f>+'LISTADO EQUIPOS'!$C$22</f>
        <v>HERRAMIENTA MENOR.</v>
      </c>
      <c r="B1197" s="1811"/>
      <c r="C1197" s="1967"/>
      <c r="D1197" s="675">
        <f>+'LISTADO EQUIPOS'!$E$22/8</f>
        <v>2850</v>
      </c>
      <c r="E1197" s="687">
        <f>+E1218</f>
        <v>0.15</v>
      </c>
      <c r="F1197" s="442">
        <f t="shared" ref="F1197:F1200" si="67">+E1197*D1197</f>
        <v>427.5</v>
      </c>
      <c r="G1197" s="688"/>
    </row>
    <row r="1198" spans="1:7" ht="14.25" hidden="1" customHeight="1">
      <c r="A1198" s="1995" t="str">
        <f>+'LISTADO EQUIPOS'!$C$18</f>
        <v>EQUIPO ELÉCTRICO SOLDADURA</v>
      </c>
      <c r="B1198" s="1610"/>
      <c r="C1198" s="1611"/>
      <c r="D1198" s="464">
        <f>+'LISTADO EQUIPOS'!$E$19</f>
        <v>9750</v>
      </c>
      <c r="E1198" s="706">
        <f>+E1197*0.1</f>
        <v>1.4999999999999999E-2</v>
      </c>
      <c r="F1198" s="440">
        <f t="shared" si="67"/>
        <v>146.25</v>
      </c>
      <c r="G1198" s="751"/>
    </row>
    <row r="1199" spans="1:7" ht="14.25" hidden="1" customHeight="1">
      <c r="A1199" s="1995" t="str">
        <f>+'LISTADO EQUIPOS'!$C$47</f>
        <v>ANDAMIO TUBULAR. 1.5 x 1.5 SECCIÓN</v>
      </c>
      <c r="B1199" s="1610"/>
      <c r="C1199" s="1611"/>
      <c r="D1199" s="464">
        <f>+'LISTADO EQUIPOS'!$E$47</f>
        <v>1750</v>
      </c>
      <c r="E1199" s="706">
        <f>+E1198</f>
        <v>1.4999999999999999E-2</v>
      </c>
      <c r="F1199" s="440">
        <f t="shared" si="67"/>
        <v>26.25</v>
      </c>
      <c r="G1199" s="751"/>
    </row>
    <row r="1200" spans="1:7" ht="14.25" hidden="1" customHeight="1">
      <c r="A1200" s="1996" t="str">
        <f>+'LISTADO EQUIPOS'!$C$30</f>
        <v>PULIDORA</v>
      </c>
      <c r="B1200" s="1807"/>
      <c r="C1200" s="1819"/>
      <c r="D1200" s="434">
        <f>+'LISTADO EQUIPOS'!$E$30</f>
        <v>5250</v>
      </c>
      <c r="E1200" s="433">
        <f>+E1198</f>
        <v>1.4999999999999999E-2</v>
      </c>
      <c r="F1200" s="700">
        <f t="shared" si="67"/>
        <v>78.75</v>
      </c>
      <c r="G1200" s="435"/>
    </row>
    <row r="1201" spans="1:7" ht="14.25" hidden="1" customHeight="1">
      <c r="A1201" s="2015" t="s">
        <v>1560</v>
      </c>
      <c r="B1201" s="1601"/>
      <c r="C1201" s="1601"/>
      <c r="D1201" s="1601"/>
      <c r="E1201" s="1601"/>
      <c r="F1201" s="1801"/>
      <c r="G1201" s="462">
        <f>SUM(F1197:F1200)</f>
        <v>678.75</v>
      </c>
    </row>
    <row r="1202" spans="1:7" ht="14.25" hidden="1" customHeight="1">
      <c r="A1202" s="621" t="s">
        <v>1561</v>
      </c>
      <c r="B1202" s="618"/>
      <c r="C1202" s="618"/>
      <c r="D1202" s="618"/>
      <c r="E1202" s="618"/>
      <c r="F1202" s="618"/>
      <c r="G1202" s="743"/>
    </row>
    <row r="1203" spans="1:7" ht="14.25" hidden="1" customHeight="1">
      <c r="A1203" s="1975" t="s">
        <v>1556</v>
      </c>
      <c r="B1203" s="1801"/>
      <c r="C1203" s="424" t="s">
        <v>6</v>
      </c>
      <c r="D1203" s="424" t="s">
        <v>1562</v>
      </c>
      <c r="E1203" s="424" t="s">
        <v>7</v>
      </c>
      <c r="F1203" s="424" t="s">
        <v>1559</v>
      </c>
      <c r="G1203" s="673"/>
    </row>
    <row r="1204" spans="1:7" ht="14.25" hidden="1" customHeight="1">
      <c r="A1204" s="1995" t="s">
        <v>1782</v>
      </c>
      <c r="B1204" s="1611"/>
      <c r="C1204" s="444" t="s">
        <v>171</v>
      </c>
      <c r="D1204" s="464">
        <v>3006.5765386193621</v>
      </c>
      <c r="E1204" s="706">
        <v>1.03</v>
      </c>
      <c r="F1204" s="440">
        <f t="shared" ref="F1204:F1208" si="68">+E1204*D1204</f>
        <v>3096.7738347779432</v>
      </c>
      <c r="G1204" s="707"/>
    </row>
    <row r="1205" spans="1:7" ht="14.25" hidden="1" customHeight="1">
      <c r="A1205" s="1995" t="s">
        <v>1775</v>
      </c>
      <c r="B1205" s="1611"/>
      <c r="C1205" s="444" t="s">
        <v>171</v>
      </c>
      <c r="D1205" s="464">
        <v>15600</v>
      </c>
      <c r="E1205" s="444">
        <v>7.0000000000000007E-2</v>
      </c>
      <c r="F1205" s="440">
        <f t="shared" si="68"/>
        <v>1092</v>
      </c>
      <c r="G1205" s="707"/>
    </row>
    <row r="1206" spans="1:7" ht="12.75" hidden="1" customHeight="1">
      <c r="A1206" s="1995" t="s">
        <v>1776</v>
      </c>
      <c r="B1206" s="1611"/>
      <c r="C1206" s="444" t="s">
        <v>1707</v>
      </c>
      <c r="D1206" s="464">
        <v>24450</v>
      </c>
      <c r="E1206" s="444">
        <v>0.02</v>
      </c>
      <c r="F1206" s="440">
        <f t="shared" si="68"/>
        <v>489</v>
      </c>
      <c r="G1206" s="707"/>
    </row>
    <row r="1207" spans="1:7" ht="12.75" hidden="1" customHeight="1">
      <c r="A1207" s="1995" t="s">
        <v>1777</v>
      </c>
      <c r="B1207" s="1611"/>
      <c r="C1207" s="444" t="s">
        <v>1707</v>
      </c>
      <c r="D1207" s="464">
        <v>32450</v>
      </c>
      <c r="E1207" s="444">
        <v>2.5000000000000001E-2</v>
      </c>
      <c r="F1207" s="440">
        <f t="shared" si="68"/>
        <v>811.25</v>
      </c>
      <c r="G1207" s="707"/>
    </row>
    <row r="1208" spans="1:7" ht="12.75" hidden="1" customHeight="1">
      <c r="A1208" s="1995" t="s">
        <v>1778</v>
      </c>
      <c r="B1208" s="1611"/>
      <c r="C1208" s="444" t="s">
        <v>1707</v>
      </c>
      <c r="D1208" s="464">
        <v>72450</v>
      </c>
      <c r="E1208" s="444">
        <v>0.01</v>
      </c>
      <c r="F1208" s="440">
        <f t="shared" si="68"/>
        <v>724.5</v>
      </c>
      <c r="G1208" s="707"/>
    </row>
    <row r="1209" spans="1:7" ht="14.25" hidden="1" customHeight="1">
      <c r="A1209" s="1996"/>
      <c r="B1209" s="1819"/>
      <c r="C1209" s="708"/>
      <c r="D1209" s="434"/>
      <c r="E1209" s="708"/>
      <c r="F1209" s="434"/>
      <c r="G1209" s="709"/>
    </row>
    <row r="1210" spans="1:7" ht="14.25" hidden="1" customHeight="1">
      <c r="A1210" s="2015" t="s">
        <v>1560</v>
      </c>
      <c r="B1210" s="1601"/>
      <c r="C1210" s="1601"/>
      <c r="D1210" s="1601"/>
      <c r="E1210" s="1601"/>
      <c r="F1210" s="1801"/>
      <c r="G1210" s="462">
        <f>SUM(F1204:F1209)</f>
        <v>6213.5238347779432</v>
      </c>
    </row>
    <row r="1211" spans="1:7" ht="14.25" hidden="1" customHeight="1">
      <c r="A1211" s="163" t="s">
        <v>1563</v>
      </c>
      <c r="B1211" s="618"/>
      <c r="C1211" s="618"/>
      <c r="D1211" s="618"/>
      <c r="E1211" s="618"/>
      <c r="F1211" s="618"/>
      <c r="G1211" s="743"/>
    </row>
    <row r="1212" spans="1:7" ht="14.25" hidden="1" customHeight="1">
      <c r="A1212" s="1975" t="s">
        <v>1556</v>
      </c>
      <c r="B1212" s="1801"/>
      <c r="C1212" s="424" t="s">
        <v>6</v>
      </c>
      <c r="D1212" s="424" t="s">
        <v>1562</v>
      </c>
      <c r="E1212" s="424" t="s">
        <v>7</v>
      </c>
      <c r="F1212" s="424" t="s">
        <v>1559</v>
      </c>
      <c r="G1212" s="438"/>
    </row>
    <row r="1213" spans="1:7" ht="14.25" hidden="1" customHeight="1">
      <c r="A1213" s="1987"/>
      <c r="B1213" s="1967"/>
      <c r="C1213" s="744"/>
      <c r="D1213" s="675"/>
      <c r="E1213" s="745"/>
      <c r="F1213" s="464"/>
      <c r="G1213" s="676"/>
    </row>
    <row r="1214" spans="1:7" ht="14.25" hidden="1" customHeight="1">
      <c r="A1214" s="1996"/>
      <c r="B1214" s="1819"/>
      <c r="C1214" s="744"/>
      <c r="D1214" s="434"/>
      <c r="E1214" s="746"/>
      <c r="F1214" s="434"/>
      <c r="G1214" s="457"/>
    </row>
    <row r="1215" spans="1:7" ht="14.25" hidden="1" customHeight="1">
      <c r="A1215" s="2015" t="s">
        <v>1560</v>
      </c>
      <c r="B1215" s="1601"/>
      <c r="C1215" s="1601"/>
      <c r="D1215" s="1601"/>
      <c r="E1215" s="1601"/>
      <c r="F1215" s="1801"/>
      <c r="G1215" s="462"/>
    </row>
    <row r="1216" spans="1:7" ht="14.25" hidden="1" customHeight="1">
      <c r="A1216" s="163" t="s">
        <v>1564</v>
      </c>
      <c r="B1216" s="618"/>
      <c r="C1216" s="618"/>
      <c r="D1216" s="618"/>
      <c r="E1216" s="618"/>
      <c r="F1216" s="618"/>
      <c r="G1216" s="743"/>
    </row>
    <row r="1217" spans="1:7" ht="14.25" hidden="1" customHeight="1">
      <c r="A1217" s="1975" t="s">
        <v>1565</v>
      </c>
      <c r="B1217" s="1801"/>
      <c r="C1217" s="424" t="s">
        <v>1566</v>
      </c>
      <c r="D1217" s="424" t="s">
        <v>6</v>
      </c>
      <c r="E1217" s="424" t="s">
        <v>7</v>
      </c>
      <c r="F1217" s="424" t="s">
        <v>1559</v>
      </c>
      <c r="G1217" s="462"/>
    </row>
    <row r="1218" spans="1:7" ht="14.25" hidden="1" customHeight="1">
      <c r="A1218" s="2004" t="str">
        <f>+'MANO DE OBRA'!$A$95</f>
        <v>MANO OBRA CARPINTERIA MET.</v>
      </c>
      <c r="B1218" s="1888"/>
      <c r="C1218" s="679">
        <f>+'MANO DE OBRA'!$E$95</f>
        <v>31204.875</v>
      </c>
      <c r="D1218" s="680">
        <v>1</v>
      </c>
      <c r="E1218" s="680">
        <v>0.15</v>
      </c>
      <c r="F1218" s="755">
        <f>+(C1218*D1218)*E1218</f>
        <v>4680.7312499999998</v>
      </c>
      <c r="G1218" s="676"/>
    </row>
    <row r="1219" spans="1:7" ht="14.25" hidden="1" customHeight="1">
      <c r="A1219" s="1984"/>
      <c r="B1219" s="1819"/>
      <c r="C1219" s="747"/>
      <c r="D1219" s="614"/>
      <c r="E1219" s="614"/>
      <c r="F1219" s="753"/>
      <c r="G1219" s="709"/>
    </row>
    <row r="1220" spans="1:7" ht="14.25" hidden="1" customHeight="1">
      <c r="A1220" s="2015" t="str">
        <f>+A1215</f>
        <v>SUB-TOTAL</v>
      </c>
      <c r="B1220" s="1601"/>
      <c r="C1220" s="1601"/>
      <c r="D1220" s="1601"/>
      <c r="E1220" s="1601"/>
      <c r="F1220" s="1801"/>
      <c r="G1220" s="462">
        <f>SUM(F1218:F1219)</f>
        <v>4680.7312499999998</v>
      </c>
    </row>
    <row r="1221" spans="1:7" ht="11.25" hidden="1" customHeight="1">
      <c r="A1221" s="618"/>
      <c r="B1221" s="618"/>
      <c r="C1221" s="618"/>
      <c r="D1221" s="618"/>
      <c r="E1221" s="618"/>
      <c r="F1221" s="748"/>
      <c r="G1221" s="743"/>
    </row>
    <row r="1222" spans="1:7" ht="14.25" hidden="1" customHeight="1">
      <c r="A1222" s="2015" t="s">
        <v>1567</v>
      </c>
      <c r="B1222" s="1601"/>
      <c r="C1222" s="1601"/>
      <c r="D1222" s="1601"/>
      <c r="E1222" s="1601"/>
      <c r="F1222" s="1801"/>
      <c r="G1222" s="459">
        <f>ROUND(G1201+G1210+G1215+G1220,0)</f>
        <v>11573</v>
      </c>
    </row>
    <row r="1223" spans="1:7" ht="14.25" hidden="1" customHeight="1">
      <c r="A1223" s="616"/>
      <c r="B1223" s="616"/>
      <c r="C1223" s="616"/>
      <c r="D1223" s="616"/>
      <c r="E1223" s="616"/>
      <c r="F1223" s="616"/>
      <c r="G1223" s="616"/>
    </row>
    <row r="1224" spans="1:7" ht="14.25" hidden="1" customHeight="1">
      <c r="A1224" s="616"/>
      <c r="B1224" s="616"/>
      <c r="C1224" s="616"/>
      <c r="D1224" s="616"/>
      <c r="E1224" s="616"/>
      <c r="F1224" s="616"/>
      <c r="G1224" s="616"/>
    </row>
    <row r="1225" spans="1:7" ht="33" hidden="1" customHeight="1">
      <c r="A1225" s="1994" t="e">
        <f>+'ANALISIS BASICOS'!$A$7</f>
        <v>#REF!</v>
      </c>
      <c r="B1225" s="1616"/>
      <c r="C1225" s="1624"/>
      <c r="D1225" s="1990"/>
      <c r="E1225" s="1616"/>
      <c r="F1225" s="1616"/>
      <c r="G1225" s="1624"/>
    </row>
    <row r="1226" spans="1:7" ht="33" hidden="1" customHeight="1">
      <c r="A1226" s="1971"/>
      <c r="B1226" s="1817"/>
      <c r="C1226" s="1972"/>
      <c r="D1226" s="1971"/>
      <c r="E1226" s="1817"/>
      <c r="F1226" s="1817"/>
      <c r="G1226" s="1972"/>
    </row>
    <row r="1227" spans="1:7" ht="14.25" hidden="1" customHeight="1">
      <c r="A1227" s="618"/>
      <c r="B1227" s="618"/>
      <c r="C1227" s="618"/>
      <c r="D1227" s="618"/>
      <c r="E1227" s="618"/>
      <c r="F1227" s="618"/>
      <c r="G1227" s="618"/>
    </row>
    <row r="1228" spans="1:7" ht="50.25" hidden="1" customHeight="1">
      <c r="A1228" s="1991" t="e">
        <f ca="1">+A1192</f>
        <v>#NAME?</v>
      </c>
      <c r="B1228" s="1601"/>
      <c r="C1228" s="1602"/>
      <c r="D1228" s="1974" t="s">
        <v>1783</v>
      </c>
      <c r="E1228" s="1601"/>
      <c r="F1228" s="1601"/>
      <c r="G1228" s="1602"/>
    </row>
    <row r="1229" spans="1:7" ht="14.25" hidden="1" customHeight="1">
      <c r="A1229" s="620"/>
      <c r="B1229" s="620"/>
      <c r="C1229" s="620"/>
      <c r="D1229" s="620"/>
      <c r="E1229" s="620"/>
      <c r="F1229" s="620"/>
      <c r="G1229" s="620"/>
    </row>
    <row r="1230" spans="1:7" ht="12.75" hidden="1" customHeight="1">
      <c r="A1230" s="572"/>
      <c r="B1230" s="618"/>
      <c r="C1230" s="616"/>
      <c r="D1230" s="421" t="s">
        <v>1553</v>
      </c>
      <c r="E1230" s="422" t="s">
        <v>171</v>
      </c>
      <c r="F1230" s="421" t="s">
        <v>1554</v>
      </c>
      <c r="G1230" s="422" t="s">
        <v>42</v>
      </c>
    </row>
    <row r="1231" spans="1:7" ht="14.25" hidden="1" customHeight="1">
      <c r="A1231" s="621" t="s">
        <v>1555</v>
      </c>
      <c r="B1231" s="618"/>
      <c r="C1231" s="618"/>
      <c r="D1231" s="618"/>
      <c r="E1231" s="618"/>
      <c r="F1231" s="618"/>
      <c r="G1231" s="618"/>
    </row>
    <row r="1232" spans="1:7" ht="13.5" hidden="1" customHeight="1">
      <c r="A1232" s="1975" t="s">
        <v>1556</v>
      </c>
      <c r="B1232" s="1601"/>
      <c r="C1232" s="1801"/>
      <c r="D1232" s="424" t="s">
        <v>208</v>
      </c>
      <c r="E1232" s="424" t="s">
        <v>1558</v>
      </c>
      <c r="F1232" s="424" t="s">
        <v>1559</v>
      </c>
      <c r="G1232" s="425"/>
    </row>
    <row r="1233" spans="1:7" ht="14.25" hidden="1" customHeight="1">
      <c r="A1233" s="1987" t="str">
        <f>+'LISTADO EQUIPOS'!$C$22</f>
        <v>HERRAMIENTA MENOR.</v>
      </c>
      <c r="B1233" s="1811"/>
      <c r="C1233" s="1967"/>
      <c r="D1233" s="675">
        <f>+'LISTADO EQUIPOS'!$E$22/8</f>
        <v>2850</v>
      </c>
      <c r="E1233" s="687">
        <f>+E1254</f>
        <v>0.1</v>
      </c>
      <c r="F1233" s="442">
        <f t="shared" ref="F1233:F1236" si="69">+E1233*D1233</f>
        <v>285</v>
      </c>
      <c r="G1233" s="688"/>
    </row>
    <row r="1234" spans="1:7" ht="14.25" hidden="1" customHeight="1">
      <c r="A1234" s="1995" t="str">
        <f>+'LISTADO EQUIPOS'!$C$18</f>
        <v>EQUIPO ELÉCTRICO SOLDADURA</v>
      </c>
      <c r="B1234" s="1610"/>
      <c r="C1234" s="1611"/>
      <c r="D1234" s="464">
        <f>+'LISTADO EQUIPOS'!$E$19</f>
        <v>9750</v>
      </c>
      <c r="E1234" s="706">
        <f>+E1233*0.1</f>
        <v>1.0000000000000002E-2</v>
      </c>
      <c r="F1234" s="440">
        <f t="shared" si="69"/>
        <v>97.500000000000014</v>
      </c>
      <c r="G1234" s="751"/>
    </row>
    <row r="1235" spans="1:7" ht="14.25" hidden="1" customHeight="1">
      <c r="A1235" s="1995" t="str">
        <f>+'LISTADO EQUIPOS'!$C$47</f>
        <v>ANDAMIO TUBULAR. 1.5 x 1.5 SECCIÓN</v>
      </c>
      <c r="B1235" s="1610"/>
      <c r="C1235" s="1611"/>
      <c r="D1235" s="464">
        <f>+'LISTADO EQUIPOS'!$E$47</f>
        <v>1750</v>
      </c>
      <c r="E1235" s="706">
        <f>+E1234</f>
        <v>1.0000000000000002E-2</v>
      </c>
      <c r="F1235" s="440">
        <f t="shared" si="69"/>
        <v>17.500000000000004</v>
      </c>
      <c r="G1235" s="751"/>
    </row>
    <row r="1236" spans="1:7" ht="14.25" hidden="1" customHeight="1">
      <c r="A1236" s="1996" t="str">
        <f>+'LISTADO EQUIPOS'!$C$30</f>
        <v>PULIDORA</v>
      </c>
      <c r="B1236" s="1807"/>
      <c r="C1236" s="1819"/>
      <c r="D1236" s="434">
        <f>+'LISTADO EQUIPOS'!$E$30</f>
        <v>5250</v>
      </c>
      <c r="E1236" s="433">
        <f>+E1234</f>
        <v>1.0000000000000002E-2</v>
      </c>
      <c r="F1236" s="700">
        <f t="shared" si="69"/>
        <v>52.500000000000007</v>
      </c>
      <c r="G1236" s="435"/>
    </row>
    <row r="1237" spans="1:7" ht="14.25" hidden="1" customHeight="1">
      <c r="A1237" s="2015" t="s">
        <v>1560</v>
      </c>
      <c r="B1237" s="1601"/>
      <c r="C1237" s="1601"/>
      <c r="D1237" s="1601"/>
      <c r="E1237" s="1601"/>
      <c r="F1237" s="1801"/>
      <c r="G1237" s="462">
        <f>SUM(F1233:F1236)</f>
        <v>452.5</v>
      </c>
    </row>
    <row r="1238" spans="1:7" ht="14.25" hidden="1" customHeight="1">
      <c r="A1238" s="621" t="s">
        <v>1561</v>
      </c>
      <c r="B1238" s="618"/>
      <c r="C1238" s="618"/>
      <c r="D1238" s="618"/>
      <c r="E1238" s="618"/>
      <c r="F1238" s="618"/>
      <c r="G1238" s="743"/>
    </row>
    <row r="1239" spans="1:7" ht="14.25" hidden="1" customHeight="1">
      <c r="A1239" s="1975" t="s">
        <v>1556</v>
      </c>
      <c r="B1239" s="1801"/>
      <c r="C1239" s="424" t="s">
        <v>6</v>
      </c>
      <c r="D1239" s="424" t="s">
        <v>1562</v>
      </c>
      <c r="E1239" s="424" t="s">
        <v>7</v>
      </c>
      <c r="F1239" s="424" t="s">
        <v>1559</v>
      </c>
      <c r="G1239" s="673"/>
    </row>
    <row r="1240" spans="1:7" ht="14.25" hidden="1" customHeight="1">
      <c r="A1240" s="1995" t="s">
        <v>1784</v>
      </c>
      <c r="B1240" s="1611"/>
      <c r="C1240" s="444" t="s">
        <v>171</v>
      </c>
      <c r="D1240" s="464">
        <v>3146.0159903131225</v>
      </c>
      <c r="E1240" s="706">
        <v>1.03</v>
      </c>
      <c r="F1240" s="440">
        <f t="shared" ref="F1240:F1244" si="70">+E1240*D1240</f>
        <v>3240.3964700225165</v>
      </c>
      <c r="G1240" s="707"/>
    </row>
    <row r="1241" spans="1:7" ht="14.25" hidden="1" customHeight="1">
      <c r="A1241" s="1995" t="s">
        <v>1775</v>
      </c>
      <c r="B1241" s="1611"/>
      <c r="C1241" s="444" t="s">
        <v>171</v>
      </c>
      <c r="D1241" s="464">
        <v>15600</v>
      </c>
      <c r="E1241" s="444">
        <v>0.05</v>
      </c>
      <c r="F1241" s="440">
        <f t="shared" si="70"/>
        <v>780</v>
      </c>
      <c r="G1241" s="707"/>
    </row>
    <row r="1242" spans="1:7" ht="12.75" hidden="1" customHeight="1">
      <c r="A1242" s="1995" t="s">
        <v>1776</v>
      </c>
      <c r="B1242" s="1611"/>
      <c r="C1242" s="444" t="s">
        <v>1707</v>
      </c>
      <c r="D1242" s="464">
        <v>24450</v>
      </c>
      <c r="E1242" s="444">
        <v>0.03</v>
      </c>
      <c r="F1242" s="440">
        <f t="shared" si="70"/>
        <v>733.5</v>
      </c>
      <c r="G1242" s="707"/>
    </row>
    <row r="1243" spans="1:7" ht="12.75" hidden="1" customHeight="1">
      <c r="A1243" s="1995" t="s">
        <v>1777</v>
      </c>
      <c r="B1243" s="1611"/>
      <c r="C1243" s="444" t="s">
        <v>1707</v>
      </c>
      <c r="D1243" s="464">
        <v>32450</v>
      </c>
      <c r="E1243" s="444">
        <v>2.5000000000000001E-2</v>
      </c>
      <c r="F1243" s="440">
        <f t="shared" si="70"/>
        <v>811.25</v>
      </c>
      <c r="G1243" s="707"/>
    </row>
    <row r="1244" spans="1:7" ht="12.75" hidden="1" customHeight="1">
      <c r="A1244" s="1995" t="s">
        <v>1778</v>
      </c>
      <c r="B1244" s="1611"/>
      <c r="C1244" s="444" t="s">
        <v>1707</v>
      </c>
      <c r="D1244" s="464">
        <v>72450</v>
      </c>
      <c r="E1244" s="444">
        <v>0.01</v>
      </c>
      <c r="F1244" s="440">
        <f t="shared" si="70"/>
        <v>724.5</v>
      </c>
      <c r="G1244" s="707"/>
    </row>
    <row r="1245" spans="1:7" ht="14.25" hidden="1" customHeight="1">
      <c r="A1245" s="1996"/>
      <c r="B1245" s="1819"/>
      <c r="C1245" s="708"/>
      <c r="D1245" s="434"/>
      <c r="E1245" s="708"/>
      <c r="F1245" s="434"/>
      <c r="G1245" s="709"/>
    </row>
    <row r="1246" spans="1:7" ht="14.25" hidden="1" customHeight="1">
      <c r="A1246" s="2015" t="s">
        <v>1560</v>
      </c>
      <c r="B1246" s="1601"/>
      <c r="C1246" s="1601"/>
      <c r="D1246" s="1601"/>
      <c r="E1246" s="1601"/>
      <c r="F1246" s="1801"/>
      <c r="G1246" s="462">
        <f>SUM(F1240:F1245)</f>
        <v>6289.646470022517</v>
      </c>
    </row>
    <row r="1247" spans="1:7" ht="14.25" hidden="1" customHeight="1">
      <c r="A1247" s="163" t="s">
        <v>1563</v>
      </c>
      <c r="B1247" s="618"/>
      <c r="C1247" s="618"/>
      <c r="D1247" s="618"/>
      <c r="E1247" s="618"/>
      <c r="F1247" s="618"/>
      <c r="G1247" s="743"/>
    </row>
    <row r="1248" spans="1:7" ht="14.25" hidden="1" customHeight="1">
      <c r="A1248" s="1975" t="s">
        <v>1556</v>
      </c>
      <c r="B1248" s="1801"/>
      <c r="C1248" s="424" t="s">
        <v>6</v>
      </c>
      <c r="D1248" s="424" t="s">
        <v>1562</v>
      </c>
      <c r="E1248" s="424" t="s">
        <v>7</v>
      </c>
      <c r="F1248" s="424" t="s">
        <v>1559</v>
      </c>
      <c r="G1248" s="438"/>
    </row>
    <row r="1249" spans="1:7" ht="14.25" hidden="1" customHeight="1">
      <c r="A1249" s="1987"/>
      <c r="B1249" s="1967"/>
      <c r="C1249" s="744"/>
      <c r="D1249" s="675"/>
      <c r="E1249" s="745"/>
      <c r="F1249" s="464"/>
      <c r="G1249" s="676"/>
    </row>
    <row r="1250" spans="1:7" ht="14.25" hidden="1" customHeight="1">
      <c r="A1250" s="1996"/>
      <c r="B1250" s="1819"/>
      <c r="C1250" s="744"/>
      <c r="D1250" s="434"/>
      <c r="E1250" s="746"/>
      <c r="F1250" s="434"/>
      <c r="G1250" s="457"/>
    </row>
    <row r="1251" spans="1:7" ht="14.25" hidden="1" customHeight="1">
      <c r="A1251" s="2015" t="s">
        <v>1560</v>
      </c>
      <c r="B1251" s="1601"/>
      <c r="C1251" s="1601"/>
      <c r="D1251" s="1601"/>
      <c r="E1251" s="1601"/>
      <c r="F1251" s="1801"/>
      <c r="G1251" s="462"/>
    </row>
    <row r="1252" spans="1:7" ht="14.25" hidden="1" customHeight="1">
      <c r="A1252" s="163" t="s">
        <v>1564</v>
      </c>
      <c r="B1252" s="618"/>
      <c r="C1252" s="618"/>
      <c r="D1252" s="618"/>
      <c r="E1252" s="618"/>
      <c r="F1252" s="618"/>
      <c r="G1252" s="743"/>
    </row>
    <row r="1253" spans="1:7" ht="14.25" hidden="1" customHeight="1">
      <c r="A1253" s="1975" t="s">
        <v>1565</v>
      </c>
      <c r="B1253" s="1801"/>
      <c r="C1253" s="424" t="s">
        <v>1566</v>
      </c>
      <c r="D1253" s="424" t="s">
        <v>6</v>
      </c>
      <c r="E1253" s="424" t="s">
        <v>7</v>
      </c>
      <c r="F1253" s="424" t="s">
        <v>1559</v>
      </c>
      <c r="G1253" s="462"/>
    </row>
    <row r="1254" spans="1:7" ht="14.25" hidden="1" customHeight="1">
      <c r="A1254" s="2004" t="str">
        <f>+'MANO DE OBRA'!$A$95</f>
        <v>MANO OBRA CARPINTERIA MET.</v>
      </c>
      <c r="B1254" s="1888"/>
      <c r="C1254" s="679">
        <f>+'MANO DE OBRA'!$E$95</f>
        <v>31204.875</v>
      </c>
      <c r="D1254" s="680">
        <v>1</v>
      </c>
      <c r="E1254" s="680">
        <v>0.1</v>
      </c>
      <c r="F1254" s="755">
        <f>+(C1254*D1254)*E1254</f>
        <v>3120.4875000000002</v>
      </c>
      <c r="G1254" s="676"/>
    </row>
    <row r="1255" spans="1:7" ht="14.25" hidden="1" customHeight="1">
      <c r="A1255" s="1984"/>
      <c r="B1255" s="1819"/>
      <c r="C1255" s="747"/>
      <c r="D1255" s="614"/>
      <c r="E1255" s="614"/>
      <c r="F1255" s="753"/>
      <c r="G1255" s="709"/>
    </row>
    <row r="1256" spans="1:7" ht="14.25" hidden="1" customHeight="1">
      <c r="A1256" s="2015" t="str">
        <f>+A1251</f>
        <v>SUB-TOTAL</v>
      </c>
      <c r="B1256" s="1601"/>
      <c r="C1256" s="1601"/>
      <c r="D1256" s="1601"/>
      <c r="E1256" s="1601"/>
      <c r="F1256" s="1801"/>
      <c r="G1256" s="462">
        <f>SUM(F1254:F1255)</f>
        <v>3120.4875000000002</v>
      </c>
    </row>
    <row r="1257" spans="1:7" ht="11.25" hidden="1" customHeight="1">
      <c r="A1257" s="618"/>
      <c r="B1257" s="618"/>
      <c r="C1257" s="618"/>
      <c r="D1257" s="618"/>
      <c r="E1257" s="618"/>
      <c r="F1257" s="748"/>
      <c r="G1257" s="743"/>
    </row>
    <row r="1258" spans="1:7" ht="14.25" hidden="1" customHeight="1">
      <c r="A1258" s="2015" t="s">
        <v>1567</v>
      </c>
      <c r="B1258" s="1601"/>
      <c r="C1258" s="1601"/>
      <c r="D1258" s="1601"/>
      <c r="E1258" s="1601"/>
      <c r="F1258" s="1801"/>
      <c r="G1258" s="459">
        <f>ROUND(G1237+G1246+G1251+G1256,0)</f>
        <v>9863</v>
      </c>
    </row>
    <row r="1259" spans="1:7" ht="14.25" hidden="1" customHeight="1">
      <c r="A1259" s="616"/>
      <c r="B1259" s="616"/>
      <c r="C1259" s="616"/>
      <c r="D1259" s="616"/>
      <c r="E1259" s="616"/>
      <c r="F1259" s="616"/>
      <c r="G1259" s="616"/>
    </row>
    <row r="1260" spans="1:7" ht="14.25" hidden="1" customHeight="1">
      <c r="A1260" s="616"/>
      <c r="B1260" s="616"/>
      <c r="C1260" s="616"/>
      <c r="D1260" s="616"/>
      <c r="E1260" s="616"/>
      <c r="F1260" s="616"/>
      <c r="G1260" s="616"/>
    </row>
    <row r="1261" spans="1:7" ht="33" hidden="1" customHeight="1">
      <c r="A1261" s="1994" t="e">
        <f>+'ANALISIS BASICOS'!$A$7</f>
        <v>#REF!</v>
      </c>
      <c r="B1261" s="1616"/>
      <c r="C1261" s="1624"/>
      <c r="D1261" s="1990"/>
      <c r="E1261" s="1616"/>
      <c r="F1261" s="1616"/>
      <c r="G1261" s="1624"/>
    </row>
    <row r="1262" spans="1:7" ht="33" hidden="1" customHeight="1">
      <c r="A1262" s="1971"/>
      <c r="B1262" s="1817"/>
      <c r="C1262" s="1972"/>
      <c r="D1262" s="1971"/>
      <c r="E1262" s="1817"/>
      <c r="F1262" s="1817"/>
      <c r="G1262" s="1972"/>
    </row>
    <row r="1263" spans="1:7" ht="14.25" hidden="1" customHeight="1">
      <c r="A1263" s="618"/>
      <c r="B1263" s="618"/>
      <c r="C1263" s="618"/>
      <c r="D1263" s="618"/>
      <c r="E1263" s="618"/>
      <c r="F1263" s="618"/>
      <c r="G1263" s="618"/>
    </row>
    <row r="1264" spans="1:7" ht="50.25" hidden="1" customHeight="1">
      <c r="A1264" s="1991" t="e">
        <f ca="1">+A1228</f>
        <v>#NAME?</v>
      </c>
      <c r="B1264" s="1601"/>
      <c r="C1264" s="1602"/>
      <c r="D1264" s="1974" t="s">
        <v>1785</v>
      </c>
      <c r="E1264" s="1601"/>
      <c r="F1264" s="1601"/>
      <c r="G1264" s="1602"/>
    </row>
    <row r="1266" spans="1:7" ht="12.75" hidden="1" customHeight="1">
      <c r="A1266" s="572"/>
      <c r="B1266" s="618"/>
      <c r="C1266" s="616"/>
      <c r="D1266" s="421" t="s">
        <v>1553</v>
      </c>
      <c r="E1266" s="422" t="s">
        <v>171</v>
      </c>
      <c r="F1266" s="421" t="s">
        <v>1554</v>
      </c>
      <c r="G1266" s="422" t="s">
        <v>155</v>
      </c>
    </row>
    <row r="1267" spans="1:7" ht="14.25" hidden="1" customHeight="1">
      <c r="A1267" s="621" t="s">
        <v>1555</v>
      </c>
      <c r="B1267" s="618"/>
      <c r="C1267" s="618"/>
      <c r="D1267" s="618"/>
      <c r="E1267" s="618"/>
      <c r="F1267" s="618"/>
      <c r="G1267" s="618"/>
    </row>
    <row r="1268" spans="1:7" ht="13.5" hidden="1" customHeight="1">
      <c r="A1268" s="1975" t="s">
        <v>1556</v>
      </c>
      <c r="B1268" s="1601"/>
      <c r="C1268" s="1801"/>
      <c r="D1268" s="424" t="s">
        <v>208</v>
      </c>
      <c r="E1268" s="424" t="s">
        <v>1558</v>
      </c>
      <c r="F1268" s="424" t="s">
        <v>1559</v>
      </c>
      <c r="G1268" s="425"/>
    </row>
    <row r="1269" spans="1:7" ht="14.25" hidden="1" customHeight="1">
      <c r="A1269" s="1987" t="str">
        <f>+'LISTADO EQUIPOS'!$C$22</f>
        <v>HERRAMIENTA MENOR.</v>
      </c>
      <c r="B1269" s="1811"/>
      <c r="C1269" s="1967"/>
      <c r="D1269" s="675">
        <f>+'LISTADO EQUIPOS'!$E$22/8</f>
        <v>2850</v>
      </c>
      <c r="E1269" s="687">
        <f>+E1288</f>
        <v>0.79347942659941606</v>
      </c>
      <c r="F1269" s="442">
        <f t="shared" ref="F1269:F1272" si="71">+E1269*D1269</f>
        <v>2261.4163658083357</v>
      </c>
      <c r="G1269" s="688"/>
    </row>
    <row r="1270" spans="1:7" ht="14.25" hidden="1" customHeight="1">
      <c r="A1270" s="1995" t="str">
        <f>+'LISTADO EQUIPOS'!$C$18</f>
        <v>EQUIPO ELÉCTRICO SOLDADURA</v>
      </c>
      <c r="B1270" s="1610"/>
      <c r="C1270" s="1611"/>
      <c r="D1270" s="464">
        <f>+'LISTADO EQUIPOS'!$E$19</f>
        <v>9750</v>
      </c>
      <c r="E1270" s="706">
        <f>+E1269*0.1</f>
        <v>7.9347942659941606E-2</v>
      </c>
      <c r="F1270" s="440">
        <f t="shared" si="71"/>
        <v>773.64244093443062</v>
      </c>
      <c r="G1270" s="751"/>
    </row>
    <row r="1271" spans="1:7" ht="14.25" hidden="1" customHeight="1">
      <c r="A1271" s="1995" t="str">
        <f>+'LISTADO EQUIPOS'!$C$47</f>
        <v>ANDAMIO TUBULAR. 1.5 x 1.5 SECCIÓN</v>
      </c>
      <c r="B1271" s="1610"/>
      <c r="C1271" s="1611"/>
      <c r="D1271" s="464">
        <f>+'LISTADO EQUIPOS'!$E$47</f>
        <v>1750</v>
      </c>
      <c r="E1271" s="706">
        <f>+E1270</f>
        <v>7.9347942659941606E-2</v>
      </c>
      <c r="F1271" s="440">
        <f t="shared" si="71"/>
        <v>138.85889965489781</v>
      </c>
      <c r="G1271" s="751"/>
    </row>
    <row r="1272" spans="1:7" ht="14.25" hidden="1" customHeight="1">
      <c r="A1272" s="1996" t="str">
        <f>+'LISTADO EQUIPOS'!$C$30</f>
        <v>PULIDORA</v>
      </c>
      <c r="B1272" s="1807"/>
      <c r="C1272" s="1819"/>
      <c r="D1272" s="434">
        <f>+'LISTADO EQUIPOS'!$E$30</f>
        <v>5250</v>
      </c>
      <c r="E1272" s="433">
        <f>+E1270</f>
        <v>7.9347942659941606E-2</v>
      </c>
      <c r="F1272" s="700">
        <f t="shared" si="71"/>
        <v>416.57669896469343</v>
      </c>
      <c r="G1272" s="435"/>
    </row>
    <row r="1273" spans="1:7" ht="14.25" hidden="1" customHeight="1">
      <c r="A1273" s="2015" t="s">
        <v>1560</v>
      </c>
      <c r="B1273" s="1601"/>
      <c r="C1273" s="1601"/>
      <c r="D1273" s="1601"/>
      <c r="E1273" s="1601"/>
      <c r="F1273" s="1801"/>
      <c r="G1273" s="462">
        <f>SUM(F1269:F1272)</f>
        <v>3590.4944053623576</v>
      </c>
    </row>
    <row r="1274" spans="1:7" ht="14.25" hidden="1" customHeight="1">
      <c r="A1274" s="621" t="s">
        <v>1561</v>
      </c>
      <c r="B1274" s="618"/>
      <c r="C1274" s="618"/>
      <c r="D1274" s="618"/>
      <c r="E1274" s="618"/>
      <c r="F1274" s="618"/>
      <c r="G1274" s="743"/>
    </row>
    <row r="1275" spans="1:7" ht="14.25" hidden="1" customHeight="1">
      <c r="A1275" s="1975" t="s">
        <v>1556</v>
      </c>
      <c r="B1275" s="1801"/>
      <c r="C1275" s="424" t="s">
        <v>6</v>
      </c>
      <c r="D1275" s="424" t="s">
        <v>1562</v>
      </c>
      <c r="E1275" s="424" t="s">
        <v>7</v>
      </c>
      <c r="F1275" s="424" t="s">
        <v>1559</v>
      </c>
      <c r="G1275" s="673"/>
    </row>
    <row r="1276" spans="1:7" ht="14.25" hidden="1" customHeight="1">
      <c r="A1276" s="1995" t="str">
        <f>+'LISTADO MATERIALES'!C87</f>
        <v>STEEL-DECK a=0.09</v>
      </c>
      <c r="B1276" s="1611"/>
      <c r="C1276" s="444" t="s">
        <v>228</v>
      </c>
      <c r="D1276" s="464">
        <f>+'LISTADO MATERIALES'!E87</f>
        <v>38640</v>
      </c>
      <c r="E1276" s="706">
        <v>1.05</v>
      </c>
      <c r="F1276" s="440">
        <f t="shared" ref="F1276:F1278" si="72">+E1276*D1276</f>
        <v>40572</v>
      </c>
      <c r="G1276" s="707"/>
    </row>
    <row r="1277" spans="1:7" ht="14.25" hidden="1" customHeight="1">
      <c r="A1277" s="1995" t="s">
        <v>1775</v>
      </c>
      <c r="B1277" s="1611"/>
      <c r="C1277" s="444" t="s">
        <v>171</v>
      </c>
      <c r="D1277" s="464">
        <v>15600</v>
      </c>
      <c r="E1277" s="444">
        <v>0.16</v>
      </c>
      <c r="F1277" s="440">
        <f t="shared" si="72"/>
        <v>2496</v>
      </c>
      <c r="G1277" s="707"/>
    </row>
    <row r="1278" spans="1:7" ht="12.75" hidden="1" customHeight="1">
      <c r="A1278" s="1995" t="s">
        <v>1778</v>
      </c>
      <c r="B1278" s="1611"/>
      <c r="C1278" s="444" t="s">
        <v>1707</v>
      </c>
      <c r="D1278" s="464">
        <v>72450</v>
      </c>
      <c r="E1278" s="444">
        <v>0.01</v>
      </c>
      <c r="F1278" s="440">
        <f t="shared" si="72"/>
        <v>724.5</v>
      </c>
      <c r="G1278" s="707"/>
    </row>
    <row r="1279" spans="1:7" ht="14.25" hidden="1" customHeight="1">
      <c r="A1279" s="1996"/>
      <c r="B1279" s="1819"/>
      <c r="C1279" s="708"/>
      <c r="D1279" s="434"/>
      <c r="E1279" s="708"/>
      <c r="F1279" s="434"/>
      <c r="G1279" s="709"/>
    </row>
    <row r="1280" spans="1:7" ht="14.25" hidden="1" customHeight="1">
      <c r="A1280" s="2015" t="s">
        <v>1560</v>
      </c>
      <c r="B1280" s="1601"/>
      <c r="C1280" s="1601"/>
      <c r="D1280" s="1601"/>
      <c r="E1280" s="1601"/>
      <c r="F1280" s="1801"/>
      <c r="G1280" s="462">
        <f>SUM(F1276:F1279)</f>
        <v>43792.5</v>
      </c>
    </row>
    <row r="1281" spans="1:7" ht="14.25" hidden="1" customHeight="1">
      <c r="A1281" s="163" t="s">
        <v>1563</v>
      </c>
      <c r="B1281" s="618"/>
      <c r="C1281" s="618"/>
      <c r="D1281" s="618"/>
      <c r="E1281" s="618"/>
      <c r="F1281" s="618"/>
      <c r="G1281" s="743"/>
    </row>
    <row r="1282" spans="1:7" ht="14.25" hidden="1" customHeight="1">
      <c r="A1282" s="1975" t="s">
        <v>1556</v>
      </c>
      <c r="B1282" s="1801"/>
      <c r="C1282" s="424" t="s">
        <v>6</v>
      </c>
      <c r="D1282" s="424" t="s">
        <v>1562</v>
      </c>
      <c r="E1282" s="424" t="s">
        <v>7</v>
      </c>
      <c r="F1282" s="424" t="s">
        <v>1559</v>
      </c>
      <c r="G1282" s="438"/>
    </row>
    <row r="1283" spans="1:7" ht="14.25" hidden="1" customHeight="1">
      <c r="A1283" s="1987"/>
      <c r="B1283" s="1967"/>
      <c r="C1283" s="744"/>
      <c r="D1283" s="675"/>
      <c r="E1283" s="745"/>
      <c r="F1283" s="464"/>
      <c r="G1283" s="676"/>
    </row>
    <row r="1284" spans="1:7" ht="14.25" hidden="1" customHeight="1">
      <c r="A1284" s="1996"/>
      <c r="B1284" s="1819"/>
      <c r="C1284" s="744"/>
      <c r="D1284" s="434"/>
      <c r="E1284" s="746"/>
      <c r="F1284" s="434"/>
      <c r="G1284" s="457"/>
    </row>
    <row r="1285" spans="1:7" ht="14.25" hidden="1" customHeight="1">
      <c r="A1285" s="2015" t="s">
        <v>1560</v>
      </c>
      <c r="B1285" s="1601"/>
      <c r="C1285" s="1601"/>
      <c r="D1285" s="1601"/>
      <c r="E1285" s="1601"/>
      <c r="F1285" s="1801"/>
      <c r="G1285" s="462"/>
    </row>
    <row r="1286" spans="1:7" ht="14.25" hidden="1" customHeight="1">
      <c r="A1286" s="163" t="s">
        <v>1564</v>
      </c>
      <c r="B1286" s="618"/>
      <c r="C1286" s="618"/>
      <c r="D1286" s="618"/>
      <c r="E1286" s="618"/>
      <c r="F1286" s="618"/>
      <c r="G1286" s="743"/>
    </row>
    <row r="1287" spans="1:7" ht="14.25" hidden="1" customHeight="1">
      <c r="A1287" s="1975" t="s">
        <v>1565</v>
      </c>
      <c r="B1287" s="1801"/>
      <c r="C1287" s="424" t="s">
        <v>1566</v>
      </c>
      <c r="D1287" s="424" t="s">
        <v>6</v>
      </c>
      <c r="E1287" s="424" t="s">
        <v>7</v>
      </c>
      <c r="F1287" s="424" t="s">
        <v>1559</v>
      </c>
      <c r="G1287" s="462"/>
    </row>
    <row r="1288" spans="1:7" ht="14.25" hidden="1" customHeight="1">
      <c r="A1288" s="2004" t="str">
        <f>+'MANO DE OBRA'!$A$95</f>
        <v>MANO OBRA CARPINTERIA MET.</v>
      </c>
      <c r="B1288" s="1888"/>
      <c r="C1288" s="679">
        <f>+'MANO DE OBRA'!$E$95</f>
        <v>31204.875</v>
      </c>
      <c r="D1288" s="680">
        <v>1</v>
      </c>
      <c r="E1288" s="680">
        <v>0.79347942659941606</v>
      </c>
      <c r="F1288" s="755">
        <f>+(C1288*D1288)*E1288</f>
        <v>24760.426322106454</v>
      </c>
      <c r="G1288" s="676"/>
    </row>
    <row r="1289" spans="1:7" ht="14.25" hidden="1" customHeight="1">
      <c r="A1289" s="1984"/>
      <c r="B1289" s="1819"/>
      <c r="C1289" s="747"/>
      <c r="D1289" s="614"/>
      <c r="E1289" s="614"/>
      <c r="F1289" s="753"/>
      <c r="G1289" s="709"/>
    </row>
    <row r="1290" spans="1:7" ht="14.25" hidden="1" customHeight="1">
      <c r="A1290" s="2015" t="str">
        <f>+A1285</f>
        <v>SUB-TOTAL</v>
      </c>
      <c r="B1290" s="1601"/>
      <c r="C1290" s="1601"/>
      <c r="D1290" s="1601"/>
      <c r="E1290" s="1601"/>
      <c r="F1290" s="1801"/>
      <c r="G1290" s="462">
        <f>SUM(F1288:F1289)</f>
        <v>24760.426322106454</v>
      </c>
    </row>
    <row r="1291" spans="1:7" ht="11.25" hidden="1" customHeight="1">
      <c r="A1291" s="618"/>
      <c r="B1291" s="618"/>
      <c r="C1291" s="618"/>
      <c r="D1291" s="618"/>
      <c r="E1291" s="618"/>
      <c r="F1291" s="748"/>
      <c r="G1291" s="743"/>
    </row>
    <row r="1292" spans="1:7" ht="14.25" hidden="1" customHeight="1">
      <c r="A1292" s="2015" t="s">
        <v>1567</v>
      </c>
      <c r="B1292" s="1601"/>
      <c r="C1292" s="1601"/>
      <c r="D1292" s="1601"/>
      <c r="E1292" s="1601"/>
      <c r="F1292" s="1801"/>
      <c r="G1292" s="459">
        <f>ROUND(G1273+G1280+G1285+G1290,0)</f>
        <v>72143</v>
      </c>
    </row>
    <row r="1293" spans="1:7" ht="14.25" hidden="1" customHeight="1">
      <c r="A1293" s="616"/>
      <c r="B1293" s="616"/>
      <c r="C1293" s="616"/>
      <c r="D1293" s="616"/>
      <c r="E1293" s="616"/>
      <c r="F1293" s="616"/>
      <c r="G1293" s="616"/>
    </row>
    <row r="1294" spans="1:7" ht="14.25" hidden="1" customHeight="1">
      <c r="A1294" s="616"/>
      <c r="B1294" s="616"/>
      <c r="C1294" s="616"/>
      <c r="D1294" s="616"/>
      <c r="E1294" s="616"/>
      <c r="F1294" s="616"/>
      <c r="G1294" s="616"/>
    </row>
    <row r="1295" spans="1:7" ht="33" hidden="1" customHeight="1">
      <c r="A1295" s="1994" t="e">
        <f>+'ANALISIS BASICOS'!$A$7</f>
        <v>#REF!</v>
      </c>
      <c r="B1295" s="1616"/>
      <c r="C1295" s="1624"/>
      <c r="D1295" s="1990"/>
      <c r="E1295" s="1616"/>
      <c r="F1295" s="1616"/>
      <c r="G1295" s="1624"/>
    </row>
    <row r="1296" spans="1:7" ht="33" hidden="1" customHeight="1">
      <c r="A1296" s="1971"/>
      <c r="B1296" s="1817"/>
      <c r="C1296" s="1972"/>
      <c r="D1296" s="1971"/>
      <c r="E1296" s="1817"/>
      <c r="F1296" s="1817"/>
      <c r="G1296" s="1972"/>
    </row>
    <row r="1298" spans="1:7" ht="50.25" hidden="1" customHeight="1">
      <c r="A1298" s="1991" t="e">
        <f ca="1">+A1264</f>
        <v>#NAME?</v>
      </c>
      <c r="B1298" s="1601"/>
      <c r="C1298" s="1602"/>
      <c r="D1298" s="1974" t="s">
        <v>1786</v>
      </c>
      <c r="E1298" s="1601"/>
      <c r="F1298" s="1601"/>
      <c r="G1298" s="1602"/>
    </row>
    <row r="1299" spans="1:7" ht="14.25" hidden="1" customHeight="1">
      <c r="A1299" s="620"/>
      <c r="B1299" s="620"/>
      <c r="C1299" s="620"/>
      <c r="D1299" s="620"/>
      <c r="E1299" s="620"/>
      <c r="F1299" s="620"/>
      <c r="G1299" s="620"/>
    </row>
    <row r="1300" spans="1:7" ht="12.75" hidden="1" customHeight="1">
      <c r="A1300" s="572"/>
      <c r="B1300" s="618"/>
      <c r="C1300" s="616"/>
      <c r="D1300" s="421" t="s">
        <v>1553</v>
      </c>
      <c r="E1300" s="422" t="s">
        <v>171</v>
      </c>
      <c r="F1300" s="421" t="s">
        <v>1554</v>
      </c>
      <c r="G1300" s="422" t="s">
        <v>393</v>
      </c>
    </row>
    <row r="1301" spans="1:7" ht="14.25" hidden="1" customHeight="1">
      <c r="A1301" s="621" t="s">
        <v>1555</v>
      </c>
      <c r="B1301" s="618"/>
      <c r="C1301" s="618"/>
      <c r="D1301" s="618"/>
      <c r="E1301" s="618"/>
      <c r="F1301" s="618"/>
      <c r="G1301" s="618"/>
    </row>
    <row r="1302" spans="1:7" ht="13.5" hidden="1" customHeight="1">
      <c r="A1302" s="1975" t="s">
        <v>1556</v>
      </c>
      <c r="B1302" s="1601"/>
      <c r="C1302" s="1801"/>
      <c r="D1302" s="424" t="s">
        <v>208</v>
      </c>
      <c r="E1302" s="424" t="s">
        <v>1558</v>
      </c>
      <c r="F1302" s="424" t="s">
        <v>1559</v>
      </c>
      <c r="G1302" s="425"/>
    </row>
    <row r="1303" spans="1:7" ht="14.25" hidden="1" customHeight="1">
      <c r="A1303" s="1987" t="str">
        <f>+'LISTADO EQUIPOS'!$C$22</f>
        <v>HERRAMIENTA MENOR.</v>
      </c>
      <c r="B1303" s="1811"/>
      <c r="C1303" s="1967"/>
      <c r="D1303" s="675">
        <f>+'LISTADO EQUIPOS'!$E$22/8</f>
        <v>2850</v>
      </c>
      <c r="E1303" s="687">
        <f>+E1322</f>
        <v>0.8</v>
      </c>
      <c r="F1303" s="442">
        <f t="shared" ref="F1303:F1306" si="73">+E1303*D1303</f>
        <v>2280</v>
      </c>
      <c r="G1303" s="688"/>
    </row>
    <row r="1304" spans="1:7" ht="14.25" hidden="1" customHeight="1">
      <c r="A1304" s="1995" t="str">
        <f>+'LISTADO EQUIPOS'!$C$18</f>
        <v>EQUIPO ELÉCTRICO SOLDADURA</v>
      </c>
      <c r="B1304" s="1610"/>
      <c r="C1304" s="1611"/>
      <c r="D1304" s="464">
        <f>+'LISTADO EQUIPOS'!$E$19</f>
        <v>9750</v>
      </c>
      <c r="E1304" s="706">
        <f>+E1303*0.1</f>
        <v>8.0000000000000016E-2</v>
      </c>
      <c r="F1304" s="440">
        <f t="shared" si="73"/>
        <v>780.00000000000011</v>
      </c>
      <c r="G1304" s="751"/>
    </row>
    <row r="1305" spans="1:7" ht="14.25" hidden="1" customHeight="1">
      <c r="A1305" s="1995" t="str">
        <f>+'LISTADO EQUIPOS'!$C$47</f>
        <v>ANDAMIO TUBULAR. 1.5 x 1.5 SECCIÓN</v>
      </c>
      <c r="B1305" s="1610"/>
      <c r="C1305" s="1611"/>
      <c r="D1305" s="464">
        <f>+'LISTADO EQUIPOS'!$E$47</f>
        <v>1750</v>
      </c>
      <c r="E1305" s="706">
        <f>+E1304</f>
        <v>8.0000000000000016E-2</v>
      </c>
      <c r="F1305" s="440">
        <f t="shared" si="73"/>
        <v>140.00000000000003</v>
      </c>
      <c r="G1305" s="751"/>
    </row>
    <row r="1306" spans="1:7" ht="14.25" hidden="1" customHeight="1">
      <c r="A1306" s="1996" t="str">
        <f>+'LISTADO EQUIPOS'!$C$30</f>
        <v>PULIDORA</v>
      </c>
      <c r="B1306" s="1807"/>
      <c r="C1306" s="1819"/>
      <c r="D1306" s="434">
        <f>+'LISTADO EQUIPOS'!$E$30</f>
        <v>5250</v>
      </c>
      <c r="E1306" s="433">
        <f>+E1304</f>
        <v>8.0000000000000016E-2</v>
      </c>
      <c r="F1306" s="700">
        <f t="shared" si="73"/>
        <v>420.00000000000006</v>
      </c>
      <c r="G1306" s="435"/>
    </row>
    <row r="1307" spans="1:7" ht="14.25" hidden="1" customHeight="1">
      <c r="A1307" s="2015" t="s">
        <v>1560</v>
      </c>
      <c r="B1307" s="1601"/>
      <c r="C1307" s="1601"/>
      <c r="D1307" s="1601"/>
      <c r="E1307" s="1601"/>
      <c r="F1307" s="1801"/>
      <c r="G1307" s="462">
        <f>SUM(F1303:F1306)</f>
        <v>3620</v>
      </c>
    </row>
    <row r="1308" spans="1:7" ht="14.25" hidden="1" customHeight="1">
      <c r="A1308" s="621" t="s">
        <v>1561</v>
      </c>
      <c r="B1308" s="618"/>
      <c r="C1308" s="618"/>
      <c r="D1308" s="618"/>
      <c r="E1308" s="618"/>
      <c r="F1308" s="618"/>
      <c r="G1308" s="743"/>
    </row>
    <row r="1309" spans="1:7" ht="14.25" hidden="1" customHeight="1">
      <c r="A1309" s="1975" t="s">
        <v>1556</v>
      </c>
      <c r="B1309" s="1801"/>
      <c r="C1309" s="424" t="s">
        <v>6</v>
      </c>
      <c r="D1309" s="424" t="s">
        <v>1562</v>
      </c>
      <c r="E1309" s="424" t="s">
        <v>7</v>
      </c>
      <c r="F1309" s="424" t="s">
        <v>1559</v>
      </c>
      <c r="G1309" s="673"/>
    </row>
    <row r="1310" spans="1:7" ht="14.25" hidden="1" customHeight="1">
      <c r="A1310" s="1995" t="str">
        <f>+'LISTADO MATERIALES'!C49</f>
        <v>MALLA EN ACERO HUECO = 4,5 mm.</v>
      </c>
      <c r="B1310" s="1611"/>
      <c r="C1310" s="444" t="s">
        <v>228</v>
      </c>
      <c r="D1310" s="464">
        <f>+'LISTADO MATERIALES'!E49</f>
        <v>28684</v>
      </c>
      <c r="E1310" s="706">
        <v>1.05</v>
      </c>
      <c r="F1310" s="440">
        <f t="shared" ref="F1310:F1311" si="74">+E1310*D1310</f>
        <v>30118.2</v>
      </c>
      <c r="G1310" s="707"/>
    </row>
    <row r="1311" spans="1:7" ht="14.25" hidden="1" customHeight="1">
      <c r="A1311" s="1995" t="s">
        <v>1775</v>
      </c>
      <c r="B1311" s="1611"/>
      <c r="C1311" s="444" t="s">
        <v>171</v>
      </c>
      <c r="D1311" s="464">
        <v>15600</v>
      </c>
      <c r="E1311" s="444">
        <v>0.16</v>
      </c>
      <c r="F1311" s="440">
        <f t="shared" si="74"/>
        <v>2496</v>
      </c>
      <c r="G1311" s="707"/>
    </row>
    <row r="1312" spans="1:7" ht="12.75" hidden="1" customHeight="1">
      <c r="A1312" s="1995"/>
      <c r="B1312" s="1611"/>
      <c r="C1312" s="444"/>
      <c r="D1312" s="464"/>
      <c r="E1312" s="444"/>
      <c r="F1312" s="440"/>
      <c r="G1312" s="707"/>
    </row>
    <row r="1313" spans="1:7" ht="14.25" hidden="1" customHeight="1">
      <c r="A1313" s="1996"/>
      <c r="B1313" s="1819"/>
      <c r="C1313" s="708"/>
      <c r="D1313" s="434"/>
      <c r="E1313" s="708"/>
      <c r="F1313" s="434"/>
      <c r="G1313" s="709"/>
    </row>
    <row r="1314" spans="1:7" ht="14.25" hidden="1" customHeight="1">
      <c r="A1314" s="2015" t="s">
        <v>1560</v>
      </c>
      <c r="B1314" s="1601"/>
      <c r="C1314" s="1601"/>
      <c r="D1314" s="1601"/>
      <c r="E1314" s="1601"/>
      <c r="F1314" s="1801"/>
      <c r="G1314" s="462">
        <f>SUM(F1310:F1313)</f>
        <v>32614.2</v>
      </c>
    </row>
    <row r="1315" spans="1:7" ht="14.25" hidden="1" customHeight="1">
      <c r="A1315" s="163" t="s">
        <v>1563</v>
      </c>
      <c r="B1315" s="618"/>
      <c r="C1315" s="618"/>
      <c r="D1315" s="618"/>
      <c r="E1315" s="618"/>
      <c r="F1315" s="618"/>
      <c r="G1315" s="743"/>
    </row>
    <row r="1316" spans="1:7" ht="14.25" hidden="1" customHeight="1">
      <c r="A1316" s="1975" t="s">
        <v>1556</v>
      </c>
      <c r="B1316" s="1801"/>
      <c r="C1316" s="424" t="s">
        <v>6</v>
      </c>
      <c r="D1316" s="424" t="s">
        <v>1562</v>
      </c>
      <c r="E1316" s="424" t="s">
        <v>7</v>
      </c>
      <c r="F1316" s="424" t="s">
        <v>1559</v>
      </c>
      <c r="G1316" s="438"/>
    </row>
    <row r="1317" spans="1:7" ht="14.25" hidden="1" customHeight="1">
      <c r="A1317" s="1987"/>
      <c r="B1317" s="1967"/>
      <c r="C1317" s="744"/>
      <c r="D1317" s="675"/>
      <c r="E1317" s="745"/>
      <c r="F1317" s="464"/>
      <c r="G1317" s="676"/>
    </row>
    <row r="1318" spans="1:7" ht="14.25" hidden="1" customHeight="1">
      <c r="A1318" s="1996"/>
      <c r="B1318" s="1819"/>
      <c r="C1318" s="744"/>
      <c r="D1318" s="434"/>
      <c r="E1318" s="746"/>
      <c r="F1318" s="434"/>
      <c r="G1318" s="457"/>
    </row>
    <row r="1319" spans="1:7" ht="14.25" hidden="1" customHeight="1">
      <c r="A1319" s="2015" t="s">
        <v>1560</v>
      </c>
      <c r="B1319" s="1601"/>
      <c r="C1319" s="1601"/>
      <c r="D1319" s="1601"/>
      <c r="E1319" s="1601"/>
      <c r="F1319" s="1801"/>
      <c r="G1319" s="462"/>
    </row>
    <row r="1320" spans="1:7" ht="14.25" hidden="1" customHeight="1">
      <c r="A1320" s="163" t="s">
        <v>1564</v>
      </c>
      <c r="B1320" s="618"/>
      <c r="C1320" s="618"/>
      <c r="D1320" s="618"/>
      <c r="E1320" s="618"/>
      <c r="F1320" s="618"/>
      <c r="G1320" s="743"/>
    </row>
    <row r="1321" spans="1:7" ht="14.25" hidden="1" customHeight="1">
      <c r="A1321" s="1975" t="s">
        <v>1565</v>
      </c>
      <c r="B1321" s="1801"/>
      <c r="C1321" s="424" t="s">
        <v>1566</v>
      </c>
      <c r="D1321" s="424" t="s">
        <v>6</v>
      </c>
      <c r="E1321" s="424" t="s">
        <v>7</v>
      </c>
      <c r="F1321" s="424" t="s">
        <v>1559</v>
      </c>
      <c r="G1321" s="462"/>
    </row>
    <row r="1322" spans="1:7" ht="14.25" hidden="1" customHeight="1">
      <c r="A1322" s="2004" t="str">
        <f>+'MANO DE OBRA'!$A$95</f>
        <v>MANO OBRA CARPINTERIA MET.</v>
      </c>
      <c r="B1322" s="1888"/>
      <c r="C1322" s="679">
        <f>+'MANO DE OBRA'!$E$95</f>
        <v>31204.875</v>
      </c>
      <c r="D1322" s="680">
        <v>1</v>
      </c>
      <c r="E1322" s="680">
        <v>0.8</v>
      </c>
      <c r="F1322" s="755">
        <f>+(C1322*D1322)*E1322</f>
        <v>24963.9</v>
      </c>
      <c r="G1322" s="676"/>
    </row>
    <row r="1323" spans="1:7" ht="14.25" hidden="1" customHeight="1">
      <c r="A1323" s="1984"/>
      <c r="B1323" s="1819"/>
      <c r="C1323" s="747"/>
      <c r="D1323" s="614"/>
      <c r="E1323" s="614"/>
      <c r="F1323" s="753"/>
      <c r="G1323" s="709"/>
    </row>
    <row r="1324" spans="1:7" ht="14.25" hidden="1" customHeight="1">
      <c r="A1324" s="2015" t="str">
        <f>+A1319</f>
        <v>SUB-TOTAL</v>
      </c>
      <c r="B1324" s="1601"/>
      <c r="C1324" s="1601"/>
      <c r="D1324" s="1601"/>
      <c r="E1324" s="1601"/>
      <c r="F1324" s="1801"/>
      <c r="G1324" s="462">
        <f>SUM(F1322:F1323)</f>
        <v>24963.9</v>
      </c>
    </row>
    <row r="1325" spans="1:7" ht="11.25" hidden="1" customHeight="1">
      <c r="A1325" s="618"/>
      <c r="B1325" s="618"/>
      <c r="C1325" s="618"/>
      <c r="D1325" s="618"/>
      <c r="E1325" s="618"/>
      <c r="F1325" s="748"/>
      <c r="G1325" s="743"/>
    </row>
    <row r="1326" spans="1:7" ht="14.25" hidden="1" customHeight="1">
      <c r="A1326" s="2015" t="s">
        <v>1567</v>
      </c>
      <c r="B1326" s="1601"/>
      <c r="C1326" s="1601"/>
      <c r="D1326" s="1601"/>
      <c r="E1326" s="1601"/>
      <c r="F1326" s="1801"/>
      <c r="G1326" s="459">
        <f>ROUND(G1307+G1314+G1319+G1324,0)</f>
        <v>61198</v>
      </c>
    </row>
    <row r="1329" spans="1:7" ht="33" hidden="1" customHeight="1">
      <c r="A1329" s="1989" t="e">
        <f>+'ANALISIS BASICOS'!$A$7</f>
        <v>#REF!</v>
      </c>
      <c r="B1329" s="1616"/>
      <c r="C1329" s="1624"/>
      <c r="D1329" s="1990"/>
      <c r="E1329" s="1616"/>
      <c r="F1329" s="1616"/>
      <c r="G1329" s="1624"/>
    </row>
    <row r="1330" spans="1:7" ht="33" hidden="1" customHeight="1">
      <c r="A1330" s="1971"/>
      <c r="B1330" s="1817"/>
      <c r="C1330" s="1972"/>
      <c r="D1330" s="1971"/>
      <c r="E1330" s="1817"/>
      <c r="F1330" s="1817"/>
      <c r="G1330" s="1972"/>
    </row>
    <row r="1331" spans="1:7" ht="14.25" hidden="1" customHeight="1">
      <c r="A1331" s="618"/>
      <c r="B1331" s="618"/>
      <c r="C1331" s="618"/>
      <c r="D1331" s="618"/>
      <c r="E1331" s="618"/>
      <c r="F1331" s="618"/>
      <c r="G1331" s="618"/>
    </row>
    <row r="1332" spans="1:7" ht="50.25" hidden="1" customHeight="1">
      <c r="A1332" s="1991" t="e">
        <f ca="1">+A1298</f>
        <v>#NAME?</v>
      </c>
      <c r="B1332" s="1601"/>
      <c r="C1332" s="1602"/>
      <c r="D1332" s="1974" t="s">
        <v>1787</v>
      </c>
      <c r="E1332" s="1601"/>
      <c r="F1332" s="1601"/>
      <c r="G1332" s="1602"/>
    </row>
    <row r="1333" spans="1:7" ht="14.25" hidden="1" customHeight="1">
      <c r="A1333" s="620"/>
      <c r="B1333" s="620"/>
      <c r="C1333" s="620"/>
      <c r="D1333" s="620"/>
      <c r="E1333" s="620"/>
      <c r="F1333" s="620"/>
      <c r="G1333" s="620"/>
    </row>
    <row r="1334" spans="1:7" ht="12.75" hidden="1" customHeight="1">
      <c r="A1334" s="572"/>
      <c r="B1334" s="618"/>
      <c r="C1334" s="616"/>
      <c r="D1334" s="421" t="s">
        <v>1553</v>
      </c>
      <c r="E1334" s="422" t="s">
        <v>171</v>
      </c>
      <c r="F1334" s="421" t="s">
        <v>1554</v>
      </c>
      <c r="G1334" s="422" t="s">
        <v>86</v>
      </c>
    </row>
    <row r="1335" spans="1:7" ht="14.25" hidden="1" customHeight="1">
      <c r="A1335" s="621" t="s">
        <v>1555</v>
      </c>
      <c r="B1335" s="618"/>
      <c r="C1335" s="618"/>
      <c r="D1335" s="618"/>
      <c r="E1335" s="618"/>
      <c r="F1335" s="618"/>
      <c r="G1335" s="618"/>
    </row>
    <row r="1336" spans="1:7" ht="13.5" hidden="1" customHeight="1">
      <c r="A1336" s="1975" t="s">
        <v>1556</v>
      </c>
      <c r="B1336" s="1601"/>
      <c r="C1336" s="1801"/>
      <c r="D1336" s="424" t="s">
        <v>208</v>
      </c>
      <c r="E1336" s="424" t="s">
        <v>1558</v>
      </c>
      <c r="F1336" s="424" t="s">
        <v>1559</v>
      </c>
      <c r="G1336" s="425"/>
    </row>
    <row r="1337" spans="1:7" ht="14.25" hidden="1" customHeight="1">
      <c r="A1337" s="1987" t="str">
        <f>+'LISTADO EQUIPOS'!$C$22</f>
        <v>HERRAMIENTA MENOR.</v>
      </c>
      <c r="B1337" s="1811"/>
      <c r="C1337" s="1967"/>
      <c r="D1337" s="675">
        <f>+'LISTADO EQUIPOS'!$E$22/8</f>
        <v>2850</v>
      </c>
      <c r="E1337" s="687">
        <f>+E1358</f>
        <v>3.2</v>
      </c>
      <c r="F1337" s="442">
        <f t="shared" ref="F1337:F1340" si="75">+E1337*D1337</f>
        <v>9120</v>
      </c>
      <c r="G1337" s="688"/>
    </row>
    <row r="1338" spans="1:7" ht="14.25" hidden="1" customHeight="1">
      <c r="A1338" s="1995" t="str">
        <f>+'LISTADO EQUIPOS'!$C$18</f>
        <v>EQUIPO ELÉCTRICO SOLDADURA</v>
      </c>
      <c r="B1338" s="1610"/>
      <c r="C1338" s="1611"/>
      <c r="D1338" s="464">
        <f>+'LISTADO EQUIPOS'!$E$19</f>
        <v>9750</v>
      </c>
      <c r="E1338" s="706">
        <f>+E1337*0.1</f>
        <v>0.32000000000000006</v>
      </c>
      <c r="F1338" s="440">
        <f t="shared" si="75"/>
        <v>3120.0000000000005</v>
      </c>
      <c r="G1338" s="751"/>
    </row>
    <row r="1339" spans="1:7" ht="14.25" hidden="1" customHeight="1">
      <c r="A1339" s="1995" t="str">
        <f>+'LISTADO EQUIPOS'!$C$47</f>
        <v>ANDAMIO TUBULAR. 1.5 x 1.5 SECCIÓN</v>
      </c>
      <c r="B1339" s="1610"/>
      <c r="C1339" s="1611"/>
      <c r="D1339" s="464">
        <f>+'LISTADO EQUIPOS'!$E$47</f>
        <v>1750</v>
      </c>
      <c r="E1339" s="706">
        <f>+E1338</f>
        <v>0.32000000000000006</v>
      </c>
      <c r="F1339" s="440">
        <f t="shared" si="75"/>
        <v>560.00000000000011</v>
      </c>
      <c r="G1339" s="751"/>
    </row>
    <row r="1340" spans="1:7" ht="14.25" hidden="1" customHeight="1">
      <c r="A1340" s="1996" t="str">
        <f>+'LISTADO EQUIPOS'!$C$30</f>
        <v>PULIDORA</v>
      </c>
      <c r="B1340" s="1807"/>
      <c r="C1340" s="1819"/>
      <c r="D1340" s="434">
        <f>+'LISTADO EQUIPOS'!$E$30</f>
        <v>5250</v>
      </c>
      <c r="E1340" s="433">
        <f>+E1338</f>
        <v>0.32000000000000006</v>
      </c>
      <c r="F1340" s="700">
        <f t="shared" si="75"/>
        <v>1680.0000000000002</v>
      </c>
      <c r="G1340" s="435"/>
    </row>
    <row r="1341" spans="1:7" ht="14.25" hidden="1" customHeight="1">
      <c r="A1341" s="2015" t="s">
        <v>1560</v>
      </c>
      <c r="B1341" s="1601"/>
      <c r="C1341" s="1601"/>
      <c r="D1341" s="1601"/>
      <c r="E1341" s="1601"/>
      <c r="F1341" s="1801"/>
      <c r="G1341" s="462">
        <f>SUM(F1337:F1340)</f>
        <v>14480</v>
      </c>
    </row>
    <row r="1342" spans="1:7" ht="14.25" hidden="1" customHeight="1">
      <c r="A1342" s="621" t="s">
        <v>1561</v>
      </c>
      <c r="B1342" s="618"/>
      <c r="C1342" s="618"/>
      <c r="D1342" s="618"/>
      <c r="E1342" s="618"/>
      <c r="F1342" s="618"/>
      <c r="G1342" s="743"/>
    </row>
    <row r="1343" spans="1:7" ht="14.25" hidden="1" customHeight="1">
      <c r="A1343" s="1975" t="s">
        <v>1556</v>
      </c>
      <c r="B1343" s="1801"/>
      <c r="C1343" s="424" t="s">
        <v>6</v>
      </c>
      <c r="D1343" s="424" t="s">
        <v>1562</v>
      </c>
      <c r="E1343" s="424" t="s">
        <v>7</v>
      </c>
      <c r="F1343" s="424" t="s">
        <v>1559</v>
      </c>
      <c r="G1343" s="673"/>
    </row>
    <row r="1344" spans="1:7" ht="14.25" hidden="1" customHeight="1">
      <c r="A1344" s="1995" t="s">
        <v>1782</v>
      </c>
      <c r="B1344" s="1611"/>
      <c r="C1344" s="444" t="s">
        <v>171</v>
      </c>
      <c r="D1344" s="464">
        <v>3006.5765386193621</v>
      </c>
      <c r="E1344" s="706">
        <v>11.5</v>
      </c>
      <c r="F1344" s="440">
        <f t="shared" ref="F1344:F1349" si="76">+E1344*D1344</f>
        <v>34575.630194122663</v>
      </c>
      <c r="G1344" s="707"/>
    </row>
    <row r="1345" spans="1:7" ht="14.25" hidden="1" customHeight="1">
      <c r="A1345" s="1995" t="s">
        <v>1775</v>
      </c>
      <c r="B1345" s="1611"/>
      <c r="C1345" s="444" t="s">
        <v>171</v>
      </c>
      <c r="D1345" s="464">
        <v>15600</v>
      </c>
      <c r="E1345" s="444">
        <v>7.0000000000000007E-2</v>
      </c>
      <c r="F1345" s="440">
        <f t="shared" si="76"/>
        <v>1092</v>
      </c>
      <c r="G1345" s="707"/>
    </row>
    <row r="1346" spans="1:7" ht="12.75" hidden="1" customHeight="1">
      <c r="A1346" s="1995" t="str">
        <f>+'LISTADO MATERIALES'!$C$387</f>
        <v>LADRILLO TOLETE COMÚN</v>
      </c>
      <c r="B1346" s="1611"/>
      <c r="C1346" s="444" t="str">
        <f>+'LISTADO MATERIALES'!$D$387</f>
        <v>UND</v>
      </c>
      <c r="D1346" s="464">
        <f>+'LISTADO MATERIALES'!$E$387</f>
        <v>368</v>
      </c>
      <c r="E1346" s="444">
        <v>56</v>
      </c>
      <c r="F1346" s="440">
        <f t="shared" si="76"/>
        <v>20608</v>
      </c>
      <c r="G1346" s="707"/>
    </row>
    <row r="1347" spans="1:7" ht="12.75" hidden="1" customHeight="1">
      <c r="A1347" s="1995" t="str">
        <f>+'ANALISIS BASICOS'!$A$164</f>
        <v xml:space="preserve">MORTERO 1:3 </v>
      </c>
      <c r="B1347" s="1611"/>
      <c r="C1347" s="444" t="str">
        <f>+'ANALISIS BASICOS'!$E$140</f>
        <v>M3</v>
      </c>
      <c r="D1347" s="464">
        <f>+'ANALISIS BASICOS'!$G$164</f>
        <v>434608</v>
      </c>
      <c r="E1347" s="444">
        <v>2.1000000000000001E-2</v>
      </c>
      <c r="F1347" s="440">
        <f t="shared" si="76"/>
        <v>9126.768</v>
      </c>
      <c r="G1347" s="707"/>
    </row>
    <row r="1348" spans="1:7" ht="12.75" hidden="1" customHeight="1">
      <c r="A1348" s="1995" t="str">
        <f>+'ANALISIS BASICOS'!$A$36</f>
        <v xml:space="preserve">CONCRETO NORMAL - 3000 PSI (210 KG/CM2) </v>
      </c>
      <c r="B1348" s="1611"/>
      <c r="C1348" s="444" t="str">
        <f>+'ANALISIS BASICOS'!$E$12</f>
        <v>M3</v>
      </c>
      <c r="D1348" s="464">
        <f>+'ANALISIS BASICOS'!$G$36</f>
        <v>468441</v>
      </c>
      <c r="E1348" s="444">
        <v>0.1</v>
      </c>
      <c r="F1348" s="440">
        <f t="shared" si="76"/>
        <v>46844.100000000006</v>
      </c>
      <c r="G1348" s="707"/>
    </row>
    <row r="1349" spans="1:7" ht="14.25" hidden="1" customHeight="1">
      <c r="A1349" s="1996" t="str">
        <f>+'LISTADO MATERIALES'!$C$10</f>
        <v xml:space="preserve">ACERO Fy= 4200 Kg/cm2   </v>
      </c>
      <c r="B1349" s="1819"/>
      <c r="C1349" s="708" t="str">
        <f>+'LISTADO MATERIALES'!$D$10</f>
        <v>KG</v>
      </c>
      <c r="D1349" s="434">
        <f>'LISTADO MATERIALES'!$E$10</f>
        <v>2800</v>
      </c>
      <c r="E1349" s="708">
        <v>3.5</v>
      </c>
      <c r="F1349" s="434">
        <f t="shared" si="76"/>
        <v>9800</v>
      </c>
      <c r="G1349" s="709"/>
    </row>
    <row r="1350" spans="1:7" ht="14.25" hidden="1" customHeight="1">
      <c r="A1350" s="2015" t="s">
        <v>1560</v>
      </c>
      <c r="B1350" s="1601"/>
      <c r="C1350" s="1601"/>
      <c r="D1350" s="1601"/>
      <c r="E1350" s="1601"/>
      <c r="F1350" s="1801"/>
      <c r="G1350" s="462">
        <f>SUM(F1344:F1349)</f>
        <v>122046.49819412267</v>
      </c>
    </row>
    <row r="1351" spans="1:7" ht="14.25" hidden="1" customHeight="1">
      <c r="A1351" s="163" t="s">
        <v>1563</v>
      </c>
      <c r="B1351" s="618"/>
      <c r="C1351" s="618"/>
      <c r="D1351" s="618"/>
      <c r="E1351" s="618"/>
      <c r="F1351" s="618"/>
      <c r="G1351" s="743"/>
    </row>
    <row r="1352" spans="1:7" ht="14.25" hidden="1" customHeight="1">
      <c r="A1352" s="1975" t="s">
        <v>1556</v>
      </c>
      <c r="B1352" s="1801"/>
      <c r="C1352" s="424" t="s">
        <v>6</v>
      </c>
      <c r="D1352" s="424" t="s">
        <v>1562</v>
      </c>
      <c r="E1352" s="424" t="s">
        <v>7</v>
      </c>
      <c r="F1352" s="424" t="s">
        <v>1559</v>
      </c>
      <c r="G1352" s="438"/>
    </row>
    <row r="1353" spans="1:7" ht="14.25" hidden="1" customHeight="1">
      <c r="A1353" s="1987"/>
      <c r="B1353" s="1967"/>
      <c r="C1353" s="744"/>
      <c r="D1353" s="675"/>
      <c r="E1353" s="745"/>
      <c r="F1353" s="464"/>
      <c r="G1353" s="676"/>
    </row>
    <row r="1354" spans="1:7" ht="14.25" hidden="1" customHeight="1">
      <c r="A1354" s="1996"/>
      <c r="B1354" s="1819"/>
      <c r="C1354" s="744"/>
      <c r="D1354" s="434"/>
      <c r="E1354" s="746"/>
      <c r="F1354" s="434"/>
      <c r="G1354" s="457"/>
    </row>
    <row r="1355" spans="1:7" ht="14.25" hidden="1" customHeight="1">
      <c r="A1355" s="2015" t="s">
        <v>1560</v>
      </c>
      <c r="B1355" s="1601"/>
      <c r="C1355" s="1601"/>
      <c r="D1355" s="1601"/>
      <c r="E1355" s="1601"/>
      <c r="F1355" s="1801"/>
      <c r="G1355" s="462"/>
    </row>
    <row r="1356" spans="1:7" ht="14.25" hidden="1" customHeight="1">
      <c r="A1356" s="163" t="s">
        <v>1564</v>
      </c>
      <c r="B1356" s="618"/>
      <c r="C1356" s="618"/>
      <c r="D1356" s="618"/>
      <c r="E1356" s="618"/>
      <c r="F1356" s="618"/>
      <c r="G1356" s="743"/>
    </row>
    <row r="1357" spans="1:7" ht="14.25" hidden="1" customHeight="1">
      <c r="A1357" s="1975" t="s">
        <v>1565</v>
      </c>
      <c r="B1357" s="1801"/>
      <c r="C1357" s="424" t="s">
        <v>1566</v>
      </c>
      <c r="D1357" s="424" t="s">
        <v>6</v>
      </c>
      <c r="E1357" s="424" t="s">
        <v>7</v>
      </c>
      <c r="F1357" s="424" t="s">
        <v>1559</v>
      </c>
      <c r="G1357" s="462"/>
    </row>
    <row r="1358" spans="1:7" ht="14.25" hidden="1" customHeight="1">
      <c r="A1358" s="2004" t="str">
        <f>+'MANO DE OBRA'!$A$95</f>
        <v>MANO OBRA CARPINTERIA MET.</v>
      </c>
      <c r="B1358" s="1888"/>
      <c r="C1358" s="679">
        <f>+'MANO DE OBRA'!$E$95</f>
        <v>31204.875</v>
      </c>
      <c r="D1358" s="680">
        <v>1</v>
      </c>
      <c r="E1358" s="680">
        <v>3.2</v>
      </c>
      <c r="F1358" s="755">
        <f>+(C1358*D1358)*E1358</f>
        <v>99855.6</v>
      </c>
      <c r="G1358" s="676"/>
    </row>
    <row r="1359" spans="1:7" ht="14.25" hidden="1" customHeight="1">
      <c r="A1359" s="1984"/>
      <c r="B1359" s="1819"/>
      <c r="C1359" s="747"/>
      <c r="D1359" s="614"/>
      <c r="E1359" s="614"/>
      <c r="F1359" s="753"/>
      <c r="G1359" s="709"/>
    </row>
    <row r="1360" spans="1:7" ht="14.25" hidden="1" customHeight="1">
      <c r="A1360" s="2015" t="str">
        <f>+A1355</f>
        <v>SUB-TOTAL</v>
      </c>
      <c r="B1360" s="1601"/>
      <c r="C1360" s="1601"/>
      <c r="D1360" s="1601"/>
      <c r="E1360" s="1601"/>
      <c r="F1360" s="1801"/>
      <c r="G1360" s="462">
        <f>SUM(F1358:F1359)</f>
        <v>99855.6</v>
      </c>
    </row>
    <row r="1362" spans="1:7" ht="14.25" hidden="1" customHeight="1">
      <c r="A1362" s="2015" t="s">
        <v>1567</v>
      </c>
      <c r="B1362" s="1601"/>
      <c r="C1362" s="1601"/>
      <c r="D1362" s="1601"/>
      <c r="E1362" s="1601"/>
      <c r="F1362" s="1801"/>
      <c r="G1362" s="459">
        <f>ROUND(G1341+G1350+G1355+G1360,0)</f>
        <v>236382</v>
      </c>
    </row>
    <row r="1363" spans="1:7" ht="14.25" hidden="1" customHeight="1">
      <c r="A1363" s="616"/>
      <c r="B1363" s="616"/>
      <c r="C1363" s="616"/>
      <c r="D1363" s="616"/>
      <c r="E1363" s="616"/>
      <c r="F1363" s="616"/>
      <c r="G1363" s="616"/>
    </row>
    <row r="1364" spans="1:7" ht="14.25" customHeight="1"/>
    <row r="1365" spans="1:7" ht="14.25" customHeight="1">
      <c r="A1365" s="1986"/>
      <c r="B1365" s="1605"/>
      <c r="C1365" s="1605"/>
      <c r="D1365" s="1605"/>
    </row>
  </sheetData>
  <mergeCells count="963">
    <mergeCell ref="A7:C8"/>
    <mergeCell ref="A10:C10"/>
    <mergeCell ref="D10:G10"/>
    <mergeCell ref="A14:C14"/>
    <mergeCell ref="A15:C15"/>
    <mergeCell ref="A16:C16"/>
    <mergeCell ref="A17:F17"/>
    <mergeCell ref="A19:B19"/>
    <mergeCell ref="A20:B20"/>
    <mergeCell ref="A21:B21"/>
    <mergeCell ref="A22:B22"/>
    <mergeCell ref="A23:B23"/>
    <mergeCell ref="A24:F24"/>
    <mergeCell ref="A26:B26"/>
    <mergeCell ref="A27:B27"/>
    <mergeCell ref="A28:B28"/>
    <mergeCell ref="A29:F29"/>
    <mergeCell ref="A31:B31"/>
    <mergeCell ref="A32:B32"/>
    <mergeCell ref="A34:F34"/>
    <mergeCell ref="A36:F36"/>
    <mergeCell ref="A33:B33"/>
    <mergeCell ref="A39:C40"/>
    <mergeCell ref="A42:C42"/>
    <mergeCell ref="D42:G42"/>
    <mergeCell ref="A46:C46"/>
    <mergeCell ref="A47:C47"/>
    <mergeCell ref="A49:F49"/>
    <mergeCell ref="A48:C48"/>
    <mergeCell ref="A51:B51"/>
    <mergeCell ref="A52:B52"/>
    <mergeCell ref="A53:B53"/>
    <mergeCell ref="A54:B54"/>
    <mergeCell ref="A55:B55"/>
    <mergeCell ref="A56:F56"/>
    <mergeCell ref="A58:B58"/>
    <mergeCell ref="A59:B59"/>
    <mergeCell ref="A60:B60"/>
    <mergeCell ref="A61:F61"/>
    <mergeCell ref="A63:B63"/>
    <mergeCell ref="A64:B64"/>
    <mergeCell ref="A65:B65"/>
    <mergeCell ref="A66:F66"/>
    <mergeCell ref="A68:F68"/>
    <mergeCell ref="A71:C72"/>
    <mergeCell ref="A74:C74"/>
    <mergeCell ref="D74:G74"/>
    <mergeCell ref="A78:C78"/>
    <mergeCell ref="A79:C79"/>
    <mergeCell ref="A87:B87"/>
    <mergeCell ref="A90:B90"/>
    <mergeCell ref="A91:B91"/>
    <mergeCell ref="A92:B92"/>
    <mergeCell ref="A95:B95"/>
    <mergeCell ref="A96:B96"/>
    <mergeCell ref="A97:B97"/>
    <mergeCell ref="A80:C80"/>
    <mergeCell ref="A81:F81"/>
    <mergeCell ref="A83:B83"/>
    <mergeCell ref="A84:B84"/>
    <mergeCell ref="A85:B85"/>
    <mergeCell ref="A86:B86"/>
    <mergeCell ref="A88:F88"/>
    <mergeCell ref="A93:F93"/>
    <mergeCell ref="A98:F98"/>
    <mergeCell ref="A100:F100"/>
    <mergeCell ref="A103:C104"/>
    <mergeCell ref="D103:G104"/>
    <mergeCell ref="A106:C106"/>
    <mergeCell ref="D106:G106"/>
    <mergeCell ref="A110:C110"/>
    <mergeCell ref="A111:C111"/>
    <mergeCell ref="A112:C112"/>
    <mergeCell ref="A113:F113"/>
    <mergeCell ref="A115:B115"/>
    <mergeCell ref="A116:B116"/>
    <mergeCell ref="A117:B117"/>
    <mergeCell ref="A118:B118"/>
    <mergeCell ref="A119:B119"/>
    <mergeCell ref="A120:F120"/>
    <mergeCell ref="A122:B122"/>
    <mergeCell ref="A123:B123"/>
    <mergeCell ref="A124:B124"/>
    <mergeCell ref="A125:F125"/>
    <mergeCell ref="A127:B127"/>
    <mergeCell ref="A128:B128"/>
    <mergeCell ref="A129:B129"/>
    <mergeCell ref="A130:F130"/>
    <mergeCell ref="A132:F132"/>
    <mergeCell ref="A135:C136"/>
    <mergeCell ref="D135:G136"/>
    <mergeCell ref="A138:C138"/>
    <mergeCell ref="D138:G138"/>
    <mergeCell ref="A142:C142"/>
    <mergeCell ref="A143:C143"/>
    <mergeCell ref="A144:C144"/>
    <mergeCell ref="A145:F145"/>
    <mergeCell ref="A147:B147"/>
    <mergeCell ref="A207:C207"/>
    <mergeCell ref="A208:C208"/>
    <mergeCell ref="A184:B184"/>
    <mergeCell ref="A187:B187"/>
    <mergeCell ref="A188:B188"/>
    <mergeCell ref="A189:B189"/>
    <mergeCell ref="A192:B192"/>
    <mergeCell ref="A193:B193"/>
    <mergeCell ref="A194:B194"/>
    <mergeCell ref="A177:C177"/>
    <mergeCell ref="A178:C178"/>
    <mergeCell ref="A179:F179"/>
    <mergeCell ref="A181:B181"/>
    <mergeCell ref="A182:B182"/>
    <mergeCell ref="A183:B183"/>
    <mergeCell ref="A185:F185"/>
    <mergeCell ref="A190:F190"/>
    <mergeCell ref="A174:C174"/>
    <mergeCell ref="A175:C175"/>
    <mergeCell ref="A176:C176"/>
    <mergeCell ref="A209:C209"/>
    <mergeCell ref="A210:C210"/>
    <mergeCell ref="A211:C211"/>
    <mergeCell ref="A212:F212"/>
    <mergeCell ref="A214:B214"/>
    <mergeCell ref="A215:B215"/>
    <mergeCell ref="A195:F195"/>
    <mergeCell ref="A197:F197"/>
    <mergeCell ref="A200:C201"/>
    <mergeCell ref="D200:G201"/>
    <mergeCell ref="A203:C203"/>
    <mergeCell ref="D203:G203"/>
    <mergeCell ref="A159:B159"/>
    <mergeCell ref="A160:B160"/>
    <mergeCell ref="A161:B161"/>
    <mergeCell ref="A162:F162"/>
    <mergeCell ref="A164:F164"/>
    <mergeCell ref="A167:C168"/>
    <mergeCell ref="D167:G168"/>
    <mergeCell ref="A170:C170"/>
    <mergeCell ref="D170:G170"/>
    <mergeCell ref="A148:B148"/>
    <mergeCell ref="A149:B149"/>
    <mergeCell ref="A150:B150"/>
    <mergeCell ref="A151:B151"/>
    <mergeCell ref="A152:F152"/>
    <mergeCell ref="A154:B154"/>
    <mergeCell ref="A155:B155"/>
    <mergeCell ref="A156:B156"/>
    <mergeCell ref="A157:F157"/>
    <mergeCell ref="A223:B223"/>
    <mergeCell ref="A224:B224"/>
    <mergeCell ref="A225:F225"/>
    <mergeCell ref="A219:B219"/>
    <mergeCell ref="A220:F220"/>
    <mergeCell ref="A222:B222"/>
    <mergeCell ref="A216:B216"/>
    <mergeCell ref="A217:B217"/>
    <mergeCell ref="A218:B218"/>
    <mergeCell ref="A227:B227"/>
    <mergeCell ref="A228:B228"/>
    <mergeCell ref="A229:B229"/>
    <mergeCell ref="A230:F230"/>
    <mergeCell ref="A289:C289"/>
    <mergeCell ref="A290:C290"/>
    <mergeCell ref="A291:C291"/>
    <mergeCell ref="A292:F292"/>
    <mergeCell ref="A294:B294"/>
    <mergeCell ref="A267:B267"/>
    <mergeCell ref="A268:B268"/>
    <mergeCell ref="A251:C251"/>
    <mergeCell ref="A252:C252"/>
    <mergeCell ref="A253:F253"/>
    <mergeCell ref="A255:B255"/>
    <mergeCell ref="A256:B256"/>
    <mergeCell ref="A257:B257"/>
    <mergeCell ref="A259:F259"/>
    <mergeCell ref="A264:F264"/>
    <mergeCell ref="A269:F269"/>
    <mergeCell ref="A271:F271"/>
    <mergeCell ref="D273:E273"/>
    <mergeCell ref="A274:D274"/>
    <mergeCell ref="A277:C277"/>
    <mergeCell ref="A295:B295"/>
    <mergeCell ref="A296:B296"/>
    <mergeCell ref="A297:B297"/>
    <mergeCell ref="A298:B298"/>
    <mergeCell ref="A299:F299"/>
    <mergeCell ref="A301:B301"/>
    <mergeCell ref="A302:B302"/>
    <mergeCell ref="A303:B303"/>
    <mergeCell ref="A304:F304"/>
    <mergeCell ref="A314:C315"/>
    <mergeCell ref="D317:G317"/>
    <mergeCell ref="A317:C317"/>
    <mergeCell ref="A321:C321"/>
    <mergeCell ref="A341:F341"/>
    <mergeCell ref="A322:C322"/>
    <mergeCell ref="A323:C323"/>
    <mergeCell ref="A324:C324"/>
    <mergeCell ref="A325:C325"/>
    <mergeCell ref="A326:F326"/>
    <mergeCell ref="A338:B338"/>
    <mergeCell ref="A339:B339"/>
    <mergeCell ref="A340:B340"/>
    <mergeCell ref="A328:B328"/>
    <mergeCell ref="A329:B329"/>
    <mergeCell ref="A330:B330"/>
    <mergeCell ref="A331:B331"/>
    <mergeCell ref="A332:B332"/>
    <mergeCell ref="A266:B266"/>
    <mergeCell ref="A378:F378"/>
    <mergeCell ref="A380:F380"/>
    <mergeCell ref="A383:C384"/>
    <mergeCell ref="A386:C386"/>
    <mergeCell ref="D386:G386"/>
    <mergeCell ref="A346:F346"/>
    <mergeCell ref="A348:F348"/>
    <mergeCell ref="D277:G277"/>
    <mergeCell ref="A278:C278"/>
    <mergeCell ref="D278:G278"/>
    <mergeCell ref="A280:C281"/>
    <mergeCell ref="A283:C283"/>
    <mergeCell ref="D283:G283"/>
    <mergeCell ref="A287:C287"/>
    <mergeCell ref="A288:C288"/>
    <mergeCell ref="A344:B344"/>
    <mergeCell ref="A345:B345"/>
    <mergeCell ref="A343:B343"/>
    <mergeCell ref="A306:B306"/>
    <mergeCell ref="A307:B307"/>
    <mergeCell ref="A308:B308"/>
    <mergeCell ref="A309:F309"/>
    <mergeCell ref="A311:F311"/>
    <mergeCell ref="A366:B366"/>
    <mergeCell ref="A367:B367"/>
    <mergeCell ref="A368:F368"/>
    <mergeCell ref="A370:B370"/>
    <mergeCell ref="A371:B371"/>
    <mergeCell ref="A373:F373"/>
    <mergeCell ref="A333:B333"/>
    <mergeCell ref="A334:B334"/>
    <mergeCell ref="A335:B335"/>
    <mergeCell ref="A336:F336"/>
    <mergeCell ref="A244:C244"/>
    <mergeCell ref="D244:G244"/>
    <mergeCell ref="A248:C248"/>
    <mergeCell ref="A249:C249"/>
    <mergeCell ref="A250:C250"/>
    <mergeCell ref="A258:B258"/>
    <mergeCell ref="A261:B261"/>
    <mergeCell ref="A262:B262"/>
    <mergeCell ref="A263:B263"/>
    <mergeCell ref="A232:F232"/>
    <mergeCell ref="D234:E234"/>
    <mergeCell ref="A235:D235"/>
    <mergeCell ref="A238:C238"/>
    <mergeCell ref="D238:G238"/>
    <mergeCell ref="A239:C239"/>
    <mergeCell ref="D239:G239"/>
    <mergeCell ref="A241:C242"/>
    <mergeCell ref="D241:G242"/>
    <mergeCell ref="A401:B401"/>
    <mergeCell ref="A395:B395"/>
    <mergeCell ref="A396:B396"/>
    <mergeCell ref="A397:B397"/>
    <mergeCell ref="A398:B398"/>
    <mergeCell ref="A399:F399"/>
    <mergeCell ref="A393:F393"/>
    <mergeCell ref="A351:C352"/>
    <mergeCell ref="D354:G354"/>
    <mergeCell ref="A354:C354"/>
    <mergeCell ref="A358:C358"/>
    <mergeCell ref="A359:C359"/>
    <mergeCell ref="A360:C360"/>
    <mergeCell ref="A361:C361"/>
    <mergeCell ref="A390:C390"/>
    <mergeCell ref="A391:C391"/>
    <mergeCell ref="A392:C392"/>
    <mergeCell ref="A362:F362"/>
    <mergeCell ref="A364:B364"/>
    <mergeCell ref="A372:B372"/>
    <mergeCell ref="A375:B375"/>
    <mergeCell ref="A376:B376"/>
    <mergeCell ref="A377:B377"/>
    <mergeCell ref="A365:B365"/>
    <mergeCell ref="A402:B402"/>
    <mergeCell ref="A403:B403"/>
    <mergeCell ref="A404:F404"/>
    <mergeCell ref="A406:B406"/>
    <mergeCell ref="A407:B407"/>
    <mergeCell ref="A408:B408"/>
    <mergeCell ref="A409:F409"/>
    <mergeCell ref="A411:F411"/>
    <mergeCell ref="A414:C415"/>
    <mergeCell ref="A417:C417"/>
    <mergeCell ref="D417:G417"/>
    <mergeCell ref="A421:C421"/>
    <mergeCell ref="A422:C422"/>
    <mergeCell ref="A430:B430"/>
    <mergeCell ref="A433:B433"/>
    <mergeCell ref="A434:B434"/>
    <mergeCell ref="A435:B435"/>
    <mergeCell ref="A438:B438"/>
    <mergeCell ref="A439:B439"/>
    <mergeCell ref="A440:B440"/>
    <mergeCell ref="A423:C423"/>
    <mergeCell ref="A424:C424"/>
    <mergeCell ref="A425:F425"/>
    <mergeCell ref="A427:B427"/>
    <mergeCell ref="A428:B428"/>
    <mergeCell ref="A429:B429"/>
    <mergeCell ref="A431:F431"/>
    <mergeCell ref="A436:F436"/>
    <mergeCell ref="A441:F441"/>
    <mergeCell ref="A443:F443"/>
    <mergeCell ref="A446:C447"/>
    <mergeCell ref="A449:C449"/>
    <mergeCell ref="D449:G449"/>
    <mergeCell ref="A453:C453"/>
    <mergeCell ref="A454:C454"/>
    <mergeCell ref="A455:C455"/>
    <mergeCell ref="A456:C456"/>
    <mergeCell ref="A457:F457"/>
    <mergeCell ref="A459:B459"/>
    <mergeCell ref="A460:B460"/>
    <mergeCell ref="A461:B461"/>
    <mergeCell ref="A462:B462"/>
    <mergeCell ref="A463:B463"/>
    <mergeCell ref="A464:F464"/>
    <mergeCell ref="A466:B466"/>
    <mergeCell ref="A467:B467"/>
    <mergeCell ref="A468:B468"/>
    <mergeCell ref="A469:F469"/>
    <mergeCell ref="A471:B471"/>
    <mergeCell ref="A472:B472"/>
    <mergeCell ref="A473:B473"/>
    <mergeCell ref="A474:F474"/>
    <mergeCell ref="A476:F476"/>
    <mergeCell ref="A479:C480"/>
    <mergeCell ref="D479:G480"/>
    <mergeCell ref="A559:C559"/>
    <mergeCell ref="A560:C560"/>
    <mergeCell ref="A561:C561"/>
    <mergeCell ref="A562:F562"/>
    <mergeCell ref="A538:B538"/>
    <mergeCell ref="A539:B539"/>
    <mergeCell ref="A540:B540"/>
    <mergeCell ref="A541:F541"/>
    <mergeCell ref="A543:F543"/>
    <mergeCell ref="D545:E545"/>
    <mergeCell ref="A546:D546"/>
    <mergeCell ref="A549:C549"/>
    <mergeCell ref="D549:G549"/>
    <mergeCell ref="A713:B713"/>
    <mergeCell ref="A714:B714"/>
    <mergeCell ref="A715:B715"/>
    <mergeCell ref="A716:F716"/>
    <mergeCell ref="A718:B718"/>
    <mergeCell ref="A719:B719"/>
    <mergeCell ref="A720:B720"/>
    <mergeCell ref="A721:F721"/>
    <mergeCell ref="A576:B576"/>
    <mergeCell ref="A577:B577"/>
    <mergeCell ref="A578:B578"/>
    <mergeCell ref="A579:F579"/>
    <mergeCell ref="A581:F581"/>
    <mergeCell ref="A584:C585"/>
    <mergeCell ref="D587:G587"/>
    <mergeCell ref="A587:C587"/>
    <mergeCell ref="A591:C591"/>
    <mergeCell ref="A592:C592"/>
    <mergeCell ref="A593:C593"/>
    <mergeCell ref="A594:C594"/>
    <mergeCell ref="A595:C595"/>
    <mergeCell ref="A596:F596"/>
    <mergeCell ref="A601:B601"/>
    <mergeCell ref="A602:B602"/>
    <mergeCell ref="A746:B746"/>
    <mergeCell ref="A747:F747"/>
    <mergeCell ref="A723:F723"/>
    <mergeCell ref="A726:C727"/>
    <mergeCell ref="A729:C729"/>
    <mergeCell ref="D729:G729"/>
    <mergeCell ref="A733:C733"/>
    <mergeCell ref="A734:C734"/>
    <mergeCell ref="A735:C735"/>
    <mergeCell ref="A736:C736"/>
    <mergeCell ref="A737:F737"/>
    <mergeCell ref="A780:B780"/>
    <mergeCell ref="A783:B783"/>
    <mergeCell ref="A784:B784"/>
    <mergeCell ref="A785:B785"/>
    <mergeCell ref="A788:B788"/>
    <mergeCell ref="A789:B789"/>
    <mergeCell ref="A790:B790"/>
    <mergeCell ref="A786:F786"/>
    <mergeCell ref="A791:F791"/>
    <mergeCell ref="A781:F781"/>
    <mergeCell ref="A793:F793"/>
    <mergeCell ref="A796:C797"/>
    <mergeCell ref="A799:C799"/>
    <mergeCell ref="D799:G799"/>
    <mergeCell ref="A803:C803"/>
    <mergeCell ref="A804:C804"/>
    <mergeCell ref="A805:C805"/>
    <mergeCell ref="A806:C806"/>
    <mergeCell ref="A807:F807"/>
    <mergeCell ref="A809:B809"/>
    <mergeCell ref="A810:B810"/>
    <mergeCell ref="A811:B811"/>
    <mergeCell ref="A819:B819"/>
    <mergeCell ref="A822:B822"/>
    <mergeCell ref="A823:B823"/>
    <mergeCell ref="A824:B824"/>
    <mergeCell ref="A812:B812"/>
    <mergeCell ref="A813:B813"/>
    <mergeCell ref="A814:B814"/>
    <mergeCell ref="A815:F815"/>
    <mergeCell ref="A817:B817"/>
    <mergeCell ref="A818:B818"/>
    <mergeCell ref="A820:F820"/>
    <mergeCell ref="A825:F825"/>
    <mergeCell ref="A827:F827"/>
    <mergeCell ref="A830:C831"/>
    <mergeCell ref="A833:C833"/>
    <mergeCell ref="D833:G833"/>
    <mergeCell ref="A837:C837"/>
    <mergeCell ref="A838:C838"/>
    <mergeCell ref="A839:C839"/>
    <mergeCell ref="A840:C840"/>
    <mergeCell ref="A841:F841"/>
    <mergeCell ref="A843:B843"/>
    <mergeCell ref="A844:B844"/>
    <mergeCell ref="A845:B845"/>
    <mergeCell ref="A846:B846"/>
    <mergeCell ref="A854:B854"/>
    <mergeCell ref="A855:B855"/>
    <mergeCell ref="A856:F856"/>
    <mergeCell ref="A847:B847"/>
    <mergeCell ref="A848:B848"/>
    <mergeCell ref="A849:B849"/>
    <mergeCell ref="A850:B850"/>
    <mergeCell ref="A851:B851"/>
    <mergeCell ref="A852:B852"/>
    <mergeCell ref="A853:B853"/>
    <mergeCell ref="A482:C482"/>
    <mergeCell ref="D482:G482"/>
    <mergeCell ref="A486:C486"/>
    <mergeCell ref="A487:C487"/>
    <mergeCell ref="A488:C488"/>
    <mergeCell ref="A489:C489"/>
    <mergeCell ref="A491:F491"/>
    <mergeCell ref="A490:C490"/>
    <mergeCell ref="A493:B493"/>
    <mergeCell ref="A494:B494"/>
    <mergeCell ref="A495:B495"/>
    <mergeCell ref="A496:B496"/>
    <mergeCell ref="A497:B497"/>
    <mergeCell ref="A498:F498"/>
    <mergeCell ref="A500:B500"/>
    <mergeCell ref="A501:B501"/>
    <mergeCell ref="A502:B502"/>
    <mergeCell ref="A503:F503"/>
    <mergeCell ref="A505:B505"/>
    <mergeCell ref="A506:B506"/>
    <mergeCell ref="A507:B507"/>
    <mergeCell ref="A508:F508"/>
    <mergeCell ref="A510:F510"/>
    <mergeCell ref="A513:C514"/>
    <mergeCell ref="D513:G514"/>
    <mergeCell ref="A516:C516"/>
    <mergeCell ref="D516:G516"/>
    <mergeCell ref="A520:C520"/>
    <mergeCell ref="A521:C521"/>
    <mergeCell ref="A522:C522"/>
    <mergeCell ref="A523:F523"/>
    <mergeCell ref="A525:B525"/>
    <mergeCell ref="A526:B526"/>
    <mergeCell ref="A527:B527"/>
    <mergeCell ref="A528:B528"/>
    <mergeCell ref="A529:B529"/>
    <mergeCell ref="A530:B530"/>
    <mergeCell ref="A531:F531"/>
    <mergeCell ref="A533:B533"/>
    <mergeCell ref="A534:B534"/>
    <mergeCell ref="A535:B535"/>
    <mergeCell ref="A536:F536"/>
    <mergeCell ref="A598:B598"/>
    <mergeCell ref="A599:B599"/>
    <mergeCell ref="A600:B600"/>
    <mergeCell ref="A574:F574"/>
    <mergeCell ref="A564:B564"/>
    <mergeCell ref="A565:B565"/>
    <mergeCell ref="A566:B566"/>
    <mergeCell ref="A567:B567"/>
    <mergeCell ref="A568:B568"/>
    <mergeCell ref="A569:F569"/>
    <mergeCell ref="A571:B571"/>
    <mergeCell ref="A572:B572"/>
    <mergeCell ref="A573:B573"/>
    <mergeCell ref="A550:C550"/>
    <mergeCell ref="D550:G550"/>
    <mergeCell ref="A552:C553"/>
    <mergeCell ref="A555:C555"/>
    <mergeCell ref="D555:G555"/>
    <mergeCell ref="A603:B603"/>
    <mergeCell ref="A604:F604"/>
    <mergeCell ref="A666:C666"/>
    <mergeCell ref="A667:F667"/>
    <mergeCell ref="A669:B669"/>
    <mergeCell ref="A670:B670"/>
    <mergeCell ref="A671:B671"/>
    <mergeCell ref="A672:B672"/>
    <mergeCell ref="A635:B635"/>
    <mergeCell ref="A636:B636"/>
    <mergeCell ref="A637:B637"/>
    <mergeCell ref="A638:B638"/>
    <mergeCell ref="A639:B639"/>
    <mergeCell ref="A640:B640"/>
    <mergeCell ref="A641:F641"/>
    <mergeCell ref="A643:B643"/>
    <mergeCell ref="A644:B644"/>
    <mergeCell ref="A645:B645"/>
    <mergeCell ref="A646:F646"/>
    <mergeCell ref="A648:B648"/>
    <mergeCell ref="A649:B649"/>
    <mergeCell ref="A651:F651"/>
    <mergeCell ref="A653:F653"/>
    <mergeCell ref="A633:B633"/>
    <mergeCell ref="A634:B634"/>
    <mergeCell ref="A684:B684"/>
    <mergeCell ref="A685:B685"/>
    <mergeCell ref="A686:F686"/>
    <mergeCell ref="A688:F688"/>
    <mergeCell ref="A691:C692"/>
    <mergeCell ref="D694:G694"/>
    <mergeCell ref="A694:C694"/>
    <mergeCell ref="A673:B673"/>
    <mergeCell ref="A674:B674"/>
    <mergeCell ref="A675:B675"/>
    <mergeCell ref="A676:F676"/>
    <mergeCell ref="A678:B678"/>
    <mergeCell ref="A679:B679"/>
    <mergeCell ref="A680:B680"/>
    <mergeCell ref="A681:F681"/>
    <mergeCell ref="A683:B683"/>
    <mergeCell ref="A650:B650"/>
    <mergeCell ref="A656:C657"/>
    <mergeCell ref="A659:C659"/>
    <mergeCell ref="D659:G659"/>
    <mergeCell ref="A663:C663"/>
    <mergeCell ref="A664:C664"/>
    <mergeCell ref="A665:C665"/>
    <mergeCell ref="A619:C620"/>
    <mergeCell ref="A622:C622"/>
    <mergeCell ref="D622:G622"/>
    <mergeCell ref="A626:C626"/>
    <mergeCell ref="A627:C627"/>
    <mergeCell ref="A628:C628"/>
    <mergeCell ref="A629:C629"/>
    <mergeCell ref="A630:C630"/>
    <mergeCell ref="A631:F631"/>
    <mergeCell ref="A606:B606"/>
    <mergeCell ref="A607:B607"/>
    <mergeCell ref="A608:B608"/>
    <mergeCell ref="A609:F609"/>
    <mergeCell ref="A611:B611"/>
    <mergeCell ref="A612:B612"/>
    <mergeCell ref="A613:B613"/>
    <mergeCell ref="A614:F614"/>
    <mergeCell ref="A616:F616"/>
    <mergeCell ref="A705:B705"/>
    <mergeCell ref="A706:B706"/>
    <mergeCell ref="A700:C700"/>
    <mergeCell ref="A701:C701"/>
    <mergeCell ref="A702:F702"/>
    <mergeCell ref="A704:B704"/>
    <mergeCell ref="A698:C698"/>
    <mergeCell ref="A699:C699"/>
    <mergeCell ref="A707:B707"/>
    <mergeCell ref="A708:B708"/>
    <mergeCell ref="A709:B709"/>
    <mergeCell ref="A710:B710"/>
    <mergeCell ref="A711:F711"/>
    <mergeCell ref="A762:C763"/>
    <mergeCell ref="A765:C765"/>
    <mergeCell ref="D765:G765"/>
    <mergeCell ref="A769:C769"/>
    <mergeCell ref="A749:B749"/>
    <mergeCell ref="A750:B750"/>
    <mergeCell ref="A751:B751"/>
    <mergeCell ref="A752:F752"/>
    <mergeCell ref="A754:B754"/>
    <mergeCell ref="A755:B755"/>
    <mergeCell ref="A756:B756"/>
    <mergeCell ref="A757:F757"/>
    <mergeCell ref="A759:F759"/>
    <mergeCell ref="A739:B739"/>
    <mergeCell ref="A740:B740"/>
    <mergeCell ref="A741:B741"/>
    <mergeCell ref="A742:B742"/>
    <mergeCell ref="A743:B743"/>
    <mergeCell ref="A744:B744"/>
    <mergeCell ref="A745:B745"/>
    <mergeCell ref="A770:C770"/>
    <mergeCell ref="A771:C771"/>
    <mergeCell ref="A773:F773"/>
    <mergeCell ref="A772:C772"/>
    <mergeCell ref="A775:B775"/>
    <mergeCell ref="A776:B776"/>
    <mergeCell ref="A777:B777"/>
    <mergeCell ref="A778:B778"/>
    <mergeCell ref="A779:B779"/>
    <mergeCell ref="A1237:F1237"/>
    <mergeCell ref="A1239:B1239"/>
    <mergeCell ref="A1240:B1240"/>
    <mergeCell ref="A1241:B1241"/>
    <mergeCell ref="A1242:B1242"/>
    <mergeCell ref="A1250:B1250"/>
    <mergeCell ref="A913:C913"/>
    <mergeCell ref="A914:C914"/>
    <mergeCell ref="A915:F915"/>
    <mergeCell ref="A917:B917"/>
    <mergeCell ref="A918:B918"/>
    <mergeCell ref="A919:B919"/>
    <mergeCell ref="A920:B920"/>
    <mergeCell ref="A921:B921"/>
    <mergeCell ref="A922:B922"/>
    <mergeCell ref="A1225:C1226"/>
    <mergeCell ref="D1225:G1226"/>
    <mergeCell ref="A1228:C1228"/>
    <mergeCell ref="D1228:G1228"/>
    <mergeCell ref="A1232:C1232"/>
    <mergeCell ref="A1233:C1233"/>
    <mergeCell ref="A1234:C1234"/>
    <mergeCell ref="A1235:C1235"/>
    <mergeCell ref="A1236:C1236"/>
    <mergeCell ref="A1303:C1303"/>
    <mergeCell ref="A1304:C1304"/>
    <mergeCell ref="A1305:C1305"/>
    <mergeCell ref="A1306:C1306"/>
    <mergeCell ref="A1307:F1307"/>
    <mergeCell ref="A1309:B1309"/>
    <mergeCell ref="A1310:B1310"/>
    <mergeCell ref="A1318:B1318"/>
    <mergeCell ref="A1288:B1288"/>
    <mergeCell ref="A1289:B1289"/>
    <mergeCell ref="A1290:F1290"/>
    <mergeCell ref="A1292:F1292"/>
    <mergeCell ref="A1295:C1296"/>
    <mergeCell ref="D1295:G1296"/>
    <mergeCell ref="A1298:C1298"/>
    <mergeCell ref="D1298:G1298"/>
    <mergeCell ref="A1302:C1302"/>
    <mergeCell ref="A1321:B1321"/>
    <mergeCell ref="A1322:B1322"/>
    <mergeCell ref="A1323:B1323"/>
    <mergeCell ref="A1311:B1311"/>
    <mergeCell ref="A1312:B1312"/>
    <mergeCell ref="A1313:B1313"/>
    <mergeCell ref="A1314:F1314"/>
    <mergeCell ref="A1316:B1316"/>
    <mergeCell ref="A1317:B1317"/>
    <mergeCell ref="A1319:F1319"/>
    <mergeCell ref="A1324:F1324"/>
    <mergeCell ref="A1326:F1326"/>
    <mergeCell ref="A1329:C1330"/>
    <mergeCell ref="D1329:G1330"/>
    <mergeCell ref="A1332:C1332"/>
    <mergeCell ref="D1332:G1332"/>
    <mergeCell ref="A1336:C1336"/>
    <mergeCell ref="A1337:C1337"/>
    <mergeCell ref="A1338:C1338"/>
    <mergeCell ref="A1339:C1339"/>
    <mergeCell ref="A1340:C1340"/>
    <mergeCell ref="A1341:F1341"/>
    <mergeCell ref="A1343:B1343"/>
    <mergeCell ref="A1344:B1344"/>
    <mergeCell ref="A1345:B1345"/>
    <mergeCell ref="A1346:B1346"/>
    <mergeCell ref="A1347:B1347"/>
    <mergeCell ref="A1348:B1348"/>
    <mergeCell ref="A1349:B1349"/>
    <mergeCell ref="A1350:F1350"/>
    <mergeCell ref="A1352:B1352"/>
    <mergeCell ref="A1362:F1362"/>
    <mergeCell ref="A1365:D1365"/>
    <mergeCell ref="A1353:B1353"/>
    <mergeCell ref="A1354:B1354"/>
    <mergeCell ref="A1355:F1355"/>
    <mergeCell ref="A1357:B1357"/>
    <mergeCell ref="A1358:B1358"/>
    <mergeCell ref="A1359:B1359"/>
    <mergeCell ref="A1360:F1360"/>
    <mergeCell ref="A1253:B1253"/>
    <mergeCell ref="A1254:B1254"/>
    <mergeCell ref="A1255:B1255"/>
    <mergeCell ref="A1243:B1243"/>
    <mergeCell ref="A1244:B1244"/>
    <mergeCell ref="A1245:B1245"/>
    <mergeCell ref="A1246:F1246"/>
    <mergeCell ref="A1248:B1248"/>
    <mergeCell ref="A1249:B1249"/>
    <mergeCell ref="A1251:F1251"/>
    <mergeCell ref="A1256:F1256"/>
    <mergeCell ref="A1258:F1258"/>
    <mergeCell ref="A1261:C1262"/>
    <mergeCell ref="D1261:G1262"/>
    <mergeCell ref="A1264:C1264"/>
    <mergeCell ref="D1264:G1264"/>
    <mergeCell ref="A1268:C1268"/>
    <mergeCell ref="A1284:B1284"/>
    <mergeCell ref="A1287:B1287"/>
    <mergeCell ref="A1285:F1285"/>
    <mergeCell ref="A1273:F1273"/>
    <mergeCell ref="A1275:B1275"/>
    <mergeCell ref="A1276:B1276"/>
    <mergeCell ref="A1277:B1277"/>
    <mergeCell ref="A1278:B1278"/>
    <mergeCell ref="A1279:B1279"/>
    <mergeCell ref="A1280:F1280"/>
    <mergeCell ref="A1282:B1282"/>
    <mergeCell ref="A1283:B1283"/>
    <mergeCell ref="A1269:C1269"/>
    <mergeCell ref="A1270:C1270"/>
    <mergeCell ref="A1271:C1271"/>
    <mergeCell ref="A1272:C1272"/>
    <mergeCell ref="A883:B883"/>
    <mergeCell ref="A930:B930"/>
    <mergeCell ref="A931:B931"/>
    <mergeCell ref="A932:B932"/>
    <mergeCell ref="A933:F933"/>
    <mergeCell ref="A935:F935"/>
    <mergeCell ref="A939:C940"/>
    <mergeCell ref="D942:G942"/>
    <mergeCell ref="A942:C942"/>
    <mergeCell ref="A923:F923"/>
    <mergeCell ref="A925:B925"/>
    <mergeCell ref="A926:B926"/>
    <mergeCell ref="A927:B927"/>
    <mergeCell ref="A928:F928"/>
    <mergeCell ref="A884:B884"/>
    <mergeCell ref="A885:B885"/>
    <mergeCell ref="A893:B893"/>
    <mergeCell ref="A896:B896"/>
    <mergeCell ref="A897:B897"/>
    <mergeCell ref="A898:B898"/>
    <mergeCell ref="A886:B886"/>
    <mergeCell ref="A887:B887"/>
    <mergeCell ref="A888:B888"/>
    <mergeCell ref="A889:F889"/>
    <mergeCell ref="A869:F869"/>
    <mergeCell ref="A870:C871"/>
    <mergeCell ref="A873:C873"/>
    <mergeCell ref="D873:G873"/>
    <mergeCell ref="A877:C877"/>
    <mergeCell ref="A878:C878"/>
    <mergeCell ref="A879:C879"/>
    <mergeCell ref="A880:C880"/>
    <mergeCell ref="A881:F881"/>
    <mergeCell ref="A858:B858"/>
    <mergeCell ref="A859:B859"/>
    <mergeCell ref="A860:B860"/>
    <mergeCell ref="A861:F861"/>
    <mergeCell ref="A863:B863"/>
    <mergeCell ref="A864:B864"/>
    <mergeCell ref="A865:B865"/>
    <mergeCell ref="A866:B866"/>
    <mergeCell ref="A867:F867"/>
    <mergeCell ref="A891:B891"/>
    <mergeCell ref="A892:B892"/>
    <mergeCell ref="A894:F894"/>
    <mergeCell ref="A899:F899"/>
    <mergeCell ref="A901:F901"/>
    <mergeCell ref="A904:C905"/>
    <mergeCell ref="A907:C907"/>
    <mergeCell ref="D907:G907"/>
    <mergeCell ref="A911:C911"/>
    <mergeCell ref="A912:C912"/>
    <mergeCell ref="A959:B959"/>
    <mergeCell ref="A962:B962"/>
    <mergeCell ref="A947:C947"/>
    <mergeCell ref="A948:C948"/>
    <mergeCell ref="A949:C949"/>
    <mergeCell ref="A950:C950"/>
    <mergeCell ref="A951:F951"/>
    <mergeCell ref="A946:C946"/>
    <mergeCell ref="A963:B963"/>
    <mergeCell ref="A964:B964"/>
    <mergeCell ref="A967:B967"/>
    <mergeCell ref="A968:B968"/>
    <mergeCell ref="A969:B969"/>
    <mergeCell ref="A1021:C1021"/>
    <mergeCell ref="A1022:C1022"/>
    <mergeCell ref="A1023:C1023"/>
    <mergeCell ref="A1024:C1024"/>
    <mergeCell ref="A987:C987"/>
    <mergeCell ref="A988:F988"/>
    <mergeCell ref="A990:B990"/>
    <mergeCell ref="A991:B991"/>
    <mergeCell ref="A992:B992"/>
    <mergeCell ref="A993:B993"/>
    <mergeCell ref="A994:B994"/>
    <mergeCell ref="A995:B995"/>
    <mergeCell ref="A996:B996"/>
    <mergeCell ref="A997:F997"/>
    <mergeCell ref="A999:B999"/>
    <mergeCell ref="A1000:B1000"/>
    <mergeCell ref="A1001:B1001"/>
    <mergeCell ref="A1002:F1002"/>
    <mergeCell ref="A1004:B1004"/>
    <mergeCell ref="A1025:F1025"/>
    <mergeCell ref="A1027:B1027"/>
    <mergeCell ref="A1028:B1028"/>
    <mergeCell ref="A1029:B1029"/>
    <mergeCell ref="A1030:B1030"/>
    <mergeCell ref="A1031:B1031"/>
    <mergeCell ref="A1032:B1032"/>
    <mergeCell ref="A1033:B1033"/>
    <mergeCell ref="A1034:F1034"/>
    <mergeCell ref="A1036:B1036"/>
    <mergeCell ref="A1037:B1037"/>
    <mergeCell ref="A1038:B1038"/>
    <mergeCell ref="A1039:F1039"/>
    <mergeCell ref="A1041:B1041"/>
    <mergeCell ref="A1042:B1042"/>
    <mergeCell ref="A1044:F1044"/>
    <mergeCell ref="A1046:F1046"/>
    <mergeCell ref="A1043:B1043"/>
    <mergeCell ref="A1081:C1082"/>
    <mergeCell ref="D1081:G1082"/>
    <mergeCell ref="A1084:C1084"/>
    <mergeCell ref="D1084:G1084"/>
    <mergeCell ref="A1088:C1088"/>
    <mergeCell ref="A1089:C1089"/>
    <mergeCell ref="A953:B953"/>
    <mergeCell ref="A954:B954"/>
    <mergeCell ref="A955:B955"/>
    <mergeCell ref="A956:B956"/>
    <mergeCell ref="A957:B957"/>
    <mergeCell ref="A958:B958"/>
    <mergeCell ref="A960:F960"/>
    <mergeCell ref="A965:F965"/>
    <mergeCell ref="A970:F970"/>
    <mergeCell ref="A972:F972"/>
    <mergeCell ref="A975:C976"/>
    <mergeCell ref="A978:C978"/>
    <mergeCell ref="D978:G978"/>
    <mergeCell ref="A982:C982"/>
    <mergeCell ref="A983:C983"/>
    <mergeCell ref="A984:C984"/>
    <mergeCell ref="A985:C985"/>
    <mergeCell ref="A986:C986"/>
    <mergeCell ref="A1005:B1005"/>
    <mergeCell ref="A1006:B1006"/>
    <mergeCell ref="A1007:F1007"/>
    <mergeCell ref="A1009:F1009"/>
    <mergeCell ref="A1012:C1013"/>
    <mergeCell ref="A1015:C1015"/>
    <mergeCell ref="D1015:G1015"/>
    <mergeCell ref="A1019:C1019"/>
    <mergeCell ref="A1020:C1020"/>
    <mergeCell ref="A1090:C1090"/>
    <mergeCell ref="A1091:C1091"/>
    <mergeCell ref="A1092:C1092"/>
    <mergeCell ref="A1093:F1093"/>
    <mergeCell ref="A1095:B1095"/>
    <mergeCell ref="A1096:B1096"/>
    <mergeCell ref="A1097:B1097"/>
    <mergeCell ref="A1098:B1098"/>
    <mergeCell ref="A1099:B1099"/>
    <mergeCell ref="A1100:B1100"/>
    <mergeCell ref="A1101:B1101"/>
    <mergeCell ref="A1102:F1102"/>
    <mergeCell ref="A1104:B1104"/>
    <mergeCell ref="A1105:B1105"/>
    <mergeCell ref="A1106:B1106"/>
    <mergeCell ref="A1107:F1107"/>
    <mergeCell ref="A1109:B1109"/>
    <mergeCell ref="A1110:B1110"/>
    <mergeCell ref="A1111:B1111"/>
    <mergeCell ref="A1112:F1112"/>
    <mergeCell ref="A1114:F1114"/>
    <mergeCell ref="A1117:C1118"/>
    <mergeCell ref="D1117:G1118"/>
    <mergeCell ref="A1120:C1120"/>
    <mergeCell ref="D1120:G1120"/>
    <mergeCell ref="A1124:C1124"/>
    <mergeCell ref="A1125:C1125"/>
    <mergeCell ref="A1126:C1126"/>
    <mergeCell ref="A1127:C1127"/>
    <mergeCell ref="A1128:C1128"/>
    <mergeCell ref="A1129:F1129"/>
    <mergeCell ref="A1131:B1131"/>
    <mergeCell ref="A1132:B1132"/>
    <mergeCell ref="A1133:B1133"/>
    <mergeCell ref="A1134:B1134"/>
    <mergeCell ref="A1142:B1142"/>
    <mergeCell ref="A1145:B1145"/>
    <mergeCell ref="A1146:B1146"/>
    <mergeCell ref="A1147:B1147"/>
    <mergeCell ref="A1135:B1135"/>
    <mergeCell ref="A1136:B1136"/>
    <mergeCell ref="A1137:B1137"/>
    <mergeCell ref="A1138:F1138"/>
    <mergeCell ref="A1140:B1140"/>
    <mergeCell ref="A1141:B1141"/>
    <mergeCell ref="A1143:F1143"/>
    <mergeCell ref="A1148:F1148"/>
    <mergeCell ref="A1150:F1150"/>
    <mergeCell ref="A1153:C1154"/>
    <mergeCell ref="D1153:G1154"/>
    <mergeCell ref="A1156:C1156"/>
    <mergeCell ref="D1156:G1156"/>
    <mergeCell ref="A1160:C1160"/>
    <mergeCell ref="A1161:C1161"/>
    <mergeCell ref="A1162:C1162"/>
    <mergeCell ref="A1163:C1163"/>
    <mergeCell ref="A1164:C1164"/>
    <mergeCell ref="A1165:F1165"/>
    <mergeCell ref="A1167:B1167"/>
    <mergeCell ref="A1168:B1168"/>
    <mergeCell ref="A1169:B1169"/>
    <mergeCell ref="A1170:B1170"/>
    <mergeCell ref="A1171:B1171"/>
    <mergeCell ref="A1172:B1172"/>
    <mergeCell ref="A1173:B1173"/>
    <mergeCell ref="A1174:F1174"/>
    <mergeCell ref="A1176:B1176"/>
    <mergeCell ref="A1177:B1177"/>
    <mergeCell ref="A1178:B1178"/>
    <mergeCell ref="A1179:F1179"/>
    <mergeCell ref="A1181:B1181"/>
    <mergeCell ref="A1182:B1182"/>
    <mergeCell ref="A1184:F1184"/>
    <mergeCell ref="A1186:F1186"/>
    <mergeCell ref="A1183:B1183"/>
    <mergeCell ref="A1189:C1190"/>
    <mergeCell ref="D1189:G1190"/>
    <mergeCell ref="A1192:C1192"/>
    <mergeCell ref="D1192:G1192"/>
    <mergeCell ref="A1196:C1196"/>
    <mergeCell ref="A1197:C1197"/>
    <mergeCell ref="A1198:C1198"/>
    <mergeCell ref="A1199:C1199"/>
    <mergeCell ref="A1200:C1200"/>
    <mergeCell ref="A1201:F1201"/>
    <mergeCell ref="A1203:B1203"/>
    <mergeCell ref="A1204:B1204"/>
    <mergeCell ref="A1205:B1205"/>
    <mergeCell ref="A1206:B1206"/>
    <mergeCell ref="A1207:B1207"/>
    <mergeCell ref="A1208:B1208"/>
    <mergeCell ref="A1220:F1220"/>
    <mergeCell ref="A1222:F1222"/>
    <mergeCell ref="A1209:B1209"/>
    <mergeCell ref="A1210:F1210"/>
    <mergeCell ref="A1212:B1212"/>
    <mergeCell ref="A1213:B1213"/>
    <mergeCell ref="A1214:B1214"/>
    <mergeCell ref="A1215:F1215"/>
    <mergeCell ref="A1217:B1217"/>
    <mergeCell ref="A1218:B1218"/>
    <mergeCell ref="A1219:B1219"/>
  </mergeCells>
  <printOptions horizontalCentered="1"/>
  <pageMargins left="0.6692913385826772" right="0.55118110236220474" top="0.74803149606299213" bottom="1.5354330708661419" header="0" footer="0"/>
  <pageSetup orientation="portrait"/>
  <rowBreaks count="3" manualBreakCount="3">
    <brk id="1079" man="1"/>
    <brk id="239" man="1"/>
    <brk id="511" man="1"/>
  </rowBreaks>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2:G360"/>
  <sheetViews>
    <sheetView workbookViewId="0"/>
  </sheetViews>
  <sheetFormatPr baseColWidth="10" defaultColWidth="14.44140625" defaultRowHeight="15" customHeight="1"/>
  <cols>
    <col min="1" max="1" width="25.6640625" customWidth="1"/>
    <col min="2" max="2" width="11.88671875" customWidth="1"/>
    <col min="3" max="3" width="9.44140625" customWidth="1"/>
    <col min="4" max="4" width="11.44140625" customWidth="1"/>
    <col min="5" max="5" width="9.6640625" customWidth="1"/>
    <col min="6" max="7" width="11.109375" customWidth="1"/>
    <col min="8" max="8" width="11.44140625" customWidth="1"/>
    <col min="9" max="10" width="15.33203125" customWidth="1"/>
    <col min="11" max="11" width="12.33203125" customWidth="1"/>
    <col min="12" max="26" width="8.88671875" customWidth="1"/>
  </cols>
  <sheetData>
    <row r="2" spans="1:7" ht="27" customHeight="1">
      <c r="A2" s="1994" t="e">
        <f>+'ANALISIS BASICOS'!$A$7</f>
        <v>#REF!</v>
      </c>
      <c r="B2" s="1616"/>
      <c r="C2" s="1624"/>
      <c r="D2" s="1990"/>
      <c r="E2" s="1616"/>
      <c r="F2" s="1616"/>
      <c r="G2" s="1624"/>
    </row>
    <row r="3" spans="1:7" ht="24" customHeight="1">
      <c r="A3" s="1971"/>
      <c r="B3" s="1817"/>
      <c r="C3" s="1972"/>
      <c r="D3" s="1971"/>
      <c r="E3" s="1817"/>
      <c r="F3" s="1817"/>
      <c r="G3" s="1972"/>
    </row>
    <row r="4" spans="1:7" ht="14.25" customHeight="1">
      <c r="A4" s="619"/>
      <c r="B4" s="619"/>
      <c r="C4" s="619"/>
      <c r="D4" s="619"/>
      <c r="E4" s="619"/>
      <c r="F4" s="619"/>
      <c r="G4" s="619"/>
    </row>
    <row r="5" spans="1:7" ht="51" customHeight="1">
      <c r="A5" s="1991" t="e">
        <f ca="1">+A37</f>
        <v>#NAME?</v>
      </c>
      <c r="B5" s="1601"/>
      <c r="C5" s="1602"/>
      <c r="D5" s="1974" t="s">
        <v>1788</v>
      </c>
      <c r="E5" s="1601"/>
      <c r="F5" s="1601"/>
      <c r="G5" s="1602"/>
    </row>
    <row r="6" spans="1:7" ht="14.25" customHeight="1">
      <c r="A6" s="620"/>
      <c r="B6" s="620"/>
      <c r="C6" s="620"/>
      <c r="D6" s="620"/>
      <c r="E6" s="620"/>
      <c r="F6" s="620"/>
      <c r="G6" s="620"/>
    </row>
    <row r="7" spans="1:7" ht="12.75" customHeight="1">
      <c r="A7" s="774"/>
      <c r="B7" s="619"/>
      <c r="C7" s="162"/>
      <c r="D7" s="421" t="s">
        <v>1553</v>
      </c>
      <c r="E7" s="422" t="s">
        <v>228</v>
      </c>
      <c r="F7" s="421" t="s">
        <v>1554</v>
      </c>
      <c r="G7" s="422" t="s">
        <v>300</v>
      </c>
    </row>
    <row r="8" spans="1:7" ht="14.25" customHeight="1">
      <c r="A8" s="163" t="s">
        <v>1555</v>
      </c>
      <c r="B8" s="619"/>
      <c r="C8" s="619"/>
      <c r="D8" s="619"/>
      <c r="E8" s="619"/>
      <c r="F8" s="619"/>
      <c r="G8" s="619"/>
    </row>
    <row r="9" spans="1:7" ht="13.5" customHeight="1">
      <c r="A9" s="1975" t="s">
        <v>1556</v>
      </c>
      <c r="B9" s="1601"/>
      <c r="C9" s="1801"/>
      <c r="D9" s="530" t="s">
        <v>208</v>
      </c>
      <c r="E9" s="530" t="s">
        <v>1558</v>
      </c>
      <c r="F9" s="424" t="s">
        <v>1559</v>
      </c>
      <c r="G9" s="531"/>
    </row>
    <row r="10" spans="1:7" ht="14.25" customHeight="1">
      <c r="A10" s="1987" t="str">
        <f>+'LISTADO EQUIPOS'!$C$22</f>
        <v>HERRAMIENTA MENOR.</v>
      </c>
      <c r="B10" s="1811"/>
      <c r="C10" s="1967"/>
      <c r="D10" s="675">
        <f>+'LISTADO EQUIPOS'!$E$22/8</f>
        <v>2850</v>
      </c>
      <c r="E10" s="687">
        <v>2.09</v>
      </c>
      <c r="F10" s="442">
        <f t="shared" ref="F10:F11" si="0">+E10*D10</f>
        <v>5956.5</v>
      </c>
      <c r="G10" s="688"/>
    </row>
    <row r="11" spans="1:7" ht="14.25" customHeight="1">
      <c r="A11" s="1995" t="str">
        <f>+'LISTADO EQUIPOS'!$C$18</f>
        <v>EQUIPO ELÉCTRICO SOLDADURA</v>
      </c>
      <c r="B11" s="1610"/>
      <c r="C11" s="1611"/>
      <c r="D11" s="464">
        <f>+'LISTADO EQUIPOS'!$E$19</f>
        <v>9750</v>
      </c>
      <c r="E11" s="706">
        <v>8.7999999999999995E-2</v>
      </c>
      <c r="F11" s="440">
        <f t="shared" si="0"/>
        <v>858</v>
      </c>
      <c r="G11" s="751"/>
    </row>
    <row r="12" spans="1:7" ht="14.25" customHeight="1">
      <c r="A12" s="1969" t="s">
        <v>1560</v>
      </c>
      <c r="B12" s="1601"/>
      <c r="C12" s="1601"/>
      <c r="D12" s="1601"/>
      <c r="E12" s="1601"/>
      <c r="F12" s="1801"/>
      <c r="G12" s="631">
        <f>SUM(F10:F11)</f>
        <v>6814.5</v>
      </c>
    </row>
    <row r="13" spans="1:7" ht="14.25" customHeight="1">
      <c r="A13" s="163" t="s">
        <v>1561</v>
      </c>
      <c r="B13" s="619"/>
      <c r="C13" s="619"/>
      <c r="D13" s="619"/>
      <c r="E13" s="619"/>
      <c r="F13" s="619"/>
      <c r="G13" s="619"/>
    </row>
    <row r="14" spans="1:7" ht="14.25" customHeight="1">
      <c r="A14" s="1975" t="s">
        <v>1556</v>
      </c>
      <c r="B14" s="1801"/>
      <c r="C14" s="424" t="s">
        <v>6</v>
      </c>
      <c r="D14" s="424" t="s">
        <v>1562</v>
      </c>
      <c r="E14" s="424" t="s">
        <v>7</v>
      </c>
      <c r="F14" s="424" t="s">
        <v>1559</v>
      </c>
      <c r="G14" s="531"/>
    </row>
    <row r="15" spans="1:7" ht="14.25" customHeight="1">
      <c r="A15" s="1995" t="s">
        <v>1722</v>
      </c>
      <c r="B15" s="1611"/>
      <c r="C15" s="444" t="s">
        <v>120</v>
      </c>
      <c r="D15" s="464">
        <v>2400</v>
      </c>
      <c r="E15" s="444">
        <v>4.5</v>
      </c>
      <c r="F15" s="440">
        <f t="shared" ref="F15:F18" si="1">+E15*D15</f>
        <v>10800</v>
      </c>
      <c r="G15" s="707"/>
    </row>
    <row r="16" spans="1:7" ht="14.25" customHeight="1">
      <c r="A16" s="1995" t="s">
        <v>1732</v>
      </c>
      <c r="B16" s="1611"/>
      <c r="C16" s="444" t="s">
        <v>127</v>
      </c>
      <c r="D16" s="464">
        <v>39350</v>
      </c>
      <c r="E16" s="444">
        <v>3.55</v>
      </c>
      <c r="F16" s="440">
        <f t="shared" si="1"/>
        <v>139692.5</v>
      </c>
      <c r="G16" s="707"/>
    </row>
    <row r="17" spans="1:7" ht="12.75" customHeight="1">
      <c r="A17" s="1995" t="s">
        <v>1705</v>
      </c>
      <c r="B17" s="1611"/>
      <c r="C17" s="444" t="s">
        <v>171</v>
      </c>
      <c r="D17" s="464">
        <v>15600</v>
      </c>
      <c r="E17" s="444">
        <v>1.25</v>
      </c>
      <c r="F17" s="440">
        <f t="shared" si="1"/>
        <v>19500</v>
      </c>
      <c r="G17" s="707"/>
    </row>
    <row r="18" spans="1:7" ht="14.25" customHeight="1">
      <c r="A18" s="1996" t="s">
        <v>1706</v>
      </c>
      <c r="B18" s="1819"/>
      <c r="C18" s="708" t="s">
        <v>1707</v>
      </c>
      <c r="D18" s="434">
        <v>24450</v>
      </c>
      <c r="E18" s="708">
        <v>0.85</v>
      </c>
      <c r="F18" s="700">
        <f t="shared" si="1"/>
        <v>20782.5</v>
      </c>
      <c r="G18" s="709"/>
    </row>
    <row r="19" spans="1:7" ht="14.25" customHeight="1">
      <c r="A19" s="1969" t="s">
        <v>1560</v>
      </c>
      <c r="B19" s="1601"/>
      <c r="C19" s="1601"/>
      <c r="D19" s="1601"/>
      <c r="E19" s="1601"/>
      <c r="F19" s="1801"/>
      <c r="G19" s="631">
        <f>SUM(F15:F18)</f>
        <v>190775</v>
      </c>
    </row>
    <row r="20" spans="1:7" ht="14.25" customHeight="1">
      <c r="A20" s="163" t="s">
        <v>1563</v>
      </c>
      <c r="B20" s="619"/>
      <c r="C20" s="619"/>
      <c r="D20" s="619"/>
      <c r="E20" s="619"/>
      <c r="F20" s="619"/>
      <c r="G20" s="619"/>
    </row>
    <row r="21" spans="1:7" ht="14.25" customHeight="1">
      <c r="A21" s="1965" t="s">
        <v>1556</v>
      </c>
      <c r="B21" s="1801"/>
      <c r="C21" s="530" t="s">
        <v>6</v>
      </c>
      <c r="D21" s="530" t="s">
        <v>1562</v>
      </c>
      <c r="E21" s="530" t="s">
        <v>7</v>
      </c>
      <c r="F21" s="530" t="s">
        <v>1559</v>
      </c>
      <c r="G21" s="597"/>
    </row>
    <row r="22" spans="1:7" ht="14.25" customHeight="1">
      <c r="A22" s="1987"/>
      <c r="B22" s="1967"/>
      <c r="C22" s="625"/>
      <c r="D22" s="582"/>
      <c r="E22" s="626"/>
      <c r="F22" s="585"/>
      <c r="G22" s="594"/>
    </row>
    <row r="23" spans="1:7" ht="14.25" customHeight="1">
      <c r="A23" s="1993"/>
      <c r="B23" s="1819"/>
      <c r="C23" s="775"/>
      <c r="D23" s="625"/>
      <c r="E23" s="588"/>
      <c r="F23" s="588"/>
      <c r="G23" s="632"/>
    </row>
    <row r="24" spans="1:7" ht="14.25" customHeight="1">
      <c r="A24" s="1969" t="s">
        <v>1560</v>
      </c>
      <c r="B24" s="1601"/>
      <c r="C24" s="1601"/>
      <c r="D24" s="1601"/>
      <c r="E24" s="1601"/>
      <c r="F24" s="1801"/>
      <c r="G24" s="631"/>
    </row>
    <row r="25" spans="1:7" ht="14.25" customHeight="1">
      <c r="A25" s="163" t="s">
        <v>1564</v>
      </c>
      <c r="B25" s="619"/>
      <c r="C25" s="619"/>
      <c r="D25" s="619"/>
      <c r="E25" s="619"/>
      <c r="F25" s="619"/>
      <c r="G25" s="619"/>
    </row>
    <row r="26" spans="1:7" ht="14.25" customHeight="1">
      <c r="A26" s="1965" t="s">
        <v>1565</v>
      </c>
      <c r="B26" s="1801"/>
      <c r="C26" s="424" t="s">
        <v>1566</v>
      </c>
      <c r="D26" s="530" t="s">
        <v>7</v>
      </c>
      <c r="E26" s="530" t="s">
        <v>1558</v>
      </c>
      <c r="F26" s="530" t="s">
        <v>1559</v>
      </c>
      <c r="G26" s="599"/>
    </row>
    <row r="27" spans="1:7" ht="14.25" customHeight="1">
      <c r="A27" s="1983" t="s">
        <v>1574</v>
      </c>
      <c r="B27" s="1888"/>
      <c r="C27" s="558">
        <v>7410.9600847008996</v>
      </c>
      <c r="D27" s="776">
        <v>1</v>
      </c>
      <c r="E27" s="777">
        <v>4.1449876237623764</v>
      </c>
      <c r="F27" s="778">
        <f t="shared" ref="F27:F28" si="2">E27*D27*C27</f>
        <v>30718.337831282202</v>
      </c>
      <c r="G27" s="594"/>
    </row>
    <row r="28" spans="1:7" ht="14.25" customHeight="1">
      <c r="A28" s="1984" t="s">
        <v>1576</v>
      </c>
      <c r="B28" s="1819"/>
      <c r="C28" s="613">
        <v>4374.7823749999998</v>
      </c>
      <c r="D28" s="779">
        <v>2</v>
      </c>
      <c r="E28" s="780">
        <f>E27</f>
        <v>4.1449876237623764</v>
      </c>
      <c r="F28" s="781">
        <f t="shared" si="2"/>
        <v>36266.837602057552</v>
      </c>
      <c r="G28" s="596"/>
    </row>
    <row r="29" spans="1:7" ht="14.25" customHeight="1">
      <c r="A29" s="1969" t="str">
        <f>+A24</f>
        <v>SUB-TOTAL</v>
      </c>
      <c r="B29" s="1601"/>
      <c r="C29" s="1601"/>
      <c r="D29" s="1601"/>
      <c r="E29" s="1601"/>
      <c r="F29" s="1801"/>
      <c r="G29" s="631">
        <f>SUM(F27:F28)</f>
        <v>66985.175433339755</v>
      </c>
    </row>
    <row r="30" spans="1:7" ht="11.25" customHeight="1">
      <c r="A30" s="619"/>
      <c r="B30" s="619"/>
      <c r="C30" s="619"/>
      <c r="D30" s="619"/>
      <c r="E30" s="619"/>
      <c r="F30" s="630"/>
      <c r="G30" s="619"/>
    </row>
    <row r="31" spans="1:7" ht="14.25" customHeight="1">
      <c r="A31" s="1969" t="s">
        <v>1567</v>
      </c>
      <c r="B31" s="1601"/>
      <c r="C31" s="1601"/>
      <c r="D31" s="1601"/>
      <c r="E31" s="1601"/>
      <c r="F31" s="1801"/>
      <c r="G31" s="782">
        <f>ROUND(G12+G19+G24+G29,0)</f>
        <v>264575</v>
      </c>
    </row>
    <row r="34" spans="1:7" ht="13.5" customHeight="1">
      <c r="A34" s="1994" t="e">
        <f>+'ANALISIS BASICOS'!$A$7</f>
        <v>#REF!</v>
      </c>
      <c r="B34" s="1616"/>
      <c r="C34" s="1624"/>
      <c r="D34" s="1990"/>
      <c r="E34" s="1616"/>
      <c r="F34" s="1616"/>
      <c r="G34" s="1624"/>
    </row>
    <row r="35" spans="1:7" ht="41.25" customHeight="1">
      <c r="A35" s="1971"/>
      <c r="B35" s="1817"/>
      <c r="C35" s="1972"/>
      <c r="D35" s="1971"/>
      <c r="E35" s="1817"/>
      <c r="F35" s="1817"/>
      <c r="G35" s="1972"/>
    </row>
    <row r="36" spans="1:7" ht="14.25" customHeight="1">
      <c r="A36" s="619"/>
      <c r="B36" s="619"/>
      <c r="C36" s="619"/>
      <c r="D36" s="619"/>
      <c r="E36" s="619"/>
      <c r="F36" s="619"/>
      <c r="G36" s="619"/>
    </row>
    <row r="37" spans="1:7" ht="67.5" customHeight="1">
      <c r="A37" s="1991" t="e">
        <f ca="1">+'9 - PAÑETES - PINTURA'!A11:C11</f>
        <v>#NAME?</v>
      </c>
      <c r="B37" s="1601"/>
      <c r="C37" s="1602"/>
      <c r="D37" s="1974" t="s">
        <v>1789</v>
      </c>
      <c r="E37" s="1601"/>
      <c r="F37" s="1601"/>
      <c r="G37" s="1602"/>
    </row>
    <row r="38" spans="1:7" ht="14.25" customHeight="1">
      <c r="A38" s="620"/>
      <c r="B38" s="620"/>
      <c r="C38" s="620"/>
      <c r="D38" s="620"/>
      <c r="E38" s="620"/>
      <c r="F38" s="620"/>
      <c r="G38" s="620"/>
    </row>
    <row r="39" spans="1:7" ht="12.75" customHeight="1">
      <c r="A39" s="774"/>
      <c r="B39" s="619"/>
      <c r="C39" s="162"/>
      <c r="D39" s="421" t="s">
        <v>1553</v>
      </c>
      <c r="E39" s="422" t="s">
        <v>127</v>
      </c>
      <c r="F39" s="421" t="s">
        <v>1554</v>
      </c>
      <c r="G39" s="422" t="s">
        <v>66</v>
      </c>
    </row>
    <row r="40" spans="1:7" ht="14.25" customHeight="1">
      <c r="A40" s="163" t="s">
        <v>1555</v>
      </c>
      <c r="B40" s="619"/>
      <c r="C40" s="619"/>
      <c r="D40" s="619"/>
      <c r="E40" s="619"/>
      <c r="F40" s="619"/>
      <c r="G40" s="619"/>
    </row>
    <row r="41" spans="1:7" ht="13.5" customHeight="1">
      <c r="A41" s="1975" t="s">
        <v>1556</v>
      </c>
      <c r="B41" s="1601"/>
      <c r="C41" s="1801"/>
      <c r="D41" s="530" t="s">
        <v>208</v>
      </c>
      <c r="E41" s="530" t="s">
        <v>1558</v>
      </c>
      <c r="F41" s="424" t="s">
        <v>1559</v>
      </c>
      <c r="G41" s="531"/>
    </row>
    <row r="42" spans="1:7" ht="14.25" customHeight="1">
      <c r="A42" s="1987" t="str">
        <f>A10</f>
        <v>HERRAMIENTA MENOR.</v>
      </c>
      <c r="B42" s="1811"/>
      <c r="C42" s="1967"/>
      <c r="D42" s="582">
        <f>D10</f>
        <v>2850</v>
      </c>
      <c r="E42" s="610">
        <f>+E60</f>
        <v>3.5333591460231362</v>
      </c>
      <c r="F42" s="582">
        <f t="shared" ref="F42:F43" si="3">E42*D42</f>
        <v>10070.073566165938</v>
      </c>
      <c r="G42" s="594"/>
    </row>
    <row r="43" spans="1:7" ht="14.25" customHeight="1">
      <c r="A43" s="1996" t="str">
        <f>$A$11</f>
        <v>EQUIPO ELÉCTRICO SOLDADURA</v>
      </c>
      <c r="B43" s="1807"/>
      <c r="C43" s="1819"/>
      <c r="D43" s="588">
        <f>$D$11</f>
        <v>9750</v>
      </c>
      <c r="E43" s="622">
        <f>+E42</f>
        <v>3.5333591460231362</v>
      </c>
      <c r="F43" s="588">
        <f t="shared" si="3"/>
        <v>34450.251673725579</v>
      </c>
      <c r="G43" s="596"/>
    </row>
    <row r="44" spans="1:7" ht="14.25" customHeight="1">
      <c r="A44" s="1969" t="s">
        <v>1560</v>
      </c>
      <c r="B44" s="1601"/>
      <c r="C44" s="1601"/>
      <c r="D44" s="1601"/>
      <c r="E44" s="1601"/>
      <c r="F44" s="1801"/>
      <c r="G44" s="631">
        <f>SUM(F42:F43)</f>
        <v>44520.325239891521</v>
      </c>
    </row>
    <row r="45" spans="1:7" ht="14.25" customHeight="1">
      <c r="A45" s="163" t="s">
        <v>1561</v>
      </c>
      <c r="B45" s="619"/>
      <c r="C45" s="619"/>
      <c r="D45" s="619"/>
      <c r="E45" s="619"/>
      <c r="F45" s="619"/>
      <c r="G45" s="619"/>
    </row>
    <row r="46" spans="1:7" ht="14.25" customHeight="1">
      <c r="A46" s="2017" t="s">
        <v>1556</v>
      </c>
      <c r="B46" s="1932"/>
      <c r="C46" s="453" t="s">
        <v>6</v>
      </c>
      <c r="D46" s="453" t="s">
        <v>1562</v>
      </c>
      <c r="E46" s="453" t="s">
        <v>7</v>
      </c>
      <c r="F46" s="453" t="s">
        <v>1559</v>
      </c>
      <c r="G46" s="783"/>
    </row>
    <row r="47" spans="1:7" ht="14.25" customHeight="1">
      <c r="A47" s="1995" t="s">
        <v>1722</v>
      </c>
      <c r="B47" s="1611"/>
      <c r="C47" s="444" t="s">
        <v>120</v>
      </c>
      <c r="D47" s="464">
        <v>2400</v>
      </c>
      <c r="E47" s="444">
        <v>4.5</v>
      </c>
      <c r="F47" s="440">
        <f t="shared" ref="F47:F51" si="4">+E47*D47</f>
        <v>10800</v>
      </c>
      <c r="G47" s="707"/>
    </row>
    <row r="48" spans="1:7" ht="14.25" customHeight="1">
      <c r="A48" s="1995" t="s">
        <v>1732</v>
      </c>
      <c r="B48" s="1611"/>
      <c r="C48" s="444" t="s">
        <v>127</v>
      </c>
      <c r="D48" s="464">
        <v>39350</v>
      </c>
      <c r="E48" s="444">
        <v>3.55</v>
      </c>
      <c r="F48" s="440">
        <f t="shared" si="4"/>
        <v>139692.5</v>
      </c>
      <c r="G48" s="707"/>
    </row>
    <row r="49" spans="1:7" ht="12.75" customHeight="1">
      <c r="A49" s="1995" t="s">
        <v>1705</v>
      </c>
      <c r="B49" s="1611"/>
      <c r="C49" s="444" t="s">
        <v>171</v>
      </c>
      <c r="D49" s="464">
        <v>15600</v>
      </c>
      <c r="E49" s="444">
        <v>1.25</v>
      </c>
      <c r="F49" s="440">
        <f t="shared" si="4"/>
        <v>19500</v>
      </c>
      <c r="G49" s="707"/>
    </row>
    <row r="50" spans="1:7" ht="12.75" customHeight="1">
      <c r="A50" s="1995" t="s">
        <v>1790</v>
      </c>
      <c r="B50" s="1611"/>
      <c r="C50" s="444" t="s">
        <v>127</v>
      </c>
      <c r="D50" s="464">
        <v>134550</v>
      </c>
      <c r="E50" s="444">
        <v>1</v>
      </c>
      <c r="F50" s="440">
        <f t="shared" si="4"/>
        <v>134550</v>
      </c>
      <c r="G50" s="707"/>
    </row>
    <row r="51" spans="1:7" ht="14.25" customHeight="1">
      <c r="A51" s="1996" t="s">
        <v>1706</v>
      </c>
      <c r="B51" s="1819"/>
      <c r="C51" s="708" t="s">
        <v>1707</v>
      </c>
      <c r="D51" s="434">
        <v>24450</v>
      </c>
      <c r="E51" s="708">
        <v>0.85</v>
      </c>
      <c r="F51" s="700">
        <f t="shared" si="4"/>
        <v>20782.5</v>
      </c>
      <c r="G51" s="709"/>
    </row>
    <row r="52" spans="1:7" ht="14.25" customHeight="1">
      <c r="A52" s="2018" t="s">
        <v>1560</v>
      </c>
      <c r="B52" s="1817"/>
      <c r="C52" s="1817"/>
      <c r="D52" s="1817"/>
      <c r="E52" s="1817"/>
      <c r="F52" s="2000"/>
      <c r="G52" s="784">
        <f>SUM(F47:F51)</f>
        <v>325325</v>
      </c>
    </row>
    <row r="53" spans="1:7" ht="14.25" customHeight="1">
      <c r="A53" s="163" t="s">
        <v>1563</v>
      </c>
      <c r="B53" s="619"/>
      <c r="C53" s="619"/>
      <c r="D53" s="619"/>
      <c r="E53" s="619"/>
      <c r="F53" s="619"/>
      <c r="G53" s="619"/>
    </row>
    <row r="54" spans="1:7" ht="14.25" customHeight="1">
      <c r="A54" s="1965" t="s">
        <v>1556</v>
      </c>
      <c r="B54" s="1801"/>
      <c r="C54" s="530" t="s">
        <v>6</v>
      </c>
      <c r="D54" s="530" t="s">
        <v>1562</v>
      </c>
      <c r="E54" s="530" t="s">
        <v>7</v>
      </c>
      <c r="F54" s="530" t="s">
        <v>1559</v>
      </c>
      <c r="G54" s="597"/>
    </row>
    <row r="55" spans="1:7" ht="14.25" customHeight="1">
      <c r="A55" s="1987"/>
      <c r="B55" s="1967"/>
      <c r="C55" s="625"/>
      <c r="D55" s="582"/>
      <c r="E55" s="626"/>
      <c r="F55" s="585"/>
      <c r="G55" s="594"/>
    </row>
    <row r="56" spans="1:7" ht="14.25" customHeight="1">
      <c r="A56" s="1993"/>
      <c r="B56" s="1819"/>
      <c r="C56" s="625"/>
      <c r="D56" s="625"/>
      <c r="E56" s="588"/>
      <c r="F56" s="588">
        <f>D56*E56</f>
        <v>0</v>
      </c>
      <c r="G56" s="632"/>
    </row>
    <row r="57" spans="1:7" ht="14.25" customHeight="1">
      <c r="A57" s="1969" t="s">
        <v>1560</v>
      </c>
      <c r="B57" s="1601"/>
      <c r="C57" s="1601"/>
      <c r="D57" s="1601"/>
      <c r="E57" s="1601"/>
      <c r="F57" s="1801"/>
      <c r="G57" s="631">
        <f>SUM(F55:F56)</f>
        <v>0</v>
      </c>
    </row>
    <row r="58" spans="1:7" ht="14.25" customHeight="1">
      <c r="A58" s="163" t="s">
        <v>1564</v>
      </c>
      <c r="B58" s="619"/>
      <c r="C58" s="619"/>
      <c r="D58" s="619"/>
      <c r="E58" s="619"/>
      <c r="F58" s="619"/>
      <c r="G58" s="619"/>
    </row>
    <row r="59" spans="1:7" ht="14.25" customHeight="1">
      <c r="A59" s="1965" t="s">
        <v>1565</v>
      </c>
      <c r="B59" s="1801"/>
      <c r="C59" s="424" t="s">
        <v>1566</v>
      </c>
      <c r="D59" s="530" t="s">
        <v>7</v>
      </c>
      <c r="E59" s="530" t="s">
        <v>1558</v>
      </c>
      <c r="F59" s="530" t="s">
        <v>1559</v>
      </c>
      <c r="G59" s="599"/>
    </row>
    <row r="60" spans="1:7" ht="14.25" customHeight="1">
      <c r="A60" s="1983" t="str">
        <f t="shared" ref="A60:A61" si="5">A27</f>
        <v>Oficial (Incl. Prestaciones)</v>
      </c>
      <c r="B60" s="1888"/>
      <c r="C60" s="558">
        <f>+'MANO DE OBRA'!$E$64</f>
        <v>15031.25</v>
      </c>
      <c r="D60" s="776">
        <v>1</v>
      </c>
      <c r="E60" s="777">
        <v>3.5333591460231362</v>
      </c>
      <c r="F60" s="778">
        <f t="shared" ref="F60:F61" si="6">E60*D60*C60</f>
        <v>53110.804663660267</v>
      </c>
      <c r="G60" s="594"/>
    </row>
    <row r="61" spans="1:7" ht="14.25" customHeight="1">
      <c r="A61" s="1984" t="str">
        <f t="shared" si="5"/>
        <v>Ayudante (Incl. Prestaciones)</v>
      </c>
      <c r="B61" s="1819"/>
      <c r="C61" s="613">
        <f>+'MANO DE OBRA'!$E$65</f>
        <v>10972.8125</v>
      </c>
      <c r="D61" s="779">
        <v>1</v>
      </c>
      <c r="E61" s="780">
        <f>E60</f>
        <v>3.5333591460231362</v>
      </c>
      <c r="F61" s="781">
        <f t="shared" si="6"/>
        <v>38770.887404471992</v>
      </c>
      <c r="G61" s="596"/>
    </row>
    <row r="62" spans="1:7" ht="14.25" customHeight="1">
      <c r="A62" s="1969" t="str">
        <f>+A57</f>
        <v>SUB-TOTAL</v>
      </c>
      <c r="B62" s="1601"/>
      <c r="C62" s="1601"/>
      <c r="D62" s="1601"/>
      <c r="E62" s="1601"/>
      <c r="F62" s="1801"/>
      <c r="G62" s="631">
        <f>SUM(F60:F61)</f>
        <v>91881.692068132252</v>
      </c>
    </row>
    <row r="63" spans="1:7" ht="11.25" customHeight="1">
      <c r="A63" s="619"/>
      <c r="B63" s="619"/>
      <c r="C63" s="619"/>
      <c r="D63" s="619"/>
      <c r="E63" s="619"/>
      <c r="F63" s="630"/>
      <c r="G63" s="619"/>
    </row>
    <row r="64" spans="1:7" ht="14.25" customHeight="1">
      <c r="A64" s="1969" t="s">
        <v>1567</v>
      </c>
      <c r="B64" s="1601"/>
      <c r="C64" s="1601"/>
      <c r="D64" s="1601"/>
      <c r="E64" s="1601"/>
      <c r="F64" s="1801"/>
      <c r="G64" s="782">
        <f>ROUND(G44+G52+G57+G62,0)</f>
        <v>461727</v>
      </c>
    </row>
    <row r="67" spans="1:7" ht="13.5" customHeight="1">
      <c r="A67" s="1994" t="e">
        <f>+'ANALISIS BASICOS'!$A$7</f>
        <v>#REF!</v>
      </c>
      <c r="B67" s="1616"/>
      <c r="C67" s="1624"/>
      <c r="D67" s="1990"/>
      <c r="E67" s="1616"/>
      <c r="F67" s="1616"/>
      <c r="G67" s="1624"/>
    </row>
    <row r="68" spans="1:7" ht="48" customHeight="1">
      <c r="A68" s="1971"/>
      <c r="B68" s="1817"/>
      <c r="C68" s="1972"/>
      <c r="D68" s="1971"/>
      <c r="E68" s="1817"/>
      <c r="F68" s="1817"/>
      <c r="G68" s="1972"/>
    </row>
    <row r="69" spans="1:7" ht="14.25" customHeight="1">
      <c r="A69" s="619"/>
      <c r="B69" s="619"/>
      <c r="C69" s="619"/>
      <c r="D69" s="619"/>
      <c r="E69" s="619"/>
      <c r="F69" s="619"/>
      <c r="G69" s="619"/>
    </row>
    <row r="70" spans="1:7" ht="51" customHeight="1">
      <c r="A70" s="1991" t="e">
        <f ca="1">+A37</f>
        <v>#NAME?</v>
      </c>
      <c r="B70" s="1601"/>
      <c r="C70" s="1602"/>
      <c r="D70" s="1974" t="s">
        <v>1791</v>
      </c>
      <c r="E70" s="1601"/>
      <c r="F70" s="1601"/>
      <c r="G70" s="1602"/>
    </row>
    <row r="71" spans="1:7" ht="14.25" customHeight="1">
      <c r="A71" s="620"/>
      <c r="B71" s="620"/>
      <c r="C71" s="620"/>
      <c r="D71" s="620"/>
      <c r="E71" s="620"/>
      <c r="F71" s="620"/>
      <c r="G71" s="620"/>
    </row>
    <row r="72" spans="1:7" ht="12.75" customHeight="1">
      <c r="A72" s="774"/>
      <c r="B72" s="619"/>
      <c r="C72" s="162"/>
      <c r="D72" s="421" t="s">
        <v>1553</v>
      </c>
      <c r="E72" s="422" t="s">
        <v>228</v>
      </c>
      <c r="F72" s="421" t="s">
        <v>1554</v>
      </c>
      <c r="G72" s="422" t="s">
        <v>307</v>
      </c>
    </row>
    <row r="73" spans="1:7" ht="14.25" customHeight="1">
      <c r="A73" s="163" t="s">
        <v>1555</v>
      </c>
      <c r="B73" s="619"/>
      <c r="C73" s="619"/>
      <c r="D73" s="619"/>
      <c r="E73" s="619"/>
      <c r="F73" s="619"/>
      <c r="G73" s="619"/>
    </row>
    <row r="74" spans="1:7" ht="13.5" customHeight="1">
      <c r="A74" s="1975" t="s">
        <v>1556</v>
      </c>
      <c r="B74" s="1601"/>
      <c r="C74" s="1801"/>
      <c r="D74" s="530" t="s">
        <v>208</v>
      </c>
      <c r="E74" s="530" t="s">
        <v>1558</v>
      </c>
      <c r="F74" s="424" t="s">
        <v>1559</v>
      </c>
      <c r="G74" s="531"/>
    </row>
    <row r="75" spans="1:7" ht="14.25" customHeight="1">
      <c r="A75" s="1987" t="str">
        <f>$A$171</f>
        <v>HERRAMIENTA MENOR</v>
      </c>
      <c r="B75" s="1811"/>
      <c r="C75" s="1967"/>
      <c r="D75" s="582">
        <f>+'9 - PAÑETES - PINTURA'!D412</f>
        <v>2850</v>
      </c>
      <c r="E75" s="610">
        <f>+E92</f>
        <v>3.8400789830454278</v>
      </c>
      <c r="F75" s="582">
        <f>D75/E75</f>
        <v>742.17223462934294</v>
      </c>
      <c r="G75" s="594"/>
    </row>
    <row r="76" spans="1:7" ht="14.25" customHeight="1">
      <c r="A76" s="1996" t="s">
        <v>1792</v>
      </c>
      <c r="B76" s="1807"/>
      <c r="C76" s="1819"/>
      <c r="D76" s="588">
        <f>$D$11</f>
        <v>9750</v>
      </c>
      <c r="E76" s="622">
        <f>+E75</f>
        <v>3.8400789830454278</v>
      </c>
      <c r="F76" s="588">
        <f>E76*D76</f>
        <v>37440.770084692922</v>
      </c>
      <c r="G76" s="596"/>
    </row>
    <row r="77" spans="1:7" ht="14.25" customHeight="1">
      <c r="A77" s="1969" t="s">
        <v>1560</v>
      </c>
      <c r="B77" s="1601"/>
      <c r="C77" s="1601"/>
      <c r="D77" s="1601"/>
      <c r="E77" s="1601"/>
      <c r="F77" s="1801"/>
      <c r="G77" s="631">
        <f>SUM(F75:F76)</f>
        <v>38182.942319322268</v>
      </c>
    </row>
    <row r="78" spans="1:7" ht="14.25" customHeight="1">
      <c r="A78" s="163" t="s">
        <v>1561</v>
      </c>
      <c r="B78" s="619"/>
      <c r="C78" s="619"/>
      <c r="D78" s="619"/>
      <c r="E78" s="619"/>
      <c r="F78" s="619"/>
      <c r="G78" s="619"/>
    </row>
    <row r="79" spans="1:7" ht="14.25" customHeight="1">
      <c r="A79" s="2017" t="s">
        <v>1556</v>
      </c>
      <c r="B79" s="1932"/>
      <c r="C79" s="453" t="s">
        <v>6</v>
      </c>
      <c r="D79" s="453" t="s">
        <v>1562</v>
      </c>
      <c r="E79" s="453" t="s">
        <v>7</v>
      </c>
      <c r="F79" s="453" t="s">
        <v>1559</v>
      </c>
      <c r="G79" s="783"/>
    </row>
    <row r="80" spans="1:7" ht="14.25" customHeight="1">
      <c r="A80" s="1987" t="s">
        <v>1793</v>
      </c>
      <c r="B80" s="1967"/>
      <c r="C80" s="674" t="s">
        <v>228</v>
      </c>
      <c r="D80" s="675">
        <v>244548</v>
      </c>
      <c r="E80" s="674">
        <v>1.05</v>
      </c>
      <c r="F80" s="785">
        <f>D80*E80</f>
        <v>256775.40000000002</v>
      </c>
      <c r="G80" s="688"/>
    </row>
    <row r="81" spans="1:7" ht="12.75" customHeight="1">
      <c r="A81" s="1995" t="s">
        <v>1794</v>
      </c>
      <c r="B81" s="1611"/>
      <c r="C81" s="738" t="s">
        <v>228</v>
      </c>
      <c r="D81" s="464">
        <v>84550</v>
      </c>
      <c r="E81" s="444">
        <v>0.8</v>
      </c>
      <c r="F81" s="786">
        <f>+E81*D81</f>
        <v>67640</v>
      </c>
      <c r="G81" s="751"/>
    </row>
    <row r="82" spans="1:7" ht="14.25" customHeight="1">
      <c r="A82" s="1995"/>
      <c r="B82" s="1611"/>
      <c r="C82" s="738"/>
      <c r="D82" s="464"/>
      <c r="E82" s="444"/>
      <c r="F82" s="786"/>
      <c r="G82" s="751"/>
    </row>
    <row r="83" spans="1:7" ht="12" customHeight="1">
      <c r="A83" s="1996"/>
      <c r="B83" s="1819"/>
      <c r="C83" s="587"/>
      <c r="D83" s="434"/>
      <c r="E83" s="587"/>
      <c r="F83" s="787"/>
      <c r="G83" s="596"/>
    </row>
    <row r="84" spans="1:7" ht="14.25" customHeight="1">
      <c r="A84" s="2018" t="s">
        <v>1560</v>
      </c>
      <c r="B84" s="1817"/>
      <c r="C84" s="1817"/>
      <c r="D84" s="1817"/>
      <c r="E84" s="1817"/>
      <c r="F84" s="2000"/>
      <c r="G84" s="784">
        <f>SUM(F80:F83)</f>
        <v>324415.40000000002</v>
      </c>
    </row>
    <row r="85" spans="1:7" ht="14.25" customHeight="1">
      <c r="A85" s="163" t="s">
        <v>1563</v>
      </c>
      <c r="B85" s="619"/>
      <c r="C85" s="619"/>
      <c r="D85" s="619"/>
      <c r="E85" s="619"/>
      <c r="F85" s="619"/>
      <c r="G85" s="619"/>
    </row>
    <row r="86" spans="1:7" ht="14.25" customHeight="1">
      <c r="A86" s="1965" t="s">
        <v>1556</v>
      </c>
      <c r="B86" s="1801"/>
      <c r="C86" s="530" t="s">
        <v>6</v>
      </c>
      <c r="D86" s="530" t="s">
        <v>1562</v>
      </c>
      <c r="E86" s="530" t="s">
        <v>7</v>
      </c>
      <c r="F86" s="530" t="s">
        <v>1559</v>
      </c>
      <c r="G86" s="597"/>
    </row>
    <row r="87" spans="1:7" ht="14.25" customHeight="1">
      <c r="A87" s="1987"/>
      <c r="B87" s="1967"/>
      <c r="C87" s="625"/>
      <c r="D87" s="582"/>
      <c r="E87" s="626"/>
      <c r="F87" s="585"/>
      <c r="G87" s="594"/>
    </row>
    <row r="88" spans="1:7" ht="14.25" customHeight="1">
      <c r="A88" s="1993"/>
      <c r="B88" s="1819"/>
      <c r="C88" s="625"/>
      <c r="D88" s="625"/>
      <c r="E88" s="588"/>
      <c r="F88" s="588"/>
      <c r="G88" s="632"/>
    </row>
    <row r="89" spans="1:7" ht="14.25" customHeight="1">
      <c r="A89" s="1969" t="s">
        <v>1560</v>
      </c>
      <c r="B89" s="1601"/>
      <c r="C89" s="1601"/>
      <c r="D89" s="1601"/>
      <c r="E89" s="1601"/>
      <c r="F89" s="1801"/>
      <c r="G89" s="631"/>
    </row>
    <row r="90" spans="1:7" ht="14.25" customHeight="1">
      <c r="A90" s="163" t="s">
        <v>1564</v>
      </c>
      <c r="B90" s="619"/>
      <c r="C90" s="619"/>
      <c r="D90" s="619"/>
      <c r="E90" s="619"/>
      <c r="F90" s="619"/>
      <c r="G90" s="619"/>
    </row>
    <row r="91" spans="1:7" ht="14.25" customHeight="1">
      <c r="A91" s="1965" t="s">
        <v>1565</v>
      </c>
      <c r="B91" s="1801"/>
      <c r="C91" s="424" t="s">
        <v>1566</v>
      </c>
      <c r="D91" s="530" t="s">
        <v>7</v>
      </c>
      <c r="E91" s="530" t="s">
        <v>1558</v>
      </c>
      <c r="F91" s="530" t="s">
        <v>1559</v>
      </c>
      <c r="G91" s="599"/>
    </row>
    <row r="92" spans="1:7" ht="14.25" customHeight="1">
      <c r="A92" s="1983" t="str">
        <f t="shared" ref="A92:A93" si="7">A60</f>
        <v>Oficial (Incl. Prestaciones)</v>
      </c>
      <c r="B92" s="1888"/>
      <c r="C92" s="558">
        <f>+'MANO DE OBRA'!$E$64</f>
        <v>15031.25</v>
      </c>
      <c r="D92" s="776">
        <v>1</v>
      </c>
      <c r="E92" s="777">
        <v>3.8400789830454278</v>
      </c>
      <c r="F92" s="778">
        <f t="shared" ref="F92:F93" si="8">E92*D92*C92</f>
        <v>57721.18721390159</v>
      </c>
      <c r="G92" s="594"/>
    </row>
    <row r="93" spans="1:7" ht="14.25" customHeight="1">
      <c r="A93" s="1984" t="str">
        <f t="shared" si="7"/>
        <v>Ayudante (Incl. Prestaciones)</v>
      </c>
      <c r="B93" s="1819"/>
      <c r="C93" s="613">
        <f>+'MANO DE OBRA'!$E$65</f>
        <v>10972.8125</v>
      </c>
      <c r="D93" s="779">
        <v>2</v>
      </c>
      <c r="E93" s="780">
        <f>E92</f>
        <v>3.8400789830454278</v>
      </c>
      <c r="F93" s="781">
        <f t="shared" si="8"/>
        <v>84272.933332296321</v>
      </c>
      <c r="G93" s="596"/>
    </row>
    <row r="94" spans="1:7" ht="14.25" customHeight="1">
      <c r="A94" s="1969" t="str">
        <f>+A89</f>
        <v>SUB-TOTAL</v>
      </c>
      <c r="B94" s="1601"/>
      <c r="C94" s="1601"/>
      <c r="D94" s="1601"/>
      <c r="E94" s="1601"/>
      <c r="F94" s="1801"/>
      <c r="G94" s="631">
        <f>SUM(F92:F93)</f>
        <v>141994.12054619793</v>
      </c>
    </row>
    <row r="95" spans="1:7" ht="11.25" customHeight="1">
      <c r="A95" s="619"/>
      <c r="B95" s="619"/>
      <c r="C95" s="619"/>
      <c r="D95" s="619"/>
      <c r="E95" s="619"/>
      <c r="F95" s="630"/>
      <c r="G95" s="619"/>
    </row>
    <row r="96" spans="1:7" ht="14.25" customHeight="1">
      <c r="A96" s="1969" t="s">
        <v>1567</v>
      </c>
      <c r="B96" s="1601"/>
      <c r="C96" s="1601"/>
      <c r="D96" s="1601"/>
      <c r="E96" s="1601"/>
      <c r="F96" s="1801"/>
      <c r="G96" s="782">
        <f>ROUND(G77+G84+G89+G94,0)</f>
        <v>504592</v>
      </c>
    </row>
    <row r="99" spans="1:7" ht="13.5" customHeight="1">
      <c r="A99" s="1994" t="e">
        <f>+'ANALISIS BASICOS'!$A$7</f>
        <v>#REF!</v>
      </c>
      <c r="B99" s="1616"/>
      <c r="C99" s="1624"/>
      <c r="D99" s="1990"/>
      <c r="E99" s="1616"/>
      <c r="F99" s="1616"/>
      <c r="G99" s="1624"/>
    </row>
    <row r="100" spans="1:7" ht="41.25" customHeight="1">
      <c r="A100" s="1971"/>
      <c r="B100" s="1817"/>
      <c r="C100" s="1972"/>
      <c r="D100" s="1971"/>
      <c r="E100" s="1817"/>
      <c r="F100" s="1817"/>
      <c r="G100" s="1972"/>
    </row>
    <row r="101" spans="1:7" ht="14.25" customHeight="1">
      <c r="A101" s="619"/>
      <c r="B101" s="619"/>
      <c r="C101" s="619"/>
      <c r="D101" s="619"/>
      <c r="E101" s="619"/>
      <c r="F101" s="619"/>
      <c r="G101" s="619"/>
    </row>
    <row r="102" spans="1:7" ht="42.75" customHeight="1">
      <c r="A102" s="1991" t="e">
        <f ca="1">+A70</f>
        <v>#NAME?</v>
      </c>
      <c r="B102" s="1601"/>
      <c r="C102" s="1602"/>
      <c r="D102" s="1974" t="s">
        <v>1795</v>
      </c>
      <c r="E102" s="1601"/>
      <c r="F102" s="1601"/>
      <c r="G102" s="1602"/>
    </row>
    <row r="103" spans="1:7" ht="14.25" customHeight="1">
      <c r="A103" s="620"/>
      <c r="B103" s="620"/>
      <c r="C103" s="620"/>
      <c r="D103" s="620"/>
      <c r="E103" s="620"/>
      <c r="F103" s="620"/>
      <c r="G103" s="620"/>
    </row>
    <row r="104" spans="1:7" ht="12.75" customHeight="1">
      <c r="A104" s="774"/>
      <c r="B104" s="619"/>
      <c r="C104" s="162"/>
      <c r="D104" s="421" t="s">
        <v>1553</v>
      </c>
      <c r="E104" s="422" t="s">
        <v>127</v>
      </c>
      <c r="F104" s="421" t="s">
        <v>1554</v>
      </c>
      <c r="G104" s="422" t="s">
        <v>315</v>
      </c>
    </row>
    <row r="105" spans="1:7" ht="14.25" customHeight="1">
      <c r="A105" s="163" t="s">
        <v>1555</v>
      </c>
      <c r="B105" s="619"/>
      <c r="C105" s="619"/>
      <c r="D105" s="619"/>
      <c r="E105" s="619"/>
      <c r="F105" s="619"/>
      <c r="G105" s="619"/>
    </row>
    <row r="106" spans="1:7" ht="13.5" customHeight="1">
      <c r="A106" s="1975" t="s">
        <v>1556</v>
      </c>
      <c r="B106" s="1601"/>
      <c r="C106" s="1801"/>
      <c r="D106" s="530" t="s">
        <v>208</v>
      </c>
      <c r="E106" s="530" t="s">
        <v>1558</v>
      </c>
      <c r="F106" s="424" t="s">
        <v>1559</v>
      </c>
      <c r="G106" s="531"/>
    </row>
    <row r="107" spans="1:7" ht="14.25" customHeight="1">
      <c r="A107" s="1987" t="str">
        <f>A75</f>
        <v>HERRAMIENTA MENOR</v>
      </c>
      <c r="B107" s="1811"/>
      <c r="C107" s="1967"/>
      <c r="D107" s="582">
        <f>D75</f>
        <v>2850</v>
      </c>
      <c r="E107" s="610">
        <f>+E124</f>
        <v>17.190970276326734</v>
      </c>
      <c r="F107" s="582">
        <f>E107*D107</f>
        <v>48994.265287531191</v>
      </c>
      <c r="G107" s="594"/>
    </row>
    <row r="108" spans="1:7" ht="14.25" customHeight="1">
      <c r="A108" s="1996"/>
      <c r="B108" s="1807"/>
      <c r="C108" s="1819"/>
      <c r="D108" s="588"/>
      <c r="E108" s="622"/>
      <c r="F108" s="588"/>
      <c r="G108" s="596"/>
    </row>
    <row r="109" spans="1:7" ht="14.25" customHeight="1">
      <c r="A109" s="1969" t="s">
        <v>1560</v>
      </c>
      <c r="B109" s="1601"/>
      <c r="C109" s="1601"/>
      <c r="D109" s="1601"/>
      <c r="E109" s="1601"/>
      <c r="F109" s="1801"/>
      <c r="G109" s="631">
        <f>SUM(F107:F108)</f>
        <v>48994.265287531191</v>
      </c>
    </row>
    <row r="110" spans="1:7" ht="14.25" customHeight="1">
      <c r="A110" s="163" t="s">
        <v>1561</v>
      </c>
      <c r="B110" s="619"/>
      <c r="C110" s="619"/>
      <c r="D110" s="619"/>
      <c r="E110" s="619"/>
      <c r="F110" s="619"/>
      <c r="G110" s="619"/>
    </row>
    <row r="111" spans="1:7" ht="14.25" customHeight="1">
      <c r="A111" s="2017" t="s">
        <v>1556</v>
      </c>
      <c r="B111" s="1932"/>
      <c r="C111" s="453" t="s">
        <v>6</v>
      </c>
      <c r="D111" s="453" t="s">
        <v>1562</v>
      </c>
      <c r="E111" s="453" t="s">
        <v>7</v>
      </c>
      <c r="F111" s="453" t="s">
        <v>1559</v>
      </c>
      <c r="G111" s="783"/>
    </row>
    <row r="112" spans="1:7" ht="18.75" customHeight="1">
      <c r="A112" s="1987" t="s">
        <v>1796</v>
      </c>
      <c r="B112" s="1967"/>
      <c r="C112" s="674" t="s">
        <v>228</v>
      </c>
      <c r="D112" s="675">
        <v>875450</v>
      </c>
      <c r="E112" s="674">
        <v>1</v>
      </c>
      <c r="F112" s="785">
        <f>D112*E112</f>
        <v>875450</v>
      </c>
      <c r="G112" s="688"/>
    </row>
    <row r="113" spans="1:7" ht="14.25" customHeight="1">
      <c r="A113" s="1995" t="s">
        <v>1797</v>
      </c>
      <c r="B113" s="1611"/>
      <c r="C113" s="444" t="s">
        <v>120</v>
      </c>
      <c r="D113" s="464">
        <v>1450000</v>
      </c>
      <c r="E113" s="444">
        <v>1.5</v>
      </c>
      <c r="F113" s="786">
        <f>+E113*D113</f>
        <v>2175000</v>
      </c>
      <c r="G113" s="751"/>
    </row>
    <row r="114" spans="1:7" ht="15.75" customHeight="1">
      <c r="A114" s="1995"/>
      <c r="B114" s="1611"/>
      <c r="C114" s="738"/>
      <c r="D114" s="464"/>
      <c r="E114" s="444"/>
      <c r="F114" s="786"/>
      <c r="G114" s="751"/>
    </row>
    <row r="115" spans="1:7" ht="12" customHeight="1">
      <c r="A115" s="1996"/>
      <c r="B115" s="1819"/>
      <c r="C115" s="587"/>
      <c r="D115" s="434"/>
      <c r="E115" s="587"/>
      <c r="F115" s="787"/>
      <c r="G115" s="596"/>
    </row>
    <row r="116" spans="1:7" ht="14.25" customHeight="1">
      <c r="A116" s="2018" t="s">
        <v>1560</v>
      </c>
      <c r="B116" s="1817"/>
      <c r="C116" s="1817"/>
      <c r="D116" s="1817"/>
      <c r="E116" s="1817"/>
      <c r="F116" s="2000"/>
      <c r="G116" s="784">
        <f>SUM(F112:F115)</f>
        <v>3050450</v>
      </c>
    </row>
    <row r="117" spans="1:7" ht="14.25" customHeight="1">
      <c r="A117" s="163" t="s">
        <v>1563</v>
      </c>
      <c r="B117" s="619"/>
      <c r="C117" s="619"/>
      <c r="D117" s="619"/>
      <c r="E117" s="619"/>
      <c r="F117" s="619"/>
      <c r="G117" s="619"/>
    </row>
    <row r="118" spans="1:7" ht="14.25" customHeight="1">
      <c r="A118" s="1965" t="s">
        <v>1556</v>
      </c>
      <c r="B118" s="1801"/>
      <c r="C118" s="530" t="s">
        <v>6</v>
      </c>
      <c r="D118" s="530" t="s">
        <v>1562</v>
      </c>
      <c r="E118" s="530" t="s">
        <v>7</v>
      </c>
      <c r="F118" s="530" t="s">
        <v>1559</v>
      </c>
      <c r="G118" s="597"/>
    </row>
    <row r="119" spans="1:7" ht="14.25" customHeight="1">
      <c r="A119" s="1987"/>
      <c r="B119" s="1967"/>
      <c r="C119" s="625"/>
      <c r="D119" s="582"/>
      <c r="E119" s="626"/>
      <c r="F119" s="585"/>
      <c r="G119" s="594"/>
    </row>
    <row r="120" spans="1:7" ht="14.25" customHeight="1">
      <c r="A120" s="1993"/>
      <c r="B120" s="1819"/>
      <c r="C120" s="625"/>
      <c r="D120" s="625"/>
      <c r="E120" s="588"/>
      <c r="F120" s="588"/>
      <c r="G120" s="632"/>
    </row>
    <row r="121" spans="1:7" ht="14.25" customHeight="1">
      <c r="A121" s="1969" t="s">
        <v>1560</v>
      </c>
      <c r="B121" s="1601"/>
      <c r="C121" s="1601"/>
      <c r="D121" s="1601"/>
      <c r="E121" s="1601"/>
      <c r="F121" s="1801"/>
      <c r="G121" s="631"/>
    </row>
    <row r="122" spans="1:7" ht="14.25" customHeight="1">
      <c r="A122" s="163" t="s">
        <v>1564</v>
      </c>
      <c r="B122" s="619"/>
      <c r="C122" s="619"/>
      <c r="D122" s="619"/>
      <c r="E122" s="619"/>
      <c r="F122" s="619"/>
      <c r="G122" s="619"/>
    </row>
    <row r="123" spans="1:7" ht="14.25" customHeight="1">
      <c r="A123" s="1965" t="s">
        <v>1565</v>
      </c>
      <c r="B123" s="1801"/>
      <c r="C123" s="424" t="s">
        <v>1566</v>
      </c>
      <c r="D123" s="530" t="s">
        <v>7</v>
      </c>
      <c r="E123" s="530" t="s">
        <v>1558</v>
      </c>
      <c r="F123" s="530" t="s">
        <v>1559</v>
      </c>
      <c r="G123" s="599"/>
    </row>
    <row r="124" spans="1:7" ht="14.25" customHeight="1">
      <c r="A124" s="1983" t="str">
        <f t="shared" ref="A124:A125" si="9">A92</f>
        <v>Oficial (Incl. Prestaciones)</v>
      </c>
      <c r="B124" s="1888"/>
      <c r="C124" s="558">
        <f>+'MANO DE OBRA'!$E$64</f>
        <v>15031.25</v>
      </c>
      <c r="D124" s="776">
        <v>1</v>
      </c>
      <c r="E124" s="777">
        <v>17.190970276326734</v>
      </c>
      <c r="F124" s="778">
        <f t="shared" ref="F124:F125" si="10">E124*D124*C124</f>
        <v>258401.77196603623</v>
      </c>
      <c r="G124" s="594"/>
    </row>
    <row r="125" spans="1:7" ht="14.25" customHeight="1">
      <c r="A125" s="1984" t="str">
        <f t="shared" si="9"/>
        <v>Ayudante (Incl. Prestaciones)</v>
      </c>
      <c r="B125" s="1819"/>
      <c r="C125" s="613">
        <f>+'MANO DE OBRA'!$E$65</f>
        <v>10972.8125</v>
      </c>
      <c r="D125" s="779">
        <v>2</v>
      </c>
      <c r="E125" s="780">
        <f>E124</f>
        <v>17.190970276326734</v>
      </c>
      <c r="F125" s="781">
        <f t="shared" si="10"/>
        <v>377266.58707041288</v>
      </c>
      <c r="G125" s="596"/>
    </row>
    <row r="126" spans="1:7" ht="14.25" customHeight="1">
      <c r="A126" s="1969" t="str">
        <f>+A121</f>
        <v>SUB-TOTAL</v>
      </c>
      <c r="B126" s="1601"/>
      <c r="C126" s="1601"/>
      <c r="D126" s="1601"/>
      <c r="E126" s="1601"/>
      <c r="F126" s="1801"/>
      <c r="G126" s="631">
        <f>SUM(F124:F125)</f>
        <v>635668.35903644911</v>
      </c>
    </row>
    <row r="127" spans="1:7" ht="11.25" customHeight="1">
      <c r="A127" s="619"/>
      <c r="B127" s="619"/>
      <c r="C127" s="619"/>
      <c r="D127" s="619"/>
      <c r="E127" s="619"/>
      <c r="F127" s="630"/>
      <c r="G127" s="619"/>
    </row>
    <row r="128" spans="1:7" ht="14.25" customHeight="1">
      <c r="A128" s="1969" t="s">
        <v>1567</v>
      </c>
      <c r="B128" s="1601"/>
      <c r="C128" s="1601"/>
      <c r="D128" s="1601"/>
      <c r="E128" s="1601"/>
      <c r="F128" s="1801"/>
      <c r="G128" s="782">
        <f>ROUND(G109+G116+G121+G126,0)</f>
        <v>3735113</v>
      </c>
    </row>
    <row r="131" spans="1:7" ht="13.5" customHeight="1">
      <c r="A131" s="1994" t="e">
        <f>+'ANALISIS BASICOS'!$A$7</f>
        <v>#REF!</v>
      </c>
      <c r="B131" s="1616"/>
      <c r="C131" s="1624"/>
      <c r="D131" s="1990"/>
      <c r="E131" s="1616"/>
      <c r="F131" s="1616"/>
      <c r="G131" s="1624"/>
    </row>
    <row r="132" spans="1:7" ht="44.25" customHeight="1">
      <c r="A132" s="1971"/>
      <c r="B132" s="1817"/>
      <c r="C132" s="1972"/>
      <c r="D132" s="1971"/>
      <c r="E132" s="1817"/>
      <c r="F132" s="1817"/>
      <c r="G132" s="1972"/>
    </row>
    <row r="133" spans="1:7" ht="14.25" customHeight="1">
      <c r="A133" s="619"/>
      <c r="B133" s="619"/>
      <c r="C133" s="619"/>
      <c r="D133" s="619"/>
      <c r="E133" s="619"/>
      <c r="F133" s="619"/>
      <c r="G133" s="619"/>
    </row>
    <row r="134" spans="1:7" ht="45.75" customHeight="1">
      <c r="A134" s="1991" t="e">
        <f ca="1">+A102</f>
        <v>#NAME?</v>
      </c>
      <c r="B134" s="1601"/>
      <c r="C134" s="1602"/>
      <c r="D134" s="1974" t="s">
        <v>1798</v>
      </c>
      <c r="E134" s="1601"/>
      <c r="F134" s="1601"/>
      <c r="G134" s="1602"/>
    </row>
    <row r="135" spans="1:7" ht="14.25" customHeight="1">
      <c r="A135" s="620"/>
      <c r="B135" s="620"/>
      <c r="C135" s="620"/>
      <c r="D135" s="620"/>
      <c r="E135" s="620"/>
      <c r="F135" s="620"/>
      <c r="G135" s="620"/>
    </row>
    <row r="136" spans="1:7" ht="12.75" customHeight="1">
      <c r="A136" s="774"/>
      <c r="B136" s="619"/>
      <c r="C136" s="162"/>
      <c r="D136" s="421" t="s">
        <v>1553</v>
      </c>
      <c r="E136" s="422" t="s">
        <v>228</v>
      </c>
      <c r="F136" s="421" t="s">
        <v>1554</v>
      </c>
      <c r="G136" s="422" t="s">
        <v>305</v>
      </c>
    </row>
    <row r="137" spans="1:7" ht="14.25" customHeight="1">
      <c r="A137" s="163" t="s">
        <v>1555</v>
      </c>
      <c r="B137" s="619"/>
      <c r="C137" s="619"/>
      <c r="D137" s="619"/>
      <c r="E137" s="619"/>
      <c r="F137" s="619"/>
      <c r="G137" s="619"/>
    </row>
    <row r="138" spans="1:7" ht="13.5" customHeight="1">
      <c r="A138" s="1975" t="s">
        <v>1556</v>
      </c>
      <c r="B138" s="1601"/>
      <c r="C138" s="1801"/>
      <c r="D138" s="530" t="s">
        <v>208</v>
      </c>
      <c r="E138" s="530" t="s">
        <v>1558</v>
      </c>
      <c r="F138" s="424" t="s">
        <v>1559</v>
      </c>
      <c r="G138" s="531"/>
    </row>
    <row r="139" spans="1:7" ht="14.25" customHeight="1">
      <c r="A139" s="1987" t="str">
        <f>A107</f>
        <v>HERRAMIENTA MENOR</v>
      </c>
      <c r="B139" s="1811"/>
      <c r="C139" s="1967"/>
      <c r="D139" s="582">
        <f>D107</f>
        <v>2850</v>
      </c>
      <c r="E139" s="610">
        <f>+E156</f>
        <v>3.4280088299795151</v>
      </c>
      <c r="F139" s="582">
        <f>E139*D139</f>
        <v>9769.8251654416181</v>
      </c>
      <c r="G139" s="594"/>
    </row>
    <row r="140" spans="1:7" ht="14.25" customHeight="1">
      <c r="A140" s="1996"/>
      <c r="B140" s="1807"/>
      <c r="C140" s="1819"/>
      <c r="D140" s="588"/>
      <c r="E140" s="622"/>
      <c r="F140" s="588"/>
      <c r="G140" s="596"/>
    </row>
    <row r="141" spans="1:7" ht="14.25" customHeight="1">
      <c r="A141" s="1969" t="s">
        <v>1560</v>
      </c>
      <c r="B141" s="1601"/>
      <c r="C141" s="1601"/>
      <c r="D141" s="1601"/>
      <c r="E141" s="1601"/>
      <c r="F141" s="1801"/>
      <c r="G141" s="631">
        <f>SUM(F139:F140)</f>
        <v>9769.8251654416181</v>
      </c>
    </row>
    <row r="142" spans="1:7" ht="14.25" customHeight="1">
      <c r="A142" s="163" t="s">
        <v>1561</v>
      </c>
      <c r="B142" s="619"/>
      <c r="C142" s="619"/>
      <c r="D142" s="619"/>
      <c r="E142" s="619"/>
      <c r="F142" s="619"/>
      <c r="G142" s="619"/>
    </row>
    <row r="143" spans="1:7" ht="14.25" customHeight="1">
      <c r="A143" s="1975" t="s">
        <v>1556</v>
      </c>
      <c r="B143" s="1801"/>
      <c r="C143" s="453" t="s">
        <v>6</v>
      </c>
      <c r="D143" s="453" t="s">
        <v>1562</v>
      </c>
      <c r="E143" s="453" t="s">
        <v>7</v>
      </c>
      <c r="F143" s="453" t="s">
        <v>1559</v>
      </c>
      <c r="G143" s="783"/>
    </row>
    <row r="144" spans="1:7" ht="14.25" customHeight="1">
      <c r="A144" s="1987" t="s">
        <v>1799</v>
      </c>
      <c r="B144" s="1967"/>
      <c r="C144" s="674" t="s">
        <v>120</v>
      </c>
      <c r="D144" s="675">
        <v>35000</v>
      </c>
      <c r="E144" s="674">
        <v>3</v>
      </c>
      <c r="F144" s="785">
        <f>D144*E144</f>
        <v>105000</v>
      </c>
      <c r="G144" s="688"/>
    </row>
    <row r="145" spans="1:7" ht="14.25" customHeight="1">
      <c r="A145" s="1995" t="s">
        <v>1800</v>
      </c>
      <c r="B145" s="1611"/>
      <c r="C145" s="444" t="s">
        <v>127</v>
      </c>
      <c r="D145" s="464">
        <v>45000</v>
      </c>
      <c r="E145" s="444">
        <v>0.7</v>
      </c>
      <c r="F145" s="786">
        <f t="shared" ref="F145:F147" si="11">+E145*D145</f>
        <v>31499.999999999996</v>
      </c>
      <c r="G145" s="751"/>
    </row>
    <row r="146" spans="1:7" ht="15.75" customHeight="1">
      <c r="A146" s="1995" t="s">
        <v>1801</v>
      </c>
      <c r="B146" s="1611"/>
      <c r="C146" s="738" t="s">
        <v>1614</v>
      </c>
      <c r="D146" s="464">
        <v>8500</v>
      </c>
      <c r="E146" s="444">
        <v>4</v>
      </c>
      <c r="F146" s="786">
        <f t="shared" si="11"/>
        <v>34000</v>
      </c>
      <c r="G146" s="751"/>
    </row>
    <row r="147" spans="1:7" ht="15.75" customHeight="1">
      <c r="A147" s="1996" t="s">
        <v>1802</v>
      </c>
      <c r="B147" s="1819"/>
      <c r="C147" s="587" t="s">
        <v>228</v>
      </c>
      <c r="D147" s="434">
        <v>42000</v>
      </c>
      <c r="E147" s="587">
        <v>1.02</v>
      </c>
      <c r="F147" s="787">
        <f t="shared" si="11"/>
        <v>42840</v>
      </c>
      <c r="G147" s="596"/>
    </row>
    <row r="148" spans="1:7" ht="14.25" customHeight="1">
      <c r="A148" s="1969" t="s">
        <v>1560</v>
      </c>
      <c r="B148" s="1601"/>
      <c r="C148" s="1601"/>
      <c r="D148" s="1601"/>
      <c r="E148" s="1601"/>
      <c r="F148" s="1801"/>
      <c r="G148" s="784">
        <f>SUM(F144:F147)</f>
        <v>213340</v>
      </c>
    </row>
    <row r="149" spans="1:7" ht="14.25" customHeight="1">
      <c r="A149" s="163" t="s">
        <v>1563</v>
      </c>
      <c r="B149" s="619"/>
      <c r="C149" s="619"/>
      <c r="D149" s="619"/>
      <c r="E149" s="619"/>
      <c r="F149" s="619"/>
      <c r="G149" s="619"/>
    </row>
    <row r="150" spans="1:7" ht="14.25" customHeight="1">
      <c r="A150" s="1965" t="s">
        <v>1556</v>
      </c>
      <c r="B150" s="1801"/>
      <c r="C150" s="530" t="s">
        <v>6</v>
      </c>
      <c r="D150" s="530" t="s">
        <v>1562</v>
      </c>
      <c r="E150" s="530" t="s">
        <v>7</v>
      </c>
      <c r="F150" s="530" t="s">
        <v>1559</v>
      </c>
      <c r="G150" s="597"/>
    </row>
    <row r="151" spans="1:7" ht="14.25" customHeight="1">
      <c r="A151" s="1987"/>
      <c r="B151" s="1967"/>
      <c r="C151" s="625"/>
      <c r="D151" s="582"/>
      <c r="E151" s="626"/>
      <c r="F151" s="585"/>
      <c r="G151" s="594"/>
    </row>
    <row r="152" spans="1:7" ht="14.25" customHeight="1">
      <c r="A152" s="1993"/>
      <c r="B152" s="1819"/>
      <c r="C152" s="625"/>
      <c r="D152" s="625"/>
      <c r="E152" s="588"/>
      <c r="F152" s="588"/>
      <c r="G152" s="632"/>
    </row>
    <row r="153" spans="1:7" ht="14.25" customHeight="1">
      <c r="A153" s="1969" t="s">
        <v>1560</v>
      </c>
      <c r="B153" s="1601"/>
      <c r="C153" s="1601"/>
      <c r="D153" s="1601"/>
      <c r="E153" s="1601"/>
      <c r="F153" s="1801"/>
      <c r="G153" s="631"/>
    </row>
    <row r="154" spans="1:7" ht="14.25" customHeight="1">
      <c r="A154" s="163" t="s">
        <v>1564</v>
      </c>
      <c r="B154" s="619"/>
      <c r="C154" s="619"/>
      <c r="D154" s="619"/>
      <c r="E154" s="619"/>
      <c r="F154" s="619"/>
      <c r="G154" s="619"/>
    </row>
    <row r="155" spans="1:7" ht="14.25" customHeight="1">
      <c r="A155" s="1965" t="s">
        <v>1565</v>
      </c>
      <c r="B155" s="1801"/>
      <c r="C155" s="424" t="s">
        <v>1566</v>
      </c>
      <c r="D155" s="530" t="s">
        <v>7</v>
      </c>
      <c r="E155" s="530" t="s">
        <v>1558</v>
      </c>
      <c r="F155" s="530" t="s">
        <v>1559</v>
      </c>
      <c r="G155" s="599"/>
    </row>
    <row r="156" spans="1:7" ht="14.25" customHeight="1">
      <c r="A156" s="1966" t="str">
        <f t="shared" ref="A156:A157" si="12">A124</f>
        <v>Oficial (Incl. Prestaciones)</v>
      </c>
      <c r="B156" s="1967"/>
      <c r="C156" s="558">
        <f>+'MANO DE OBRA'!$E$64</f>
        <v>15031.25</v>
      </c>
      <c r="D156" s="776">
        <v>1</v>
      </c>
      <c r="E156" s="777">
        <v>3.4280088299795151</v>
      </c>
      <c r="F156" s="778">
        <f t="shared" ref="F156:F157" si="13">E156*D156*C156</f>
        <v>51527.257725629584</v>
      </c>
      <c r="G156" s="594"/>
    </row>
    <row r="157" spans="1:7" ht="13.5" customHeight="1">
      <c r="A157" s="1984" t="str">
        <f t="shared" si="12"/>
        <v>Ayudante (Incl. Prestaciones)</v>
      </c>
      <c r="B157" s="1819"/>
      <c r="C157" s="613">
        <f>+'MANO DE OBRA'!$E$65</f>
        <v>10972.8125</v>
      </c>
      <c r="D157" s="779">
        <v>2</v>
      </c>
      <c r="E157" s="780">
        <f>E156</f>
        <v>3.4280088299795151</v>
      </c>
      <c r="F157" s="781">
        <f t="shared" si="13"/>
        <v>75229.796279419199</v>
      </c>
      <c r="G157" s="596"/>
    </row>
    <row r="158" spans="1:7" ht="14.25" customHeight="1">
      <c r="A158" s="1969" t="str">
        <f>+A153</f>
        <v>SUB-TOTAL</v>
      </c>
      <c r="B158" s="1601"/>
      <c r="C158" s="1601"/>
      <c r="D158" s="1601"/>
      <c r="E158" s="1601"/>
      <c r="F158" s="1801"/>
      <c r="G158" s="631">
        <f>SUM(F156:F157)</f>
        <v>126757.05400504879</v>
      </c>
    </row>
    <row r="159" spans="1:7" ht="11.25" customHeight="1">
      <c r="A159" s="619"/>
      <c r="B159" s="619"/>
      <c r="C159" s="619"/>
      <c r="D159" s="619"/>
      <c r="E159" s="619"/>
      <c r="F159" s="630"/>
      <c r="G159" s="619"/>
    </row>
    <row r="160" spans="1:7" ht="14.25" customHeight="1">
      <c r="A160" s="1969" t="s">
        <v>1567</v>
      </c>
      <c r="B160" s="1601"/>
      <c r="C160" s="1601"/>
      <c r="D160" s="1601"/>
      <c r="E160" s="1601"/>
      <c r="F160" s="1602"/>
      <c r="G160" s="782">
        <f>ROUND(G141+G148+G153+G158,0)</f>
        <v>349867</v>
      </c>
    </row>
    <row r="163" spans="1:7" ht="24.75" customHeight="1">
      <c r="A163" s="1994" t="e">
        <f>+'ANALISIS BASICOS'!$A$7</f>
        <v>#REF!</v>
      </c>
      <c r="B163" s="1616"/>
      <c r="C163" s="1624"/>
      <c r="D163" s="1990"/>
      <c r="E163" s="1616"/>
      <c r="F163" s="1616"/>
      <c r="G163" s="1624"/>
    </row>
    <row r="164" spans="1:7" ht="34.5" customHeight="1">
      <c r="A164" s="1971"/>
      <c r="B164" s="1817"/>
      <c r="C164" s="1972"/>
      <c r="D164" s="1971"/>
      <c r="E164" s="1817"/>
      <c r="F164" s="1817"/>
      <c r="G164" s="1972"/>
    </row>
    <row r="165" spans="1:7" ht="14.25" customHeight="1">
      <c r="A165" s="619"/>
      <c r="B165" s="619"/>
      <c r="C165" s="619"/>
      <c r="D165" s="619"/>
      <c r="E165" s="619"/>
      <c r="F165" s="619"/>
      <c r="G165" s="619"/>
    </row>
    <row r="166" spans="1:7" ht="47.25" customHeight="1">
      <c r="A166" s="1991" t="e">
        <f ca="1">+A134</f>
        <v>#NAME?</v>
      </c>
      <c r="B166" s="1601"/>
      <c r="C166" s="1602"/>
      <c r="D166" s="1974" t="s">
        <v>1803</v>
      </c>
      <c r="E166" s="1601"/>
      <c r="F166" s="1601"/>
      <c r="G166" s="1602"/>
    </row>
    <row r="167" spans="1:7" ht="14.25" customHeight="1">
      <c r="A167" s="620"/>
      <c r="B167" s="620"/>
      <c r="C167" s="620"/>
      <c r="D167" s="620"/>
      <c r="E167" s="620"/>
      <c r="F167" s="620"/>
      <c r="G167" s="620"/>
    </row>
    <row r="168" spans="1:7" ht="12.75" customHeight="1">
      <c r="A168" s="774"/>
      <c r="B168" s="619"/>
      <c r="C168" s="162"/>
      <c r="D168" s="421" t="s">
        <v>1553</v>
      </c>
      <c r="E168" s="422" t="s">
        <v>228</v>
      </c>
      <c r="F168" s="421" t="s">
        <v>1554</v>
      </c>
      <c r="G168" s="422" t="s">
        <v>64</v>
      </c>
    </row>
    <row r="169" spans="1:7" ht="14.25" customHeight="1">
      <c r="A169" s="163" t="s">
        <v>1555</v>
      </c>
      <c r="B169" s="619"/>
      <c r="C169" s="619"/>
      <c r="D169" s="619"/>
      <c r="E169" s="619"/>
      <c r="F169" s="619"/>
      <c r="G169" s="619"/>
    </row>
    <row r="170" spans="1:7" ht="13.5" customHeight="1">
      <c r="A170" s="1975" t="s">
        <v>1556</v>
      </c>
      <c r="B170" s="1601"/>
      <c r="C170" s="1801"/>
      <c r="D170" s="530" t="s">
        <v>208</v>
      </c>
      <c r="E170" s="530" t="s">
        <v>1558</v>
      </c>
      <c r="F170" s="424" t="s">
        <v>1559</v>
      </c>
      <c r="G170" s="531"/>
    </row>
    <row r="171" spans="1:7" ht="14.25" customHeight="1">
      <c r="A171" s="1987" t="s">
        <v>1568</v>
      </c>
      <c r="B171" s="1811"/>
      <c r="C171" s="1967"/>
      <c r="D171" s="582">
        <v>2062.5</v>
      </c>
      <c r="E171" s="610">
        <v>0.8</v>
      </c>
      <c r="F171" s="582">
        <f>D171*E171</f>
        <v>1650</v>
      </c>
      <c r="G171" s="594"/>
    </row>
    <row r="172" spans="1:7" ht="14.25" customHeight="1">
      <c r="A172" s="1996"/>
      <c r="B172" s="1807"/>
      <c r="C172" s="1819"/>
      <c r="D172" s="588"/>
      <c r="E172" s="622"/>
      <c r="F172" s="588"/>
      <c r="G172" s="596"/>
    </row>
    <row r="173" spans="1:7" ht="14.25" customHeight="1">
      <c r="A173" s="1969" t="s">
        <v>1560</v>
      </c>
      <c r="B173" s="1601"/>
      <c r="C173" s="1601"/>
      <c r="D173" s="1601"/>
      <c r="E173" s="1601"/>
      <c r="F173" s="1801"/>
      <c r="G173" s="631">
        <f>SUM(F171:F172)</f>
        <v>1650</v>
      </c>
    </row>
    <row r="174" spans="1:7" ht="14.25" customHeight="1">
      <c r="A174" s="163" t="s">
        <v>1561</v>
      </c>
      <c r="B174" s="619"/>
      <c r="C174" s="619"/>
      <c r="D174" s="619"/>
      <c r="E174" s="619"/>
      <c r="F174" s="619"/>
      <c r="G174" s="619"/>
    </row>
    <row r="175" spans="1:7" ht="14.25" customHeight="1">
      <c r="A175" s="2017" t="s">
        <v>1556</v>
      </c>
      <c r="B175" s="1932"/>
      <c r="C175" s="453" t="s">
        <v>6</v>
      </c>
      <c r="D175" s="453" t="s">
        <v>1562</v>
      </c>
      <c r="E175" s="453" t="s">
        <v>7</v>
      </c>
      <c r="F175" s="453" t="s">
        <v>1559</v>
      </c>
      <c r="G175" s="783"/>
    </row>
    <row r="176" spans="1:7" ht="14.25" customHeight="1">
      <c r="A176" s="1987" t="s">
        <v>1804</v>
      </c>
      <c r="B176" s="1967"/>
      <c r="C176" s="674" t="s">
        <v>120</v>
      </c>
      <c r="D176" s="675">
        <v>28500</v>
      </c>
      <c r="E176" s="674">
        <v>4.8499999999999996</v>
      </c>
      <c r="F176" s="785">
        <f t="shared" ref="F176:F179" si="14">+E176*D176</f>
        <v>138225</v>
      </c>
      <c r="G176" s="688"/>
    </row>
    <row r="177" spans="1:7" ht="14.25" customHeight="1">
      <c r="A177" s="1995" t="s">
        <v>683</v>
      </c>
      <c r="B177" s="1611"/>
      <c r="C177" s="444" t="s">
        <v>127</v>
      </c>
      <c r="D177" s="464">
        <v>15000</v>
      </c>
      <c r="E177" s="444">
        <v>1</v>
      </c>
      <c r="F177" s="785">
        <f t="shared" si="14"/>
        <v>15000</v>
      </c>
      <c r="G177" s="751"/>
    </row>
    <row r="178" spans="1:7" ht="15.75" customHeight="1">
      <c r="A178" s="1995" t="s">
        <v>1801</v>
      </c>
      <c r="B178" s="1611"/>
      <c r="C178" s="738" t="s">
        <v>1614</v>
      </c>
      <c r="D178" s="464">
        <v>8500</v>
      </c>
      <c r="E178" s="444">
        <v>3</v>
      </c>
      <c r="F178" s="786">
        <f t="shared" si="14"/>
        <v>25500</v>
      </c>
      <c r="G178" s="751"/>
    </row>
    <row r="179" spans="1:7" ht="12" customHeight="1">
      <c r="A179" s="1996" t="s">
        <v>1805</v>
      </c>
      <c r="B179" s="1819"/>
      <c r="C179" s="587" t="s">
        <v>228</v>
      </c>
      <c r="D179" s="434">
        <v>60000</v>
      </c>
      <c r="E179" s="587">
        <v>1.5</v>
      </c>
      <c r="F179" s="787">
        <f t="shared" si="14"/>
        <v>90000</v>
      </c>
      <c r="G179" s="596"/>
    </row>
    <row r="180" spans="1:7" ht="14.25" customHeight="1">
      <c r="A180" s="2018" t="s">
        <v>1560</v>
      </c>
      <c r="B180" s="1817"/>
      <c r="C180" s="1817"/>
      <c r="D180" s="1817"/>
      <c r="E180" s="1817"/>
      <c r="F180" s="2000"/>
      <c r="G180" s="784">
        <f>SUM(F176:F179)</f>
        <v>268725</v>
      </c>
    </row>
    <row r="181" spans="1:7" ht="14.25" customHeight="1">
      <c r="A181" s="163" t="s">
        <v>1563</v>
      </c>
      <c r="B181" s="619"/>
      <c r="C181" s="619"/>
      <c r="D181" s="619"/>
      <c r="E181" s="619"/>
      <c r="F181" s="619"/>
      <c r="G181" s="619"/>
    </row>
    <row r="182" spans="1:7" ht="14.25" customHeight="1">
      <c r="A182" s="1965" t="s">
        <v>1556</v>
      </c>
      <c r="B182" s="1801"/>
      <c r="C182" s="530" t="s">
        <v>6</v>
      </c>
      <c r="D182" s="530" t="s">
        <v>1562</v>
      </c>
      <c r="E182" s="530" t="s">
        <v>7</v>
      </c>
      <c r="F182" s="530" t="s">
        <v>1559</v>
      </c>
      <c r="G182" s="597"/>
    </row>
    <row r="183" spans="1:7" ht="14.25" customHeight="1">
      <c r="A183" s="1987"/>
      <c r="B183" s="1967"/>
      <c r="C183" s="625"/>
      <c r="D183" s="582"/>
      <c r="E183" s="626"/>
      <c r="F183" s="585"/>
      <c r="G183" s="594"/>
    </row>
    <row r="184" spans="1:7" ht="14.25" customHeight="1">
      <c r="A184" s="1993"/>
      <c r="B184" s="1819"/>
      <c r="C184" s="625"/>
      <c r="D184" s="625"/>
      <c r="E184" s="588"/>
      <c r="F184" s="588"/>
      <c r="G184" s="632"/>
    </row>
    <row r="185" spans="1:7" ht="14.25" customHeight="1">
      <c r="A185" s="1969" t="s">
        <v>1560</v>
      </c>
      <c r="B185" s="1601"/>
      <c r="C185" s="1601"/>
      <c r="D185" s="1601"/>
      <c r="E185" s="1601"/>
      <c r="F185" s="1801"/>
      <c r="G185" s="631"/>
    </row>
    <row r="186" spans="1:7" ht="14.25" customHeight="1">
      <c r="A186" s="163" t="s">
        <v>1564</v>
      </c>
      <c r="B186" s="619"/>
      <c r="C186" s="619"/>
      <c r="D186" s="619"/>
      <c r="E186" s="619"/>
      <c r="F186" s="619"/>
      <c r="G186" s="619"/>
    </row>
    <row r="187" spans="1:7" ht="14.25" customHeight="1">
      <c r="A187" s="1965" t="s">
        <v>1565</v>
      </c>
      <c r="B187" s="1801"/>
      <c r="C187" s="424" t="s">
        <v>1566</v>
      </c>
      <c r="D187" s="530" t="s">
        <v>7</v>
      </c>
      <c r="E187" s="530" t="s">
        <v>1558</v>
      </c>
      <c r="F187" s="530" t="s">
        <v>1559</v>
      </c>
      <c r="G187" s="599"/>
    </row>
    <row r="188" spans="1:7" ht="14.25" customHeight="1">
      <c r="A188" s="1983" t="s">
        <v>1574</v>
      </c>
      <c r="B188" s="1888"/>
      <c r="C188" s="558">
        <f>+'MANO DE OBRA'!$E$64</f>
        <v>15031.25</v>
      </c>
      <c r="D188" s="776">
        <v>1</v>
      </c>
      <c r="E188" s="777">
        <v>3.4324165673196432</v>
      </c>
      <c r="F188" s="778">
        <f t="shared" ref="F188:F189" si="15">E188*D188*C188</f>
        <v>51593.511527523384</v>
      </c>
      <c r="G188" s="594"/>
    </row>
    <row r="189" spans="1:7" ht="14.25" customHeight="1">
      <c r="A189" s="1984" t="str">
        <f>A157</f>
        <v>Ayudante (Incl. Prestaciones)</v>
      </c>
      <c r="B189" s="1819"/>
      <c r="C189" s="613">
        <f>+'MANO DE OBRA'!$E$65</f>
        <v>10972.8125</v>
      </c>
      <c r="D189" s="779">
        <v>2</v>
      </c>
      <c r="E189" s="780">
        <f>E188</f>
        <v>3.4324165673196432</v>
      </c>
      <c r="F189" s="781">
        <f t="shared" si="15"/>
        <v>75326.526830184142</v>
      </c>
      <c r="G189" s="596"/>
    </row>
    <row r="190" spans="1:7" ht="14.25" customHeight="1">
      <c r="A190" s="1969" t="str">
        <f>+A185</f>
        <v>SUB-TOTAL</v>
      </c>
      <c r="B190" s="1601"/>
      <c r="C190" s="1601"/>
      <c r="D190" s="1601"/>
      <c r="E190" s="1601"/>
      <c r="F190" s="1801"/>
      <c r="G190" s="631">
        <f>SUM(F188:F189)</f>
        <v>126920.03835770753</v>
      </c>
    </row>
    <row r="191" spans="1:7" ht="11.25" customHeight="1">
      <c r="A191" s="619"/>
      <c r="B191" s="619"/>
      <c r="C191" s="619"/>
      <c r="D191" s="619"/>
      <c r="E191" s="619"/>
      <c r="F191" s="630"/>
      <c r="G191" s="619"/>
    </row>
    <row r="192" spans="1:7" ht="14.25" customHeight="1">
      <c r="A192" s="1969" t="s">
        <v>1567</v>
      </c>
      <c r="B192" s="1601"/>
      <c r="C192" s="1601"/>
      <c r="D192" s="1601"/>
      <c r="E192" s="1601"/>
      <c r="F192" s="1801"/>
      <c r="G192" s="782">
        <f>ROUND(G173+G180+G185+G190,0)</f>
        <v>397295</v>
      </c>
    </row>
    <row r="195" spans="1:7" ht="22.5" customHeight="1">
      <c r="A195" s="1994" t="e">
        <f>+'ANALISIS BASICOS'!$A$7</f>
        <v>#REF!</v>
      </c>
      <c r="B195" s="1616"/>
      <c r="C195" s="1624"/>
      <c r="D195" s="1990"/>
      <c r="E195" s="1616"/>
      <c r="F195" s="1616"/>
      <c r="G195" s="1624"/>
    </row>
    <row r="196" spans="1:7" ht="30.75" customHeight="1">
      <c r="A196" s="1971"/>
      <c r="B196" s="1817"/>
      <c r="C196" s="1972"/>
      <c r="D196" s="1971"/>
      <c r="E196" s="1817"/>
      <c r="F196" s="1817"/>
      <c r="G196" s="1972"/>
    </row>
    <row r="197" spans="1:7" ht="14.25" customHeight="1">
      <c r="A197" s="619"/>
      <c r="B197" s="619"/>
      <c r="C197" s="619"/>
      <c r="D197" s="619"/>
      <c r="E197" s="619"/>
      <c r="F197" s="619"/>
      <c r="G197" s="619"/>
    </row>
    <row r="198" spans="1:7" ht="57.75" customHeight="1">
      <c r="A198" s="1991" t="e">
        <f ca="1">+A166</f>
        <v>#NAME?</v>
      </c>
      <c r="B198" s="1601"/>
      <c r="C198" s="1602"/>
      <c r="D198" s="1974" t="s">
        <v>1806</v>
      </c>
      <c r="E198" s="1601"/>
      <c r="F198" s="1601"/>
      <c r="G198" s="1602"/>
    </row>
    <row r="199" spans="1:7" ht="14.25" customHeight="1">
      <c r="A199" s="620"/>
      <c r="B199" s="620"/>
      <c r="C199" s="620"/>
      <c r="D199" s="620"/>
      <c r="E199" s="620"/>
      <c r="F199" s="620"/>
      <c r="G199" s="620"/>
    </row>
    <row r="200" spans="1:7" ht="12.75" customHeight="1">
      <c r="A200" s="774"/>
      <c r="B200" s="619"/>
      <c r="C200" s="162"/>
      <c r="D200" s="421" t="s">
        <v>1553</v>
      </c>
      <c r="E200" s="422" t="s">
        <v>228</v>
      </c>
      <c r="F200" s="421" t="s">
        <v>1554</v>
      </c>
      <c r="G200" s="422" t="s">
        <v>303</v>
      </c>
    </row>
    <row r="201" spans="1:7" ht="14.25" customHeight="1">
      <c r="A201" s="163" t="s">
        <v>1555</v>
      </c>
      <c r="B201" s="619"/>
      <c r="C201" s="619"/>
      <c r="D201" s="619"/>
      <c r="E201" s="619"/>
      <c r="F201" s="619"/>
      <c r="G201" s="619"/>
    </row>
    <row r="202" spans="1:7" ht="13.5" customHeight="1">
      <c r="A202" s="1975" t="s">
        <v>1556</v>
      </c>
      <c r="B202" s="1601"/>
      <c r="C202" s="1801"/>
      <c r="D202" s="530" t="s">
        <v>208</v>
      </c>
      <c r="E202" s="530" t="s">
        <v>1558</v>
      </c>
      <c r="F202" s="424" t="s">
        <v>1559</v>
      </c>
      <c r="G202" s="531"/>
    </row>
    <row r="203" spans="1:7" ht="14.25" customHeight="1">
      <c r="A203" s="1987" t="str">
        <f>$A$171</f>
        <v>HERRAMIENTA MENOR</v>
      </c>
      <c r="B203" s="1811"/>
      <c r="C203" s="1967"/>
      <c r="D203" s="582">
        <f>$D$139</f>
        <v>2850</v>
      </c>
      <c r="E203" s="610">
        <f>+E220</f>
        <v>4.6131888101065872</v>
      </c>
      <c r="F203" s="582">
        <f>D203/E203</f>
        <v>617.79392028269297</v>
      </c>
      <c r="G203" s="594"/>
    </row>
    <row r="204" spans="1:7" ht="14.25" customHeight="1">
      <c r="A204" s="1996" t="s">
        <v>1792</v>
      </c>
      <c r="B204" s="1807"/>
      <c r="C204" s="1819"/>
      <c r="D204" s="588">
        <f>$D$11</f>
        <v>9750</v>
      </c>
      <c r="E204" s="622">
        <f>+E203</f>
        <v>4.6131888101065872</v>
      </c>
      <c r="F204" s="588">
        <f>E204*D204</f>
        <v>44978.590898539223</v>
      </c>
      <c r="G204" s="596"/>
    </row>
    <row r="205" spans="1:7" ht="14.25" customHeight="1">
      <c r="A205" s="1969" t="s">
        <v>1560</v>
      </c>
      <c r="B205" s="1601"/>
      <c r="C205" s="1601"/>
      <c r="D205" s="1601"/>
      <c r="E205" s="1601"/>
      <c r="F205" s="1801"/>
      <c r="G205" s="631">
        <f>SUM(F203:F204)</f>
        <v>45596.38481882192</v>
      </c>
    </row>
    <row r="206" spans="1:7" ht="14.25" customHeight="1">
      <c r="A206" s="163" t="s">
        <v>1561</v>
      </c>
      <c r="B206" s="619"/>
      <c r="C206" s="619"/>
      <c r="D206" s="619"/>
      <c r="E206" s="619"/>
      <c r="F206" s="619"/>
      <c r="G206" s="619"/>
    </row>
    <row r="207" spans="1:7" ht="14.25" customHeight="1">
      <c r="A207" s="2017" t="s">
        <v>1556</v>
      </c>
      <c r="B207" s="1932"/>
      <c r="C207" s="453" t="s">
        <v>6</v>
      </c>
      <c r="D207" s="453" t="s">
        <v>1562</v>
      </c>
      <c r="E207" s="453" t="s">
        <v>7</v>
      </c>
      <c r="F207" s="453" t="s">
        <v>1559</v>
      </c>
      <c r="G207" s="783"/>
    </row>
    <row r="208" spans="1:7" ht="14.25" customHeight="1">
      <c r="A208" s="1987" t="s">
        <v>1807</v>
      </c>
      <c r="B208" s="1967"/>
      <c r="C208" s="674" t="s">
        <v>228</v>
      </c>
      <c r="D208" s="675">
        <v>385145</v>
      </c>
      <c r="E208" s="674">
        <v>1.05</v>
      </c>
      <c r="F208" s="785">
        <f>D208*E208</f>
        <v>404402.25</v>
      </c>
      <c r="G208" s="688"/>
    </row>
    <row r="209" spans="1:7" ht="12.75" customHeight="1">
      <c r="A209" s="1995" t="s">
        <v>1794</v>
      </c>
      <c r="B209" s="1611"/>
      <c r="C209" s="738" t="s">
        <v>228</v>
      </c>
      <c r="D209" s="464">
        <v>124550</v>
      </c>
      <c r="E209" s="444">
        <v>1</v>
      </c>
      <c r="F209" s="786">
        <f>+E209*D209</f>
        <v>124550</v>
      </c>
      <c r="G209" s="751"/>
    </row>
    <row r="210" spans="1:7" ht="15.75" customHeight="1">
      <c r="A210" s="1995"/>
      <c r="B210" s="1611"/>
      <c r="C210" s="738"/>
      <c r="D210" s="464"/>
      <c r="E210" s="444"/>
      <c r="F210" s="786"/>
      <c r="G210" s="751"/>
    </row>
    <row r="211" spans="1:7" ht="12" customHeight="1">
      <c r="A211" s="1996"/>
      <c r="B211" s="1819"/>
      <c r="C211" s="587"/>
      <c r="D211" s="434"/>
      <c r="E211" s="587"/>
      <c r="F211" s="787"/>
      <c r="G211" s="596"/>
    </row>
    <row r="212" spans="1:7" ht="14.25" customHeight="1">
      <c r="A212" s="2018" t="s">
        <v>1560</v>
      </c>
      <c r="B212" s="1817"/>
      <c r="C212" s="1817"/>
      <c r="D212" s="1817"/>
      <c r="E212" s="1817"/>
      <c r="F212" s="2000"/>
      <c r="G212" s="784">
        <f>SUM(F208:F211)</f>
        <v>528952.25</v>
      </c>
    </row>
    <row r="213" spans="1:7" ht="14.25" customHeight="1">
      <c r="A213" s="163" t="s">
        <v>1563</v>
      </c>
      <c r="B213" s="619"/>
      <c r="C213" s="619"/>
      <c r="D213" s="619"/>
      <c r="E213" s="619"/>
      <c r="F213" s="619"/>
      <c r="G213" s="619"/>
    </row>
    <row r="214" spans="1:7" ht="14.25" customHeight="1">
      <c r="A214" s="1965" t="s">
        <v>1556</v>
      </c>
      <c r="B214" s="1801"/>
      <c r="C214" s="530" t="s">
        <v>6</v>
      </c>
      <c r="D214" s="530" t="s">
        <v>1562</v>
      </c>
      <c r="E214" s="530" t="s">
        <v>7</v>
      </c>
      <c r="F214" s="530" t="s">
        <v>1559</v>
      </c>
      <c r="G214" s="597"/>
    </row>
    <row r="215" spans="1:7" ht="14.25" customHeight="1">
      <c r="A215" s="1987"/>
      <c r="B215" s="1967"/>
      <c r="C215" s="625"/>
      <c r="D215" s="582"/>
      <c r="E215" s="626"/>
      <c r="F215" s="585"/>
      <c r="G215" s="594"/>
    </row>
    <row r="216" spans="1:7" ht="14.25" customHeight="1">
      <c r="A216" s="1993"/>
      <c r="B216" s="1819"/>
      <c r="C216" s="625"/>
      <c r="D216" s="625"/>
      <c r="E216" s="588"/>
      <c r="F216" s="588"/>
      <c r="G216" s="632"/>
    </row>
    <row r="217" spans="1:7" ht="14.25" customHeight="1">
      <c r="A217" s="1969" t="s">
        <v>1560</v>
      </c>
      <c r="B217" s="1601"/>
      <c r="C217" s="1601"/>
      <c r="D217" s="1601"/>
      <c r="E217" s="1601"/>
      <c r="F217" s="1801"/>
      <c r="G217" s="631"/>
    </row>
    <row r="218" spans="1:7" ht="14.25" customHeight="1">
      <c r="A218" s="163" t="s">
        <v>1564</v>
      </c>
      <c r="B218" s="619"/>
      <c r="C218" s="619"/>
      <c r="D218" s="619"/>
      <c r="E218" s="619"/>
      <c r="F218" s="619"/>
      <c r="G218" s="619"/>
    </row>
    <row r="219" spans="1:7" ht="14.25" customHeight="1">
      <c r="A219" s="1965" t="s">
        <v>1565</v>
      </c>
      <c r="B219" s="1801"/>
      <c r="C219" s="424" t="s">
        <v>1566</v>
      </c>
      <c r="D219" s="530" t="s">
        <v>7</v>
      </c>
      <c r="E219" s="530" t="s">
        <v>1558</v>
      </c>
      <c r="F219" s="530" t="s">
        <v>1559</v>
      </c>
      <c r="G219" s="599"/>
    </row>
    <row r="220" spans="1:7" ht="14.25" customHeight="1">
      <c r="A220" s="1983" t="str">
        <f>A156</f>
        <v>Oficial (Incl. Prestaciones)</v>
      </c>
      <c r="B220" s="1888"/>
      <c r="C220" s="558">
        <f>+'MANO DE OBRA'!$E$64</f>
        <v>15031.25</v>
      </c>
      <c r="D220" s="776">
        <v>1</v>
      </c>
      <c r="E220" s="777">
        <v>4.6131888101065872</v>
      </c>
      <c r="F220" s="778">
        <f t="shared" ref="F220:F221" si="16">E220*D220*C220</f>
        <v>69341.994301914645</v>
      </c>
      <c r="G220" s="594"/>
    </row>
    <row r="221" spans="1:7" ht="14.25" customHeight="1">
      <c r="A221" s="1984" t="str">
        <f>A189</f>
        <v>Ayudante (Incl. Prestaciones)</v>
      </c>
      <c r="B221" s="1819"/>
      <c r="C221" s="613">
        <f>+'MANO DE OBRA'!$E$65</f>
        <v>10972.8125</v>
      </c>
      <c r="D221" s="779">
        <v>2</v>
      </c>
      <c r="E221" s="780">
        <f>E220</f>
        <v>4.6131888101065872</v>
      </c>
      <c r="F221" s="781">
        <f t="shared" si="16"/>
        <v>101239.31168079538</v>
      </c>
      <c r="G221" s="596"/>
    </row>
    <row r="222" spans="1:7" ht="14.25" customHeight="1">
      <c r="A222" s="1969" t="str">
        <f>+A217</f>
        <v>SUB-TOTAL</v>
      </c>
      <c r="B222" s="1601"/>
      <c r="C222" s="1601"/>
      <c r="D222" s="1601"/>
      <c r="E222" s="1601"/>
      <c r="F222" s="1801"/>
      <c r="G222" s="631">
        <f>SUM(F220:F221)</f>
        <v>170581.30598271004</v>
      </c>
    </row>
    <row r="223" spans="1:7" ht="11.25" customHeight="1">
      <c r="A223" s="619"/>
      <c r="B223" s="619"/>
      <c r="C223" s="619"/>
      <c r="D223" s="619"/>
      <c r="E223" s="619"/>
      <c r="F223" s="630"/>
      <c r="G223" s="619"/>
    </row>
    <row r="224" spans="1:7" ht="14.25" customHeight="1">
      <c r="A224" s="1969" t="s">
        <v>1567</v>
      </c>
      <c r="B224" s="1601"/>
      <c r="C224" s="1601"/>
      <c r="D224" s="1601"/>
      <c r="E224" s="1601"/>
      <c r="F224" s="1801"/>
      <c r="G224" s="782">
        <f>ROUND(G205+G212+G217+G222,0)</f>
        <v>745130</v>
      </c>
    </row>
    <row r="227" spans="1:7" ht="22.5" customHeight="1">
      <c r="A227" s="1994" t="e">
        <f>+'ANALISIS BASICOS'!$A$7</f>
        <v>#REF!</v>
      </c>
      <c r="B227" s="1616"/>
      <c r="C227" s="1624"/>
      <c r="D227" s="1990"/>
      <c r="E227" s="1616"/>
      <c r="F227" s="1616"/>
      <c r="G227" s="1624"/>
    </row>
    <row r="228" spans="1:7" ht="30.75" customHeight="1">
      <c r="A228" s="1971"/>
      <c r="B228" s="1817"/>
      <c r="C228" s="1972"/>
      <c r="D228" s="1971"/>
      <c r="E228" s="1817"/>
      <c r="F228" s="1817"/>
      <c r="G228" s="1972"/>
    </row>
    <row r="229" spans="1:7" ht="14.25" customHeight="1">
      <c r="A229" s="619"/>
      <c r="B229" s="619"/>
      <c r="C229" s="619"/>
      <c r="D229" s="619"/>
      <c r="E229" s="619"/>
      <c r="F229" s="619"/>
      <c r="G229" s="619"/>
    </row>
    <row r="230" spans="1:7" ht="57.75" customHeight="1">
      <c r="A230" s="1991" t="e">
        <f ca="1">+A166</f>
        <v>#NAME?</v>
      </c>
      <c r="B230" s="1601"/>
      <c r="C230" s="1602"/>
      <c r="D230" s="1974" t="s">
        <v>1808</v>
      </c>
      <c r="E230" s="1601"/>
      <c r="F230" s="1601"/>
      <c r="G230" s="1602"/>
    </row>
    <row r="231" spans="1:7" ht="14.25" customHeight="1">
      <c r="A231" s="620"/>
      <c r="B231" s="620"/>
      <c r="C231" s="620"/>
      <c r="D231" s="620"/>
      <c r="E231" s="620"/>
      <c r="F231" s="620"/>
      <c r="G231" s="620"/>
    </row>
    <row r="232" spans="1:7" ht="12.75" customHeight="1">
      <c r="A232" s="774"/>
      <c r="B232" s="619"/>
      <c r="C232" s="162"/>
      <c r="D232" s="421" t="s">
        <v>1553</v>
      </c>
      <c r="E232" s="422" t="s">
        <v>228</v>
      </c>
      <c r="F232" s="421" t="s">
        <v>1554</v>
      </c>
      <c r="G232" s="422" t="s">
        <v>62</v>
      </c>
    </row>
    <row r="233" spans="1:7" ht="14.25" customHeight="1">
      <c r="A233" s="163" t="s">
        <v>1555</v>
      </c>
      <c r="B233" s="619"/>
      <c r="C233" s="619"/>
      <c r="D233" s="619"/>
      <c r="E233" s="619"/>
      <c r="F233" s="619"/>
      <c r="G233" s="619"/>
    </row>
    <row r="234" spans="1:7" ht="13.5" customHeight="1">
      <c r="A234" s="1975" t="s">
        <v>1556</v>
      </c>
      <c r="B234" s="1601"/>
      <c r="C234" s="1801"/>
      <c r="D234" s="788" t="s">
        <v>208</v>
      </c>
      <c r="E234" s="788" t="s">
        <v>1558</v>
      </c>
      <c r="F234" s="453" t="s">
        <v>1559</v>
      </c>
      <c r="G234" s="783"/>
    </row>
    <row r="235" spans="1:7" ht="14.25" customHeight="1">
      <c r="A235" s="1987" t="str">
        <f>$A$171</f>
        <v>HERRAMIENTA MENOR</v>
      </c>
      <c r="B235" s="1811"/>
      <c r="C235" s="1967"/>
      <c r="D235" s="582">
        <f>$D$139</f>
        <v>2850</v>
      </c>
      <c r="E235" s="610">
        <f>+E252</f>
        <v>0.14495333787912928</v>
      </c>
      <c r="F235" s="582">
        <f>D235*E235</f>
        <v>413.11701295551848</v>
      </c>
      <c r="G235" s="594"/>
    </row>
    <row r="236" spans="1:7" ht="14.25" customHeight="1">
      <c r="A236" s="1995"/>
      <c r="B236" s="1610"/>
      <c r="C236" s="1611"/>
      <c r="D236" s="585"/>
      <c r="E236" s="446"/>
      <c r="F236" s="789"/>
      <c r="G236" s="595"/>
    </row>
    <row r="237" spans="1:7" ht="14.25" customHeight="1">
      <c r="A237" s="1996"/>
      <c r="B237" s="1807"/>
      <c r="C237" s="1819"/>
      <c r="D237" s="588"/>
      <c r="E237" s="622"/>
      <c r="F237" s="588"/>
      <c r="G237" s="596"/>
    </row>
    <row r="238" spans="1:7" ht="14.25" customHeight="1">
      <c r="A238" s="1969" t="s">
        <v>1560</v>
      </c>
      <c r="B238" s="1601"/>
      <c r="C238" s="1601"/>
      <c r="D238" s="1601"/>
      <c r="E238" s="1601"/>
      <c r="F238" s="1801"/>
      <c r="G238" s="629">
        <f>SUM(F235:F237)</f>
        <v>413.11701295551848</v>
      </c>
    </row>
    <row r="239" spans="1:7" ht="14.25" customHeight="1">
      <c r="A239" s="163" t="s">
        <v>1561</v>
      </c>
      <c r="B239" s="619"/>
      <c r="C239" s="619"/>
      <c r="D239" s="619"/>
      <c r="E239" s="619"/>
      <c r="F239" s="619"/>
      <c r="G239" s="624"/>
    </row>
    <row r="240" spans="1:7" ht="14.25" customHeight="1">
      <c r="A240" s="1975" t="s">
        <v>1556</v>
      </c>
      <c r="B240" s="1801"/>
      <c r="C240" s="453" t="s">
        <v>6</v>
      </c>
      <c r="D240" s="453" t="s">
        <v>1562</v>
      </c>
      <c r="E240" s="453" t="s">
        <v>7</v>
      </c>
      <c r="F240" s="453" t="s">
        <v>1559</v>
      </c>
      <c r="G240" s="790"/>
    </row>
    <row r="241" spans="1:7" ht="14.25" customHeight="1">
      <c r="A241" s="1987" t="s">
        <v>1809</v>
      </c>
      <c r="B241" s="1967"/>
      <c r="C241" s="674" t="s">
        <v>228</v>
      </c>
      <c r="D241" s="675">
        <v>17235</v>
      </c>
      <c r="E241" s="674">
        <v>1.05</v>
      </c>
      <c r="F241" s="785">
        <f t="shared" ref="F241:F243" si="17">D241*E241</f>
        <v>18096.75</v>
      </c>
      <c r="G241" s="676"/>
    </row>
    <row r="242" spans="1:7" ht="14.25" customHeight="1">
      <c r="A242" s="1995" t="s">
        <v>1810</v>
      </c>
      <c r="B242" s="1611"/>
      <c r="C242" s="444" t="s">
        <v>127</v>
      </c>
      <c r="D242" s="464">
        <v>4550</v>
      </c>
      <c r="E242" s="444">
        <v>1</v>
      </c>
      <c r="F242" s="786">
        <f t="shared" si="17"/>
        <v>4550</v>
      </c>
      <c r="G242" s="707"/>
    </row>
    <row r="243" spans="1:7" ht="14.25" customHeight="1">
      <c r="A243" s="1996" t="s">
        <v>1811</v>
      </c>
      <c r="B243" s="1819"/>
      <c r="C243" s="738" t="s">
        <v>120</v>
      </c>
      <c r="D243" s="464">
        <v>1450</v>
      </c>
      <c r="E243" s="444">
        <v>4.5</v>
      </c>
      <c r="F243" s="786">
        <f t="shared" si="17"/>
        <v>6525</v>
      </c>
      <c r="G243" s="707"/>
    </row>
    <row r="244" spans="1:7" ht="14.25" customHeight="1">
      <c r="A244" s="1969" t="s">
        <v>1560</v>
      </c>
      <c r="B244" s="1601"/>
      <c r="C244" s="1601"/>
      <c r="D244" s="1601"/>
      <c r="E244" s="1601"/>
      <c r="F244" s="1801"/>
      <c r="G244" s="629">
        <f>SUM(F241:F243)</f>
        <v>29171.75</v>
      </c>
    </row>
    <row r="245" spans="1:7" ht="14.25" customHeight="1">
      <c r="A245" s="163" t="s">
        <v>1563</v>
      </c>
      <c r="B245" s="619"/>
      <c r="C245" s="619"/>
      <c r="D245" s="619"/>
      <c r="E245" s="619"/>
      <c r="F245" s="619"/>
      <c r="G245" s="624"/>
    </row>
    <row r="246" spans="1:7" ht="14.25" customHeight="1">
      <c r="A246" s="1965" t="s">
        <v>1556</v>
      </c>
      <c r="B246" s="1801"/>
      <c r="C246" s="530" t="s">
        <v>6</v>
      </c>
      <c r="D246" s="530" t="s">
        <v>1562</v>
      </c>
      <c r="E246" s="530" t="s">
        <v>7</v>
      </c>
      <c r="F246" s="530" t="s">
        <v>1559</v>
      </c>
      <c r="G246" s="552"/>
    </row>
    <row r="247" spans="1:7" ht="14.25" customHeight="1">
      <c r="A247" s="1987"/>
      <c r="B247" s="1967"/>
      <c r="C247" s="625"/>
      <c r="D247" s="582"/>
      <c r="E247" s="626"/>
      <c r="F247" s="585"/>
      <c r="G247" s="583"/>
    </row>
    <row r="248" spans="1:7" ht="14.25" customHeight="1">
      <c r="A248" s="1996"/>
      <c r="B248" s="1819"/>
      <c r="C248" s="625"/>
      <c r="D248" s="625"/>
      <c r="E248" s="588"/>
      <c r="F248" s="588"/>
      <c r="G248" s="629"/>
    </row>
    <row r="249" spans="1:7" ht="14.25" customHeight="1">
      <c r="A249" s="602" t="s">
        <v>1560</v>
      </c>
      <c r="B249" s="643"/>
      <c r="C249" s="643"/>
      <c r="D249" s="643"/>
      <c r="E249" s="643"/>
      <c r="F249" s="644" t="s">
        <v>1629</v>
      </c>
      <c r="G249" s="557">
        <f>SUM(F247:F248)</f>
        <v>0</v>
      </c>
    </row>
    <row r="250" spans="1:7" ht="14.25" customHeight="1">
      <c r="A250" s="163" t="s">
        <v>1564</v>
      </c>
      <c r="B250" s="619"/>
      <c r="C250" s="619"/>
      <c r="D250" s="619"/>
      <c r="E250" s="619"/>
      <c r="F250" s="619"/>
      <c r="G250" s="624"/>
    </row>
    <row r="251" spans="1:7" ht="14.25" customHeight="1">
      <c r="A251" s="1965" t="s">
        <v>1565</v>
      </c>
      <c r="B251" s="1801"/>
      <c r="C251" s="424" t="s">
        <v>1566</v>
      </c>
      <c r="D251" s="530" t="s">
        <v>7</v>
      </c>
      <c r="E251" s="530" t="s">
        <v>1558</v>
      </c>
      <c r="F251" s="530" t="s">
        <v>1559</v>
      </c>
      <c r="G251" s="557"/>
    </row>
    <row r="252" spans="1:7" ht="14.25" customHeight="1">
      <c r="A252" s="1966" t="s">
        <v>1574</v>
      </c>
      <c r="B252" s="1967"/>
      <c r="C252" s="679">
        <f>+'MANO DE OBRA'!$E$64</f>
        <v>15031.25</v>
      </c>
      <c r="D252" s="776">
        <v>1</v>
      </c>
      <c r="E252" s="777">
        <v>0.14495333787912928</v>
      </c>
      <c r="F252" s="778">
        <f t="shared" ref="F252:F253" si="18">E252*D252*C252</f>
        <v>2178.829859995662</v>
      </c>
      <c r="G252" s="583"/>
    </row>
    <row r="253" spans="1:7" ht="14.25" customHeight="1">
      <c r="A253" s="1984" t="s">
        <v>1576</v>
      </c>
      <c r="B253" s="1819"/>
      <c r="C253" s="681">
        <f>+'MANO DE OBRA'!$E$65</f>
        <v>10972.8125</v>
      </c>
      <c r="D253" s="779">
        <v>7</v>
      </c>
      <c r="E253" s="780">
        <f>E252</f>
        <v>0.14495333787912928</v>
      </c>
      <c r="F253" s="781">
        <f t="shared" si="18"/>
        <v>11133.820584577834</v>
      </c>
      <c r="G253" s="589"/>
    </row>
    <row r="254" spans="1:7" ht="14.25" customHeight="1">
      <c r="A254" s="1969" t="str">
        <f>+A249</f>
        <v>SUB-TOTAL</v>
      </c>
      <c r="B254" s="1601"/>
      <c r="C254" s="1601"/>
      <c r="D254" s="1601"/>
      <c r="E254" s="1601"/>
      <c r="F254" s="1801"/>
      <c r="G254" s="557">
        <f>ROUNDUP(SUM(F252:F253),0)</f>
        <v>13313</v>
      </c>
    </row>
    <row r="255" spans="1:7" ht="11.25" customHeight="1">
      <c r="A255" s="619"/>
      <c r="B255" s="619"/>
      <c r="C255" s="619"/>
      <c r="D255" s="619"/>
      <c r="E255" s="619"/>
      <c r="F255" s="630"/>
      <c r="G255" s="624"/>
    </row>
    <row r="256" spans="1:7" ht="14.25" customHeight="1">
      <c r="A256" s="1969" t="s">
        <v>1567</v>
      </c>
      <c r="B256" s="1601"/>
      <c r="C256" s="1601"/>
      <c r="D256" s="1601"/>
      <c r="E256" s="1601"/>
      <c r="F256" s="1602"/>
      <c r="G256" s="607">
        <f>ROUND(G238+G244+G249+G254,0)</f>
        <v>42898</v>
      </c>
    </row>
    <row r="259" spans="1:7" ht="16.5" customHeight="1">
      <c r="A259" s="1994" t="e">
        <f>+'ANALISIS BASICOS'!$A$7</f>
        <v>#REF!</v>
      </c>
      <c r="B259" s="1616"/>
      <c r="C259" s="1624"/>
      <c r="D259" s="1990"/>
      <c r="E259" s="1616"/>
      <c r="F259" s="1616"/>
      <c r="G259" s="1624"/>
    </row>
    <row r="260" spans="1:7" ht="17.25" customHeight="1">
      <c r="A260" s="1971"/>
      <c r="B260" s="1817"/>
      <c r="C260" s="1972"/>
      <c r="D260" s="1971"/>
      <c r="E260" s="1817"/>
      <c r="F260" s="1817"/>
      <c r="G260" s="1972"/>
    </row>
    <row r="261" spans="1:7" ht="14.25" customHeight="1">
      <c r="A261" s="619"/>
      <c r="B261" s="619"/>
      <c r="C261" s="619"/>
      <c r="D261" s="619"/>
      <c r="E261" s="619"/>
      <c r="F261" s="619"/>
      <c r="G261" s="619"/>
    </row>
    <row r="262" spans="1:7" ht="36" customHeight="1">
      <c r="A262" s="1991" t="e">
        <f ca="1">+A198</f>
        <v>#NAME?</v>
      </c>
      <c r="B262" s="1601"/>
      <c r="C262" s="1602"/>
      <c r="D262" s="1974" t="s">
        <v>1812</v>
      </c>
      <c r="E262" s="1601"/>
      <c r="F262" s="1601"/>
      <c r="G262" s="1602"/>
    </row>
    <row r="263" spans="1:7" ht="8.25" customHeight="1">
      <c r="A263" s="620"/>
      <c r="B263" s="620"/>
      <c r="C263" s="620"/>
      <c r="D263" s="620"/>
      <c r="E263" s="620"/>
      <c r="F263" s="620"/>
      <c r="G263" s="620"/>
    </row>
    <row r="264" spans="1:7" ht="12.75" customHeight="1">
      <c r="A264" s="774"/>
      <c r="B264" s="619"/>
      <c r="C264" s="162"/>
      <c r="D264" s="421" t="s">
        <v>1553</v>
      </c>
      <c r="E264" s="422" t="s">
        <v>228</v>
      </c>
      <c r="F264" s="421" t="s">
        <v>1554</v>
      </c>
      <c r="G264" s="422" t="s">
        <v>319</v>
      </c>
    </row>
    <row r="265" spans="1:7" ht="14.25" customHeight="1">
      <c r="A265" s="163" t="s">
        <v>1555</v>
      </c>
      <c r="B265" s="619"/>
      <c r="C265" s="619"/>
      <c r="D265" s="619"/>
      <c r="E265" s="619"/>
      <c r="F265" s="619"/>
      <c r="G265" s="619"/>
    </row>
    <row r="266" spans="1:7" ht="13.5" customHeight="1">
      <c r="A266" s="1975" t="s">
        <v>1556</v>
      </c>
      <c r="B266" s="1601"/>
      <c r="C266" s="1801"/>
      <c r="D266" s="788" t="s">
        <v>208</v>
      </c>
      <c r="E266" s="788" t="s">
        <v>1558</v>
      </c>
      <c r="F266" s="453" t="s">
        <v>1559</v>
      </c>
      <c r="G266" s="783"/>
    </row>
    <row r="267" spans="1:7" ht="14.25" customHeight="1">
      <c r="A267" s="1987" t="str">
        <f>$A$171</f>
        <v>HERRAMIENTA MENOR</v>
      </c>
      <c r="B267" s="1811"/>
      <c r="C267" s="1967"/>
      <c r="D267" s="582">
        <f>$D$139</f>
        <v>2850</v>
      </c>
      <c r="E267" s="610">
        <f>+E294</f>
        <v>20.6477604334166</v>
      </c>
      <c r="F267" s="582">
        <f t="shared" ref="F267:F268" si="19">D267*E267</f>
        <v>58846.117235237311</v>
      </c>
      <c r="G267" s="594"/>
    </row>
    <row r="268" spans="1:7" ht="14.25" customHeight="1">
      <c r="A268" s="1995" t="s">
        <v>1813</v>
      </c>
      <c r="B268" s="1610"/>
      <c r="C268" s="1611"/>
      <c r="D268" s="585">
        <f>1500000/8</f>
        <v>187500</v>
      </c>
      <c r="E268" s="446">
        <f>+E267</f>
        <v>20.6477604334166</v>
      </c>
      <c r="F268" s="789">
        <f t="shared" si="19"/>
        <v>3871455.0812656125</v>
      </c>
      <c r="G268" s="595"/>
    </row>
    <row r="269" spans="1:7" ht="14.25" hidden="1" customHeight="1">
      <c r="A269" s="1996"/>
      <c r="B269" s="1807"/>
      <c r="C269" s="1819"/>
      <c r="D269" s="588"/>
      <c r="E269" s="622"/>
      <c r="F269" s="588"/>
      <c r="G269" s="596"/>
    </row>
    <row r="270" spans="1:7" ht="12.75" customHeight="1">
      <c r="A270" s="1969" t="s">
        <v>1560</v>
      </c>
      <c r="B270" s="1601"/>
      <c r="C270" s="1601"/>
      <c r="D270" s="1601"/>
      <c r="E270" s="1601"/>
      <c r="F270" s="1801"/>
      <c r="G270" s="557">
        <f>SUM(F267:F269)</f>
        <v>3930301.1985008498</v>
      </c>
    </row>
    <row r="271" spans="1:7" ht="14.25" customHeight="1">
      <c r="A271" s="163" t="s">
        <v>1561</v>
      </c>
      <c r="B271" s="619"/>
      <c r="C271" s="619"/>
      <c r="D271" s="619"/>
      <c r="E271" s="619"/>
      <c r="F271" s="619"/>
      <c r="G271" s="624"/>
    </row>
    <row r="272" spans="1:7" ht="14.25" customHeight="1">
      <c r="A272" s="1975" t="s">
        <v>1556</v>
      </c>
      <c r="B272" s="1801"/>
      <c r="C272" s="453" t="s">
        <v>6</v>
      </c>
      <c r="D272" s="453" t="s">
        <v>1562</v>
      </c>
      <c r="E272" s="453" t="s">
        <v>7</v>
      </c>
      <c r="F272" s="453" t="s">
        <v>1559</v>
      </c>
      <c r="G272" s="790"/>
    </row>
    <row r="273" spans="1:7" ht="22.5" customHeight="1">
      <c r="A273" s="1987" t="s">
        <v>1814</v>
      </c>
      <c r="B273" s="1967"/>
      <c r="C273" s="674" t="s">
        <v>1533</v>
      </c>
      <c r="D273" s="442">
        <v>19285119.109999999</v>
      </c>
      <c r="E273" s="687">
        <v>1</v>
      </c>
      <c r="F273" s="454">
        <f t="shared" ref="F273:F285" si="20">D273*E273</f>
        <v>19285119.109999999</v>
      </c>
      <c r="G273" s="676"/>
    </row>
    <row r="274" spans="1:7" ht="35.25" customHeight="1">
      <c r="A274" s="1995" t="s">
        <v>1815</v>
      </c>
      <c r="B274" s="1611"/>
      <c r="C274" s="444" t="s">
        <v>1533</v>
      </c>
      <c r="D274" s="440">
        <v>3318305.63</v>
      </c>
      <c r="E274" s="706">
        <v>1</v>
      </c>
      <c r="F274" s="791">
        <f t="shared" si="20"/>
        <v>3318305.63</v>
      </c>
      <c r="G274" s="707"/>
    </row>
    <row r="275" spans="1:7" ht="35.25" customHeight="1">
      <c r="A275" s="1995" t="s">
        <v>1816</v>
      </c>
      <c r="B275" s="1611"/>
      <c r="C275" s="444" t="s">
        <v>1533</v>
      </c>
      <c r="D275" s="440">
        <v>146938.76</v>
      </c>
      <c r="E275" s="706">
        <v>4</v>
      </c>
      <c r="F275" s="791">
        <f t="shared" si="20"/>
        <v>587755.04</v>
      </c>
      <c r="G275" s="707"/>
    </row>
    <row r="276" spans="1:7" ht="35.25" customHeight="1">
      <c r="A276" s="1995" t="s">
        <v>1817</v>
      </c>
      <c r="B276" s="1611"/>
      <c r="C276" s="444" t="s">
        <v>1533</v>
      </c>
      <c r="D276" s="440">
        <v>373841.01</v>
      </c>
      <c r="E276" s="706">
        <v>1</v>
      </c>
      <c r="F276" s="791">
        <f t="shared" si="20"/>
        <v>373841.01</v>
      </c>
      <c r="G276" s="707"/>
    </row>
    <row r="277" spans="1:7" ht="14.25" customHeight="1">
      <c r="A277" s="1995" t="s">
        <v>1818</v>
      </c>
      <c r="B277" s="1611"/>
      <c r="C277" s="444" t="s">
        <v>1533</v>
      </c>
      <c r="D277" s="440">
        <v>15753219.369999999</v>
      </c>
      <c r="E277" s="706">
        <v>1</v>
      </c>
      <c r="F277" s="791">
        <f t="shared" si="20"/>
        <v>15753219.369999999</v>
      </c>
      <c r="G277" s="707"/>
    </row>
    <row r="278" spans="1:7" ht="14.25" customHeight="1">
      <c r="A278" s="1995" t="s">
        <v>1819</v>
      </c>
      <c r="B278" s="1611"/>
      <c r="C278" s="444" t="s">
        <v>1533</v>
      </c>
      <c r="D278" s="440">
        <v>3695544.59</v>
      </c>
      <c r="E278" s="706">
        <v>1</v>
      </c>
      <c r="F278" s="791">
        <f t="shared" si="20"/>
        <v>3695544.59</v>
      </c>
      <c r="G278" s="707"/>
    </row>
    <row r="279" spans="1:7" ht="14.25" customHeight="1">
      <c r="A279" s="1995" t="s">
        <v>1820</v>
      </c>
      <c r="B279" s="1611"/>
      <c r="C279" s="444" t="s">
        <v>1533</v>
      </c>
      <c r="D279" s="440">
        <v>6531822.6699999999</v>
      </c>
      <c r="E279" s="706">
        <v>1</v>
      </c>
      <c r="F279" s="791">
        <f t="shared" si="20"/>
        <v>6531822.6699999999</v>
      </c>
      <c r="G279" s="707"/>
    </row>
    <row r="280" spans="1:7" ht="22.5" customHeight="1">
      <c r="A280" s="1995" t="s">
        <v>1821</v>
      </c>
      <c r="B280" s="1611"/>
      <c r="C280" s="444" t="s">
        <v>1533</v>
      </c>
      <c r="D280" s="440">
        <v>1312267.6200000001</v>
      </c>
      <c r="E280" s="706">
        <v>4</v>
      </c>
      <c r="F280" s="791">
        <f t="shared" si="20"/>
        <v>5249070.4800000004</v>
      </c>
      <c r="G280" s="707"/>
    </row>
    <row r="281" spans="1:7" ht="13.5" customHeight="1">
      <c r="A281" s="1995" t="s">
        <v>1822</v>
      </c>
      <c r="B281" s="1611"/>
      <c r="C281" s="444" t="s">
        <v>1533</v>
      </c>
      <c r="D281" s="440">
        <v>9011819.5099999998</v>
      </c>
      <c r="E281" s="706">
        <v>1</v>
      </c>
      <c r="F281" s="791">
        <f t="shared" si="20"/>
        <v>9011819.5099999998</v>
      </c>
      <c r="G281" s="707"/>
    </row>
    <row r="282" spans="1:7" ht="13.5" customHeight="1">
      <c r="A282" s="1995" t="s">
        <v>1823</v>
      </c>
      <c r="B282" s="1611"/>
      <c r="C282" s="444" t="s">
        <v>1533</v>
      </c>
      <c r="D282" s="440">
        <v>209612.12</v>
      </c>
      <c r="E282" s="706">
        <v>4</v>
      </c>
      <c r="F282" s="791">
        <f t="shared" si="20"/>
        <v>838448.48</v>
      </c>
      <c r="G282" s="707"/>
    </row>
    <row r="283" spans="1:7" ht="13.5" customHeight="1">
      <c r="A283" s="1995" t="s">
        <v>1824</v>
      </c>
      <c r="B283" s="1611"/>
      <c r="C283" s="444" t="s">
        <v>1533</v>
      </c>
      <c r="D283" s="440">
        <v>12308.51</v>
      </c>
      <c r="E283" s="706">
        <v>4</v>
      </c>
      <c r="F283" s="791">
        <f t="shared" si="20"/>
        <v>49234.04</v>
      </c>
      <c r="G283" s="707"/>
    </row>
    <row r="284" spans="1:7" ht="21.75" customHeight="1">
      <c r="A284" s="1995" t="s">
        <v>1825</v>
      </c>
      <c r="B284" s="1611"/>
      <c r="C284" s="444" t="s">
        <v>1533</v>
      </c>
      <c r="D284" s="440">
        <v>123085.02</v>
      </c>
      <c r="E284" s="706">
        <v>1</v>
      </c>
      <c r="F284" s="791">
        <f t="shared" si="20"/>
        <v>123085.02</v>
      </c>
      <c r="G284" s="707"/>
    </row>
    <row r="285" spans="1:7" ht="19.5" customHeight="1">
      <c r="A285" s="1996" t="s">
        <v>1826</v>
      </c>
      <c r="B285" s="1819"/>
      <c r="C285" s="738" t="s">
        <v>1533</v>
      </c>
      <c r="D285" s="440">
        <v>368456.67</v>
      </c>
      <c r="E285" s="706">
        <v>1</v>
      </c>
      <c r="F285" s="791">
        <f t="shared" si="20"/>
        <v>368456.67</v>
      </c>
      <c r="G285" s="762"/>
    </row>
    <row r="286" spans="1:7" ht="12" customHeight="1">
      <c r="A286" s="1969" t="s">
        <v>1560</v>
      </c>
      <c r="B286" s="1601"/>
      <c r="C286" s="1601"/>
      <c r="D286" s="1601"/>
      <c r="E286" s="1601"/>
      <c r="F286" s="1801"/>
      <c r="G286" s="557">
        <f>SUM(F273:F285)</f>
        <v>65185721.620000005</v>
      </c>
    </row>
    <row r="287" spans="1:7" ht="14.25" customHeight="1">
      <c r="A287" s="163" t="s">
        <v>1563</v>
      </c>
      <c r="B287" s="619"/>
      <c r="C287" s="619"/>
      <c r="D287" s="619"/>
      <c r="E287" s="619"/>
      <c r="F287" s="619"/>
      <c r="G287" s="624"/>
    </row>
    <row r="288" spans="1:7" ht="14.25" customHeight="1">
      <c r="A288" s="1965" t="s">
        <v>1556</v>
      </c>
      <c r="B288" s="1801"/>
      <c r="C288" s="530" t="s">
        <v>6</v>
      </c>
      <c r="D288" s="530" t="s">
        <v>1562</v>
      </c>
      <c r="E288" s="530" t="s">
        <v>7</v>
      </c>
      <c r="F288" s="530" t="s">
        <v>1559</v>
      </c>
      <c r="G288" s="552"/>
    </row>
    <row r="289" spans="1:7" ht="14.25" customHeight="1">
      <c r="A289" s="1987"/>
      <c r="B289" s="1967"/>
      <c r="C289" s="625"/>
      <c r="D289" s="582"/>
      <c r="E289" s="626"/>
      <c r="F289" s="585"/>
      <c r="G289" s="583"/>
    </row>
    <row r="290" spans="1:7" ht="14.25" hidden="1" customHeight="1">
      <c r="A290" s="1996"/>
      <c r="B290" s="1819"/>
      <c r="C290" s="625"/>
      <c r="D290" s="625"/>
      <c r="E290" s="588"/>
      <c r="F290" s="588"/>
      <c r="G290" s="629"/>
    </row>
    <row r="291" spans="1:7" ht="14.25" customHeight="1">
      <c r="A291" s="602" t="s">
        <v>1560</v>
      </c>
      <c r="B291" s="643"/>
      <c r="C291" s="643"/>
      <c r="D291" s="643"/>
      <c r="E291" s="643"/>
      <c r="F291" s="644" t="s">
        <v>1629</v>
      </c>
      <c r="G291" s="557">
        <f>SUM(F289:F290)</f>
        <v>0</v>
      </c>
    </row>
    <row r="292" spans="1:7" ht="14.25" customHeight="1">
      <c r="A292" s="163" t="s">
        <v>1564</v>
      </c>
      <c r="B292" s="619"/>
      <c r="C292" s="619"/>
      <c r="D292" s="619"/>
      <c r="E292" s="619"/>
      <c r="F292" s="619"/>
      <c r="G292" s="624"/>
    </row>
    <row r="293" spans="1:7" ht="14.25" customHeight="1">
      <c r="A293" s="1965" t="s">
        <v>1565</v>
      </c>
      <c r="B293" s="1801"/>
      <c r="C293" s="424" t="s">
        <v>1566</v>
      </c>
      <c r="D293" s="530" t="s">
        <v>7</v>
      </c>
      <c r="E293" s="530" t="s">
        <v>1558</v>
      </c>
      <c r="F293" s="530" t="s">
        <v>1559</v>
      </c>
      <c r="G293" s="557"/>
    </row>
    <row r="294" spans="1:7" ht="14.25" customHeight="1">
      <c r="A294" s="1966" t="s">
        <v>1827</v>
      </c>
      <c r="B294" s="1967"/>
      <c r="C294" s="679">
        <v>20511.2</v>
      </c>
      <c r="D294" s="776">
        <v>1</v>
      </c>
      <c r="E294" s="777">
        <v>20.6477604334166</v>
      </c>
      <c r="F294" s="778">
        <f t="shared" ref="F294:F295" si="21">E294*D294*C294</f>
        <v>423510.34380189457</v>
      </c>
      <c r="G294" s="583"/>
    </row>
    <row r="295" spans="1:7" ht="14.25" customHeight="1">
      <c r="A295" s="1984" t="s">
        <v>1828</v>
      </c>
      <c r="B295" s="1819"/>
      <c r="C295" s="681">
        <v>14601.99</v>
      </c>
      <c r="D295" s="779">
        <v>3</v>
      </c>
      <c r="E295" s="780">
        <f>E294</f>
        <v>20.6477604334166</v>
      </c>
      <c r="F295" s="781">
        <f t="shared" si="21"/>
        <v>904495.17411343462</v>
      </c>
      <c r="G295" s="589"/>
    </row>
    <row r="296" spans="1:7" ht="14.25" customHeight="1">
      <c r="A296" s="1969" t="str">
        <f>+A291</f>
        <v>SUB-TOTAL</v>
      </c>
      <c r="B296" s="1601"/>
      <c r="C296" s="1601"/>
      <c r="D296" s="1601"/>
      <c r="E296" s="1601"/>
      <c r="F296" s="1801"/>
      <c r="G296" s="557">
        <f>ROUNDUP(SUM(F294:F295),0)</f>
        <v>1328006</v>
      </c>
    </row>
    <row r="297" spans="1:7" ht="5.25" customHeight="1">
      <c r="A297" s="619"/>
      <c r="B297" s="619"/>
      <c r="C297" s="619"/>
      <c r="D297" s="619"/>
      <c r="E297" s="619"/>
      <c r="F297" s="630"/>
      <c r="G297" s="624"/>
    </row>
    <row r="298" spans="1:7" ht="14.25" customHeight="1">
      <c r="A298" s="1969" t="s">
        <v>1567</v>
      </c>
      <c r="B298" s="1601"/>
      <c r="C298" s="1601"/>
      <c r="D298" s="1601"/>
      <c r="E298" s="1601"/>
      <c r="F298" s="1602"/>
      <c r="G298" s="607">
        <f>ROUND(G270+G286+G291+G296,0)</f>
        <v>70444029</v>
      </c>
    </row>
    <row r="299" spans="1:7" ht="14.25" customHeight="1"/>
    <row r="300" spans="1:7" ht="14.25" hidden="1" customHeight="1">
      <c r="A300" s="162"/>
      <c r="B300" s="162"/>
      <c r="C300" s="162"/>
      <c r="D300" s="162"/>
      <c r="E300" s="162"/>
      <c r="F300" s="162"/>
      <c r="G300" s="162"/>
    </row>
    <row r="301" spans="1:7" ht="27" hidden="1" customHeight="1">
      <c r="A301" s="1970" t="s">
        <v>1604</v>
      </c>
      <c r="B301" s="1616"/>
      <c r="C301" s="1624"/>
      <c r="D301" s="567"/>
      <c r="E301" s="568"/>
      <c r="F301" s="568"/>
      <c r="G301" s="569"/>
    </row>
    <row r="302" spans="1:7" ht="31.5" hidden="1" customHeight="1">
      <c r="A302" s="2019"/>
      <c r="B302" s="1817"/>
      <c r="C302" s="1972"/>
      <c r="D302" s="570"/>
      <c r="E302" s="570"/>
      <c r="F302" s="570"/>
      <c r="G302" s="571"/>
    </row>
    <row r="303" spans="1:7" ht="44.25" hidden="1" customHeight="1">
      <c r="A303" s="1973" t="e">
        <f ca="1">A5</f>
        <v>#NAME?</v>
      </c>
      <c r="B303" s="1601"/>
      <c r="C303" s="1602"/>
      <c r="D303" s="1974" t="s">
        <v>1829</v>
      </c>
      <c r="E303" s="1601"/>
      <c r="F303" s="1601"/>
      <c r="G303" s="1602"/>
    </row>
    <row r="305" spans="1:7" ht="12.75" hidden="1" customHeight="1">
      <c r="A305" s="774"/>
      <c r="B305" s="619"/>
      <c r="C305" s="162"/>
      <c r="D305" s="421" t="s">
        <v>1553</v>
      </c>
      <c r="E305" s="422" t="s">
        <v>120</v>
      </c>
      <c r="F305" s="572"/>
      <c r="G305" s="572"/>
    </row>
    <row r="306" spans="1:7" ht="14.25" hidden="1" customHeight="1">
      <c r="A306" s="163" t="s">
        <v>1555</v>
      </c>
      <c r="B306" s="619"/>
      <c r="C306" s="619"/>
      <c r="D306" s="619"/>
      <c r="E306" s="619"/>
      <c r="F306" s="619"/>
      <c r="G306" s="619"/>
    </row>
    <row r="307" spans="1:7" ht="13.5" hidden="1" customHeight="1">
      <c r="A307" s="1975" t="s">
        <v>1556</v>
      </c>
      <c r="B307" s="1601"/>
      <c r="C307" s="1801"/>
      <c r="D307" s="788" t="s">
        <v>208</v>
      </c>
      <c r="E307" s="788" t="s">
        <v>1558</v>
      </c>
      <c r="F307" s="453" t="s">
        <v>1559</v>
      </c>
      <c r="G307" s="783"/>
    </row>
    <row r="308" spans="1:7" ht="14.25" hidden="1" customHeight="1">
      <c r="A308" s="1987" t="s">
        <v>209</v>
      </c>
      <c r="B308" s="1811"/>
      <c r="C308" s="1967"/>
      <c r="D308" s="582">
        <v>481.25</v>
      </c>
      <c r="E308" s="610">
        <v>0.7</v>
      </c>
      <c r="F308" s="582">
        <f>D308*E308</f>
        <v>336.875</v>
      </c>
      <c r="G308" s="594"/>
    </row>
    <row r="309" spans="1:7" ht="14.25" hidden="1" customHeight="1">
      <c r="A309" s="1995"/>
      <c r="B309" s="1610"/>
      <c r="C309" s="1611"/>
      <c r="D309" s="585"/>
      <c r="E309" s="446"/>
      <c r="F309" s="789"/>
      <c r="G309" s="595"/>
    </row>
    <row r="310" spans="1:7" ht="14.25" hidden="1" customHeight="1">
      <c r="A310" s="1996"/>
      <c r="B310" s="1807"/>
      <c r="C310" s="1819"/>
      <c r="D310" s="588"/>
      <c r="E310" s="622"/>
      <c r="F310" s="588"/>
      <c r="G310" s="596"/>
    </row>
    <row r="311" spans="1:7" ht="14.25" hidden="1" customHeight="1">
      <c r="A311" s="1969" t="s">
        <v>1560</v>
      </c>
      <c r="B311" s="1601"/>
      <c r="C311" s="1601"/>
      <c r="D311" s="1601"/>
      <c r="E311" s="1601"/>
      <c r="F311" s="1801"/>
      <c r="G311" s="784">
        <f>SUM(F308:F310)</f>
        <v>336.875</v>
      </c>
    </row>
    <row r="312" spans="1:7" ht="14.25" hidden="1" customHeight="1">
      <c r="A312" s="163" t="s">
        <v>1561</v>
      </c>
      <c r="B312" s="619"/>
      <c r="C312" s="619"/>
      <c r="D312" s="619"/>
      <c r="E312" s="619"/>
      <c r="F312" s="619"/>
      <c r="G312" s="619"/>
    </row>
    <row r="313" spans="1:7" ht="14.25" hidden="1" customHeight="1">
      <c r="A313" s="1975" t="s">
        <v>1556</v>
      </c>
      <c r="B313" s="1801"/>
      <c r="C313" s="453" t="s">
        <v>6</v>
      </c>
      <c r="D313" s="453" t="s">
        <v>1562</v>
      </c>
      <c r="E313" s="453" t="s">
        <v>7</v>
      </c>
      <c r="F313" s="453" t="s">
        <v>1559</v>
      </c>
      <c r="G313" s="783"/>
    </row>
    <row r="314" spans="1:7" ht="14.25" hidden="1" customHeight="1">
      <c r="A314" s="1987" t="s">
        <v>1830</v>
      </c>
      <c r="B314" s="1967"/>
      <c r="C314" s="674" t="s">
        <v>120</v>
      </c>
      <c r="D314" s="675">
        <v>8926</v>
      </c>
      <c r="E314" s="674">
        <v>1</v>
      </c>
      <c r="F314" s="785">
        <f t="shared" ref="F314:F316" si="22">D314*E314</f>
        <v>8926</v>
      </c>
      <c r="G314" s="688"/>
    </row>
    <row r="315" spans="1:7" ht="24" hidden="1" customHeight="1">
      <c r="A315" s="1995" t="s">
        <v>1831</v>
      </c>
      <c r="B315" s="1611"/>
      <c r="C315" s="444" t="s">
        <v>120</v>
      </c>
      <c r="D315" s="464">
        <v>20000</v>
      </c>
      <c r="E315" s="444">
        <v>0.7</v>
      </c>
      <c r="F315" s="786">
        <f t="shared" si="22"/>
        <v>14000</v>
      </c>
      <c r="G315" s="751"/>
    </row>
    <row r="316" spans="1:7" ht="14.25" hidden="1" customHeight="1">
      <c r="A316" s="1995" t="s">
        <v>1832</v>
      </c>
      <c r="B316" s="1611"/>
      <c r="C316" s="738" t="s">
        <v>116</v>
      </c>
      <c r="D316" s="464">
        <v>63800</v>
      </c>
      <c r="E316" s="444">
        <v>0.6</v>
      </c>
      <c r="F316" s="786">
        <f t="shared" si="22"/>
        <v>38280</v>
      </c>
      <c r="G316" s="751"/>
    </row>
    <row r="317" spans="1:7" ht="14.25" hidden="1" customHeight="1">
      <c r="A317" s="1969" t="s">
        <v>1560</v>
      </c>
      <c r="B317" s="1601"/>
      <c r="C317" s="1601"/>
      <c r="D317" s="1601"/>
      <c r="E317" s="1601"/>
      <c r="F317" s="1801"/>
      <c r="G317" s="784">
        <f>SUM(F314:F316)</f>
        <v>61206</v>
      </c>
    </row>
    <row r="318" spans="1:7" ht="14.25" hidden="1" customHeight="1">
      <c r="A318" s="163" t="s">
        <v>1563</v>
      </c>
      <c r="B318" s="619"/>
      <c r="C318" s="619"/>
      <c r="D318" s="619"/>
      <c r="E318" s="619"/>
      <c r="F318" s="619"/>
      <c r="G318" s="619"/>
    </row>
    <row r="319" spans="1:7" ht="14.25" hidden="1" customHeight="1">
      <c r="A319" s="1965" t="s">
        <v>1556</v>
      </c>
      <c r="B319" s="1801"/>
      <c r="C319" s="530" t="s">
        <v>6</v>
      </c>
      <c r="D319" s="530" t="s">
        <v>1562</v>
      </c>
      <c r="E319" s="530" t="s">
        <v>7</v>
      </c>
      <c r="F319" s="530" t="s">
        <v>1559</v>
      </c>
      <c r="G319" s="597"/>
    </row>
    <row r="320" spans="1:7" ht="14.25" hidden="1" customHeight="1">
      <c r="A320" s="1987"/>
      <c r="B320" s="1967"/>
      <c r="C320" s="625"/>
      <c r="D320" s="582"/>
      <c r="E320" s="626"/>
      <c r="F320" s="585"/>
      <c r="G320" s="594"/>
    </row>
    <row r="321" spans="1:7" ht="14.25" hidden="1" customHeight="1">
      <c r="A321" s="1996"/>
      <c r="B321" s="1819"/>
      <c r="C321" s="625"/>
      <c r="D321" s="625"/>
      <c r="E321" s="588"/>
      <c r="F321" s="588"/>
      <c r="G321" s="632"/>
    </row>
    <row r="322" spans="1:7" ht="14.25" hidden="1" customHeight="1">
      <c r="A322" s="602" t="s">
        <v>1560</v>
      </c>
      <c r="B322" s="643"/>
      <c r="C322" s="643"/>
      <c r="D322" s="643"/>
      <c r="E322" s="643"/>
      <c r="F322" s="644" t="s">
        <v>1629</v>
      </c>
      <c r="G322" s="631">
        <f>SUM(F320:F321)</f>
        <v>0</v>
      </c>
    </row>
    <row r="323" spans="1:7" ht="14.25" hidden="1" customHeight="1">
      <c r="A323" s="163" t="s">
        <v>1564</v>
      </c>
      <c r="B323" s="619"/>
      <c r="C323" s="619"/>
      <c r="D323" s="619"/>
      <c r="E323" s="619"/>
      <c r="F323" s="619"/>
      <c r="G323" s="619"/>
    </row>
    <row r="324" spans="1:7" ht="14.25" hidden="1" customHeight="1">
      <c r="A324" s="1965" t="s">
        <v>1565</v>
      </c>
      <c r="B324" s="1801"/>
      <c r="C324" s="424" t="s">
        <v>1566</v>
      </c>
      <c r="D324" s="530" t="s">
        <v>7</v>
      </c>
      <c r="E324" s="530" t="s">
        <v>1558</v>
      </c>
      <c r="F324" s="530" t="s">
        <v>1559</v>
      </c>
      <c r="G324" s="599"/>
    </row>
    <row r="325" spans="1:7" ht="14.25" hidden="1" customHeight="1">
      <c r="A325" s="1966" t="s">
        <v>1574</v>
      </c>
      <c r="B325" s="1967"/>
      <c r="C325" s="558">
        <v>7410.9600847008996</v>
      </c>
      <c r="D325" s="776">
        <v>1</v>
      </c>
      <c r="E325" s="777">
        <v>0.7</v>
      </c>
      <c r="F325" s="778">
        <f t="shared" ref="F325:F326" si="23">E325*D325*C325</f>
        <v>5187.6720592906295</v>
      </c>
      <c r="G325" s="594"/>
    </row>
    <row r="326" spans="1:7" ht="14.25" hidden="1" customHeight="1">
      <c r="A326" s="1984" t="s">
        <v>1576</v>
      </c>
      <c r="B326" s="1819"/>
      <c r="C326" s="613">
        <v>4374.7823749999998</v>
      </c>
      <c r="D326" s="779">
        <v>4</v>
      </c>
      <c r="E326" s="780">
        <f>E325</f>
        <v>0.7</v>
      </c>
      <c r="F326" s="781">
        <f t="shared" si="23"/>
        <v>12249.390649999999</v>
      </c>
      <c r="G326" s="596"/>
    </row>
    <row r="327" spans="1:7" ht="14.25" hidden="1" customHeight="1">
      <c r="A327" s="1969" t="str">
        <f>+A322</f>
        <v>SUB-TOTAL</v>
      </c>
      <c r="B327" s="1601"/>
      <c r="C327" s="1601"/>
      <c r="D327" s="1601"/>
      <c r="E327" s="1601"/>
      <c r="F327" s="1801"/>
      <c r="G327" s="631">
        <f>ROUNDUP(SUM(F325:F326),0)</f>
        <v>17438</v>
      </c>
    </row>
    <row r="328" spans="1:7" ht="11.25" hidden="1" customHeight="1">
      <c r="A328" s="619"/>
      <c r="B328" s="619"/>
      <c r="C328" s="619"/>
      <c r="D328" s="619"/>
      <c r="E328" s="619"/>
      <c r="F328" s="630"/>
      <c r="G328" s="619"/>
    </row>
    <row r="329" spans="1:7" ht="14.25" hidden="1" customHeight="1">
      <c r="A329" s="1969" t="s">
        <v>1567</v>
      </c>
      <c r="B329" s="1601"/>
      <c r="C329" s="1601"/>
      <c r="D329" s="1601"/>
      <c r="E329" s="1601"/>
      <c r="F329" s="1602"/>
      <c r="G329" s="782">
        <f>ROUND(G311+G317+G322+G327,0)</f>
        <v>78981</v>
      </c>
    </row>
    <row r="330" spans="1:7" ht="14.25" hidden="1" customHeight="1">
      <c r="A330" s="162"/>
      <c r="B330" s="162"/>
      <c r="C330" s="162"/>
      <c r="D330" s="162"/>
      <c r="E330" s="162"/>
      <c r="F330" s="162"/>
      <c r="G330" s="162"/>
    </row>
    <row r="331" spans="1:7" ht="14.25" hidden="1" customHeight="1">
      <c r="A331" s="162"/>
      <c r="B331" s="162"/>
      <c r="C331" s="162"/>
      <c r="D331" s="162"/>
      <c r="E331" s="162"/>
      <c r="F331" s="162"/>
      <c r="G331" s="162"/>
    </row>
    <row r="332" spans="1:7" ht="27.75" hidden="1" customHeight="1">
      <c r="A332" s="1970" t="s">
        <v>1604</v>
      </c>
      <c r="B332" s="1616"/>
      <c r="C332" s="1624"/>
      <c r="D332" s="567"/>
      <c r="E332" s="568"/>
      <c r="F332" s="568"/>
      <c r="G332" s="569"/>
    </row>
    <row r="333" spans="1:7" ht="29.25" hidden="1" customHeight="1">
      <c r="A333" s="2019"/>
      <c r="B333" s="1817"/>
      <c r="C333" s="1972"/>
      <c r="D333" s="570"/>
      <c r="E333" s="570"/>
      <c r="F333" s="570"/>
      <c r="G333" s="571"/>
    </row>
    <row r="334" spans="1:7" ht="30.75" hidden="1" customHeight="1">
      <c r="A334" s="1991" t="e">
        <f ca="1">A5</f>
        <v>#NAME?</v>
      </c>
      <c r="B334" s="1601"/>
      <c r="C334" s="1602"/>
      <c r="D334" s="1974" t="s">
        <v>1833</v>
      </c>
      <c r="E334" s="1601"/>
      <c r="F334" s="1601"/>
      <c r="G334" s="1602"/>
    </row>
    <row r="335" spans="1:7" ht="14.25" hidden="1" customHeight="1">
      <c r="A335" s="620"/>
      <c r="B335" s="620"/>
      <c r="C335" s="620"/>
      <c r="D335" s="620"/>
      <c r="E335" s="620"/>
      <c r="F335" s="620"/>
      <c r="G335" s="620"/>
    </row>
    <row r="336" spans="1:7" ht="14.25" hidden="1" customHeight="1">
      <c r="A336" s="774"/>
      <c r="B336" s="619"/>
      <c r="C336" s="162"/>
      <c r="D336" s="421" t="s">
        <v>1553</v>
      </c>
      <c r="E336" s="422" t="s">
        <v>228</v>
      </c>
      <c r="F336" s="572"/>
      <c r="G336" s="572"/>
    </row>
    <row r="337" spans="1:7" ht="14.25" hidden="1" customHeight="1">
      <c r="A337" s="163" t="s">
        <v>1555</v>
      </c>
      <c r="B337" s="619"/>
      <c r="C337" s="619"/>
      <c r="D337" s="619"/>
      <c r="E337" s="619"/>
      <c r="F337" s="619"/>
      <c r="G337" s="619"/>
    </row>
    <row r="338" spans="1:7" ht="14.25" hidden="1" customHeight="1">
      <c r="A338" s="1975" t="s">
        <v>1556</v>
      </c>
      <c r="B338" s="1601"/>
      <c r="C338" s="1801"/>
      <c r="D338" s="530" t="s">
        <v>208</v>
      </c>
      <c r="E338" s="530" t="s">
        <v>1558</v>
      </c>
      <c r="F338" s="424" t="s">
        <v>1559</v>
      </c>
      <c r="G338" s="531"/>
    </row>
    <row r="339" spans="1:7" ht="14.25" hidden="1" customHeight="1">
      <c r="A339" s="1987" t="str">
        <f>A308</f>
        <v>HERRAMIENTA MENOR.</v>
      </c>
      <c r="B339" s="1811"/>
      <c r="C339" s="1967"/>
      <c r="D339" s="582">
        <f>D267</f>
        <v>2850</v>
      </c>
      <c r="E339" s="610">
        <v>1.58</v>
      </c>
      <c r="F339" s="582">
        <f>D339/E339</f>
        <v>1803.7974683544303</v>
      </c>
      <c r="G339" s="594"/>
    </row>
    <row r="340" spans="1:7" ht="17.25" hidden="1" customHeight="1">
      <c r="A340" s="1996"/>
      <c r="B340" s="1807"/>
      <c r="C340" s="1819"/>
      <c r="D340" s="588"/>
      <c r="E340" s="622"/>
      <c r="F340" s="588"/>
      <c r="G340" s="596"/>
    </row>
    <row r="341" spans="1:7" ht="14.25" hidden="1" customHeight="1">
      <c r="A341" s="1969" t="s">
        <v>1560</v>
      </c>
      <c r="B341" s="1601"/>
      <c r="C341" s="1601"/>
      <c r="D341" s="1601"/>
      <c r="E341" s="1601"/>
      <c r="F341" s="1801"/>
      <c r="G341" s="631">
        <f>SUM(F339:F340)</f>
        <v>1803.7974683544303</v>
      </c>
    </row>
    <row r="342" spans="1:7" ht="14.25" hidden="1" customHeight="1">
      <c r="A342" s="163" t="s">
        <v>1561</v>
      </c>
      <c r="B342" s="619"/>
      <c r="C342" s="619"/>
      <c r="D342" s="619"/>
      <c r="E342" s="619"/>
      <c r="F342" s="619"/>
      <c r="G342" s="619"/>
    </row>
    <row r="343" spans="1:7" ht="14.25" hidden="1" customHeight="1">
      <c r="A343" s="2017" t="s">
        <v>1556</v>
      </c>
      <c r="B343" s="1932"/>
      <c r="C343" s="453" t="s">
        <v>6</v>
      </c>
      <c r="D343" s="453" t="s">
        <v>1562</v>
      </c>
      <c r="E343" s="453" t="s">
        <v>7</v>
      </c>
      <c r="F343" s="453" t="s">
        <v>1559</v>
      </c>
      <c r="G343" s="783"/>
    </row>
    <row r="344" spans="1:7" ht="24.75" hidden="1" customHeight="1">
      <c r="A344" s="1987" t="str">
        <f>'ANALISIS BASICOS'!A36</f>
        <v xml:space="preserve">CONCRETO NORMAL - 3000 PSI (210 KG/CM2) </v>
      </c>
      <c r="B344" s="1967"/>
      <c r="C344" s="674" t="str">
        <f>'ANALISIS BASICOS'!E12</f>
        <v>M3</v>
      </c>
      <c r="D344" s="675">
        <f>'ANALISIS BASICOS'!$G36</f>
        <v>468441</v>
      </c>
      <c r="E344" s="687">
        <v>0.1</v>
      </c>
      <c r="F344" s="785">
        <f t="shared" ref="F344:F345" si="24">D344*E344</f>
        <v>46844.100000000006</v>
      </c>
      <c r="G344" s="688"/>
    </row>
    <row r="345" spans="1:7" ht="14.25" hidden="1" customHeight="1">
      <c r="A345" s="1995" t="str">
        <f>'LISTADO EQUIPOS'!C70</f>
        <v>FORMALETA PARA PLACA (20 dias)</v>
      </c>
      <c r="B345" s="1611"/>
      <c r="C345" s="444" t="str">
        <f>'LISTADO EQUIPOS'!D70</f>
        <v>M2</v>
      </c>
      <c r="D345" s="464">
        <f>'LISTADO EQUIPOS'!$E70</f>
        <v>11500</v>
      </c>
      <c r="E345" s="444">
        <v>0.33</v>
      </c>
      <c r="F345" s="785">
        <f t="shared" si="24"/>
        <v>3795</v>
      </c>
      <c r="G345" s="751"/>
    </row>
    <row r="346" spans="1:7" ht="14.25" hidden="1" customHeight="1">
      <c r="A346" s="1995"/>
      <c r="B346" s="1611"/>
      <c r="C346" s="738"/>
      <c r="D346" s="464"/>
      <c r="E346" s="444"/>
      <c r="F346" s="786"/>
      <c r="G346" s="751"/>
    </row>
    <row r="347" spans="1:7" ht="14.25" hidden="1" customHeight="1">
      <c r="A347" s="1996"/>
      <c r="B347" s="1819"/>
      <c r="C347" s="587"/>
      <c r="D347" s="434"/>
      <c r="E347" s="587"/>
      <c r="F347" s="787"/>
      <c r="G347" s="596"/>
    </row>
    <row r="348" spans="1:7" ht="14.25" hidden="1" customHeight="1">
      <c r="A348" s="2018" t="s">
        <v>1560</v>
      </c>
      <c r="B348" s="1817"/>
      <c r="C348" s="1817"/>
      <c r="D348" s="1817"/>
      <c r="E348" s="1817"/>
      <c r="F348" s="2000"/>
      <c r="G348" s="784">
        <f>SUM(F344:F347)</f>
        <v>50639.100000000006</v>
      </c>
    </row>
    <row r="349" spans="1:7" ht="14.25" hidden="1" customHeight="1">
      <c r="A349" s="163" t="s">
        <v>1563</v>
      </c>
      <c r="B349" s="619"/>
      <c r="C349" s="619"/>
      <c r="D349" s="619"/>
      <c r="E349" s="619"/>
      <c r="F349" s="619"/>
      <c r="G349" s="619"/>
    </row>
    <row r="350" spans="1:7" ht="14.25" hidden="1" customHeight="1">
      <c r="A350" s="1965" t="s">
        <v>1556</v>
      </c>
      <c r="B350" s="1801"/>
      <c r="C350" s="530" t="s">
        <v>6</v>
      </c>
      <c r="D350" s="530" t="s">
        <v>1562</v>
      </c>
      <c r="E350" s="530" t="s">
        <v>7</v>
      </c>
      <c r="F350" s="530" t="s">
        <v>1559</v>
      </c>
      <c r="G350" s="597"/>
    </row>
    <row r="351" spans="1:7" ht="14.25" hidden="1" customHeight="1">
      <c r="A351" s="1987"/>
      <c r="B351" s="1967"/>
      <c r="C351" s="625"/>
      <c r="D351" s="582"/>
      <c r="E351" s="626"/>
      <c r="F351" s="585"/>
      <c r="G351" s="594"/>
    </row>
    <row r="352" spans="1:7" ht="14.25" hidden="1" customHeight="1">
      <c r="A352" s="1993"/>
      <c r="B352" s="1819"/>
      <c r="C352" s="625"/>
      <c r="D352" s="625"/>
      <c r="E352" s="588"/>
      <c r="F352" s="588"/>
      <c r="G352" s="632"/>
    </row>
    <row r="353" spans="1:7" ht="14.25" hidden="1" customHeight="1">
      <c r="A353" s="1969" t="s">
        <v>1560</v>
      </c>
      <c r="B353" s="1601"/>
      <c r="C353" s="1601"/>
      <c r="D353" s="1601"/>
      <c r="E353" s="1601"/>
      <c r="F353" s="1801"/>
      <c r="G353" s="631"/>
    </row>
    <row r="354" spans="1:7" ht="14.25" hidden="1" customHeight="1">
      <c r="A354" s="163" t="s">
        <v>1564</v>
      </c>
      <c r="B354" s="619"/>
      <c r="C354" s="619"/>
      <c r="D354" s="619"/>
      <c r="E354" s="619"/>
      <c r="F354" s="619"/>
      <c r="G354" s="619"/>
    </row>
    <row r="355" spans="1:7" ht="14.25" hidden="1" customHeight="1">
      <c r="A355" s="1965" t="s">
        <v>1565</v>
      </c>
      <c r="B355" s="1801"/>
      <c r="C355" s="424" t="s">
        <v>1566</v>
      </c>
      <c r="D355" s="530" t="s">
        <v>7</v>
      </c>
      <c r="E355" s="530" t="s">
        <v>1558</v>
      </c>
      <c r="F355" s="530" t="s">
        <v>1559</v>
      </c>
      <c r="G355" s="599"/>
    </row>
    <row r="356" spans="1:7" ht="14.25" hidden="1" customHeight="1">
      <c r="A356" s="1983" t="str">
        <f>A294</f>
        <v>Oficial 1ª instalador de aparatos elevadores.</v>
      </c>
      <c r="B356" s="1888"/>
      <c r="C356" s="558">
        <f t="shared" ref="C356:C357" si="25">C325</f>
        <v>7410.9600847008996</v>
      </c>
      <c r="D356" s="776">
        <v>1</v>
      </c>
      <c r="E356" s="777">
        <v>2</v>
      </c>
      <c r="F356" s="778">
        <f t="shared" ref="F356:F357" si="26">(C356*D356)/E356</f>
        <v>3705.4800423504498</v>
      </c>
      <c r="G356" s="594"/>
    </row>
    <row r="357" spans="1:7" ht="14.25" hidden="1" customHeight="1">
      <c r="A357" s="1984" t="str">
        <f>A326</f>
        <v>Ayudante (Incl. Prestaciones)</v>
      </c>
      <c r="B357" s="1819"/>
      <c r="C357" s="613">
        <f t="shared" si="25"/>
        <v>4374.7823749999998</v>
      </c>
      <c r="D357" s="779">
        <v>2</v>
      </c>
      <c r="E357" s="780">
        <f>E356</f>
        <v>2</v>
      </c>
      <c r="F357" s="778">
        <f t="shared" si="26"/>
        <v>4374.7823749999998</v>
      </c>
      <c r="G357" s="596"/>
    </row>
    <row r="358" spans="1:7" ht="14.25" hidden="1" customHeight="1">
      <c r="A358" s="1969" t="str">
        <f>+A353</f>
        <v>SUB-TOTAL</v>
      </c>
      <c r="B358" s="1601"/>
      <c r="C358" s="1601"/>
      <c r="D358" s="1601"/>
      <c r="E358" s="1601"/>
      <c r="F358" s="1801"/>
      <c r="G358" s="631">
        <f>SUM(F356:F357)</f>
        <v>8080.2624173504501</v>
      </c>
    </row>
    <row r="359" spans="1:7" ht="14.25" hidden="1" customHeight="1">
      <c r="A359" s="619"/>
      <c r="B359" s="619"/>
      <c r="C359" s="619"/>
      <c r="D359" s="619"/>
      <c r="E359" s="619"/>
      <c r="F359" s="630"/>
      <c r="G359" s="619"/>
    </row>
    <row r="360" spans="1:7" ht="14.25" hidden="1" customHeight="1">
      <c r="A360" s="1969" t="s">
        <v>1567</v>
      </c>
      <c r="B360" s="1601"/>
      <c r="C360" s="1601"/>
      <c r="D360" s="1601"/>
      <c r="E360" s="1601"/>
      <c r="F360" s="1801"/>
      <c r="G360" s="782">
        <f>ROUND(G341+G348+G353+G358,0)</f>
        <v>60523</v>
      </c>
    </row>
  </sheetData>
  <mergeCells count="261">
    <mergeCell ref="A289:B289"/>
    <mergeCell ref="A290:B290"/>
    <mergeCell ref="A293:B293"/>
    <mergeCell ref="A294:B294"/>
    <mergeCell ref="A295:B295"/>
    <mergeCell ref="A296:F296"/>
    <mergeCell ref="A298:F298"/>
    <mergeCell ref="A301:C301"/>
    <mergeCell ref="A302:C302"/>
    <mergeCell ref="A279:B279"/>
    <mergeCell ref="A280:B280"/>
    <mergeCell ref="A281:B281"/>
    <mergeCell ref="A282:B282"/>
    <mergeCell ref="A283:B283"/>
    <mergeCell ref="A284:B284"/>
    <mergeCell ref="A286:F286"/>
    <mergeCell ref="A285:B285"/>
    <mergeCell ref="A288:B288"/>
    <mergeCell ref="D303:G303"/>
    <mergeCell ref="A307:C307"/>
    <mergeCell ref="A308:C308"/>
    <mergeCell ref="A309:C309"/>
    <mergeCell ref="A310:C310"/>
    <mergeCell ref="A311:F311"/>
    <mergeCell ref="A313:B313"/>
    <mergeCell ref="A314:B314"/>
    <mergeCell ref="A315:B315"/>
    <mergeCell ref="A303:C303"/>
    <mergeCell ref="A316:B316"/>
    <mergeCell ref="A317:F317"/>
    <mergeCell ref="A319:B319"/>
    <mergeCell ref="A320:B320"/>
    <mergeCell ref="A321:B321"/>
    <mergeCell ref="A324:B324"/>
    <mergeCell ref="A325:B325"/>
    <mergeCell ref="A326:B326"/>
    <mergeCell ref="A327:F327"/>
    <mergeCell ref="A329:F329"/>
    <mergeCell ref="A332:C332"/>
    <mergeCell ref="A333:C333"/>
    <mergeCell ref="A334:C334"/>
    <mergeCell ref="D334:G334"/>
    <mergeCell ref="A355:B355"/>
    <mergeCell ref="A356:B356"/>
    <mergeCell ref="A357:B357"/>
    <mergeCell ref="A358:F358"/>
    <mergeCell ref="A348:F348"/>
    <mergeCell ref="A350:B350"/>
    <mergeCell ref="A351:B351"/>
    <mergeCell ref="A352:B352"/>
    <mergeCell ref="A353:F353"/>
    <mergeCell ref="A338:C338"/>
    <mergeCell ref="A339:C339"/>
    <mergeCell ref="A340:C340"/>
    <mergeCell ref="A341:F341"/>
    <mergeCell ref="A343:B343"/>
    <mergeCell ref="A344:B344"/>
    <mergeCell ref="A345:B345"/>
    <mergeCell ref="A346:B346"/>
    <mergeCell ref="A347:B347"/>
    <mergeCell ref="A360:F360"/>
    <mergeCell ref="A59:B59"/>
    <mergeCell ref="A60:B60"/>
    <mergeCell ref="A61:B61"/>
    <mergeCell ref="A62:F62"/>
    <mergeCell ref="A64:F64"/>
    <mergeCell ref="A67:C68"/>
    <mergeCell ref="D67:G68"/>
    <mergeCell ref="A70:C70"/>
    <mergeCell ref="D70:G70"/>
    <mergeCell ref="A74:C74"/>
    <mergeCell ref="A75:C75"/>
    <mergeCell ref="A76:C76"/>
    <mergeCell ref="A77:F77"/>
    <mergeCell ref="A79:B79"/>
    <mergeCell ref="A80:B80"/>
    <mergeCell ref="A81:B81"/>
    <mergeCell ref="A82:B82"/>
    <mergeCell ref="A83:B83"/>
    <mergeCell ref="A84:F84"/>
    <mergeCell ref="A86:B86"/>
    <mergeCell ref="A87:B87"/>
    <mergeCell ref="A88:B88"/>
    <mergeCell ref="A89:F89"/>
    <mergeCell ref="A26:B26"/>
    <mergeCell ref="A27:B27"/>
    <mergeCell ref="A28:B28"/>
    <mergeCell ref="A29:F29"/>
    <mergeCell ref="A31:F31"/>
    <mergeCell ref="A106:C106"/>
    <mergeCell ref="A107:C107"/>
    <mergeCell ref="A109:F109"/>
    <mergeCell ref="A108:C108"/>
    <mergeCell ref="A91:B91"/>
    <mergeCell ref="A92:B92"/>
    <mergeCell ref="A93:B93"/>
    <mergeCell ref="A94:F94"/>
    <mergeCell ref="A96:F96"/>
    <mergeCell ref="A99:C100"/>
    <mergeCell ref="D99:G100"/>
    <mergeCell ref="A102:C102"/>
    <mergeCell ref="D102:G102"/>
    <mergeCell ref="A34:C35"/>
    <mergeCell ref="D34:G35"/>
    <mergeCell ref="A37:C37"/>
    <mergeCell ref="D37:G37"/>
    <mergeCell ref="A41:C41"/>
    <mergeCell ref="A42:C42"/>
    <mergeCell ref="A15:B15"/>
    <mergeCell ref="A16:B16"/>
    <mergeCell ref="A17:B17"/>
    <mergeCell ref="A18:B18"/>
    <mergeCell ref="A19:F19"/>
    <mergeCell ref="A21:B21"/>
    <mergeCell ref="A22:B22"/>
    <mergeCell ref="A23:B23"/>
    <mergeCell ref="A24:F24"/>
    <mergeCell ref="A2:C3"/>
    <mergeCell ref="D2:G3"/>
    <mergeCell ref="A5:C5"/>
    <mergeCell ref="D5:G5"/>
    <mergeCell ref="A9:C9"/>
    <mergeCell ref="A10:C10"/>
    <mergeCell ref="A12:F12"/>
    <mergeCell ref="A11:C11"/>
    <mergeCell ref="A14:B14"/>
    <mergeCell ref="A43:C43"/>
    <mergeCell ref="A44:F44"/>
    <mergeCell ref="A46:B46"/>
    <mergeCell ref="A47:B47"/>
    <mergeCell ref="A48:B48"/>
    <mergeCell ref="A49:B49"/>
    <mergeCell ref="A50:B50"/>
    <mergeCell ref="A51:B51"/>
    <mergeCell ref="A52:F52"/>
    <mergeCell ref="A54:B54"/>
    <mergeCell ref="A55:B55"/>
    <mergeCell ref="A56:B56"/>
    <mergeCell ref="A57:F57"/>
    <mergeCell ref="A118:B118"/>
    <mergeCell ref="A119:B119"/>
    <mergeCell ref="A120:B120"/>
    <mergeCell ref="A121:F121"/>
    <mergeCell ref="A123:B123"/>
    <mergeCell ref="A124:B124"/>
    <mergeCell ref="A125:B125"/>
    <mergeCell ref="A126:F126"/>
    <mergeCell ref="A116:F116"/>
    <mergeCell ref="A111:B111"/>
    <mergeCell ref="A112:B112"/>
    <mergeCell ref="A113:B113"/>
    <mergeCell ref="A114:B114"/>
    <mergeCell ref="A115:B115"/>
    <mergeCell ref="A128:F128"/>
    <mergeCell ref="A131:C132"/>
    <mergeCell ref="D131:G132"/>
    <mergeCell ref="A134:C134"/>
    <mergeCell ref="D134:G134"/>
    <mergeCell ref="A138:C138"/>
    <mergeCell ref="A139:C139"/>
    <mergeCell ref="A140:C140"/>
    <mergeCell ref="A141:F141"/>
    <mergeCell ref="A143:B143"/>
    <mergeCell ref="A144:B144"/>
    <mergeCell ref="A145:B145"/>
    <mergeCell ref="A146:B146"/>
    <mergeCell ref="A147:B147"/>
    <mergeCell ref="A148:F148"/>
    <mergeCell ref="A150:B150"/>
    <mergeCell ref="A151:B151"/>
    <mergeCell ref="A152:B152"/>
    <mergeCell ref="A153:F153"/>
    <mergeCell ref="A155:B155"/>
    <mergeCell ref="A156:B156"/>
    <mergeCell ref="A157:B157"/>
    <mergeCell ref="A158:F158"/>
    <mergeCell ref="A160:F160"/>
    <mergeCell ref="A163:C164"/>
    <mergeCell ref="D163:G164"/>
    <mergeCell ref="D166:G166"/>
    <mergeCell ref="A166:C166"/>
    <mergeCell ref="A170:C170"/>
    <mergeCell ref="A171:C171"/>
    <mergeCell ref="A172:C172"/>
    <mergeCell ref="A173:F173"/>
    <mergeCell ref="A175:B175"/>
    <mergeCell ref="A176:B176"/>
    <mergeCell ref="A184:B184"/>
    <mergeCell ref="A187:B187"/>
    <mergeCell ref="A188:B188"/>
    <mergeCell ref="A189:B189"/>
    <mergeCell ref="A177:B177"/>
    <mergeCell ref="A178:B178"/>
    <mergeCell ref="A179:B179"/>
    <mergeCell ref="A180:F180"/>
    <mergeCell ref="A182:B182"/>
    <mergeCell ref="A183:B183"/>
    <mergeCell ref="A185:F185"/>
    <mergeCell ref="A251:B251"/>
    <mergeCell ref="A219:B219"/>
    <mergeCell ref="A220:B220"/>
    <mergeCell ref="A221:B221"/>
    <mergeCell ref="A222:F222"/>
    <mergeCell ref="A224:F224"/>
    <mergeCell ref="A227:C228"/>
    <mergeCell ref="D227:G228"/>
    <mergeCell ref="D230:G230"/>
    <mergeCell ref="A230:C230"/>
    <mergeCell ref="A234:C234"/>
    <mergeCell ref="A235:C235"/>
    <mergeCell ref="A236:C236"/>
    <mergeCell ref="A237:C237"/>
    <mergeCell ref="A238:F238"/>
    <mergeCell ref="A240:B240"/>
    <mergeCell ref="A216:B216"/>
    <mergeCell ref="A217:F217"/>
    <mergeCell ref="A252:B252"/>
    <mergeCell ref="A253:B253"/>
    <mergeCell ref="A254:F254"/>
    <mergeCell ref="A256:F256"/>
    <mergeCell ref="A259:C260"/>
    <mergeCell ref="D259:G260"/>
    <mergeCell ref="A262:C262"/>
    <mergeCell ref="D262:G262"/>
    <mergeCell ref="A205:F205"/>
    <mergeCell ref="A207:B207"/>
    <mergeCell ref="A208:B208"/>
    <mergeCell ref="A209:B209"/>
    <mergeCell ref="A210:B210"/>
    <mergeCell ref="A211:B211"/>
    <mergeCell ref="A212:F212"/>
    <mergeCell ref="A214:B214"/>
    <mergeCell ref="A215:B215"/>
    <mergeCell ref="A190:F190"/>
    <mergeCell ref="A192:F192"/>
    <mergeCell ref="A195:C196"/>
    <mergeCell ref="D195:G196"/>
    <mergeCell ref="A198:C198"/>
    <mergeCell ref="D198:G198"/>
    <mergeCell ref="A202:C202"/>
    <mergeCell ref="A203:C203"/>
    <mergeCell ref="A204:C204"/>
    <mergeCell ref="A274:B274"/>
    <mergeCell ref="A275:B275"/>
    <mergeCell ref="A276:B276"/>
    <mergeCell ref="A277:B277"/>
    <mergeCell ref="A278:B278"/>
    <mergeCell ref="A241:B241"/>
    <mergeCell ref="A242:B242"/>
    <mergeCell ref="A243:B243"/>
    <mergeCell ref="A244:F244"/>
    <mergeCell ref="A246:B246"/>
    <mergeCell ref="A247:B247"/>
    <mergeCell ref="A248:B248"/>
    <mergeCell ref="A272:B272"/>
    <mergeCell ref="A273:B273"/>
    <mergeCell ref="A267:C267"/>
    <mergeCell ref="A268:C268"/>
    <mergeCell ref="A269:C269"/>
    <mergeCell ref="A270:F270"/>
    <mergeCell ref="A266:C266"/>
  </mergeCells>
  <printOptions horizontalCentered="1"/>
  <pageMargins left="0.6692913385826772" right="0.55118110236220474" top="0.74803149606299213" bottom="1.5354330708661419" header="0" footer="0"/>
  <pageSetup orientation="portrait"/>
  <headerFooter>
    <oddFooter>&amp;LJohan Javier Oñate N. INGECAG LTDA M.P. 70202-222387 TLM&amp;RVoBo. FEDERICO GARCIA A. Interventor</oddFooter>
  </headerFooter>
  <rowBreaks count="8" manualBreakCount="8">
    <brk id="32" man="1"/>
    <brk id="97" man="1"/>
    <brk id="257" man="1"/>
    <brk id="225" man="1"/>
    <brk id="129" man="1"/>
    <brk id="65" man="1"/>
    <brk id="193" man="1"/>
    <brk id="161" man="1"/>
  </rowBreaks>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3:H1428"/>
  <sheetViews>
    <sheetView workbookViewId="0"/>
  </sheetViews>
  <sheetFormatPr baseColWidth="10" defaultColWidth="14.44140625" defaultRowHeight="15" customHeight="1"/>
  <cols>
    <col min="1" max="2" width="12.88671875" customWidth="1"/>
    <col min="3" max="3" width="11.6640625" customWidth="1"/>
    <col min="4" max="4" width="13.5546875" customWidth="1"/>
    <col min="5" max="6" width="11.6640625" customWidth="1"/>
    <col min="7" max="7" width="12.5546875" customWidth="1"/>
    <col min="8" max="8" width="14.5546875" customWidth="1"/>
    <col min="9" max="26" width="11.44140625" customWidth="1"/>
  </cols>
  <sheetData>
    <row r="3" spans="1:8" ht="13.5" customHeight="1">
      <c r="A3" s="2046" t="s">
        <v>1834</v>
      </c>
      <c r="B3" s="1811"/>
      <c r="C3" s="1811"/>
      <c r="D3" s="1811"/>
      <c r="E3" s="1811"/>
      <c r="F3" s="1811"/>
      <c r="G3" s="1811"/>
      <c r="H3" s="1812"/>
    </row>
    <row r="4" spans="1:8" ht="13.5" customHeight="1">
      <c r="A4" s="2035" t="s">
        <v>559</v>
      </c>
      <c r="B4" s="2036"/>
      <c r="C4" s="2036"/>
      <c r="D4" s="2037"/>
      <c r="E4" s="2042" t="s">
        <v>1835</v>
      </c>
      <c r="F4" s="2036"/>
      <c r="G4" s="2036"/>
      <c r="H4" s="2043"/>
    </row>
    <row r="5" spans="1:8" ht="13.5" customHeight="1">
      <c r="A5" s="2038"/>
      <c r="B5" s="1605"/>
      <c r="C5" s="1605"/>
      <c r="D5" s="2039"/>
      <c r="E5" s="2044"/>
      <c r="F5" s="1605"/>
      <c r="G5" s="1605"/>
      <c r="H5" s="1606"/>
    </row>
    <row r="6" spans="1:8" ht="13.5" customHeight="1">
      <c r="A6" s="2040"/>
      <c r="B6" s="1608"/>
      <c r="C6" s="1608"/>
      <c r="D6" s="2041"/>
      <c r="E6" s="2045"/>
      <c r="F6" s="1608"/>
      <c r="G6" s="1608"/>
      <c r="H6" s="1919"/>
    </row>
    <row r="7" spans="1:8" ht="13.5" customHeight="1">
      <c r="A7" s="2027" t="s">
        <v>1836</v>
      </c>
      <c r="B7" s="2028"/>
      <c r="C7" s="2028"/>
      <c r="D7" s="2028"/>
      <c r="E7" s="2028"/>
      <c r="F7" s="2028"/>
      <c r="G7" s="2028"/>
      <c r="H7" s="2029"/>
    </row>
    <row r="8" spans="1:8" ht="13.5" customHeight="1">
      <c r="A8" s="793"/>
      <c r="B8" s="794"/>
      <c r="C8" s="794"/>
      <c r="D8" s="794"/>
      <c r="E8" s="794"/>
      <c r="F8" s="794"/>
      <c r="G8" s="794"/>
      <c r="H8" s="795"/>
    </row>
    <row r="9" spans="1:8" ht="13.5" customHeight="1">
      <c r="A9" s="2030"/>
      <c r="B9" s="1824"/>
      <c r="C9" s="1824"/>
      <c r="D9" s="1824"/>
      <c r="E9" s="1825"/>
      <c r="F9" s="794"/>
      <c r="G9" s="794"/>
      <c r="H9" s="795"/>
    </row>
    <row r="10" spans="1:8" ht="13.5" customHeight="1">
      <c r="A10" s="793"/>
      <c r="B10" s="794"/>
      <c r="C10" s="794"/>
      <c r="D10" s="794"/>
      <c r="E10" s="794"/>
      <c r="F10" s="794"/>
      <c r="G10" s="794"/>
      <c r="H10" s="795"/>
    </row>
    <row r="11" spans="1:8" ht="13.5" customHeight="1">
      <c r="A11" s="2030" t="s">
        <v>1837</v>
      </c>
      <c r="B11" s="1825"/>
      <c r="C11" s="794"/>
      <c r="D11" s="794"/>
      <c r="E11" s="794"/>
      <c r="F11" s="794"/>
      <c r="G11" s="794"/>
      <c r="H11" s="795"/>
    </row>
    <row r="12" spans="1:8" ht="13.5" customHeight="1">
      <c r="A12" s="2031" t="s">
        <v>454</v>
      </c>
      <c r="B12" s="1824"/>
      <c r="C12" s="1824"/>
      <c r="D12" s="1824"/>
      <c r="E12" s="1824"/>
      <c r="F12" s="1824"/>
      <c r="G12" s="1824"/>
      <c r="H12" s="2032"/>
    </row>
    <row r="13" spans="1:8" ht="13.5" customHeight="1">
      <c r="A13" s="796"/>
      <c r="B13" s="797"/>
      <c r="C13" s="798"/>
      <c r="D13" s="799"/>
      <c r="E13" s="799"/>
      <c r="F13" s="800"/>
      <c r="G13" s="801" t="s">
        <v>1838</v>
      </c>
      <c r="H13" s="802"/>
    </row>
    <row r="14" spans="1:8" ht="13.5" customHeight="1">
      <c r="A14" s="803" t="s">
        <v>1839</v>
      </c>
      <c r="B14" s="804"/>
      <c r="C14" s="805"/>
      <c r="D14" s="806"/>
      <c r="E14" s="806"/>
      <c r="F14" s="800"/>
      <c r="G14" s="807" t="s">
        <v>1840</v>
      </c>
      <c r="H14" s="802"/>
    </row>
    <row r="15" spans="1:8" ht="13.5" customHeight="1">
      <c r="A15" s="2022" t="s">
        <v>376</v>
      </c>
      <c r="B15" s="1611"/>
      <c r="C15" s="808" t="s">
        <v>1219</v>
      </c>
      <c r="D15" s="809" t="s">
        <v>1841</v>
      </c>
      <c r="E15" s="809" t="s">
        <v>1842</v>
      </c>
      <c r="F15" s="810" t="s">
        <v>1843</v>
      </c>
      <c r="G15" s="811" t="s">
        <v>1844</v>
      </c>
      <c r="H15" s="812"/>
    </row>
    <row r="16" spans="1:8" ht="13.5" customHeight="1">
      <c r="A16" s="2020" t="s">
        <v>1568</v>
      </c>
      <c r="B16" s="1611"/>
      <c r="C16" s="813" t="s">
        <v>1614</v>
      </c>
      <c r="D16" s="814">
        <v>1500</v>
      </c>
      <c r="E16" s="814"/>
      <c r="F16" s="815">
        <v>0.2</v>
      </c>
      <c r="G16" s="816">
        <f>F16*D16</f>
        <v>300</v>
      </c>
      <c r="H16" s="812"/>
    </row>
    <row r="17" spans="1:8" ht="13.5" customHeight="1">
      <c r="A17" s="2020"/>
      <c r="B17" s="1611"/>
      <c r="C17" s="813"/>
      <c r="D17" s="817"/>
      <c r="E17" s="817"/>
      <c r="F17" s="815"/>
      <c r="G17" s="816">
        <v>0</v>
      </c>
      <c r="H17" s="812"/>
    </row>
    <row r="18" spans="1:8" ht="13.5" customHeight="1">
      <c r="A18" s="2023"/>
      <c r="B18" s="1611"/>
      <c r="C18" s="818"/>
      <c r="D18" s="819"/>
      <c r="E18" s="819"/>
      <c r="F18" s="819"/>
      <c r="G18" s="820"/>
      <c r="H18" s="821"/>
    </row>
    <row r="19" spans="1:8" ht="13.5" customHeight="1">
      <c r="A19" s="2033"/>
      <c r="B19" s="1825"/>
      <c r="C19" s="805"/>
      <c r="D19" s="806"/>
      <c r="E19" s="806"/>
      <c r="F19" s="800"/>
      <c r="G19" s="822" t="s">
        <v>1560</v>
      </c>
      <c r="H19" s="823">
        <f>SUM(G16:G18)</f>
        <v>300</v>
      </c>
    </row>
    <row r="20" spans="1:8" ht="13.5" customHeight="1">
      <c r="A20" s="824"/>
      <c r="B20" s="804"/>
      <c r="C20" s="805"/>
      <c r="D20" s="806"/>
      <c r="E20" s="806"/>
      <c r="F20" s="800"/>
      <c r="G20" s="825"/>
      <c r="H20" s="802"/>
    </row>
    <row r="21" spans="1:8" ht="13.5" customHeight="1">
      <c r="A21" s="803" t="s">
        <v>1561</v>
      </c>
      <c r="B21" s="804"/>
      <c r="C21" s="805"/>
      <c r="D21" s="806"/>
      <c r="E21" s="806"/>
      <c r="F21" s="800"/>
      <c r="G21" s="825"/>
      <c r="H21" s="802"/>
    </row>
    <row r="22" spans="1:8" ht="13.5" customHeight="1">
      <c r="A22" s="2022" t="s">
        <v>376</v>
      </c>
      <c r="B22" s="1611"/>
      <c r="C22" s="808" t="s">
        <v>1219</v>
      </c>
      <c r="D22" s="809" t="s">
        <v>1845</v>
      </c>
      <c r="E22" s="809" t="s">
        <v>1842</v>
      </c>
      <c r="F22" s="810" t="s">
        <v>673</v>
      </c>
      <c r="G22" s="811" t="s">
        <v>1845</v>
      </c>
      <c r="H22" s="826"/>
    </row>
    <row r="23" spans="1:8" ht="13.5" customHeight="1">
      <c r="A23" s="2020" t="s">
        <v>1846</v>
      </c>
      <c r="B23" s="1611"/>
      <c r="C23" s="813" t="s">
        <v>127</v>
      </c>
      <c r="D23" s="817">
        <v>3577</v>
      </c>
      <c r="E23" s="817"/>
      <c r="F23" s="815">
        <v>1</v>
      </c>
      <c r="G23" s="827">
        <f t="shared" ref="G23:G29" si="0">F23*D23</f>
        <v>3577</v>
      </c>
      <c r="H23" s="826"/>
    </row>
    <row r="24" spans="1:8" ht="13.5" customHeight="1">
      <c r="A24" s="2020" t="s">
        <v>1847</v>
      </c>
      <c r="B24" s="1611"/>
      <c r="C24" s="813" t="s">
        <v>127</v>
      </c>
      <c r="D24" s="817">
        <v>5921</v>
      </c>
      <c r="E24" s="817"/>
      <c r="F24" s="815">
        <v>1</v>
      </c>
      <c r="G24" s="827">
        <f t="shared" si="0"/>
        <v>5921</v>
      </c>
      <c r="H24" s="826"/>
    </row>
    <row r="25" spans="1:8" ht="13.5" customHeight="1">
      <c r="A25" s="2020" t="s">
        <v>1848</v>
      </c>
      <c r="B25" s="1611"/>
      <c r="C25" s="813" t="s">
        <v>127</v>
      </c>
      <c r="D25" s="817">
        <v>24947</v>
      </c>
      <c r="E25" s="817"/>
      <c r="F25" s="815">
        <v>1</v>
      </c>
      <c r="G25" s="827">
        <f t="shared" si="0"/>
        <v>24947</v>
      </c>
      <c r="H25" s="826"/>
    </row>
    <row r="26" spans="1:8" ht="13.5" customHeight="1">
      <c r="A26" s="2020" t="s">
        <v>1849</v>
      </c>
      <c r="B26" s="1611"/>
      <c r="C26" s="813" t="s">
        <v>1762</v>
      </c>
      <c r="D26" s="817">
        <v>110277</v>
      </c>
      <c r="E26" s="817"/>
      <c r="F26" s="815">
        <v>0.02</v>
      </c>
      <c r="G26" s="827">
        <f t="shared" si="0"/>
        <v>2205.54</v>
      </c>
      <c r="H26" s="826"/>
    </row>
    <row r="27" spans="1:8" ht="13.5" customHeight="1">
      <c r="A27" s="2020" t="s">
        <v>1850</v>
      </c>
      <c r="B27" s="1611"/>
      <c r="C27" s="813" t="s">
        <v>127</v>
      </c>
      <c r="D27" s="817">
        <v>79774</v>
      </c>
      <c r="E27" s="817"/>
      <c r="F27" s="815">
        <v>0.33</v>
      </c>
      <c r="G27" s="827">
        <f t="shared" si="0"/>
        <v>26325.420000000002</v>
      </c>
      <c r="H27" s="826"/>
    </row>
    <row r="28" spans="1:8" ht="13.5" customHeight="1">
      <c r="A28" s="2020" t="s">
        <v>1851</v>
      </c>
      <c r="B28" s="1611"/>
      <c r="C28" s="813" t="s">
        <v>1762</v>
      </c>
      <c r="D28" s="817">
        <v>53176</v>
      </c>
      <c r="E28" s="817"/>
      <c r="F28" s="815">
        <v>0.02</v>
      </c>
      <c r="G28" s="827">
        <f t="shared" si="0"/>
        <v>1063.52</v>
      </c>
      <c r="H28" s="826"/>
    </row>
    <row r="29" spans="1:8" ht="13.5" customHeight="1">
      <c r="A29" s="2020" t="s">
        <v>1616</v>
      </c>
      <c r="B29" s="1611"/>
      <c r="C29" s="813" t="s">
        <v>1852</v>
      </c>
      <c r="D29" s="817">
        <v>2500</v>
      </c>
      <c r="E29" s="817"/>
      <c r="F29" s="815">
        <v>0.1</v>
      </c>
      <c r="G29" s="827">
        <f t="shared" si="0"/>
        <v>250</v>
      </c>
      <c r="H29" s="802"/>
    </row>
    <row r="30" spans="1:8" ht="13.5" customHeight="1">
      <c r="A30" s="824"/>
      <c r="B30" s="804"/>
      <c r="C30" s="805"/>
      <c r="D30" s="806"/>
      <c r="E30" s="806"/>
      <c r="F30" s="800"/>
      <c r="G30" s="828" t="s">
        <v>1560</v>
      </c>
      <c r="H30" s="823">
        <f>SUM(G23:G29)</f>
        <v>64289.48</v>
      </c>
    </row>
    <row r="33" spans="1:8" ht="13.5" customHeight="1">
      <c r="A33" s="803" t="s">
        <v>1564</v>
      </c>
      <c r="B33" s="804"/>
      <c r="C33" s="805"/>
      <c r="D33" s="806"/>
      <c r="E33" s="806"/>
      <c r="F33" s="800"/>
      <c r="G33" s="806"/>
      <c r="H33" s="829"/>
    </row>
    <row r="34" spans="1:8" ht="13.5" customHeight="1">
      <c r="A34" s="830" t="s">
        <v>1853</v>
      </c>
      <c r="B34" s="831" t="s">
        <v>1854</v>
      </c>
      <c r="C34" s="808" t="s">
        <v>1855</v>
      </c>
      <c r="D34" s="832" t="s">
        <v>1244</v>
      </c>
      <c r="E34" s="809" t="s">
        <v>1856</v>
      </c>
      <c r="F34" s="810" t="s">
        <v>1843</v>
      </c>
      <c r="G34" s="833" t="s">
        <v>1845</v>
      </c>
      <c r="H34" s="834"/>
    </row>
    <row r="35" spans="1:8" ht="13.5" customHeight="1">
      <c r="A35" s="835"/>
      <c r="B35" s="836" t="s">
        <v>1857</v>
      </c>
      <c r="C35" s="837">
        <v>30000</v>
      </c>
      <c r="D35" s="837">
        <v>2</v>
      </c>
      <c r="E35" s="837">
        <f t="shared" ref="E35:E36" si="1">D35*C35</f>
        <v>60000</v>
      </c>
      <c r="F35" s="838">
        <v>2.4</v>
      </c>
      <c r="G35" s="837">
        <f t="shared" ref="G35:G36" si="2">ROUND((E35*F35)/8,0)</f>
        <v>18000</v>
      </c>
      <c r="H35" s="839"/>
    </row>
    <row r="36" spans="1:8" ht="13.5" customHeight="1">
      <c r="A36" s="835"/>
      <c r="B36" s="836" t="s">
        <v>1858</v>
      </c>
      <c r="C36" s="837">
        <v>40000</v>
      </c>
      <c r="D36" s="837">
        <v>1</v>
      </c>
      <c r="E36" s="837">
        <f t="shared" si="1"/>
        <v>40000</v>
      </c>
      <c r="F36" s="838">
        <v>2.4</v>
      </c>
      <c r="G36" s="837">
        <f t="shared" si="2"/>
        <v>12000</v>
      </c>
      <c r="H36" s="840"/>
    </row>
    <row r="37" spans="1:8" ht="13.5" customHeight="1">
      <c r="A37" s="824"/>
      <c r="B37" s="804"/>
      <c r="C37" s="805"/>
      <c r="D37" s="806"/>
      <c r="E37" s="806"/>
      <c r="F37" s="800"/>
      <c r="G37" s="841" t="s">
        <v>1560</v>
      </c>
      <c r="H37" s="823">
        <f>SUM(G35:G36)</f>
        <v>30000</v>
      </c>
    </row>
    <row r="38" spans="1:8" ht="13.5" customHeight="1">
      <c r="A38" s="824"/>
      <c r="B38" s="804"/>
      <c r="C38" s="805"/>
      <c r="D38" s="806"/>
      <c r="E38" s="806"/>
      <c r="F38" s="800"/>
      <c r="G38" s="806"/>
      <c r="H38" s="829"/>
    </row>
    <row r="39" spans="1:8" ht="13.5" customHeight="1">
      <c r="A39" s="824"/>
      <c r="B39" s="804"/>
      <c r="C39" s="805"/>
      <c r="D39" s="806"/>
      <c r="E39" s="806"/>
      <c r="F39" s="842" t="s">
        <v>142</v>
      </c>
      <c r="G39" s="806"/>
      <c r="H39" s="843">
        <f>H37+H30+H19</f>
        <v>94589.48000000001</v>
      </c>
    </row>
    <row r="40" spans="1:8" ht="13.5" customHeight="1">
      <c r="A40" s="824"/>
      <c r="B40" s="804"/>
      <c r="C40" s="805"/>
      <c r="D40" s="806"/>
      <c r="E40" s="806"/>
      <c r="F40" s="842"/>
      <c r="G40" s="806"/>
      <c r="H40" s="829"/>
    </row>
    <row r="41" spans="1:8" ht="13.5" customHeight="1">
      <c r="A41" s="824"/>
      <c r="B41" s="801"/>
      <c r="C41" s="805"/>
      <c r="D41" s="806"/>
      <c r="E41" s="806"/>
      <c r="F41" s="800"/>
      <c r="G41" s="825"/>
      <c r="H41" s="802"/>
    </row>
    <row r="42" spans="1:8" ht="13.5" customHeight="1">
      <c r="A42" s="2047" t="s">
        <v>1835</v>
      </c>
      <c r="B42" s="2048"/>
      <c r="C42" s="2049"/>
      <c r="D42" s="806"/>
      <c r="E42" s="806"/>
      <c r="F42" s="800"/>
      <c r="G42" s="804"/>
      <c r="H42" s="826"/>
    </row>
    <row r="43" spans="1:8" ht="13.5" customHeight="1">
      <c r="A43" s="824" t="s">
        <v>1859</v>
      </c>
      <c r="B43" s="801"/>
      <c r="C43" s="805"/>
      <c r="D43" s="806"/>
      <c r="E43" s="806"/>
      <c r="F43" s="2021"/>
      <c r="G43" s="1825"/>
      <c r="H43" s="826"/>
    </row>
    <row r="44" spans="1:8" ht="13.5" customHeight="1">
      <c r="A44" s="824"/>
      <c r="B44" s="801"/>
      <c r="C44" s="805"/>
      <c r="D44" s="806"/>
      <c r="E44" s="806"/>
      <c r="F44" s="800"/>
      <c r="G44" s="804"/>
      <c r="H44" s="826"/>
    </row>
    <row r="45" spans="1:8" ht="13.5" customHeight="1">
      <c r="A45" s="844"/>
      <c r="B45" s="845"/>
      <c r="C45" s="845"/>
      <c r="D45" s="845"/>
      <c r="E45" s="845"/>
      <c r="F45" s="845"/>
      <c r="G45" s="845"/>
      <c r="H45" s="846"/>
    </row>
    <row r="46" spans="1:8" ht="13.5" customHeight="1">
      <c r="A46" s="2046" t="s">
        <v>1834</v>
      </c>
      <c r="B46" s="1811"/>
      <c r="C46" s="1811"/>
      <c r="D46" s="1811"/>
      <c r="E46" s="1811"/>
      <c r="F46" s="1811"/>
      <c r="G46" s="1811"/>
      <c r="H46" s="1812"/>
    </row>
    <row r="47" spans="1:8" ht="13.5" customHeight="1">
      <c r="A47" s="2035" t="s">
        <v>559</v>
      </c>
      <c r="B47" s="2036"/>
      <c r="C47" s="2036"/>
      <c r="D47" s="2037"/>
      <c r="E47" s="2042" t="s">
        <v>1860</v>
      </c>
      <c r="F47" s="2036"/>
      <c r="G47" s="2036"/>
      <c r="H47" s="2043"/>
    </row>
    <row r="48" spans="1:8" ht="13.5" customHeight="1">
      <c r="A48" s="2038"/>
      <c r="B48" s="1605"/>
      <c r="C48" s="1605"/>
      <c r="D48" s="2039"/>
      <c r="E48" s="2044"/>
      <c r="F48" s="1605"/>
      <c r="G48" s="1605"/>
      <c r="H48" s="1606"/>
    </row>
    <row r="49" spans="1:8" ht="13.5" customHeight="1">
      <c r="A49" s="2040"/>
      <c r="B49" s="1608"/>
      <c r="C49" s="1608"/>
      <c r="D49" s="2041"/>
      <c r="E49" s="2045"/>
      <c r="F49" s="1608"/>
      <c r="G49" s="1608"/>
      <c r="H49" s="1919"/>
    </row>
    <row r="50" spans="1:8" ht="13.5" customHeight="1">
      <c r="A50" s="2027" t="s">
        <v>1836</v>
      </c>
      <c r="B50" s="2028"/>
      <c r="C50" s="2028"/>
      <c r="D50" s="2028"/>
      <c r="E50" s="2028"/>
      <c r="F50" s="2028"/>
      <c r="G50" s="2028"/>
      <c r="H50" s="2029"/>
    </row>
    <row r="51" spans="1:8" ht="13.5" customHeight="1">
      <c r="A51" s="793"/>
      <c r="B51" s="794"/>
      <c r="C51" s="794"/>
      <c r="D51" s="794"/>
      <c r="E51" s="794"/>
      <c r="F51" s="794"/>
      <c r="G51" s="794"/>
      <c r="H51" s="795"/>
    </row>
    <row r="52" spans="1:8" ht="13.5" customHeight="1">
      <c r="A52" s="2030"/>
      <c r="B52" s="1824"/>
      <c r="C52" s="1824"/>
      <c r="D52" s="1824"/>
      <c r="E52" s="1825"/>
      <c r="F52" s="794"/>
      <c r="G52" s="794"/>
      <c r="H52" s="795"/>
    </row>
    <row r="53" spans="1:8" ht="13.5" customHeight="1">
      <c r="A53" s="793"/>
      <c r="B53" s="794"/>
      <c r="C53" s="794"/>
      <c r="D53" s="794"/>
      <c r="E53" s="794"/>
      <c r="F53" s="794"/>
      <c r="G53" s="794"/>
      <c r="H53" s="795"/>
    </row>
    <row r="54" spans="1:8" ht="13.5" customHeight="1">
      <c r="A54" s="2030" t="s">
        <v>1837</v>
      </c>
      <c r="B54" s="1825"/>
      <c r="C54" s="794"/>
      <c r="D54" s="794"/>
      <c r="E54" s="794"/>
      <c r="F54" s="794"/>
      <c r="G54" s="794"/>
      <c r="H54" s="795"/>
    </row>
    <row r="55" spans="1:8" ht="13.5" customHeight="1">
      <c r="A55" s="2031" t="s">
        <v>455</v>
      </c>
      <c r="B55" s="1824"/>
      <c r="C55" s="1824"/>
      <c r="D55" s="1824"/>
      <c r="E55" s="1824"/>
      <c r="F55" s="1824"/>
      <c r="G55" s="1824"/>
      <c r="H55" s="2032"/>
    </row>
    <row r="56" spans="1:8" ht="13.5" customHeight="1">
      <c r="A56" s="796"/>
      <c r="B56" s="797"/>
      <c r="C56" s="798"/>
      <c r="D56" s="799"/>
      <c r="E56" s="799"/>
      <c r="F56" s="800"/>
      <c r="G56" s="801" t="s">
        <v>1861</v>
      </c>
      <c r="H56" s="802"/>
    </row>
    <row r="57" spans="1:8" ht="13.5" customHeight="1">
      <c r="A57" s="803" t="s">
        <v>1839</v>
      </c>
      <c r="B57" s="804"/>
      <c r="C57" s="805"/>
      <c r="D57" s="806"/>
      <c r="E57" s="806"/>
      <c r="F57" s="800"/>
      <c r="G57" s="807" t="s">
        <v>1840</v>
      </c>
      <c r="H57" s="802"/>
    </row>
    <row r="58" spans="1:8" ht="13.5" customHeight="1">
      <c r="A58" s="2022" t="s">
        <v>376</v>
      </c>
      <c r="B58" s="1611"/>
      <c r="C58" s="808" t="s">
        <v>1219</v>
      </c>
      <c r="D58" s="809" t="s">
        <v>1841</v>
      </c>
      <c r="E58" s="809" t="s">
        <v>1842</v>
      </c>
      <c r="F58" s="810" t="s">
        <v>1843</v>
      </c>
      <c r="G58" s="811" t="s">
        <v>1844</v>
      </c>
      <c r="H58" s="812"/>
    </row>
    <row r="59" spans="1:8" ht="13.5" customHeight="1">
      <c r="A59" s="2020" t="s">
        <v>1568</v>
      </c>
      <c r="B59" s="1611"/>
      <c r="C59" s="813" t="s">
        <v>1614</v>
      </c>
      <c r="D59" s="814">
        <v>1500</v>
      </c>
      <c r="E59" s="814"/>
      <c r="F59" s="815">
        <v>0.2</v>
      </c>
      <c r="G59" s="816">
        <f>F59*D59</f>
        <v>300</v>
      </c>
      <c r="H59" s="812"/>
    </row>
    <row r="60" spans="1:8" ht="13.5" customHeight="1">
      <c r="A60" s="2020"/>
      <c r="B60" s="1611"/>
      <c r="C60" s="813"/>
      <c r="D60" s="817"/>
      <c r="E60" s="817"/>
      <c r="F60" s="815"/>
      <c r="G60" s="816">
        <v>0</v>
      </c>
      <c r="H60" s="812"/>
    </row>
    <row r="61" spans="1:8" ht="13.5" customHeight="1">
      <c r="A61" s="2023"/>
      <c r="B61" s="1611"/>
      <c r="C61" s="818"/>
      <c r="D61" s="819"/>
      <c r="E61" s="819"/>
      <c r="F61" s="819"/>
      <c r="G61" s="820"/>
      <c r="H61" s="821"/>
    </row>
    <row r="62" spans="1:8" ht="13.5" customHeight="1">
      <c r="A62" s="2033"/>
      <c r="B62" s="1825"/>
      <c r="C62" s="805"/>
      <c r="D62" s="806"/>
      <c r="E62" s="806"/>
      <c r="F62" s="800"/>
      <c r="G62" s="822" t="s">
        <v>1560</v>
      </c>
      <c r="H62" s="823">
        <f>SUM(G59:G61)</f>
        <v>300</v>
      </c>
    </row>
    <row r="63" spans="1:8" ht="13.5" customHeight="1">
      <c r="A63" s="824"/>
      <c r="B63" s="804"/>
      <c r="C63" s="805"/>
      <c r="D63" s="806"/>
      <c r="E63" s="806"/>
      <c r="F63" s="800"/>
      <c r="G63" s="825"/>
      <c r="H63" s="802"/>
    </row>
    <row r="64" spans="1:8" ht="13.5" customHeight="1">
      <c r="A64" s="803" t="s">
        <v>1561</v>
      </c>
      <c r="B64" s="804"/>
      <c r="C64" s="805"/>
      <c r="D64" s="806"/>
      <c r="E64" s="806"/>
      <c r="F64" s="800"/>
      <c r="G64" s="825"/>
      <c r="H64" s="802"/>
    </row>
    <row r="65" spans="1:8" ht="13.5" customHeight="1">
      <c r="A65" s="2022" t="s">
        <v>376</v>
      </c>
      <c r="B65" s="1611"/>
      <c r="C65" s="808" t="s">
        <v>1219</v>
      </c>
      <c r="D65" s="809" t="s">
        <v>1845</v>
      </c>
      <c r="E65" s="809" t="s">
        <v>1842</v>
      </c>
      <c r="F65" s="810" t="s">
        <v>673</v>
      </c>
      <c r="G65" s="811" t="s">
        <v>1845</v>
      </c>
      <c r="H65" s="826"/>
    </row>
    <row r="66" spans="1:8" ht="13.5" customHeight="1">
      <c r="A66" s="2020" t="s">
        <v>1862</v>
      </c>
      <c r="B66" s="1611"/>
      <c r="C66" s="813" t="s">
        <v>127</v>
      </c>
      <c r="D66" s="817">
        <v>11944</v>
      </c>
      <c r="E66" s="817"/>
      <c r="F66" s="815">
        <v>1</v>
      </c>
      <c r="G66" s="827">
        <f t="shared" ref="G66:G71" si="3">F66*D66</f>
        <v>11944</v>
      </c>
      <c r="H66" s="826"/>
    </row>
    <row r="67" spans="1:8" ht="13.5" customHeight="1">
      <c r="A67" s="2020" t="s">
        <v>1863</v>
      </c>
      <c r="B67" s="1611"/>
      <c r="C67" s="813" t="s">
        <v>127</v>
      </c>
      <c r="D67" s="817">
        <v>24947</v>
      </c>
      <c r="E67" s="817"/>
      <c r="F67" s="815">
        <v>1</v>
      </c>
      <c r="G67" s="827">
        <f t="shared" si="3"/>
        <v>24947</v>
      </c>
      <c r="H67" s="826"/>
    </row>
    <row r="68" spans="1:8" ht="13.5" customHeight="1">
      <c r="A68" s="2020" t="s">
        <v>1849</v>
      </c>
      <c r="B68" s="1611"/>
      <c r="C68" s="813" t="s">
        <v>1762</v>
      </c>
      <c r="D68" s="817">
        <v>110277</v>
      </c>
      <c r="E68" s="817"/>
      <c r="F68" s="815">
        <v>0.02</v>
      </c>
      <c r="G68" s="827">
        <f t="shared" si="3"/>
        <v>2205.54</v>
      </c>
      <c r="H68" s="826"/>
    </row>
    <row r="69" spans="1:8" ht="13.5" customHeight="1">
      <c r="A69" s="2020" t="s">
        <v>1864</v>
      </c>
      <c r="B69" s="1611"/>
      <c r="C69" s="813" t="s">
        <v>910</v>
      </c>
      <c r="D69" s="817">
        <v>119144</v>
      </c>
      <c r="E69" s="817"/>
      <c r="F69" s="815">
        <v>0.33</v>
      </c>
      <c r="G69" s="827">
        <f t="shared" si="3"/>
        <v>39317.520000000004</v>
      </c>
      <c r="H69" s="826"/>
    </row>
    <row r="70" spans="1:8" ht="13.5" customHeight="1">
      <c r="A70" s="2020" t="s">
        <v>1851</v>
      </c>
      <c r="B70" s="1611"/>
      <c r="C70" s="813" t="s">
        <v>1762</v>
      </c>
      <c r="D70" s="817">
        <v>53176</v>
      </c>
      <c r="E70" s="817"/>
      <c r="F70" s="815">
        <v>0.02</v>
      </c>
      <c r="G70" s="827">
        <f t="shared" si="3"/>
        <v>1063.52</v>
      </c>
      <c r="H70" s="826"/>
    </row>
    <row r="71" spans="1:8" ht="13.5" customHeight="1">
      <c r="A71" s="2020" t="s">
        <v>1616</v>
      </c>
      <c r="B71" s="1611"/>
      <c r="C71" s="813" t="s">
        <v>1852</v>
      </c>
      <c r="D71" s="817">
        <v>2500</v>
      </c>
      <c r="E71" s="817"/>
      <c r="F71" s="815">
        <v>0.1</v>
      </c>
      <c r="G71" s="827">
        <f t="shared" si="3"/>
        <v>250</v>
      </c>
      <c r="H71" s="826"/>
    </row>
    <row r="72" spans="1:8" ht="13.5" customHeight="1">
      <c r="A72" s="824"/>
      <c r="B72" s="804"/>
      <c r="C72" s="805"/>
      <c r="D72" s="806"/>
      <c r="E72" s="806"/>
      <c r="F72" s="800"/>
      <c r="G72" s="828" t="s">
        <v>1560</v>
      </c>
      <c r="H72" s="823">
        <f>SUM(G66:G71)</f>
        <v>79727.58</v>
      </c>
    </row>
    <row r="73" spans="1:8" ht="13.5" customHeight="1">
      <c r="A73" s="803"/>
      <c r="B73" s="804"/>
      <c r="C73" s="805"/>
      <c r="D73" s="806"/>
      <c r="E73" s="806"/>
      <c r="F73" s="800"/>
      <c r="G73" s="825"/>
      <c r="H73" s="802"/>
    </row>
    <row r="74" spans="1:8" ht="13.5" customHeight="1">
      <c r="A74" s="803"/>
      <c r="B74" s="804"/>
      <c r="C74" s="805"/>
      <c r="D74" s="806"/>
      <c r="E74" s="806"/>
      <c r="F74" s="800"/>
      <c r="G74" s="804"/>
      <c r="H74" s="826"/>
    </row>
    <row r="75" spans="1:8" ht="13.5" customHeight="1">
      <c r="A75" s="803" t="s">
        <v>1564</v>
      </c>
      <c r="B75" s="804"/>
      <c r="C75" s="805"/>
      <c r="D75" s="806"/>
      <c r="E75" s="806"/>
      <c r="F75" s="800"/>
      <c r="G75" s="806"/>
      <c r="H75" s="829"/>
    </row>
    <row r="76" spans="1:8" ht="13.5" customHeight="1">
      <c r="A76" s="830" t="s">
        <v>1853</v>
      </c>
      <c r="B76" s="831" t="s">
        <v>1854</v>
      </c>
      <c r="C76" s="808" t="s">
        <v>1855</v>
      </c>
      <c r="D76" s="832" t="s">
        <v>1244</v>
      </c>
      <c r="E76" s="809" t="s">
        <v>1856</v>
      </c>
      <c r="F76" s="810" t="s">
        <v>1843</v>
      </c>
      <c r="G76" s="833" t="s">
        <v>1845</v>
      </c>
      <c r="H76" s="834"/>
    </row>
    <row r="77" spans="1:8" ht="13.5" customHeight="1">
      <c r="A77" s="835"/>
      <c r="B77" s="836" t="s">
        <v>1857</v>
      </c>
      <c r="C77" s="837">
        <v>30000</v>
      </c>
      <c r="D77" s="837">
        <v>2</v>
      </c>
      <c r="E77" s="837">
        <f>D77*C77</f>
        <v>60000</v>
      </c>
      <c r="F77" s="838">
        <v>2.4</v>
      </c>
      <c r="G77" s="837">
        <f t="shared" ref="G77:G78" si="4">ROUND((E77*F77)/8,0)</f>
        <v>18000</v>
      </c>
      <c r="H77" s="839"/>
    </row>
    <row r="78" spans="1:8" ht="13.5" customHeight="1">
      <c r="A78" s="835"/>
      <c r="B78" s="836" t="s">
        <v>1858</v>
      </c>
      <c r="C78" s="837">
        <v>40000</v>
      </c>
      <c r="D78" s="837">
        <v>1</v>
      </c>
      <c r="E78" s="837">
        <v>40000</v>
      </c>
      <c r="F78" s="838">
        <v>2.4</v>
      </c>
      <c r="G78" s="837">
        <f t="shared" si="4"/>
        <v>12000</v>
      </c>
      <c r="H78" s="840"/>
    </row>
    <row r="79" spans="1:8" ht="13.5" customHeight="1">
      <c r="A79" s="824"/>
      <c r="B79" s="804"/>
      <c r="C79" s="805"/>
      <c r="D79" s="806"/>
      <c r="E79" s="806"/>
      <c r="F79" s="800"/>
      <c r="G79" s="841" t="s">
        <v>1560</v>
      </c>
      <c r="H79" s="823">
        <f>SUM(G77:G78)</f>
        <v>30000</v>
      </c>
    </row>
    <row r="81" spans="1:8" ht="13.5" customHeight="1">
      <c r="A81" s="824"/>
      <c r="B81" s="804"/>
      <c r="C81" s="805"/>
      <c r="D81" s="806"/>
      <c r="E81" s="806"/>
      <c r="F81" s="842" t="s">
        <v>142</v>
      </c>
      <c r="G81" s="806"/>
      <c r="H81" s="843">
        <f>H79+H72+H62</f>
        <v>110027.58</v>
      </c>
    </row>
    <row r="82" spans="1:8" ht="13.5" customHeight="1">
      <c r="A82" s="824"/>
      <c r="B82" s="804"/>
      <c r="C82" s="805"/>
      <c r="D82" s="806"/>
      <c r="E82" s="806"/>
      <c r="F82" s="842"/>
      <c r="G82" s="806"/>
      <c r="H82" s="829"/>
    </row>
    <row r="83" spans="1:8" ht="13.5" customHeight="1">
      <c r="A83" s="824"/>
      <c r="B83" s="801"/>
      <c r="C83" s="805"/>
      <c r="D83" s="806"/>
      <c r="E83" s="806"/>
      <c r="F83" s="800"/>
      <c r="G83" s="825"/>
      <c r="H83" s="802"/>
    </row>
    <row r="84" spans="1:8" ht="13.5" customHeight="1">
      <c r="A84" s="847"/>
      <c r="B84" s="848"/>
      <c r="C84" s="849"/>
      <c r="D84" s="806"/>
      <c r="E84" s="806"/>
      <c r="F84" s="800"/>
      <c r="G84" s="804"/>
      <c r="H84" s="826"/>
    </row>
    <row r="85" spans="1:8" ht="13.5" customHeight="1">
      <c r="A85" s="824" t="s">
        <v>1835</v>
      </c>
      <c r="B85" s="801"/>
      <c r="C85" s="805"/>
      <c r="D85" s="806"/>
      <c r="E85" s="806"/>
      <c r="F85" s="2021"/>
      <c r="G85" s="1825"/>
      <c r="H85" s="826"/>
    </row>
    <row r="86" spans="1:8" ht="13.5" customHeight="1">
      <c r="A86" s="847" t="s">
        <v>1859</v>
      </c>
      <c r="B86" s="848"/>
      <c r="C86" s="849"/>
      <c r="D86" s="850"/>
      <c r="E86" s="850"/>
      <c r="F86" s="851"/>
      <c r="G86" s="852"/>
      <c r="H86" s="853"/>
    </row>
    <row r="87" spans="1:8" ht="13.5" customHeight="1">
      <c r="A87" s="792"/>
      <c r="B87" s="792"/>
      <c r="C87" s="792"/>
      <c r="D87" s="792"/>
      <c r="E87" s="792"/>
      <c r="F87" s="792"/>
      <c r="G87" s="792"/>
      <c r="H87" s="792"/>
    </row>
    <row r="88" spans="1:8" ht="13.5" customHeight="1">
      <c r="A88" s="2046" t="s">
        <v>1834</v>
      </c>
      <c r="B88" s="1811"/>
      <c r="C88" s="1811"/>
      <c r="D88" s="1811"/>
      <c r="E88" s="1811"/>
      <c r="F88" s="1811"/>
      <c r="G88" s="1811"/>
      <c r="H88" s="1812"/>
    </row>
    <row r="89" spans="1:8" ht="13.5" customHeight="1">
      <c r="A89" s="2035" t="s">
        <v>559</v>
      </c>
      <c r="B89" s="2036"/>
      <c r="C89" s="2036"/>
      <c r="D89" s="2037"/>
      <c r="E89" s="2042" t="s">
        <v>1835</v>
      </c>
      <c r="F89" s="2036"/>
      <c r="G89" s="2036"/>
      <c r="H89" s="2043"/>
    </row>
    <row r="90" spans="1:8" ht="13.5" customHeight="1">
      <c r="A90" s="2038"/>
      <c r="B90" s="1605"/>
      <c r="C90" s="1605"/>
      <c r="D90" s="2039"/>
      <c r="E90" s="2044"/>
      <c r="F90" s="1605"/>
      <c r="G90" s="1605"/>
      <c r="H90" s="1606"/>
    </row>
    <row r="91" spans="1:8" ht="13.5" customHeight="1">
      <c r="A91" s="2040"/>
      <c r="B91" s="1608"/>
      <c r="C91" s="1608"/>
      <c r="D91" s="2041"/>
      <c r="E91" s="2045"/>
      <c r="F91" s="1608"/>
      <c r="G91" s="1608"/>
      <c r="H91" s="1919"/>
    </row>
    <row r="92" spans="1:8" ht="13.5" customHeight="1">
      <c r="A92" s="2027" t="s">
        <v>1836</v>
      </c>
      <c r="B92" s="2028"/>
      <c r="C92" s="2028"/>
      <c r="D92" s="2028"/>
      <c r="E92" s="2028"/>
      <c r="F92" s="2028"/>
      <c r="G92" s="2028"/>
      <c r="H92" s="2029"/>
    </row>
    <row r="93" spans="1:8" ht="13.5" customHeight="1">
      <c r="A93" s="793"/>
      <c r="B93" s="794"/>
      <c r="C93" s="794"/>
      <c r="D93" s="794"/>
      <c r="E93" s="794"/>
      <c r="F93" s="794"/>
      <c r="G93" s="794"/>
      <c r="H93" s="795"/>
    </row>
    <row r="94" spans="1:8" ht="13.5" customHeight="1">
      <c r="A94" s="2030"/>
      <c r="B94" s="1824"/>
      <c r="C94" s="1824"/>
      <c r="D94" s="1824"/>
      <c r="E94" s="1825"/>
      <c r="F94" s="794"/>
      <c r="G94" s="794"/>
      <c r="H94" s="795"/>
    </row>
    <row r="95" spans="1:8" ht="13.5" customHeight="1">
      <c r="A95" s="793"/>
      <c r="B95" s="794"/>
      <c r="C95" s="794"/>
      <c r="D95" s="794"/>
      <c r="E95" s="794"/>
      <c r="F95" s="794"/>
      <c r="G95" s="794"/>
      <c r="H95" s="795"/>
    </row>
    <row r="96" spans="1:8" ht="13.5" customHeight="1">
      <c r="A96" s="2030" t="s">
        <v>1837</v>
      </c>
      <c r="B96" s="1825"/>
      <c r="C96" s="794"/>
      <c r="D96" s="794"/>
      <c r="E96" s="794"/>
      <c r="F96" s="794"/>
      <c r="G96" s="794"/>
      <c r="H96" s="795"/>
    </row>
    <row r="97" spans="1:8" ht="13.5" customHeight="1">
      <c r="A97" s="2031" t="s">
        <v>456</v>
      </c>
      <c r="B97" s="1824"/>
      <c r="C97" s="1824"/>
      <c r="D97" s="1824"/>
      <c r="E97" s="1824"/>
      <c r="F97" s="1824"/>
      <c r="G97" s="1824"/>
      <c r="H97" s="2032"/>
    </row>
    <row r="98" spans="1:8" ht="13.5" customHeight="1">
      <c r="A98" s="796"/>
      <c r="B98" s="797"/>
      <c r="C98" s="798"/>
      <c r="D98" s="799"/>
      <c r="E98" s="799"/>
      <c r="F98" s="800"/>
      <c r="G98" s="801" t="s">
        <v>1865</v>
      </c>
      <c r="H98" s="802"/>
    </row>
    <row r="99" spans="1:8" ht="13.5" customHeight="1">
      <c r="A99" s="803" t="s">
        <v>1839</v>
      </c>
      <c r="B99" s="804"/>
      <c r="C99" s="805"/>
      <c r="D99" s="806"/>
      <c r="E99" s="806"/>
      <c r="F99" s="800"/>
      <c r="G99" s="807" t="s">
        <v>1840</v>
      </c>
      <c r="H99" s="802"/>
    </row>
    <row r="100" spans="1:8" ht="13.5" customHeight="1">
      <c r="A100" s="2022" t="s">
        <v>376</v>
      </c>
      <c r="B100" s="1611"/>
      <c r="C100" s="808" t="s">
        <v>1219</v>
      </c>
      <c r="D100" s="809" t="s">
        <v>1841</v>
      </c>
      <c r="E100" s="809" t="s">
        <v>1842</v>
      </c>
      <c r="F100" s="810" t="s">
        <v>1843</v>
      </c>
      <c r="G100" s="811" t="s">
        <v>1844</v>
      </c>
      <c r="H100" s="812"/>
    </row>
    <row r="101" spans="1:8" ht="13.5" customHeight="1">
      <c r="A101" s="854" t="s">
        <v>1568</v>
      </c>
      <c r="B101" s="808"/>
      <c r="C101" s="813" t="s">
        <v>1614</v>
      </c>
      <c r="D101" s="814">
        <v>1500</v>
      </c>
      <c r="E101" s="814"/>
      <c r="F101" s="815">
        <v>0.2</v>
      </c>
      <c r="G101" s="816">
        <f>F101*D101</f>
        <v>300</v>
      </c>
      <c r="H101" s="812"/>
    </row>
    <row r="102" spans="1:8" ht="13.5" customHeight="1">
      <c r="A102" s="2020"/>
      <c r="B102" s="1611"/>
      <c r="C102" s="813"/>
      <c r="D102" s="817"/>
      <c r="E102" s="817"/>
      <c r="F102" s="815"/>
      <c r="G102" s="816">
        <v>0</v>
      </c>
      <c r="H102" s="812"/>
    </row>
    <row r="103" spans="1:8" ht="13.5" customHeight="1">
      <c r="A103" s="2023"/>
      <c r="B103" s="1611"/>
      <c r="C103" s="818"/>
      <c r="D103" s="819"/>
      <c r="E103" s="819"/>
      <c r="F103" s="819"/>
      <c r="G103" s="820"/>
      <c r="H103" s="821"/>
    </row>
    <row r="104" spans="1:8" ht="13.5" customHeight="1">
      <c r="A104" s="2033"/>
      <c r="B104" s="1825"/>
      <c r="C104" s="805"/>
      <c r="D104" s="806"/>
      <c r="E104" s="806"/>
      <c r="F104" s="800"/>
      <c r="G104" s="822" t="s">
        <v>1560</v>
      </c>
      <c r="H104" s="823">
        <f>SUM(G101:G103)</f>
        <v>300</v>
      </c>
    </row>
    <row r="105" spans="1:8" ht="13.5" customHeight="1">
      <c r="A105" s="824"/>
      <c r="B105" s="804"/>
      <c r="C105" s="805"/>
      <c r="D105" s="806"/>
      <c r="E105" s="806"/>
      <c r="F105" s="800"/>
      <c r="G105" s="825"/>
      <c r="H105" s="802"/>
    </row>
    <row r="106" spans="1:8" ht="13.5" customHeight="1">
      <c r="A106" s="803" t="s">
        <v>1561</v>
      </c>
      <c r="B106" s="804"/>
      <c r="C106" s="805"/>
      <c r="D106" s="806"/>
      <c r="E106" s="806"/>
      <c r="F106" s="800"/>
      <c r="G106" s="825"/>
      <c r="H106" s="802"/>
    </row>
    <row r="107" spans="1:8" ht="13.5" customHeight="1">
      <c r="A107" s="2022" t="s">
        <v>376</v>
      </c>
      <c r="B107" s="1611"/>
      <c r="C107" s="808" t="s">
        <v>1219</v>
      </c>
      <c r="D107" s="809" t="s">
        <v>1845</v>
      </c>
      <c r="E107" s="809" t="s">
        <v>1842</v>
      </c>
      <c r="F107" s="810" t="s">
        <v>673</v>
      </c>
      <c r="G107" s="811" t="s">
        <v>1845</v>
      </c>
      <c r="H107" s="826"/>
    </row>
    <row r="108" spans="1:8" ht="13.5" customHeight="1">
      <c r="A108" s="2020" t="s">
        <v>1866</v>
      </c>
      <c r="B108" s="1611"/>
      <c r="C108" s="855" t="s">
        <v>127</v>
      </c>
      <c r="D108" s="856">
        <v>25868</v>
      </c>
      <c r="E108" s="856"/>
      <c r="F108" s="857">
        <v>1</v>
      </c>
      <c r="G108" s="858">
        <f t="shared" ref="G108:G113" si="5">F108*D108</f>
        <v>25868</v>
      </c>
      <c r="H108" s="826"/>
    </row>
    <row r="109" spans="1:8" ht="13.5" customHeight="1">
      <c r="A109" s="2020" t="s">
        <v>1867</v>
      </c>
      <c r="B109" s="1611"/>
      <c r="C109" s="855" t="s">
        <v>127</v>
      </c>
      <c r="D109" s="856">
        <v>29063</v>
      </c>
      <c r="E109" s="856"/>
      <c r="F109" s="857">
        <v>1</v>
      </c>
      <c r="G109" s="858">
        <f t="shared" si="5"/>
        <v>29063</v>
      </c>
      <c r="H109" s="826"/>
    </row>
    <row r="110" spans="1:8" ht="13.5" customHeight="1">
      <c r="A110" s="2020" t="s">
        <v>1849</v>
      </c>
      <c r="B110" s="1611"/>
      <c r="C110" s="855" t="s">
        <v>1762</v>
      </c>
      <c r="D110" s="856">
        <v>110277</v>
      </c>
      <c r="E110" s="856"/>
      <c r="F110" s="857">
        <v>0.02</v>
      </c>
      <c r="G110" s="858">
        <f t="shared" si="5"/>
        <v>2205.54</v>
      </c>
      <c r="H110" s="826"/>
    </row>
    <row r="111" spans="1:8" ht="13.5" customHeight="1">
      <c r="A111" s="2020" t="s">
        <v>1868</v>
      </c>
      <c r="B111" s="1611"/>
      <c r="C111" s="855" t="s">
        <v>127</v>
      </c>
      <c r="D111" s="856">
        <v>166054</v>
      </c>
      <c r="E111" s="856"/>
      <c r="F111" s="857">
        <v>0.33</v>
      </c>
      <c r="G111" s="858">
        <f t="shared" si="5"/>
        <v>54797.82</v>
      </c>
      <c r="H111" s="826"/>
    </row>
    <row r="112" spans="1:8" ht="13.5" customHeight="1">
      <c r="A112" s="2020" t="s">
        <v>1851</v>
      </c>
      <c r="B112" s="1611"/>
      <c r="C112" s="855" t="s">
        <v>1762</v>
      </c>
      <c r="D112" s="856">
        <v>53176</v>
      </c>
      <c r="E112" s="856"/>
      <c r="F112" s="857">
        <v>0.02</v>
      </c>
      <c r="G112" s="858">
        <f t="shared" si="5"/>
        <v>1063.52</v>
      </c>
      <c r="H112" s="826"/>
    </row>
    <row r="113" spans="1:8" ht="13.5" customHeight="1">
      <c r="A113" s="2020" t="s">
        <v>1616</v>
      </c>
      <c r="B113" s="1611"/>
      <c r="C113" s="855" t="s">
        <v>1852</v>
      </c>
      <c r="D113" s="856">
        <v>2500</v>
      </c>
      <c r="E113" s="856"/>
      <c r="F113" s="857">
        <v>0.1</v>
      </c>
      <c r="G113" s="858">
        <f t="shared" si="5"/>
        <v>250</v>
      </c>
      <c r="H113" s="826"/>
    </row>
    <row r="114" spans="1:8" ht="13.5" customHeight="1">
      <c r="A114" s="824"/>
      <c r="B114" s="804"/>
      <c r="C114" s="805"/>
      <c r="D114" s="806"/>
      <c r="E114" s="806"/>
      <c r="F114" s="800"/>
      <c r="G114" s="828" t="s">
        <v>1560</v>
      </c>
      <c r="H114" s="823">
        <f>SUM(G108:G113)</f>
        <v>113247.88</v>
      </c>
    </row>
    <row r="115" spans="1:8" ht="13.5" customHeight="1">
      <c r="A115" s="803"/>
      <c r="B115" s="804"/>
      <c r="C115" s="805"/>
      <c r="D115" s="806"/>
      <c r="E115" s="806"/>
      <c r="F115" s="800"/>
      <c r="G115" s="825"/>
      <c r="H115" s="802"/>
    </row>
    <row r="116" spans="1:8" ht="13.5" customHeight="1">
      <c r="A116" s="803"/>
      <c r="B116" s="804"/>
      <c r="C116" s="805"/>
      <c r="D116" s="806"/>
      <c r="E116" s="806"/>
      <c r="F116" s="800"/>
      <c r="G116" s="804"/>
      <c r="H116" s="826"/>
    </row>
    <row r="117" spans="1:8" ht="13.5" customHeight="1">
      <c r="A117" s="803" t="s">
        <v>1564</v>
      </c>
      <c r="B117" s="804"/>
      <c r="C117" s="805"/>
      <c r="D117" s="806"/>
      <c r="E117" s="806"/>
      <c r="F117" s="800"/>
      <c r="G117" s="806"/>
      <c r="H117" s="829"/>
    </row>
    <row r="118" spans="1:8" ht="13.5" customHeight="1">
      <c r="A118" s="830" t="s">
        <v>1853</v>
      </c>
      <c r="B118" s="831" t="s">
        <v>1854</v>
      </c>
      <c r="C118" s="808" t="s">
        <v>1855</v>
      </c>
      <c r="D118" s="832" t="s">
        <v>1244</v>
      </c>
      <c r="E118" s="809" t="s">
        <v>1856</v>
      </c>
      <c r="F118" s="810" t="s">
        <v>1843</v>
      </c>
      <c r="G118" s="833" t="s">
        <v>1845</v>
      </c>
      <c r="H118" s="834"/>
    </row>
    <row r="119" spans="1:8" ht="13.5" customHeight="1">
      <c r="A119" s="835"/>
      <c r="B119" s="836" t="s">
        <v>1857</v>
      </c>
      <c r="C119" s="837">
        <v>30000</v>
      </c>
      <c r="D119" s="837">
        <v>2</v>
      </c>
      <c r="E119" s="837">
        <f t="shared" ref="E119:E120" si="6">D119*C119</f>
        <v>60000</v>
      </c>
      <c r="F119" s="838">
        <v>2.4</v>
      </c>
      <c r="G119" s="837">
        <f t="shared" ref="G119:G120" si="7">ROUND((E119*F119)/8,0)</f>
        <v>18000</v>
      </c>
      <c r="H119" s="839"/>
    </row>
    <row r="120" spans="1:8" ht="13.5" customHeight="1">
      <c r="A120" s="835"/>
      <c r="B120" s="836" t="s">
        <v>1858</v>
      </c>
      <c r="C120" s="837">
        <v>40000</v>
      </c>
      <c r="D120" s="837">
        <v>1</v>
      </c>
      <c r="E120" s="837">
        <f t="shared" si="6"/>
        <v>40000</v>
      </c>
      <c r="F120" s="838">
        <v>2.4</v>
      </c>
      <c r="G120" s="837">
        <f t="shared" si="7"/>
        <v>12000</v>
      </c>
      <c r="H120" s="840"/>
    </row>
    <row r="121" spans="1:8" ht="13.5" customHeight="1">
      <c r="A121" s="824"/>
      <c r="B121" s="804"/>
      <c r="C121" s="805"/>
      <c r="D121" s="806"/>
      <c r="E121" s="806"/>
      <c r="F121" s="800"/>
      <c r="G121" s="841" t="s">
        <v>1560</v>
      </c>
      <c r="H121" s="823">
        <f>SUM(G119:G120)</f>
        <v>30000</v>
      </c>
    </row>
    <row r="122" spans="1:8" ht="13.5" customHeight="1">
      <c r="A122" s="824"/>
      <c r="B122" s="804"/>
      <c r="C122" s="805"/>
      <c r="D122" s="806"/>
      <c r="E122" s="806"/>
      <c r="F122" s="800"/>
      <c r="G122" s="806"/>
      <c r="H122" s="829"/>
    </row>
    <row r="123" spans="1:8" ht="13.5" customHeight="1">
      <c r="A123" s="824"/>
      <c r="B123" s="804"/>
      <c r="C123" s="805"/>
      <c r="D123" s="806"/>
      <c r="E123" s="806"/>
      <c r="F123" s="842" t="s">
        <v>142</v>
      </c>
      <c r="G123" s="806"/>
      <c r="H123" s="843">
        <f>H121+H114+H104</f>
        <v>143547.88</v>
      </c>
    </row>
    <row r="124" spans="1:8" ht="13.5" customHeight="1">
      <c r="A124" s="824"/>
      <c r="B124" s="804"/>
      <c r="C124" s="805"/>
      <c r="D124" s="806"/>
      <c r="E124" s="806"/>
      <c r="F124" s="842"/>
      <c r="G124" s="806"/>
      <c r="H124" s="829"/>
    </row>
    <row r="125" spans="1:8" ht="13.5" customHeight="1">
      <c r="A125" s="824"/>
      <c r="B125" s="801"/>
      <c r="C125" s="805"/>
      <c r="D125" s="806"/>
      <c r="E125" s="806"/>
      <c r="F125" s="800"/>
      <c r="G125" s="825"/>
      <c r="H125" s="802"/>
    </row>
    <row r="126" spans="1:8" ht="13.5" customHeight="1">
      <c r="A126" s="847"/>
      <c r="B126" s="848"/>
      <c r="C126" s="849"/>
      <c r="D126" s="806"/>
      <c r="E126" s="806"/>
      <c r="F126" s="800"/>
      <c r="G126" s="804"/>
      <c r="H126" s="826"/>
    </row>
    <row r="127" spans="1:8" ht="13.5" customHeight="1">
      <c r="A127" s="824" t="s">
        <v>1835</v>
      </c>
      <c r="B127" s="801"/>
      <c r="C127" s="805"/>
      <c r="D127" s="806"/>
      <c r="E127" s="806"/>
      <c r="F127" s="2021"/>
      <c r="G127" s="1825"/>
      <c r="H127" s="826"/>
    </row>
    <row r="128" spans="1:8" ht="13.5" customHeight="1">
      <c r="A128" s="824" t="s">
        <v>1859</v>
      </c>
      <c r="B128" s="801"/>
      <c r="C128" s="805"/>
      <c r="D128" s="806"/>
      <c r="E128" s="806"/>
      <c r="F128" s="800"/>
      <c r="G128" s="804"/>
      <c r="H128" s="826"/>
    </row>
    <row r="131" spans="1:8" ht="13.5" customHeight="1">
      <c r="A131" s="2046" t="s">
        <v>1834</v>
      </c>
      <c r="B131" s="1811"/>
      <c r="C131" s="1811"/>
      <c r="D131" s="1811"/>
      <c r="E131" s="1811"/>
      <c r="F131" s="1811"/>
      <c r="G131" s="1811"/>
      <c r="H131" s="1812"/>
    </row>
    <row r="132" spans="1:8" ht="13.5" customHeight="1">
      <c r="A132" s="2035" t="s">
        <v>559</v>
      </c>
      <c r="B132" s="2036"/>
      <c r="C132" s="2036"/>
      <c r="D132" s="2037"/>
      <c r="E132" s="2042" t="s">
        <v>1869</v>
      </c>
      <c r="F132" s="2036"/>
      <c r="G132" s="2036"/>
      <c r="H132" s="2043"/>
    </row>
    <row r="133" spans="1:8" ht="13.5" customHeight="1">
      <c r="A133" s="2038"/>
      <c r="B133" s="1605"/>
      <c r="C133" s="1605"/>
      <c r="D133" s="2039"/>
      <c r="E133" s="2044"/>
      <c r="F133" s="1605"/>
      <c r="G133" s="1605"/>
      <c r="H133" s="1606"/>
    </row>
    <row r="134" spans="1:8" ht="13.5" customHeight="1">
      <c r="A134" s="2040"/>
      <c r="B134" s="1608"/>
      <c r="C134" s="1608"/>
      <c r="D134" s="2041"/>
      <c r="E134" s="2045"/>
      <c r="F134" s="1608"/>
      <c r="G134" s="1608"/>
      <c r="H134" s="1919"/>
    </row>
    <row r="135" spans="1:8" ht="13.5" customHeight="1">
      <c r="A135" s="2027" t="s">
        <v>1836</v>
      </c>
      <c r="B135" s="2028"/>
      <c r="C135" s="2028"/>
      <c r="D135" s="2028"/>
      <c r="E135" s="2028"/>
      <c r="F135" s="2028"/>
      <c r="G135" s="2028"/>
      <c r="H135" s="2029"/>
    </row>
    <row r="136" spans="1:8" ht="13.5" customHeight="1">
      <c r="A136" s="793"/>
      <c r="B136" s="794"/>
      <c r="C136" s="794"/>
      <c r="D136" s="794"/>
      <c r="E136" s="794"/>
      <c r="F136" s="794"/>
      <c r="G136" s="794"/>
      <c r="H136" s="795"/>
    </row>
    <row r="137" spans="1:8" ht="13.5" customHeight="1">
      <c r="A137" s="2030"/>
      <c r="B137" s="1824"/>
      <c r="C137" s="1824"/>
      <c r="D137" s="1824"/>
      <c r="E137" s="1825"/>
      <c r="F137" s="794"/>
      <c r="G137" s="794"/>
      <c r="H137" s="795"/>
    </row>
    <row r="138" spans="1:8" ht="13.5" customHeight="1">
      <c r="A138" s="793"/>
      <c r="B138" s="794"/>
      <c r="C138" s="794"/>
      <c r="D138" s="794"/>
      <c r="E138" s="794"/>
      <c r="F138" s="794"/>
      <c r="G138" s="794"/>
      <c r="H138" s="795"/>
    </row>
    <row r="139" spans="1:8" ht="13.5" customHeight="1">
      <c r="A139" s="2030" t="s">
        <v>1837</v>
      </c>
      <c r="B139" s="1825"/>
      <c r="C139" s="794"/>
      <c r="D139" s="794"/>
      <c r="E139" s="794"/>
      <c r="F139" s="794"/>
      <c r="G139" s="794"/>
      <c r="H139" s="795"/>
    </row>
    <row r="140" spans="1:8" ht="13.5" customHeight="1">
      <c r="A140" s="2031" t="s">
        <v>457</v>
      </c>
      <c r="B140" s="1824"/>
      <c r="C140" s="1824"/>
      <c r="D140" s="1824"/>
      <c r="E140" s="1824"/>
      <c r="F140" s="1824"/>
      <c r="G140" s="1824"/>
      <c r="H140" s="2032"/>
    </row>
    <row r="141" spans="1:8" ht="13.5" customHeight="1">
      <c r="A141" s="796"/>
      <c r="B141" s="797"/>
      <c r="C141" s="798"/>
      <c r="D141" s="799"/>
      <c r="E141" s="799"/>
      <c r="F141" s="800"/>
      <c r="G141" s="801" t="s">
        <v>1870</v>
      </c>
      <c r="H141" s="802"/>
    </row>
    <row r="142" spans="1:8" ht="13.5" customHeight="1">
      <c r="A142" s="803" t="s">
        <v>1839</v>
      </c>
      <c r="B142" s="804"/>
      <c r="C142" s="805"/>
      <c r="D142" s="806"/>
      <c r="E142" s="806"/>
      <c r="F142" s="800"/>
      <c r="G142" s="807" t="s">
        <v>1871</v>
      </c>
      <c r="H142" s="802"/>
    </row>
    <row r="143" spans="1:8" ht="13.5" customHeight="1">
      <c r="A143" s="2022" t="s">
        <v>376</v>
      </c>
      <c r="B143" s="1611"/>
      <c r="C143" s="808" t="s">
        <v>1219</v>
      </c>
      <c r="D143" s="809" t="s">
        <v>1841</v>
      </c>
      <c r="E143" s="809" t="s">
        <v>1842</v>
      </c>
      <c r="F143" s="810" t="s">
        <v>1843</v>
      </c>
      <c r="G143" s="811" t="s">
        <v>1844</v>
      </c>
      <c r="H143" s="812"/>
    </row>
    <row r="144" spans="1:8" ht="13.5" customHeight="1">
      <c r="A144" s="854" t="s">
        <v>1568</v>
      </c>
      <c r="B144" s="808"/>
      <c r="C144" s="813" t="s">
        <v>1614</v>
      </c>
      <c r="D144" s="814">
        <v>1500</v>
      </c>
      <c r="E144" s="814"/>
      <c r="F144" s="815">
        <v>0.2</v>
      </c>
      <c r="G144" s="816">
        <f>F144*D144</f>
        <v>300</v>
      </c>
      <c r="H144" s="812"/>
    </row>
    <row r="145" spans="1:8" ht="13.5" customHeight="1">
      <c r="A145" s="2020"/>
      <c r="B145" s="1611"/>
      <c r="C145" s="813"/>
      <c r="D145" s="817"/>
      <c r="E145" s="817"/>
      <c r="F145" s="815"/>
      <c r="G145" s="816">
        <v>0</v>
      </c>
      <c r="H145" s="812"/>
    </row>
    <row r="146" spans="1:8" ht="13.5" customHeight="1">
      <c r="A146" s="2023"/>
      <c r="B146" s="1611"/>
      <c r="C146" s="818"/>
      <c r="D146" s="819"/>
      <c r="E146" s="819"/>
      <c r="F146" s="819"/>
      <c r="G146" s="820"/>
      <c r="H146" s="821"/>
    </row>
    <row r="147" spans="1:8" ht="13.5" customHeight="1">
      <c r="A147" s="2033"/>
      <c r="B147" s="1825"/>
      <c r="C147" s="805"/>
      <c r="D147" s="806"/>
      <c r="E147" s="806"/>
      <c r="F147" s="800"/>
      <c r="G147" s="822" t="s">
        <v>1560</v>
      </c>
      <c r="H147" s="823">
        <f>SUM(G144:G146)</f>
        <v>300</v>
      </c>
    </row>
    <row r="148" spans="1:8" ht="13.5" customHeight="1">
      <c r="A148" s="824"/>
      <c r="B148" s="804"/>
      <c r="C148" s="805"/>
      <c r="D148" s="806"/>
      <c r="E148" s="806"/>
      <c r="F148" s="800"/>
      <c r="G148" s="825"/>
      <c r="H148" s="802"/>
    </row>
    <row r="149" spans="1:8" ht="13.5" customHeight="1">
      <c r="A149" s="803" t="s">
        <v>1561</v>
      </c>
      <c r="B149" s="804"/>
      <c r="C149" s="805"/>
      <c r="D149" s="806"/>
      <c r="E149" s="806"/>
      <c r="F149" s="800"/>
      <c r="G149" s="825"/>
      <c r="H149" s="802"/>
    </row>
    <row r="150" spans="1:8" ht="13.5" customHeight="1">
      <c r="A150" s="2022" t="s">
        <v>376</v>
      </c>
      <c r="B150" s="1611"/>
      <c r="C150" s="808" t="s">
        <v>1219</v>
      </c>
      <c r="D150" s="809" t="s">
        <v>1845</v>
      </c>
      <c r="E150" s="809" t="s">
        <v>1842</v>
      </c>
      <c r="F150" s="810" t="s">
        <v>673</v>
      </c>
      <c r="G150" s="811" t="s">
        <v>1845</v>
      </c>
      <c r="H150" s="826"/>
    </row>
    <row r="151" spans="1:8" ht="13.5" customHeight="1">
      <c r="A151" s="2020" t="s">
        <v>1872</v>
      </c>
      <c r="B151" s="1611"/>
      <c r="C151" s="813" t="s">
        <v>1873</v>
      </c>
      <c r="D151" s="817">
        <v>166054</v>
      </c>
      <c r="E151" s="817"/>
      <c r="F151" s="815">
        <v>0.17</v>
      </c>
      <c r="G151" s="827">
        <f t="shared" ref="G151:G155" si="8">F151*D151</f>
        <v>28229.18</v>
      </c>
      <c r="H151" s="826"/>
    </row>
    <row r="152" spans="1:8" ht="13.5" customHeight="1">
      <c r="A152" s="2020" t="s">
        <v>1874</v>
      </c>
      <c r="B152" s="1611"/>
      <c r="C152" s="813" t="s">
        <v>127</v>
      </c>
      <c r="D152" s="817">
        <v>8318</v>
      </c>
      <c r="E152" s="817"/>
      <c r="F152" s="815">
        <v>1</v>
      </c>
      <c r="G152" s="827">
        <f t="shared" si="8"/>
        <v>8318</v>
      </c>
      <c r="H152" s="826"/>
    </row>
    <row r="153" spans="1:8" ht="13.5" customHeight="1">
      <c r="A153" s="2020" t="s">
        <v>1875</v>
      </c>
      <c r="B153" s="1611"/>
      <c r="C153" s="813" t="s">
        <v>1762</v>
      </c>
      <c r="D153" s="817">
        <v>110277</v>
      </c>
      <c r="E153" s="817"/>
      <c r="F153" s="815">
        <v>0.02</v>
      </c>
      <c r="G153" s="827">
        <f t="shared" si="8"/>
        <v>2205.54</v>
      </c>
      <c r="H153" s="826"/>
    </row>
    <row r="154" spans="1:8" ht="13.5" customHeight="1">
      <c r="A154" s="2020" t="s">
        <v>1851</v>
      </c>
      <c r="B154" s="1611"/>
      <c r="C154" s="813" t="s">
        <v>1762</v>
      </c>
      <c r="D154" s="817">
        <v>53176</v>
      </c>
      <c r="E154" s="809"/>
      <c r="F154" s="815">
        <v>0.02</v>
      </c>
      <c r="G154" s="827">
        <f t="shared" si="8"/>
        <v>1063.52</v>
      </c>
      <c r="H154" s="826"/>
    </row>
    <row r="155" spans="1:8" ht="13.5" customHeight="1">
      <c r="A155" s="2020" t="s">
        <v>1616</v>
      </c>
      <c r="B155" s="1611"/>
      <c r="C155" s="813" t="s">
        <v>1852</v>
      </c>
      <c r="D155" s="817">
        <v>2500</v>
      </c>
      <c r="E155" s="817"/>
      <c r="F155" s="815">
        <v>0.1</v>
      </c>
      <c r="G155" s="827">
        <f t="shared" si="8"/>
        <v>250</v>
      </c>
      <c r="H155" s="802"/>
    </row>
    <row r="156" spans="1:8" ht="13.5" customHeight="1">
      <c r="A156" s="824"/>
      <c r="B156" s="804"/>
      <c r="C156" s="805"/>
      <c r="D156" s="806"/>
      <c r="E156" s="806"/>
      <c r="F156" s="800"/>
      <c r="G156" s="828" t="s">
        <v>1560</v>
      </c>
      <c r="H156" s="823">
        <f>SUM(G151:G155)</f>
        <v>40066.239999999998</v>
      </c>
    </row>
    <row r="157" spans="1:8" ht="13.5" customHeight="1">
      <c r="A157" s="803"/>
      <c r="B157" s="804"/>
      <c r="C157" s="805"/>
      <c r="D157" s="806"/>
      <c r="E157" s="806"/>
      <c r="F157" s="800"/>
      <c r="G157" s="825"/>
      <c r="H157" s="802"/>
    </row>
    <row r="158" spans="1:8" ht="13.5" customHeight="1">
      <c r="A158" s="803"/>
      <c r="B158" s="804"/>
      <c r="C158" s="805"/>
      <c r="D158" s="806"/>
      <c r="E158" s="806"/>
      <c r="F158" s="800"/>
      <c r="G158" s="804"/>
      <c r="H158" s="826"/>
    </row>
    <row r="159" spans="1:8" ht="13.5" customHeight="1">
      <c r="A159" s="803" t="s">
        <v>1564</v>
      </c>
      <c r="B159" s="804"/>
      <c r="C159" s="805"/>
      <c r="D159" s="806"/>
      <c r="E159" s="806"/>
      <c r="F159" s="800"/>
      <c r="G159" s="806"/>
      <c r="H159" s="829"/>
    </row>
    <row r="160" spans="1:8" ht="13.5" customHeight="1">
      <c r="A160" s="830" t="s">
        <v>1853</v>
      </c>
      <c r="B160" s="830" t="s">
        <v>1854</v>
      </c>
      <c r="C160" s="808" t="s">
        <v>1855</v>
      </c>
      <c r="D160" s="832" t="s">
        <v>1244</v>
      </c>
      <c r="E160" s="809" t="s">
        <v>1856</v>
      </c>
      <c r="F160" s="810" t="s">
        <v>1843</v>
      </c>
      <c r="G160" s="833" t="s">
        <v>1845</v>
      </c>
      <c r="H160" s="834"/>
    </row>
    <row r="161" spans="1:8" ht="13.5" customHeight="1">
      <c r="A161" s="835"/>
      <c r="B161" s="859" t="s">
        <v>1857</v>
      </c>
      <c r="C161" s="837">
        <v>30000</v>
      </c>
      <c r="D161" s="837">
        <v>2</v>
      </c>
      <c r="E161" s="837">
        <f t="shared" ref="E161:E162" si="9">D161*C161</f>
        <v>60000</v>
      </c>
      <c r="F161" s="838">
        <v>0.92078031097731428</v>
      </c>
      <c r="G161" s="837">
        <f t="shared" ref="G161:G162" si="10">ROUND((F161*E161)/8,0)</f>
        <v>6906</v>
      </c>
      <c r="H161" s="839"/>
    </row>
    <row r="162" spans="1:8" ht="13.5" customHeight="1">
      <c r="A162" s="835"/>
      <c r="B162" s="859" t="s">
        <v>1858</v>
      </c>
      <c r="C162" s="837">
        <v>40000</v>
      </c>
      <c r="D162" s="837">
        <v>1</v>
      </c>
      <c r="E162" s="837">
        <f t="shared" si="9"/>
        <v>40000</v>
      </c>
      <c r="F162" s="838">
        <v>0.92078031097731428</v>
      </c>
      <c r="G162" s="837">
        <f t="shared" si="10"/>
        <v>4604</v>
      </c>
      <c r="H162" s="840"/>
    </row>
    <row r="163" spans="1:8" ht="13.5" customHeight="1">
      <c r="A163" s="824"/>
      <c r="B163" s="804"/>
      <c r="C163" s="805"/>
      <c r="D163" s="806"/>
      <c r="E163" s="806"/>
      <c r="F163" s="800"/>
      <c r="G163" s="841" t="s">
        <v>1560</v>
      </c>
      <c r="H163" s="823">
        <f>SUM(G161:G162)</f>
        <v>11510</v>
      </c>
    </row>
    <row r="164" spans="1:8" ht="13.5" customHeight="1">
      <c r="A164" s="824"/>
      <c r="B164" s="804"/>
      <c r="C164" s="805"/>
      <c r="D164" s="806"/>
      <c r="E164" s="806"/>
      <c r="F164" s="800"/>
      <c r="G164" s="806"/>
      <c r="H164" s="829"/>
    </row>
    <row r="165" spans="1:8" ht="13.5" customHeight="1">
      <c r="A165" s="824"/>
      <c r="B165" s="804"/>
      <c r="C165" s="805"/>
      <c r="D165" s="806"/>
      <c r="E165" s="806"/>
      <c r="F165" s="842" t="s">
        <v>142</v>
      </c>
      <c r="G165" s="806"/>
      <c r="H165" s="843">
        <f>H163+H156+H147</f>
        <v>51876.24</v>
      </c>
    </row>
    <row r="166" spans="1:8" ht="13.5" customHeight="1">
      <c r="A166" s="824"/>
      <c r="B166" s="804"/>
      <c r="C166" s="805"/>
      <c r="D166" s="806"/>
      <c r="E166" s="806"/>
      <c r="F166" s="842"/>
      <c r="G166" s="806"/>
      <c r="H166" s="829"/>
    </row>
    <row r="167" spans="1:8" ht="13.5" customHeight="1">
      <c r="A167" s="824"/>
      <c r="B167" s="801"/>
      <c r="C167" s="805"/>
      <c r="D167" s="806"/>
      <c r="E167" s="806"/>
      <c r="F167" s="800"/>
      <c r="G167" s="825"/>
      <c r="H167" s="802"/>
    </row>
    <row r="168" spans="1:8" ht="13.5" customHeight="1">
      <c r="A168" s="847"/>
      <c r="B168" s="848"/>
      <c r="C168" s="849"/>
      <c r="D168" s="806"/>
      <c r="E168" s="806"/>
      <c r="F168" s="800"/>
      <c r="G168" s="804"/>
      <c r="H168" s="826"/>
    </row>
    <row r="169" spans="1:8" ht="13.5" customHeight="1">
      <c r="A169" s="824" t="s">
        <v>1835</v>
      </c>
      <c r="B169" s="801"/>
      <c r="C169" s="805"/>
      <c r="D169" s="806"/>
      <c r="E169" s="806"/>
      <c r="F169" s="2021"/>
      <c r="G169" s="1825"/>
      <c r="H169" s="826"/>
    </row>
    <row r="170" spans="1:8" ht="13.5" customHeight="1">
      <c r="A170" s="847" t="s">
        <v>1859</v>
      </c>
      <c r="B170" s="848"/>
      <c r="C170" s="849"/>
      <c r="D170" s="850"/>
      <c r="E170" s="850"/>
      <c r="F170" s="851"/>
      <c r="G170" s="852"/>
      <c r="H170" s="853"/>
    </row>
    <row r="171" spans="1:8" ht="13.5" customHeight="1">
      <c r="A171" s="792"/>
      <c r="B171" s="792"/>
      <c r="C171" s="792"/>
      <c r="D171" s="792"/>
      <c r="E171" s="792"/>
      <c r="F171" s="792"/>
      <c r="G171" s="792"/>
      <c r="H171" s="792"/>
    </row>
    <row r="172" spans="1:8" ht="13.5" customHeight="1">
      <c r="A172" s="2046" t="s">
        <v>1834</v>
      </c>
      <c r="B172" s="1811"/>
      <c r="C172" s="1811"/>
      <c r="D172" s="1811"/>
      <c r="E172" s="1811"/>
      <c r="F172" s="1811"/>
      <c r="G172" s="1811"/>
      <c r="H172" s="1812"/>
    </row>
    <row r="173" spans="1:8" ht="13.5" customHeight="1">
      <c r="A173" s="2035" t="s">
        <v>559</v>
      </c>
      <c r="B173" s="2036"/>
      <c r="C173" s="2036"/>
      <c r="D173" s="2037"/>
      <c r="E173" s="2042" t="s">
        <v>559</v>
      </c>
      <c r="F173" s="2036"/>
      <c r="G173" s="2036"/>
      <c r="H173" s="2043"/>
    </row>
    <row r="174" spans="1:8" ht="13.5" customHeight="1">
      <c r="A174" s="2038"/>
      <c r="B174" s="1605"/>
      <c r="C174" s="1605"/>
      <c r="D174" s="2039"/>
      <c r="E174" s="2044"/>
      <c r="F174" s="1605"/>
      <c r="G174" s="1605"/>
      <c r="H174" s="1606"/>
    </row>
    <row r="175" spans="1:8" ht="13.5" customHeight="1">
      <c r="A175" s="2040"/>
      <c r="B175" s="1608"/>
      <c r="C175" s="1608"/>
      <c r="D175" s="2041"/>
      <c r="E175" s="2045"/>
      <c r="F175" s="1608"/>
      <c r="G175" s="1608"/>
      <c r="H175" s="1919"/>
    </row>
    <row r="176" spans="1:8" ht="13.5" customHeight="1">
      <c r="A176" s="2027" t="s">
        <v>1836</v>
      </c>
      <c r="B176" s="2028"/>
      <c r="C176" s="2028"/>
      <c r="D176" s="2028"/>
      <c r="E176" s="2028"/>
      <c r="F176" s="2028"/>
      <c r="G176" s="2028"/>
      <c r="H176" s="2029"/>
    </row>
    <row r="178" spans="1:8" ht="13.5" customHeight="1">
      <c r="A178" s="2030"/>
      <c r="B178" s="1824"/>
      <c r="C178" s="1824"/>
      <c r="D178" s="1824"/>
      <c r="E178" s="1825"/>
      <c r="F178" s="794"/>
      <c r="G178" s="794"/>
      <c r="H178" s="795"/>
    </row>
    <row r="179" spans="1:8" ht="13.5" customHeight="1">
      <c r="A179" s="793"/>
      <c r="B179" s="794"/>
      <c r="C179" s="794"/>
      <c r="D179" s="794"/>
      <c r="E179" s="794"/>
      <c r="F179" s="794"/>
      <c r="G179" s="794"/>
      <c r="H179" s="795"/>
    </row>
    <row r="180" spans="1:8" ht="13.5" customHeight="1">
      <c r="A180" s="2030" t="s">
        <v>1837</v>
      </c>
      <c r="B180" s="1825"/>
      <c r="C180" s="794"/>
      <c r="D180" s="794"/>
      <c r="E180" s="794"/>
      <c r="F180" s="794"/>
      <c r="G180" s="794"/>
      <c r="H180" s="795"/>
    </row>
    <row r="181" spans="1:8" ht="13.5" customHeight="1">
      <c r="A181" s="2031" t="s">
        <v>458</v>
      </c>
      <c r="B181" s="1824"/>
      <c r="C181" s="1824"/>
      <c r="D181" s="1824"/>
      <c r="E181" s="1824"/>
      <c r="F181" s="1824"/>
      <c r="G181" s="1824"/>
      <c r="H181" s="2032"/>
    </row>
    <row r="182" spans="1:8" ht="13.5" customHeight="1">
      <c r="A182" s="796"/>
      <c r="B182" s="797"/>
      <c r="C182" s="798"/>
      <c r="D182" s="799"/>
      <c r="E182" s="799"/>
      <c r="F182" s="800"/>
      <c r="G182" s="801" t="s">
        <v>1876</v>
      </c>
      <c r="H182" s="802"/>
    </row>
    <row r="183" spans="1:8" ht="13.5" customHeight="1">
      <c r="A183" s="803" t="s">
        <v>1839</v>
      </c>
      <c r="B183" s="804"/>
      <c r="C183" s="805"/>
      <c r="D183" s="806"/>
      <c r="E183" s="806"/>
      <c r="F183" s="800"/>
      <c r="G183" s="807" t="s">
        <v>1871</v>
      </c>
      <c r="H183" s="802"/>
    </row>
    <row r="184" spans="1:8" ht="13.5" customHeight="1">
      <c r="A184" s="2022" t="s">
        <v>376</v>
      </c>
      <c r="B184" s="1611"/>
      <c r="C184" s="808" t="s">
        <v>1219</v>
      </c>
      <c r="D184" s="809" t="s">
        <v>1841</v>
      </c>
      <c r="E184" s="809" t="s">
        <v>1842</v>
      </c>
      <c r="F184" s="810" t="s">
        <v>1843</v>
      </c>
      <c r="G184" s="811" t="s">
        <v>1844</v>
      </c>
      <c r="H184" s="812"/>
    </row>
    <row r="185" spans="1:8" ht="13.5" customHeight="1">
      <c r="A185" s="854" t="s">
        <v>1568</v>
      </c>
      <c r="B185" s="808"/>
      <c r="C185" s="813" t="s">
        <v>1614</v>
      </c>
      <c r="D185" s="814">
        <v>1500</v>
      </c>
      <c r="E185" s="814"/>
      <c r="F185" s="815">
        <v>0.2</v>
      </c>
      <c r="G185" s="816">
        <f>F185*D185</f>
        <v>300</v>
      </c>
      <c r="H185" s="812"/>
    </row>
    <row r="186" spans="1:8" ht="13.5" customHeight="1">
      <c r="A186" s="2020"/>
      <c r="B186" s="1611"/>
      <c r="C186" s="813"/>
      <c r="D186" s="817"/>
      <c r="E186" s="817"/>
      <c r="F186" s="815"/>
      <c r="G186" s="816">
        <v>0</v>
      </c>
      <c r="H186" s="812"/>
    </row>
    <row r="187" spans="1:8" ht="13.5" customHeight="1">
      <c r="A187" s="2023"/>
      <c r="B187" s="1611"/>
      <c r="C187" s="818"/>
      <c r="D187" s="819"/>
      <c r="E187" s="819"/>
      <c r="F187" s="819"/>
      <c r="G187" s="820"/>
      <c r="H187" s="821"/>
    </row>
    <row r="188" spans="1:8" ht="13.5" customHeight="1">
      <c r="A188" s="2033"/>
      <c r="B188" s="1825"/>
      <c r="C188" s="805"/>
      <c r="D188" s="806"/>
      <c r="E188" s="806"/>
      <c r="F188" s="800"/>
      <c r="G188" s="822" t="s">
        <v>1560</v>
      </c>
      <c r="H188" s="860">
        <f>SUM(G185:G187)</f>
        <v>300</v>
      </c>
    </row>
    <row r="189" spans="1:8" ht="13.5" customHeight="1">
      <c r="A189" s="824"/>
      <c r="B189" s="804"/>
      <c r="C189" s="805"/>
      <c r="D189" s="806"/>
      <c r="E189" s="806"/>
      <c r="F189" s="800"/>
      <c r="G189" s="825"/>
      <c r="H189" s="802"/>
    </row>
    <row r="190" spans="1:8" ht="13.5" customHeight="1">
      <c r="A190" s="803" t="s">
        <v>1561</v>
      </c>
      <c r="B190" s="804"/>
      <c r="C190" s="805"/>
      <c r="D190" s="806"/>
      <c r="E190" s="806"/>
      <c r="F190" s="800"/>
      <c r="G190" s="825"/>
      <c r="H190" s="802"/>
    </row>
    <row r="191" spans="1:8" ht="13.5" customHeight="1">
      <c r="A191" s="2022" t="s">
        <v>376</v>
      </c>
      <c r="B191" s="1611"/>
      <c r="C191" s="808" t="s">
        <v>1219</v>
      </c>
      <c r="D191" s="809" t="s">
        <v>1845</v>
      </c>
      <c r="E191" s="809" t="s">
        <v>1842</v>
      </c>
      <c r="F191" s="810" t="s">
        <v>673</v>
      </c>
      <c r="G191" s="811" t="s">
        <v>1845</v>
      </c>
      <c r="H191" s="826"/>
    </row>
    <row r="192" spans="1:8" ht="13.5" customHeight="1">
      <c r="A192" s="2020" t="s">
        <v>1877</v>
      </c>
      <c r="B192" s="1611"/>
      <c r="C192" s="813" t="s">
        <v>1873</v>
      </c>
      <c r="D192" s="817">
        <v>119144</v>
      </c>
      <c r="E192" s="817"/>
      <c r="F192" s="815">
        <v>0.17</v>
      </c>
      <c r="G192" s="827">
        <f t="shared" ref="G192:G196" si="11">F192*D192</f>
        <v>20254.480000000003</v>
      </c>
      <c r="H192" s="826"/>
    </row>
    <row r="193" spans="1:8" ht="13.5" customHeight="1">
      <c r="A193" s="2020" t="s">
        <v>1874</v>
      </c>
      <c r="B193" s="1611"/>
      <c r="C193" s="813" t="s">
        <v>127</v>
      </c>
      <c r="D193" s="817">
        <v>4166</v>
      </c>
      <c r="E193" s="817"/>
      <c r="F193" s="815">
        <v>1</v>
      </c>
      <c r="G193" s="827">
        <f t="shared" si="11"/>
        <v>4166</v>
      </c>
      <c r="H193" s="826"/>
    </row>
    <row r="194" spans="1:8" ht="13.5" customHeight="1">
      <c r="A194" s="2020" t="s">
        <v>1875</v>
      </c>
      <c r="B194" s="1611"/>
      <c r="C194" s="813" t="s">
        <v>1762</v>
      </c>
      <c r="D194" s="817">
        <v>110277</v>
      </c>
      <c r="E194" s="817"/>
      <c r="F194" s="815">
        <v>0.02</v>
      </c>
      <c r="G194" s="827">
        <f t="shared" si="11"/>
        <v>2205.54</v>
      </c>
      <c r="H194" s="826"/>
    </row>
    <row r="195" spans="1:8" ht="13.5" customHeight="1">
      <c r="A195" s="2020" t="s">
        <v>1851</v>
      </c>
      <c r="B195" s="1611"/>
      <c r="C195" s="813" t="s">
        <v>1762</v>
      </c>
      <c r="D195" s="817">
        <v>53176</v>
      </c>
      <c r="E195" s="817"/>
      <c r="F195" s="815">
        <v>0.02</v>
      </c>
      <c r="G195" s="827">
        <f t="shared" si="11"/>
        <v>1063.52</v>
      </c>
      <c r="H195" s="826"/>
    </row>
    <row r="196" spans="1:8" ht="13.5" customHeight="1">
      <c r="A196" s="2020" t="s">
        <v>1616</v>
      </c>
      <c r="B196" s="1611"/>
      <c r="C196" s="813" t="s">
        <v>1852</v>
      </c>
      <c r="D196" s="817">
        <v>2500</v>
      </c>
      <c r="E196" s="817"/>
      <c r="F196" s="815">
        <v>0.1</v>
      </c>
      <c r="G196" s="827">
        <f t="shared" si="11"/>
        <v>250</v>
      </c>
      <c r="H196" s="802"/>
    </row>
    <row r="197" spans="1:8" ht="13.5" customHeight="1">
      <c r="A197" s="824"/>
      <c r="B197" s="804"/>
      <c r="C197" s="805"/>
      <c r="D197" s="806"/>
      <c r="E197" s="806"/>
      <c r="F197" s="800"/>
      <c r="G197" s="828" t="s">
        <v>1560</v>
      </c>
      <c r="H197" s="823">
        <f>SUM(G192:G196)</f>
        <v>27939.540000000005</v>
      </c>
    </row>
    <row r="198" spans="1:8" ht="13.5" customHeight="1">
      <c r="A198" s="803"/>
      <c r="B198" s="804"/>
      <c r="C198" s="805"/>
      <c r="D198" s="806"/>
      <c r="E198" s="806"/>
      <c r="F198" s="800"/>
      <c r="G198" s="825"/>
      <c r="H198" s="802"/>
    </row>
    <row r="199" spans="1:8" ht="13.5" customHeight="1">
      <c r="A199" s="803"/>
      <c r="B199" s="804"/>
      <c r="C199" s="805"/>
      <c r="D199" s="806"/>
      <c r="E199" s="806"/>
      <c r="F199" s="800"/>
      <c r="G199" s="804"/>
      <c r="H199" s="826"/>
    </row>
    <row r="200" spans="1:8" ht="13.5" customHeight="1">
      <c r="A200" s="803" t="s">
        <v>1564</v>
      </c>
      <c r="B200" s="804"/>
      <c r="C200" s="805"/>
      <c r="D200" s="806"/>
      <c r="E200" s="806"/>
      <c r="F200" s="800"/>
      <c r="G200" s="806"/>
      <c r="H200" s="829"/>
    </row>
    <row r="201" spans="1:8" ht="13.5" customHeight="1">
      <c r="A201" s="830" t="s">
        <v>1853</v>
      </c>
      <c r="B201" s="831" t="s">
        <v>1854</v>
      </c>
      <c r="C201" s="808" t="s">
        <v>1855</v>
      </c>
      <c r="D201" s="832" t="s">
        <v>1244</v>
      </c>
      <c r="E201" s="809" t="s">
        <v>1856</v>
      </c>
      <c r="F201" s="810" t="s">
        <v>1843</v>
      </c>
      <c r="G201" s="833" t="s">
        <v>1845</v>
      </c>
      <c r="H201" s="834"/>
    </row>
    <row r="202" spans="1:8" ht="13.5" customHeight="1">
      <c r="A202" s="835"/>
      <c r="B202" s="836" t="s">
        <v>1857</v>
      </c>
      <c r="C202" s="837">
        <v>30000</v>
      </c>
      <c r="D202" s="837">
        <v>2</v>
      </c>
      <c r="E202" s="837">
        <f t="shared" ref="E202:E203" si="12">D202*C202</f>
        <v>60000</v>
      </c>
      <c r="F202" s="838">
        <v>0.756346690465585</v>
      </c>
      <c r="G202" s="837">
        <f t="shared" ref="G202:G203" si="13">ROUND((E202*F202)/8,0)</f>
        <v>5673</v>
      </c>
      <c r="H202" s="839"/>
    </row>
    <row r="203" spans="1:8" ht="13.5" customHeight="1">
      <c r="A203" s="835"/>
      <c r="B203" s="836" t="s">
        <v>1858</v>
      </c>
      <c r="C203" s="837">
        <v>40000</v>
      </c>
      <c r="D203" s="837">
        <v>1</v>
      </c>
      <c r="E203" s="837">
        <f t="shared" si="12"/>
        <v>40000</v>
      </c>
      <c r="F203" s="838">
        <v>0.756346690465585</v>
      </c>
      <c r="G203" s="837">
        <f t="shared" si="13"/>
        <v>3782</v>
      </c>
      <c r="H203" s="840"/>
    </row>
    <row r="204" spans="1:8" ht="13.5" customHeight="1">
      <c r="A204" s="824"/>
      <c r="B204" s="804"/>
      <c r="C204" s="805"/>
      <c r="D204" s="806"/>
      <c r="E204" s="806"/>
      <c r="F204" s="800"/>
      <c r="G204" s="841" t="s">
        <v>1560</v>
      </c>
      <c r="H204" s="823">
        <f>SUM(G202:G203)</f>
        <v>9455</v>
      </c>
    </row>
    <row r="205" spans="1:8" ht="13.5" customHeight="1">
      <c r="A205" s="824"/>
      <c r="B205" s="804"/>
      <c r="C205" s="805"/>
      <c r="D205" s="806"/>
      <c r="E205" s="806"/>
      <c r="F205" s="800"/>
      <c r="G205" s="806"/>
      <c r="H205" s="829"/>
    </row>
    <row r="206" spans="1:8" ht="13.5" customHeight="1">
      <c r="A206" s="824"/>
      <c r="B206" s="804"/>
      <c r="C206" s="805"/>
      <c r="D206" s="806"/>
      <c r="E206" s="806"/>
      <c r="F206" s="842" t="s">
        <v>142</v>
      </c>
      <c r="G206" s="806"/>
      <c r="H206" s="843">
        <f>H204+H197+H188</f>
        <v>37694.540000000008</v>
      </c>
    </row>
    <row r="210" spans="1:8" ht="13.5" customHeight="1">
      <c r="A210" s="824" t="s">
        <v>1835</v>
      </c>
      <c r="B210" s="801"/>
      <c r="C210" s="805"/>
      <c r="D210" s="806"/>
      <c r="E210" s="806"/>
      <c r="F210" s="2021"/>
      <c r="G210" s="1825"/>
      <c r="H210" s="826"/>
    </row>
    <row r="211" spans="1:8" ht="13.5" customHeight="1">
      <c r="A211" s="847" t="s">
        <v>1859</v>
      </c>
      <c r="B211" s="848"/>
      <c r="C211" s="849"/>
      <c r="D211" s="850"/>
      <c r="E211" s="850"/>
      <c r="F211" s="851"/>
      <c r="G211" s="852"/>
      <c r="H211" s="853"/>
    </row>
    <row r="212" spans="1:8" ht="13.5" customHeight="1">
      <c r="A212" s="804"/>
      <c r="B212" s="801"/>
      <c r="C212" s="805"/>
      <c r="D212" s="806"/>
      <c r="E212" s="806"/>
      <c r="F212" s="800"/>
      <c r="G212" s="804"/>
      <c r="H212" s="804"/>
    </row>
    <row r="213" spans="1:8" ht="13.5" customHeight="1">
      <c r="A213" s="2046" t="s">
        <v>1834</v>
      </c>
      <c r="B213" s="1811"/>
      <c r="C213" s="1811"/>
      <c r="D213" s="1811"/>
      <c r="E213" s="1811"/>
      <c r="F213" s="1811"/>
      <c r="G213" s="1811"/>
      <c r="H213" s="1812"/>
    </row>
    <row r="214" spans="1:8" ht="13.5" customHeight="1">
      <c r="A214" s="2035" t="s">
        <v>559</v>
      </c>
      <c r="B214" s="2036"/>
      <c r="C214" s="2036"/>
      <c r="D214" s="2037"/>
      <c r="E214" s="2042" t="s">
        <v>1835</v>
      </c>
      <c r="F214" s="2036"/>
      <c r="G214" s="2036"/>
      <c r="H214" s="2043"/>
    </row>
    <row r="215" spans="1:8" ht="13.5" customHeight="1">
      <c r="A215" s="2038"/>
      <c r="B215" s="1605"/>
      <c r="C215" s="1605"/>
      <c r="D215" s="2039"/>
      <c r="E215" s="2044"/>
      <c r="F215" s="1605"/>
      <c r="G215" s="1605"/>
      <c r="H215" s="1606"/>
    </row>
    <row r="216" spans="1:8" ht="13.5" customHeight="1">
      <c r="A216" s="2040"/>
      <c r="B216" s="1608"/>
      <c r="C216" s="1608"/>
      <c r="D216" s="2041"/>
      <c r="E216" s="2045"/>
      <c r="F216" s="1608"/>
      <c r="G216" s="1608"/>
      <c r="H216" s="1919"/>
    </row>
    <row r="217" spans="1:8" ht="13.5" customHeight="1">
      <c r="A217" s="2027" t="s">
        <v>1836</v>
      </c>
      <c r="B217" s="2028"/>
      <c r="C217" s="2028"/>
      <c r="D217" s="2028"/>
      <c r="E217" s="2028"/>
      <c r="F217" s="2028"/>
      <c r="G217" s="2028"/>
      <c r="H217" s="2029"/>
    </row>
    <row r="218" spans="1:8" ht="13.5" customHeight="1">
      <c r="A218" s="793"/>
      <c r="B218" s="794"/>
      <c r="C218" s="794"/>
      <c r="D218" s="794"/>
      <c r="E218" s="794"/>
      <c r="F218" s="794"/>
      <c r="G218" s="794"/>
      <c r="H218" s="795"/>
    </row>
    <row r="219" spans="1:8" ht="13.5" customHeight="1">
      <c r="A219" s="2030"/>
      <c r="B219" s="1824"/>
      <c r="C219" s="1824"/>
      <c r="D219" s="1824"/>
      <c r="E219" s="1825"/>
      <c r="F219" s="794"/>
      <c r="G219" s="794"/>
      <c r="H219" s="795"/>
    </row>
    <row r="220" spans="1:8" ht="13.5" customHeight="1">
      <c r="A220" s="793"/>
      <c r="B220" s="794"/>
      <c r="C220" s="794"/>
      <c r="D220" s="794"/>
      <c r="E220" s="794"/>
      <c r="F220" s="794"/>
      <c r="G220" s="794"/>
      <c r="H220" s="795"/>
    </row>
    <row r="221" spans="1:8" ht="13.5" customHeight="1">
      <c r="A221" s="2030" t="s">
        <v>1837</v>
      </c>
      <c r="B221" s="1825"/>
      <c r="C221" s="794"/>
      <c r="D221" s="794"/>
      <c r="E221" s="794"/>
      <c r="F221" s="794"/>
      <c r="G221" s="794"/>
      <c r="H221" s="795"/>
    </row>
    <row r="222" spans="1:8" ht="13.5" customHeight="1">
      <c r="A222" s="2031" t="s">
        <v>459</v>
      </c>
      <c r="B222" s="1824"/>
      <c r="C222" s="1824"/>
      <c r="D222" s="1824"/>
      <c r="E222" s="1824"/>
      <c r="F222" s="1824"/>
      <c r="G222" s="1824"/>
      <c r="H222" s="2032"/>
    </row>
    <row r="223" spans="1:8" ht="13.5" customHeight="1">
      <c r="A223" s="796"/>
      <c r="B223" s="797"/>
      <c r="C223" s="798"/>
      <c r="D223" s="799"/>
      <c r="E223" s="799"/>
      <c r="F223" s="800"/>
      <c r="G223" s="801" t="s">
        <v>1878</v>
      </c>
      <c r="H223" s="802"/>
    </row>
    <row r="224" spans="1:8" ht="13.5" customHeight="1">
      <c r="A224" s="803" t="s">
        <v>1839</v>
      </c>
      <c r="B224" s="804"/>
      <c r="C224" s="805"/>
      <c r="D224" s="806"/>
      <c r="E224" s="806"/>
      <c r="F224" s="800"/>
      <c r="G224" s="807" t="s">
        <v>1871</v>
      </c>
      <c r="H224" s="802"/>
    </row>
    <row r="225" spans="1:8" ht="13.5" customHeight="1">
      <c r="A225" s="2022" t="s">
        <v>376</v>
      </c>
      <c r="B225" s="1611"/>
      <c r="C225" s="808" t="s">
        <v>1219</v>
      </c>
      <c r="D225" s="809" t="s">
        <v>1841</v>
      </c>
      <c r="E225" s="809" t="s">
        <v>1842</v>
      </c>
      <c r="F225" s="810" t="s">
        <v>1843</v>
      </c>
      <c r="G225" s="811" t="s">
        <v>1844</v>
      </c>
      <c r="H225" s="812"/>
    </row>
    <row r="226" spans="1:8" ht="13.5" customHeight="1">
      <c r="A226" s="854" t="s">
        <v>1568</v>
      </c>
      <c r="B226" s="808"/>
      <c r="C226" s="813" t="s">
        <v>1614</v>
      </c>
      <c r="D226" s="814">
        <v>1500</v>
      </c>
      <c r="E226" s="814"/>
      <c r="F226" s="815">
        <v>0.2</v>
      </c>
      <c r="G226" s="816">
        <f>F226*D226</f>
        <v>300</v>
      </c>
      <c r="H226" s="812"/>
    </row>
    <row r="227" spans="1:8" ht="13.5" customHeight="1">
      <c r="A227" s="2020"/>
      <c r="B227" s="1611"/>
      <c r="C227" s="813"/>
      <c r="D227" s="817"/>
      <c r="E227" s="817"/>
      <c r="F227" s="815"/>
      <c r="G227" s="816">
        <v>0</v>
      </c>
      <c r="H227" s="812"/>
    </row>
    <row r="228" spans="1:8" ht="13.5" customHeight="1">
      <c r="A228" s="2023"/>
      <c r="B228" s="1611"/>
      <c r="C228" s="818"/>
      <c r="D228" s="819"/>
      <c r="E228" s="819"/>
      <c r="F228" s="819"/>
      <c r="G228" s="820"/>
      <c r="H228" s="821"/>
    </row>
    <row r="229" spans="1:8" ht="13.5" customHeight="1">
      <c r="A229" s="2033"/>
      <c r="B229" s="1825"/>
      <c r="C229" s="805"/>
      <c r="D229" s="806"/>
      <c r="E229" s="806"/>
      <c r="F229" s="800"/>
      <c r="G229" s="822" t="s">
        <v>1560</v>
      </c>
      <c r="H229" s="823">
        <f>SUM(G226:G228)</f>
        <v>300</v>
      </c>
    </row>
    <row r="230" spans="1:8" ht="13.5" customHeight="1">
      <c r="A230" s="824"/>
      <c r="B230" s="804"/>
      <c r="C230" s="805"/>
      <c r="D230" s="806"/>
      <c r="E230" s="806"/>
      <c r="F230" s="800"/>
      <c r="G230" s="825"/>
      <c r="H230" s="802"/>
    </row>
    <row r="231" spans="1:8" ht="13.5" customHeight="1">
      <c r="A231" s="803" t="s">
        <v>1561</v>
      </c>
      <c r="B231" s="804"/>
      <c r="C231" s="805"/>
      <c r="D231" s="806"/>
      <c r="E231" s="806"/>
      <c r="F231" s="800"/>
      <c r="G231" s="825"/>
      <c r="H231" s="802"/>
    </row>
    <row r="232" spans="1:8" ht="13.5" customHeight="1">
      <c r="A232" s="2022" t="s">
        <v>376</v>
      </c>
      <c r="B232" s="1611"/>
      <c r="C232" s="808" t="s">
        <v>1219</v>
      </c>
      <c r="D232" s="809" t="s">
        <v>1845</v>
      </c>
      <c r="E232" s="809" t="s">
        <v>1842</v>
      </c>
      <c r="F232" s="810" t="s">
        <v>673</v>
      </c>
      <c r="G232" s="811" t="s">
        <v>1845</v>
      </c>
      <c r="H232" s="826"/>
    </row>
    <row r="233" spans="1:8" ht="13.5" customHeight="1">
      <c r="A233" s="2020" t="s">
        <v>1879</v>
      </c>
      <c r="B233" s="1611"/>
      <c r="C233" s="813" t="s">
        <v>1873</v>
      </c>
      <c r="D233" s="817">
        <v>79774</v>
      </c>
      <c r="E233" s="817"/>
      <c r="F233" s="815">
        <v>0.17</v>
      </c>
      <c r="G233" s="827">
        <f t="shared" ref="G233:G237" si="14">F233*D233</f>
        <v>13561.580000000002</v>
      </c>
      <c r="H233" s="826"/>
    </row>
    <row r="234" spans="1:8" ht="13.5" customHeight="1">
      <c r="A234" s="2020" t="s">
        <v>1874</v>
      </c>
      <c r="B234" s="1611"/>
      <c r="C234" s="813" t="s">
        <v>127</v>
      </c>
      <c r="D234" s="817">
        <v>2886</v>
      </c>
      <c r="E234" s="817"/>
      <c r="F234" s="815">
        <v>1</v>
      </c>
      <c r="G234" s="827">
        <f t="shared" si="14"/>
        <v>2886</v>
      </c>
      <c r="H234" s="826"/>
    </row>
    <row r="235" spans="1:8" ht="13.5" customHeight="1">
      <c r="A235" s="2020" t="s">
        <v>1875</v>
      </c>
      <c r="B235" s="1611"/>
      <c r="C235" s="813" t="s">
        <v>1762</v>
      </c>
      <c r="D235" s="817">
        <v>110277</v>
      </c>
      <c r="E235" s="817"/>
      <c r="F235" s="815">
        <v>0.02</v>
      </c>
      <c r="G235" s="827">
        <f t="shared" si="14"/>
        <v>2205.54</v>
      </c>
      <c r="H235" s="826"/>
    </row>
    <row r="236" spans="1:8" ht="13.5" customHeight="1">
      <c r="A236" s="2020" t="s">
        <v>1851</v>
      </c>
      <c r="B236" s="1611"/>
      <c r="C236" s="813" t="s">
        <v>1762</v>
      </c>
      <c r="D236" s="817">
        <v>53176</v>
      </c>
      <c r="E236" s="817"/>
      <c r="F236" s="815">
        <v>0.02</v>
      </c>
      <c r="G236" s="827">
        <f t="shared" si="14"/>
        <v>1063.52</v>
      </c>
      <c r="H236" s="826"/>
    </row>
    <row r="237" spans="1:8" ht="13.5" customHeight="1">
      <c r="A237" s="2020" t="s">
        <v>1616</v>
      </c>
      <c r="B237" s="1611"/>
      <c r="C237" s="813" t="s">
        <v>1852</v>
      </c>
      <c r="D237" s="817">
        <v>2500</v>
      </c>
      <c r="E237" s="817"/>
      <c r="F237" s="815">
        <v>0.1</v>
      </c>
      <c r="G237" s="827">
        <f t="shared" si="14"/>
        <v>250</v>
      </c>
      <c r="H237" s="802"/>
    </row>
    <row r="238" spans="1:8" ht="13.5" customHeight="1">
      <c r="A238" s="824"/>
      <c r="B238" s="804"/>
      <c r="C238" s="805"/>
      <c r="D238" s="806"/>
      <c r="E238" s="806"/>
      <c r="F238" s="800"/>
      <c r="G238" s="828" t="s">
        <v>1560</v>
      </c>
      <c r="H238" s="823">
        <f>SUM(G233:G237)</f>
        <v>19966.640000000003</v>
      </c>
    </row>
    <row r="241" spans="1:8" ht="13.5" customHeight="1">
      <c r="A241" s="803" t="s">
        <v>1564</v>
      </c>
      <c r="B241" s="804"/>
      <c r="C241" s="805"/>
      <c r="D241" s="806"/>
      <c r="E241" s="806"/>
      <c r="F241" s="800"/>
      <c r="G241" s="806"/>
      <c r="H241" s="829"/>
    </row>
    <row r="242" spans="1:8" ht="13.5" customHeight="1">
      <c r="A242" s="830" t="s">
        <v>1853</v>
      </c>
      <c r="B242" s="831" t="s">
        <v>1854</v>
      </c>
      <c r="C242" s="808" t="s">
        <v>1855</v>
      </c>
      <c r="D242" s="832" t="s">
        <v>1244</v>
      </c>
      <c r="E242" s="809" t="s">
        <v>1856</v>
      </c>
      <c r="F242" s="810" t="s">
        <v>1843</v>
      </c>
      <c r="G242" s="833" t="s">
        <v>1845</v>
      </c>
      <c r="H242" s="834"/>
    </row>
    <row r="243" spans="1:8" ht="13.5" customHeight="1">
      <c r="A243" s="835"/>
      <c r="B243" s="836" t="s">
        <v>1857</v>
      </c>
      <c r="C243" s="837">
        <v>30000</v>
      </c>
      <c r="D243" s="837">
        <v>2</v>
      </c>
      <c r="E243" s="837">
        <f t="shared" ref="E243:E244" si="15">D243*C243</f>
        <v>60000</v>
      </c>
      <c r="F243" s="838">
        <v>0.3</v>
      </c>
      <c r="G243" s="837">
        <f t="shared" ref="G243:G244" si="16">ROUND((E243*F243)/8,0)</f>
        <v>2250</v>
      </c>
      <c r="H243" s="839"/>
    </row>
    <row r="244" spans="1:8" ht="13.5" customHeight="1">
      <c r="A244" s="835"/>
      <c r="B244" s="836" t="s">
        <v>1858</v>
      </c>
      <c r="C244" s="837">
        <v>40000</v>
      </c>
      <c r="D244" s="837">
        <v>1</v>
      </c>
      <c r="E244" s="837">
        <f t="shared" si="15"/>
        <v>40000</v>
      </c>
      <c r="F244" s="838">
        <v>0.3</v>
      </c>
      <c r="G244" s="837">
        <f t="shared" si="16"/>
        <v>1500</v>
      </c>
      <c r="H244" s="840"/>
    </row>
    <row r="245" spans="1:8" ht="13.5" customHeight="1">
      <c r="A245" s="824"/>
      <c r="B245" s="804"/>
      <c r="C245" s="805"/>
      <c r="D245" s="806"/>
      <c r="E245" s="806"/>
      <c r="F245" s="800"/>
      <c r="G245" s="841" t="s">
        <v>1560</v>
      </c>
      <c r="H245" s="823">
        <f>SUM(G243:G244)</f>
        <v>3750</v>
      </c>
    </row>
    <row r="246" spans="1:8" ht="13.5" customHeight="1">
      <c r="A246" s="824"/>
      <c r="B246" s="804"/>
      <c r="C246" s="805"/>
      <c r="D246" s="806"/>
      <c r="E246" s="806"/>
      <c r="F246" s="800"/>
      <c r="G246" s="806"/>
      <c r="H246" s="829"/>
    </row>
    <row r="247" spans="1:8" ht="13.5" customHeight="1">
      <c r="A247" s="824"/>
      <c r="B247" s="804"/>
      <c r="C247" s="805"/>
      <c r="D247" s="806"/>
      <c r="E247" s="806"/>
      <c r="F247" s="842" t="s">
        <v>142</v>
      </c>
      <c r="G247" s="806"/>
      <c r="H247" s="843">
        <f>H245+H238+H229</f>
        <v>24016.640000000003</v>
      </c>
    </row>
    <row r="248" spans="1:8" ht="13.5" customHeight="1">
      <c r="A248" s="824"/>
      <c r="B248" s="804"/>
      <c r="C248" s="805"/>
      <c r="D248" s="806"/>
      <c r="E248" s="806"/>
      <c r="F248" s="842"/>
      <c r="G248" s="806"/>
      <c r="H248" s="829"/>
    </row>
    <row r="249" spans="1:8" ht="13.5" customHeight="1">
      <c r="A249" s="824"/>
      <c r="B249" s="801"/>
      <c r="C249" s="805"/>
      <c r="D249" s="806"/>
      <c r="E249" s="806"/>
      <c r="F249" s="800"/>
      <c r="G249" s="825"/>
      <c r="H249" s="802"/>
    </row>
    <row r="250" spans="1:8" ht="13.5" customHeight="1">
      <c r="A250" s="847"/>
      <c r="B250" s="848"/>
      <c r="C250" s="849"/>
      <c r="D250" s="806"/>
      <c r="E250" s="806"/>
      <c r="F250" s="800"/>
      <c r="G250" s="804"/>
      <c r="H250" s="826"/>
    </row>
    <row r="251" spans="1:8" ht="13.5" customHeight="1">
      <c r="A251" s="824" t="s">
        <v>1835</v>
      </c>
      <c r="B251" s="801"/>
      <c r="C251" s="805"/>
      <c r="D251" s="806"/>
      <c r="E251" s="806"/>
      <c r="F251" s="2021"/>
      <c r="G251" s="1825"/>
      <c r="H251" s="826"/>
    </row>
    <row r="252" spans="1:8" ht="13.5" customHeight="1">
      <c r="A252" s="847" t="s">
        <v>1859</v>
      </c>
      <c r="B252" s="848"/>
      <c r="C252" s="849"/>
      <c r="D252" s="850"/>
      <c r="E252" s="850"/>
      <c r="F252" s="851"/>
      <c r="G252" s="852"/>
      <c r="H252" s="853"/>
    </row>
    <row r="253" spans="1:8" ht="13.5" customHeight="1">
      <c r="A253" s="804"/>
      <c r="B253" s="801"/>
      <c r="C253" s="805"/>
      <c r="D253" s="806"/>
      <c r="E253" s="806"/>
      <c r="F253" s="800"/>
      <c r="G253" s="804"/>
      <c r="H253" s="804"/>
    </row>
    <row r="254" spans="1:8" ht="13.5" customHeight="1">
      <c r="A254" s="2046" t="s">
        <v>1834</v>
      </c>
      <c r="B254" s="1811"/>
      <c r="C254" s="1811"/>
      <c r="D254" s="1811"/>
      <c r="E254" s="1811"/>
      <c r="F254" s="1811"/>
      <c r="G254" s="1811"/>
      <c r="H254" s="1812"/>
    </row>
    <row r="255" spans="1:8" ht="13.5" customHeight="1">
      <c r="A255" s="2035" t="s">
        <v>559</v>
      </c>
      <c r="B255" s="2036"/>
      <c r="C255" s="2036"/>
      <c r="D255" s="2037"/>
      <c r="E255" s="2042" t="s">
        <v>1835</v>
      </c>
      <c r="F255" s="2036"/>
      <c r="G255" s="2036"/>
      <c r="H255" s="2043"/>
    </row>
    <row r="256" spans="1:8" ht="13.5" customHeight="1">
      <c r="A256" s="2038"/>
      <c r="B256" s="1605"/>
      <c r="C256" s="1605"/>
      <c r="D256" s="2039"/>
      <c r="E256" s="2044"/>
      <c r="F256" s="1605"/>
      <c r="G256" s="1605"/>
      <c r="H256" s="1606"/>
    </row>
    <row r="257" spans="1:8" ht="13.5" customHeight="1">
      <c r="A257" s="2040"/>
      <c r="B257" s="1608"/>
      <c r="C257" s="1608"/>
      <c r="D257" s="2041"/>
      <c r="E257" s="2045"/>
      <c r="F257" s="1608"/>
      <c r="G257" s="1608"/>
      <c r="H257" s="1919"/>
    </row>
    <row r="258" spans="1:8" ht="13.5" customHeight="1">
      <c r="A258" s="2027" t="s">
        <v>1836</v>
      </c>
      <c r="B258" s="2028"/>
      <c r="C258" s="2028"/>
      <c r="D258" s="2028"/>
      <c r="E258" s="2028"/>
      <c r="F258" s="2028"/>
      <c r="G258" s="2028"/>
      <c r="H258" s="2029"/>
    </row>
    <row r="259" spans="1:8" ht="13.5" customHeight="1">
      <c r="A259" s="793"/>
      <c r="B259" s="794"/>
      <c r="C259" s="794"/>
      <c r="D259" s="794"/>
      <c r="E259" s="794"/>
      <c r="F259" s="794"/>
      <c r="G259" s="794"/>
      <c r="H259" s="795"/>
    </row>
    <row r="260" spans="1:8" ht="13.5" customHeight="1">
      <c r="A260" s="2030"/>
      <c r="B260" s="1824"/>
      <c r="C260" s="1824"/>
      <c r="D260" s="1824"/>
      <c r="E260" s="1825"/>
      <c r="F260" s="794"/>
      <c r="G260" s="794"/>
      <c r="H260" s="795"/>
    </row>
    <row r="261" spans="1:8" ht="13.5" customHeight="1">
      <c r="A261" s="793"/>
      <c r="B261" s="794"/>
      <c r="C261" s="794"/>
      <c r="D261" s="794"/>
      <c r="E261" s="794"/>
      <c r="F261" s="794"/>
      <c r="G261" s="794"/>
      <c r="H261" s="795"/>
    </row>
    <row r="262" spans="1:8" ht="13.5" customHeight="1">
      <c r="A262" s="2030" t="s">
        <v>1837</v>
      </c>
      <c r="B262" s="1825"/>
      <c r="C262" s="794"/>
      <c r="D262" s="794"/>
      <c r="E262" s="794"/>
      <c r="F262" s="794"/>
      <c r="G262" s="794"/>
      <c r="H262" s="795"/>
    </row>
    <row r="263" spans="1:8" ht="13.5" customHeight="1">
      <c r="A263" s="2031" t="s">
        <v>460</v>
      </c>
      <c r="B263" s="1824"/>
      <c r="C263" s="1824"/>
      <c r="D263" s="1824"/>
      <c r="E263" s="1824"/>
      <c r="F263" s="1824"/>
      <c r="G263" s="1824"/>
      <c r="H263" s="2032"/>
    </row>
    <row r="264" spans="1:8" ht="13.5" customHeight="1">
      <c r="A264" s="796"/>
      <c r="B264" s="797"/>
      <c r="C264" s="798"/>
      <c r="D264" s="799"/>
      <c r="E264" s="799"/>
      <c r="F264" s="800"/>
      <c r="G264" s="801" t="s">
        <v>1880</v>
      </c>
      <c r="H264" s="802"/>
    </row>
    <row r="265" spans="1:8" ht="13.5" customHeight="1">
      <c r="A265" s="803" t="s">
        <v>1839</v>
      </c>
      <c r="B265" s="804"/>
      <c r="C265" s="805"/>
      <c r="D265" s="806"/>
      <c r="E265" s="806"/>
      <c r="F265" s="800"/>
      <c r="G265" s="807" t="s">
        <v>1871</v>
      </c>
      <c r="H265" s="802"/>
    </row>
    <row r="266" spans="1:8" ht="13.5" customHeight="1">
      <c r="A266" s="2022" t="s">
        <v>376</v>
      </c>
      <c r="B266" s="1611"/>
      <c r="C266" s="808" t="s">
        <v>1219</v>
      </c>
      <c r="D266" s="809" t="s">
        <v>1841</v>
      </c>
      <c r="E266" s="809" t="s">
        <v>1842</v>
      </c>
      <c r="F266" s="810" t="s">
        <v>1843</v>
      </c>
      <c r="G266" s="811" t="s">
        <v>1844</v>
      </c>
      <c r="H266" s="812"/>
    </row>
    <row r="267" spans="1:8" ht="13.5" customHeight="1">
      <c r="A267" s="854" t="s">
        <v>1568</v>
      </c>
      <c r="B267" s="808"/>
      <c r="C267" s="813" t="s">
        <v>1614</v>
      </c>
      <c r="D267" s="814">
        <v>1500</v>
      </c>
      <c r="E267" s="814"/>
      <c r="F267" s="815">
        <v>0.2</v>
      </c>
      <c r="G267" s="816">
        <f>F267*D267</f>
        <v>300</v>
      </c>
      <c r="H267" s="812"/>
    </row>
    <row r="268" spans="1:8" ht="13.5" customHeight="1">
      <c r="A268" s="2020"/>
      <c r="B268" s="1611"/>
      <c r="C268" s="813"/>
      <c r="D268" s="817"/>
      <c r="E268" s="817"/>
      <c r="F268" s="815"/>
      <c r="G268" s="816">
        <v>0</v>
      </c>
      <c r="H268" s="812"/>
    </row>
    <row r="269" spans="1:8" ht="13.5" customHeight="1">
      <c r="A269" s="2023"/>
      <c r="B269" s="1611"/>
      <c r="C269" s="818"/>
      <c r="D269" s="819"/>
      <c r="E269" s="819"/>
      <c r="F269" s="819"/>
      <c r="G269" s="820"/>
      <c r="H269" s="821"/>
    </row>
    <row r="270" spans="1:8" ht="13.5" customHeight="1">
      <c r="A270" s="2033"/>
      <c r="B270" s="1825"/>
      <c r="C270" s="805"/>
      <c r="D270" s="806"/>
      <c r="E270" s="806"/>
      <c r="F270" s="800"/>
      <c r="G270" s="822" t="s">
        <v>1560</v>
      </c>
      <c r="H270" s="823">
        <f>SUM(G267:G269)</f>
        <v>300</v>
      </c>
    </row>
    <row r="271" spans="1:8" ht="13.5" customHeight="1">
      <c r="A271" s="824"/>
      <c r="B271" s="804"/>
      <c r="C271" s="805"/>
      <c r="D271" s="806"/>
      <c r="E271" s="806"/>
      <c r="F271" s="800"/>
      <c r="G271" s="825"/>
      <c r="H271" s="802"/>
    </row>
    <row r="272" spans="1:8" ht="13.5" customHeight="1">
      <c r="A272" s="803" t="s">
        <v>1561</v>
      </c>
      <c r="B272" s="804"/>
      <c r="C272" s="805"/>
      <c r="D272" s="806"/>
      <c r="E272" s="806"/>
      <c r="F272" s="800"/>
      <c r="G272" s="825"/>
      <c r="H272" s="802"/>
    </row>
    <row r="273" spans="1:8" ht="13.5" customHeight="1">
      <c r="A273" s="2022" t="s">
        <v>376</v>
      </c>
      <c r="B273" s="1611"/>
      <c r="C273" s="808" t="s">
        <v>1219</v>
      </c>
      <c r="D273" s="809" t="s">
        <v>1845</v>
      </c>
      <c r="E273" s="809" t="s">
        <v>1842</v>
      </c>
      <c r="F273" s="810" t="s">
        <v>673</v>
      </c>
      <c r="G273" s="811" t="s">
        <v>1845</v>
      </c>
      <c r="H273" s="826"/>
    </row>
    <row r="274" spans="1:8" ht="13.5" customHeight="1">
      <c r="A274" s="2020" t="s">
        <v>1881</v>
      </c>
      <c r="B274" s="1611"/>
      <c r="C274" s="813" t="s">
        <v>1873</v>
      </c>
      <c r="D274" s="817">
        <v>351644</v>
      </c>
      <c r="E274" s="817"/>
      <c r="F274" s="815">
        <v>0.17</v>
      </c>
      <c r="G274" s="827">
        <f t="shared" ref="G274:G278" si="17">F274*D274</f>
        <v>59779.48</v>
      </c>
      <c r="H274" s="826"/>
    </row>
    <row r="275" spans="1:8" ht="13.5" customHeight="1">
      <c r="A275" s="2020" t="s">
        <v>1874</v>
      </c>
      <c r="B275" s="1611"/>
      <c r="C275" s="813" t="s">
        <v>127</v>
      </c>
      <c r="D275" s="817">
        <v>36463</v>
      </c>
      <c r="E275" s="817"/>
      <c r="F275" s="815">
        <v>1</v>
      </c>
      <c r="G275" s="827">
        <f t="shared" si="17"/>
        <v>36463</v>
      </c>
      <c r="H275" s="826"/>
    </row>
    <row r="276" spans="1:8" ht="13.5" customHeight="1">
      <c r="A276" s="2020" t="s">
        <v>1875</v>
      </c>
      <c r="B276" s="1611"/>
      <c r="C276" s="813" t="s">
        <v>1762</v>
      </c>
      <c r="D276" s="817">
        <v>110277</v>
      </c>
      <c r="E276" s="817"/>
      <c r="F276" s="815">
        <v>0.02</v>
      </c>
      <c r="G276" s="827">
        <f t="shared" si="17"/>
        <v>2205.54</v>
      </c>
      <c r="H276" s="826"/>
    </row>
    <row r="277" spans="1:8" ht="13.5" customHeight="1">
      <c r="A277" s="2020" t="s">
        <v>1851</v>
      </c>
      <c r="B277" s="1611"/>
      <c r="C277" s="813" t="s">
        <v>1762</v>
      </c>
      <c r="D277" s="817">
        <v>53176</v>
      </c>
      <c r="E277" s="817"/>
      <c r="F277" s="815">
        <v>0.02</v>
      </c>
      <c r="G277" s="827">
        <f t="shared" si="17"/>
        <v>1063.52</v>
      </c>
      <c r="H277" s="826"/>
    </row>
    <row r="278" spans="1:8" ht="13.5" customHeight="1">
      <c r="A278" s="2020" t="s">
        <v>1616</v>
      </c>
      <c r="B278" s="1611"/>
      <c r="C278" s="813" t="s">
        <v>1852</v>
      </c>
      <c r="D278" s="817">
        <v>2500</v>
      </c>
      <c r="E278" s="817"/>
      <c r="F278" s="815">
        <v>0.1</v>
      </c>
      <c r="G278" s="827">
        <f t="shared" si="17"/>
        <v>250</v>
      </c>
      <c r="H278" s="802"/>
    </row>
    <row r="279" spans="1:8" ht="13.5" customHeight="1">
      <c r="A279" s="824"/>
      <c r="B279" s="804"/>
      <c r="C279" s="805"/>
      <c r="D279" s="806"/>
      <c r="E279" s="806"/>
      <c r="F279" s="800"/>
      <c r="G279" s="828" t="s">
        <v>1560</v>
      </c>
      <c r="H279" s="823">
        <f>SUM(G274:G278)</f>
        <v>99761.540000000008</v>
      </c>
    </row>
    <row r="280" spans="1:8" ht="13.5" customHeight="1">
      <c r="A280" s="803"/>
      <c r="B280" s="804"/>
      <c r="C280" s="805"/>
      <c r="D280" s="806"/>
      <c r="E280" s="806"/>
      <c r="F280" s="800"/>
      <c r="G280" s="825"/>
      <c r="H280" s="802"/>
    </row>
    <row r="281" spans="1:8" ht="13.5" customHeight="1">
      <c r="A281" s="803"/>
      <c r="B281" s="804"/>
      <c r="C281" s="805"/>
      <c r="D281" s="806"/>
      <c r="E281" s="806"/>
      <c r="F281" s="800"/>
      <c r="G281" s="804"/>
      <c r="H281" s="826"/>
    </row>
    <row r="282" spans="1:8" ht="13.5" customHeight="1">
      <c r="A282" s="803" t="s">
        <v>1564</v>
      </c>
      <c r="B282" s="804"/>
      <c r="C282" s="805"/>
      <c r="D282" s="806"/>
      <c r="E282" s="806"/>
      <c r="F282" s="800"/>
      <c r="G282" s="806"/>
      <c r="H282" s="829"/>
    </row>
    <row r="283" spans="1:8" ht="13.5" customHeight="1">
      <c r="A283" s="830" t="s">
        <v>1853</v>
      </c>
      <c r="B283" s="831" t="s">
        <v>1854</v>
      </c>
      <c r="C283" s="808" t="s">
        <v>1855</v>
      </c>
      <c r="D283" s="832" t="s">
        <v>1244</v>
      </c>
      <c r="E283" s="809" t="s">
        <v>1856</v>
      </c>
      <c r="F283" s="810" t="s">
        <v>1843</v>
      </c>
      <c r="G283" s="833" t="s">
        <v>1845</v>
      </c>
      <c r="H283" s="834"/>
    </row>
    <row r="284" spans="1:8" ht="13.5" customHeight="1">
      <c r="A284" s="835"/>
      <c r="B284" s="836" t="s">
        <v>1857</v>
      </c>
      <c r="C284" s="837">
        <v>30000</v>
      </c>
      <c r="D284" s="837">
        <v>2</v>
      </c>
      <c r="E284" s="837">
        <f t="shared" ref="E284:E285" si="18">D284*C284</f>
        <v>60000</v>
      </c>
      <c r="F284" s="838">
        <v>1.2004124412985993</v>
      </c>
      <c r="G284" s="837">
        <f t="shared" ref="G284:G285" si="19">ROUND((E284*F284)/8,0)</f>
        <v>9003</v>
      </c>
      <c r="H284" s="839"/>
    </row>
    <row r="285" spans="1:8" ht="13.5" customHeight="1">
      <c r="A285" s="835"/>
      <c r="B285" s="836" t="s">
        <v>1858</v>
      </c>
      <c r="C285" s="837">
        <v>40000</v>
      </c>
      <c r="D285" s="837">
        <v>1</v>
      </c>
      <c r="E285" s="837">
        <f t="shared" si="18"/>
        <v>40000</v>
      </c>
      <c r="F285" s="838">
        <v>1.2004124412985993</v>
      </c>
      <c r="G285" s="837">
        <f t="shared" si="19"/>
        <v>6002</v>
      </c>
      <c r="H285" s="840"/>
    </row>
    <row r="286" spans="1:8" ht="13.5" customHeight="1">
      <c r="A286" s="824"/>
      <c r="B286" s="804"/>
      <c r="C286" s="805"/>
      <c r="D286" s="806"/>
      <c r="E286" s="806"/>
      <c r="F286" s="800"/>
      <c r="G286" s="841" t="s">
        <v>1560</v>
      </c>
      <c r="H286" s="823">
        <f>SUM(G284:G285)</f>
        <v>15005</v>
      </c>
    </row>
    <row r="287" spans="1:8" ht="13.5" customHeight="1">
      <c r="A287" s="824"/>
      <c r="B287" s="804"/>
      <c r="C287" s="805"/>
      <c r="D287" s="806"/>
      <c r="E287" s="806"/>
      <c r="F287" s="800"/>
      <c r="G287" s="806"/>
      <c r="H287" s="829"/>
    </row>
    <row r="288" spans="1:8" ht="13.5" customHeight="1">
      <c r="A288" s="824"/>
      <c r="B288" s="804"/>
      <c r="C288" s="805"/>
      <c r="D288" s="806"/>
      <c r="E288" s="806"/>
      <c r="F288" s="842" t="s">
        <v>142</v>
      </c>
      <c r="G288" s="806"/>
      <c r="H288" s="843">
        <f>H286+H279+H270</f>
        <v>115066.54000000001</v>
      </c>
    </row>
    <row r="292" spans="1:8" ht="13.5" customHeight="1">
      <c r="A292" s="824" t="s">
        <v>1835</v>
      </c>
      <c r="B292" s="801"/>
      <c r="C292" s="805"/>
      <c r="D292" s="806"/>
      <c r="E292" s="806"/>
      <c r="F292" s="2021"/>
      <c r="G292" s="1825"/>
      <c r="H292" s="826"/>
    </row>
    <row r="293" spans="1:8" ht="13.5" customHeight="1">
      <c r="A293" s="847" t="s">
        <v>1859</v>
      </c>
      <c r="B293" s="848"/>
      <c r="C293" s="849"/>
      <c r="D293" s="850"/>
      <c r="E293" s="850"/>
      <c r="F293" s="851"/>
      <c r="G293" s="852"/>
      <c r="H293" s="853"/>
    </row>
    <row r="294" spans="1:8" ht="13.5" customHeight="1">
      <c r="A294" s="806"/>
      <c r="B294" s="806"/>
      <c r="C294" s="800"/>
      <c r="D294" s="825"/>
      <c r="E294" s="825"/>
      <c r="F294" s="804"/>
      <c r="G294" s="801"/>
      <c r="H294" s="805"/>
    </row>
    <row r="295" spans="1:8" ht="13.5" customHeight="1">
      <c r="A295" s="2046" t="s">
        <v>1834</v>
      </c>
      <c r="B295" s="1811"/>
      <c r="C295" s="1811"/>
      <c r="D295" s="1811"/>
      <c r="E295" s="1811"/>
      <c r="F295" s="1811"/>
      <c r="G295" s="1811"/>
      <c r="H295" s="1812"/>
    </row>
    <row r="296" spans="1:8" ht="13.5" customHeight="1">
      <c r="A296" s="2035" t="s">
        <v>559</v>
      </c>
      <c r="B296" s="2036"/>
      <c r="C296" s="2036"/>
      <c r="D296" s="2037"/>
      <c r="E296" s="2042" t="s">
        <v>1835</v>
      </c>
      <c r="F296" s="2036"/>
      <c r="G296" s="2036"/>
      <c r="H296" s="2043"/>
    </row>
    <row r="297" spans="1:8" ht="13.5" customHeight="1">
      <c r="A297" s="2038"/>
      <c r="B297" s="1605"/>
      <c r="C297" s="1605"/>
      <c r="D297" s="2039"/>
      <c r="E297" s="2044"/>
      <c r="F297" s="1605"/>
      <c r="G297" s="1605"/>
      <c r="H297" s="1606"/>
    </row>
    <row r="298" spans="1:8" ht="13.5" customHeight="1">
      <c r="A298" s="2040"/>
      <c r="B298" s="1608"/>
      <c r="C298" s="1608"/>
      <c r="D298" s="2041"/>
      <c r="E298" s="2045"/>
      <c r="F298" s="1608"/>
      <c r="G298" s="1608"/>
      <c r="H298" s="1919"/>
    </row>
    <row r="299" spans="1:8" ht="13.5" customHeight="1">
      <c r="A299" s="2027" t="s">
        <v>1836</v>
      </c>
      <c r="B299" s="2028"/>
      <c r="C299" s="2028"/>
      <c r="D299" s="2028"/>
      <c r="E299" s="2028"/>
      <c r="F299" s="2028"/>
      <c r="G299" s="2028"/>
      <c r="H299" s="2029"/>
    </row>
    <row r="300" spans="1:8" ht="13.5" customHeight="1">
      <c r="A300" s="793"/>
      <c r="B300" s="794"/>
      <c r="C300" s="794"/>
      <c r="D300" s="794"/>
      <c r="E300" s="794"/>
      <c r="F300" s="794"/>
      <c r="G300" s="794"/>
      <c r="H300" s="795"/>
    </row>
    <row r="301" spans="1:8" ht="13.5" customHeight="1">
      <c r="A301" s="2030"/>
      <c r="B301" s="1824"/>
      <c r="C301" s="1824"/>
      <c r="D301" s="1824"/>
      <c r="E301" s="1825"/>
      <c r="F301" s="794"/>
      <c r="G301" s="794"/>
      <c r="H301" s="795"/>
    </row>
    <row r="302" spans="1:8" ht="13.5" customHeight="1">
      <c r="A302" s="793"/>
      <c r="B302" s="794"/>
      <c r="C302" s="794"/>
      <c r="D302" s="794"/>
      <c r="E302" s="794"/>
      <c r="F302" s="794"/>
      <c r="G302" s="794"/>
      <c r="H302" s="795"/>
    </row>
    <row r="303" spans="1:8" ht="13.5" customHeight="1">
      <c r="A303" s="2030" t="s">
        <v>1837</v>
      </c>
      <c r="B303" s="1825"/>
      <c r="C303" s="794"/>
      <c r="D303" s="794"/>
      <c r="E303" s="794"/>
      <c r="F303" s="794"/>
      <c r="G303" s="794"/>
      <c r="H303" s="795"/>
    </row>
    <row r="304" spans="1:8" ht="13.5" customHeight="1">
      <c r="A304" s="2031" t="s">
        <v>461</v>
      </c>
      <c r="B304" s="1824"/>
      <c r="C304" s="1824"/>
      <c r="D304" s="1824"/>
      <c r="E304" s="1824"/>
      <c r="F304" s="1824"/>
      <c r="G304" s="1824"/>
      <c r="H304" s="2032"/>
    </row>
    <row r="305" spans="1:8" ht="13.5" customHeight="1">
      <c r="A305" s="796"/>
      <c r="B305" s="797"/>
      <c r="C305" s="798"/>
      <c r="D305" s="799"/>
      <c r="E305" s="799"/>
      <c r="F305" s="800"/>
      <c r="G305" s="801" t="s">
        <v>1882</v>
      </c>
      <c r="H305" s="802"/>
    </row>
    <row r="306" spans="1:8" ht="13.5" customHeight="1">
      <c r="A306" s="803" t="s">
        <v>1839</v>
      </c>
      <c r="B306" s="804"/>
      <c r="C306" s="805"/>
      <c r="D306" s="806"/>
      <c r="E306" s="806"/>
      <c r="F306" s="800"/>
      <c r="G306" s="807" t="s">
        <v>1871</v>
      </c>
      <c r="H306" s="802"/>
    </row>
    <row r="307" spans="1:8" ht="13.5" customHeight="1">
      <c r="A307" s="2022" t="s">
        <v>376</v>
      </c>
      <c r="B307" s="1611"/>
      <c r="C307" s="808" t="s">
        <v>1219</v>
      </c>
      <c r="D307" s="809" t="s">
        <v>1841</v>
      </c>
      <c r="E307" s="809" t="s">
        <v>1842</v>
      </c>
      <c r="F307" s="810" t="s">
        <v>1843</v>
      </c>
      <c r="G307" s="811" t="s">
        <v>1844</v>
      </c>
      <c r="H307" s="812"/>
    </row>
    <row r="308" spans="1:8" ht="13.5" customHeight="1">
      <c r="A308" s="854" t="s">
        <v>1568</v>
      </c>
      <c r="B308" s="808"/>
      <c r="C308" s="813" t="s">
        <v>1614</v>
      </c>
      <c r="D308" s="814">
        <v>1500</v>
      </c>
      <c r="E308" s="814"/>
      <c r="F308" s="815">
        <v>0.2</v>
      </c>
      <c r="G308" s="816">
        <f>F308*D308</f>
        <v>300</v>
      </c>
      <c r="H308" s="812"/>
    </row>
    <row r="309" spans="1:8" ht="13.5" customHeight="1">
      <c r="A309" s="2020"/>
      <c r="B309" s="1611"/>
      <c r="C309" s="813"/>
      <c r="D309" s="817"/>
      <c r="E309" s="817"/>
      <c r="F309" s="815"/>
      <c r="G309" s="816">
        <v>0</v>
      </c>
      <c r="H309" s="812"/>
    </row>
    <row r="310" spans="1:8" ht="13.5" customHeight="1">
      <c r="A310" s="2023"/>
      <c r="B310" s="1611"/>
      <c r="C310" s="818"/>
      <c r="D310" s="819"/>
      <c r="E310" s="819"/>
      <c r="F310" s="819"/>
      <c r="G310" s="820"/>
      <c r="H310" s="821"/>
    </row>
    <row r="311" spans="1:8" ht="13.5" customHeight="1">
      <c r="A311" s="2033"/>
      <c r="B311" s="1825"/>
      <c r="C311" s="805"/>
      <c r="D311" s="806"/>
      <c r="E311" s="806"/>
      <c r="F311" s="800"/>
      <c r="G311" s="822" t="s">
        <v>1560</v>
      </c>
      <c r="H311" s="823">
        <f>SUM(G308:G310)</f>
        <v>300</v>
      </c>
    </row>
    <row r="312" spans="1:8" ht="13.5" customHeight="1">
      <c r="A312" s="824"/>
      <c r="B312" s="804"/>
      <c r="C312" s="805"/>
      <c r="D312" s="806"/>
      <c r="E312" s="806"/>
      <c r="F312" s="800"/>
      <c r="G312" s="825"/>
      <c r="H312" s="802"/>
    </row>
    <row r="313" spans="1:8" ht="13.5" customHeight="1">
      <c r="A313" s="803" t="s">
        <v>1561</v>
      </c>
      <c r="B313" s="804"/>
      <c r="C313" s="805"/>
      <c r="D313" s="806"/>
      <c r="E313" s="806"/>
      <c r="F313" s="800"/>
      <c r="G313" s="825"/>
      <c r="H313" s="802"/>
    </row>
    <row r="314" spans="1:8" ht="13.5" customHeight="1">
      <c r="A314" s="2022" t="s">
        <v>376</v>
      </c>
      <c r="B314" s="1611"/>
      <c r="C314" s="808" t="s">
        <v>1219</v>
      </c>
      <c r="D314" s="809" t="s">
        <v>1845</v>
      </c>
      <c r="E314" s="809" t="s">
        <v>1842</v>
      </c>
      <c r="F314" s="810" t="s">
        <v>673</v>
      </c>
      <c r="G314" s="811" t="s">
        <v>1845</v>
      </c>
      <c r="H314" s="826"/>
    </row>
    <row r="315" spans="1:8" ht="13.5" customHeight="1">
      <c r="A315" s="2020" t="s">
        <v>1883</v>
      </c>
      <c r="B315" s="1611"/>
      <c r="C315" s="813" t="s">
        <v>1873</v>
      </c>
      <c r="D315" s="817">
        <v>632650</v>
      </c>
      <c r="E315" s="817"/>
      <c r="F315" s="815">
        <v>0.17</v>
      </c>
      <c r="G315" s="827">
        <f t="shared" ref="G315:G319" si="20">F315*D315</f>
        <v>107550.50000000001</v>
      </c>
      <c r="H315" s="826"/>
    </row>
    <row r="316" spans="1:8" ht="13.5" customHeight="1">
      <c r="A316" s="2020" t="s">
        <v>1874</v>
      </c>
      <c r="B316" s="1611"/>
      <c r="C316" s="813" t="s">
        <v>127</v>
      </c>
      <c r="D316" s="817">
        <v>107488</v>
      </c>
      <c r="E316" s="817"/>
      <c r="F316" s="815">
        <v>1</v>
      </c>
      <c r="G316" s="827">
        <f t="shared" si="20"/>
        <v>107488</v>
      </c>
      <c r="H316" s="826"/>
    </row>
    <row r="317" spans="1:8" ht="13.5" customHeight="1">
      <c r="A317" s="2020" t="s">
        <v>1875</v>
      </c>
      <c r="B317" s="1611"/>
      <c r="C317" s="813" t="s">
        <v>1762</v>
      </c>
      <c r="D317" s="817">
        <v>110277</v>
      </c>
      <c r="E317" s="817"/>
      <c r="F317" s="815">
        <v>0.02</v>
      </c>
      <c r="G317" s="827">
        <f t="shared" si="20"/>
        <v>2205.54</v>
      </c>
      <c r="H317" s="826"/>
    </row>
    <row r="318" spans="1:8" ht="13.5" customHeight="1">
      <c r="A318" s="2020" t="s">
        <v>1851</v>
      </c>
      <c r="B318" s="1611"/>
      <c r="C318" s="813" t="s">
        <v>1762</v>
      </c>
      <c r="D318" s="817">
        <v>53176</v>
      </c>
      <c r="E318" s="817"/>
      <c r="F318" s="815">
        <v>0.02</v>
      </c>
      <c r="G318" s="827">
        <f t="shared" si="20"/>
        <v>1063.52</v>
      </c>
      <c r="H318" s="826"/>
    </row>
    <row r="319" spans="1:8" ht="13.5" customHeight="1">
      <c r="A319" s="2020" t="s">
        <v>1616</v>
      </c>
      <c r="B319" s="1611"/>
      <c r="C319" s="813" t="s">
        <v>1762</v>
      </c>
      <c r="D319" s="817">
        <v>2500</v>
      </c>
      <c r="E319" s="817"/>
      <c r="F319" s="815">
        <v>0.1</v>
      </c>
      <c r="G319" s="827">
        <f t="shared" si="20"/>
        <v>250</v>
      </c>
      <c r="H319" s="802"/>
    </row>
    <row r="320" spans="1:8" ht="13.5" customHeight="1">
      <c r="A320" s="824"/>
      <c r="B320" s="804"/>
      <c r="C320" s="805"/>
      <c r="D320" s="806"/>
      <c r="E320" s="806"/>
      <c r="F320" s="800"/>
      <c r="G320" s="828" t="s">
        <v>1560</v>
      </c>
      <c r="H320" s="823">
        <f>SUM(G315:G319)</f>
        <v>218557.56</v>
      </c>
    </row>
    <row r="323" spans="1:8" ht="13.5" customHeight="1">
      <c r="A323" s="803" t="s">
        <v>1564</v>
      </c>
      <c r="B323" s="804"/>
      <c r="C323" s="805"/>
      <c r="D323" s="806"/>
      <c r="E323" s="806"/>
      <c r="F323" s="800"/>
      <c r="G323" s="806"/>
      <c r="H323" s="829"/>
    </row>
    <row r="324" spans="1:8" ht="13.5" customHeight="1">
      <c r="A324" s="830" t="s">
        <v>1853</v>
      </c>
      <c r="B324" s="831" t="s">
        <v>1854</v>
      </c>
      <c r="C324" s="808" t="s">
        <v>1855</v>
      </c>
      <c r="D324" s="832" t="s">
        <v>1244</v>
      </c>
      <c r="E324" s="809" t="s">
        <v>1856</v>
      </c>
      <c r="F324" s="810" t="s">
        <v>1843</v>
      </c>
      <c r="G324" s="833" t="s">
        <v>1845</v>
      </c>
      <c r="H324" s="834"/>
    </row>
    <row r="325" spans="1:8" ht="13.5" customHeight="1">
      <c r="A325" s="835"/>
      <c r="B325" s="836" t="s">
        <v>1857</v>
      </c>
      <c r="C325" s="837">
        <v>30000</v>
      </c>
      <c r="D325" s="837">
        <v>2</v>
      </c>
      <c r="E325" s="837">
        <f t="shared" ref="E325:E326" si="21">D325*C325</f>
        <v>60000</v>
      </c>
      <c r="F325" s="838">
        <v>1.4</v>
      </c>
      <c r="G325" s="837">
        <f t="shared" ref="G325:G326" si="22">ROUND((E325*F325)/8,0)</f>
        <v>10500</v>
      </c>
      <c r="H325" s="839"/>
    </row>
    <row r="326" spans="1:8" ht="13.5" customHeight="1">
      <c r="A326" s="835"/>
      <c r="B326" s="836" t="s">
        <v>1858</v>
      </c>
      <c r="C326" s="837">
        <v>40000</v>
      </c>
      <c r="D326" s="837">
        <v>1</v>
      </c>
      <c r="E326" s="837">
        <f t="shared" si="21"/>
        <v>40000</v>
      </c>
      <c r="F326" s="838">
        <v>1.4</v>
      </c>
      <c r="G326" s="837">
        <f t="shared" si="22"/>
        <v>7000</v>
      </c>
      <c r="H326" s="840"/>
    </row>
    <row r="327" spans="1:8" ht="13.5" customHeight="1">
      <c r="A327" s="824"/>
      <c r="B327" s="804"/>
      <c r="C327" s="805"/>
      <c r="D327" s="806"/>
      <c r="E327" s="806"/>
      <c r="F327" s="800"/>
      <c r="G327" s="841" t="s">
        <v>1560</v>
      </c>
      <c r="H327" s="823">
        <f>SUM(G325:G326)</f>
        <v>17500</v>
      </c>
    </row>
    <row r="328" spans="1:8" ht="13.5" customHeight="1">
      <c r="A328" s="824"/>
      <c r="B328" s="804"/>
      <c r="C328" s="805"/>
      <c r="D328" s="806"/>
      <c r="E328" s="806"/>
      <c r="F328" s="800"/>
      <c r="G328" s="806"/>
      <c r="H328" s="829"/>
    </row>
    <row r="329" spans="1:8" ht="13.5" customHeight="1">
      <c r="A329" s="824"/>
      <c r="B329" s="804"/>
      <c r="C329" s="805"/>
      <c r="D329" s="806"/>
      <c r="E329" s="806"/>
      <c r="F329" s="842" t="s">
        <v>142</v>
      </c>
      <c r="G329" s="806"/>
      <c r="H329" s="843">
        <f>H327+H320+H311</f>
        <v>236357.56</v>
      </c>
    </row>
    <row r="330" spans="1:8" ht="13.5" customHeight="1">
      <c r="A330" s="824"/>
      <c r="B330" s="804"/>
      <c r="C330" s="805"/>
      <c r="D330" s="806"/>
      <c r="E330" s="806"/>
      <c r="F330" s="842"/>
      <c r="G330" s="806"/>
      <c r="H330" s="829"/>
    </row>
    <row r="331" spans="1:8" ht="13.5" customHeight="1">
      <c r="A331" s="824"/>
      <c r="B331" s="801"/>
      <c r="C331" s="805"/>
      <c r="D331" s="806"/>
      <c r="E331" s="806"/>
      <c r="F331" s="800"/>
      <c r="G331" s="825"/>
      <c r="H331" s="802"/>
    </row>
    <row r="332" spans="1:8" ht="13.5" customHeight="1">
      <c r="A332" s="847"/>
      <c r="B332" s="848"/>
      <c r="C332" s="849"/>
      <c r="D332" s="806"/>
      <c r="E332" s="806"/>
      <c r="F332" s="800"/>
      <c r="G332" s="804"/>
      <c r="H332" s="826"/>
    </row>
    <row r="333" spans="1:8" ht="13.5" customHeight="1">
      <c r="A333" s="824" t="s">
        <v>1835</v>
      </c>
      <c r="B333" s="801"/>
      <c r="C333" s="805"/>
      <c r="D333" s="806"/>
      <c r="E333" s="806"/>
      <c r="F333" s="2021"/>
      <c r="G333" s="1825"/>
      <c r="H333" s="826"/>
    </row>
    <row r="334" spans="1:8" ht="13.5" customHeight="1">
      <c r="A334" s="847" t="s">
        <v>1859</v>
      </c>
      <c r="B334" s="848"/>
      <c r="C334" s="849"/>
      <c r="D334" s="850"/>
      <c r="E334" s="850"/>
      <c r="F334" s="851"/>
      <c r="G334" s="852"/>
      <c r="H334" s="853"/>
    </row>
    <row r="335" spans="1:8" ht="13.5" customHeight="1">
      <c r="A335" s="804"/>
      <c r="B335" s="801"/>
      <c r="C335" s="805"/>
      <c r="D335" s="806"/>
      <c r="E335" s="806"/>
      <c r="F335" s="800"/>
      <c r="G335" s="804"/>
      <c r="H335" s="804"/>
    </row>
    <row r="336" spans="1:8" ht="13.5" customHeight="1">
      <c r="A336" s="2034" t="s">
        <v>1834</v>
      </c>
      <c r="B336" s="1811"/>
      <c r="C336" s="1811"/>
      <c r="D336" s="1811"/>
      <c r="E336" s="1811"/>
      <c r="F336" s="1811"/>
      <c r="G336" s="1811"/>
      <c r="H336" s="1812"/>
    </row>
    <row r="337" spans="1:8" ht="13.5" customHeight="1">
      <c r="A337" s="2035" t="s">
        <v>559</v>
      </c>
      <c r="B337" s="2036"/>
      <c r="C337" s="2036"/>
      <c r="D337" s="2037"/>
      <c r="E337" s="2042" t="s">
        <v>1835</v>
      </c>
      <c r="F337" s="2036"/>
      <c r="G337" s="2036"/>
      <c r="H337" s="2043"/>
    </row>
    <row r="338" spans="1:8" ht="13.5" customHeight="1">
      <c r="A338" s="2038"/>
      <c r="B338" s="1605"/>
      <c r="C338" s="1605"/>
      <c r="D338" s="2039"/>
      <c r="E338" s="2044"/>
      <c r="F338" s="1605"/>
      <c r="G338" s="1605"/>
      <c r="H338" s="1606"/>
    </row>
    <row r="339" spans="1:8" ht="13.5" customHeight="1">
      <c r="A339" s="2040"/>
      <c r="B339" s="1608"/>
      <c r="C339" s="1608"/>
      <c r="D339" s="2041"/>
      <c r="E339" s="2045"/>
      <c r="F339" s="1608"/>
      <c r="G339" s="1608"/>
      <c r="H339" s="1919"/>
    </row>
    <row r="340" spans="1:8" ht="13.5" customHeight="1">
      <c r="A340" s="2027" t="s">
        <v>1836</v>
      </c>
      <c r="B340" s="2028"/>
      <c r="C340" s="2028"/>
      <c r="D340" s="2028"/>
      <c r="E340" s="2028"/>
      <c r="F340" s="2028"/>
      <c r="G340" s="2028"/>
      <c r="H340" s="2029"/>
    </row>
    <row r="341" spans="1:8" ht="13.5" customHeight="1">
      <c r="A341" s="793"/>
      <c r="B341" s="794"/>
      <c r="C341" s="794"/>
      <c r="D341" s="794"/>
      <c r="E341" s="794"/>
      <c r="F341" s="794"/>
      <c r="G341" s="794"/>
      <c r="H341" s="795"/>
    </row>
    <row r="342" spans="1:8" ht="13.5" customHeight="1">
      <c r="A342" s="2030"/>
      <c r="B342" s="1824"/>
      <c r="C342" s="1824"/>
      <c r="D342" s="1824"/>
      <c r="E342" s="1825"/>
      <c r="F342" s="794"/>
      <c r="G342" s="794"/>
      <c r="H342" s="795"/>
    </row>
    <row r="343" spans="1:8" ht="13.5" customHeight="1">
      <c r="A343" s="793"/>
      <c r="B343" s="794"/>
      <c r="C343" s="794"/>
      <c r="D343" s="794"/>
      <c r="E343" s="794"/>
      <c r="F343" s="794"/>
      <c r="G343" s="794"/>
      <c r="H343" s="795"/>
    </row>
    <row r="344" spans="1:8" ht="13.5" customHeight="1">
      <c r="A344" s="2030" t="s">
        <v>1837</v>
      </c>
      <c r="B344" s="1825"/>
      <c r="C344" s="794"/>
      <c r="D344" s="794"/>
      <c r="E344" s="794"/>
      <c r="F344" s="794"/>
      <c r="G344" s="794"/>
      <c r="H344" s="795"/>
    </row>
    <row r="345" spans="1:8" ht="13.5" customHeight="1">
      <c r="A345" s="2031" t="s">
        <v>444</v>
      </c>
      <c r="B345" s="1824"/>
      <c r="C345" s="1824"/>
      <c r="D345" s="1824"/>
      <c r="E345" s="1824"/>
      <c r="F345" s="1824"/>
      <c r="G345" s="1824"/>
      <c r="H345" s="2032"/>
    </row>
    <row r="346" spans="1:8" ht="13.5" customHeight="1">
      <c r="A346" s="796"/>
      <c r="B346" s="797"/>
      <c r="C346" s="798"/>
      <c r="D346" s="799"/>
      <c r="E346" s="799"/>
      <c r="F346" s="800"/>
      <c r="G346" s="801" t="s">
        <v>1554</v>
      </c>
      <c r="H346" s="802"/>
    </row>
    <row r="347" spans="1:8" ht="13.5" customHeight="1">
      <c r="A347" s="803" t="s">
        <v>1839</v>
      </c>
      <c r="B347" s="804"/>
      <c r="C347" s="805"/>
      <c r="D347" s="806"/>
      <c r="E347" s="806"/>
      <c r="F347" s="800"/>
      <c r="G347" s="807" t="s">
        <v>1884</v>
      </c>
      <c r="H347" s="802"/>
    </row>
    <row r="348" spans="1:8" ht="13.5" customHeight="1">
      <c r="A348" s="2022" t="s">
        <v>376</v>
      </c>
      <c r="B348" s="1611"/>
      <c r="C348" s="808" t="s">
        <v>1219</v>
      </c>
      <c r="D348" s="809" t="s">
        <v>1841</v>
      </c>
      <c r="E348" s="809" t="s">
        <v>1842</v>
      </c>
      <c r="F348" s="810" t="s">
        <v>1843</v>
      </c>
      <c r="G348" s="811" t="s">
        <v>1844</v>
      </c>
      <c r="H348" s="812"/>
    </row>
    <row r="349" spans="1:8" ht="13.5" customHeight="1">
      <c r="A349" s="854" t="s">
        <v>1568</v>
      </c>
      <c r="B349" s="808"/>
      <c r="C349" s="813" t="s">
        <v>1614</v>
      </c>
      <c r="D349" s="814">
        <v>1500</v>
      </c>
      <c r="E349" s="814"/>
      <c r="F349" s="815">
        <v>0.2</v>
      </c>
      <c r="G349" s="816">
        <f>F349*D349</f>
        <v>300</v>
      </c>
      <c r="H349" s="812"/>
    </row>
    <row r="350" spans="1:8" ht="13.5" customHeight="1">
      <c r="A350" s="2020" t="s">
        <v>1885</v>
      </c>
      <c r="B350" s="1611"/>
      <c r="C350" s="813" t="s">
        <v>1886</v>
      </c>
      <c r="D350" s="463">
        <v>3125</v>
      </c>
      <c r="E350" s="817"/>
      <c r="F350" s="815">
        <v>1</v>
      </c>
      <c r="G350" s="816">
        <f>+D350*F350</f>
        <v>3125</v>
      </c>
      <c r="H350" s="812"/>
    </row>
    <row r="351" spans="1:8" ht="13.5" customHeight="1">
      <c r="A351" s="2023"/>
      <c r="B351" s="1611"/>
      <c r="C351" s="818"/>
      <c r="D351" s="819"/>
      <c r="E351" s="819"/>
      <c r="F351" s="819"/>
      <c r="G351" s="820"/>
      <c r="H351" s="821"/>
    </row>
    <row r="352" spans="1:8" ht="13.5" customHeight="1">
      <c r="A352" s="2033"/>
      <c r="B352" s="1825"/>
      <c r="C352" s="805"/>
      <c r="D352" s="806"/>
      <c r="E352" s="806"/>
      <c r="F352" s="800"/>
      <c r="G352" s="822" t="s">
        <v>1560</v>
      </c>
      <c r="H352" s="823">
        <f>SUM(G349:G351)</f>
        <v>3425</v>
      </c>
    </row>
    <row r="354" spans="1:8" ht="13.5" customHeight="1">
      <c r="A354" s="803" t="s">
        <v>1561</v>
      </c>
      <c r="B354" s="804"/>
      <c r="C354" s="805"/>
      <c r="D354" s="806"/>
      <c r="E354" s="806"/>
      <c r="F354" s="800"/>
      <c r="G354" s="825"/>
      <c r="H354" s="802"/>
    </row>
    <row r="355" spans="1:8" ht="13.5" customHeight="1">
      <c r="A355" s="2022" t="s">
        <v>376</v>
      </c>
      <c r="B355" s="1611"/>
      <c r="C355" s="808" t="s">
        <v>1219</v>
      </c>
      <c r="D355" s="809" t="s">
        <v>1845</v>
      </c>
      <c r="E355" s="809" t="s">
        <v>1842</v>
      </c>
      <c r="F355" s="810" t="s">
        <v>673</v>
      </c>
      <c r="G355" s="811" t="s">
        <v>1845</v>
      </c>
      <c r="H355" s="826"/>
    </row>
    <row r="356" spans="1:8" ht="13.5" customHeight="1">
      <c r="A356" s="2020" t="s">
        <v>1887</v>
      </c>
      <c r="B356" s="1611"/>
      <c r="C356" s="813" t="s">
        <v>120</v>
      </c>
      <c r="D356" s="817">
        <v>114800</v>
      </c>
      <c r="E356" s="817"/>
      <c r="F356" s="815">
        <f>+(0.166666666666667)</f>
        <v>0.16666666666666699</v>
      </c>
      <c r="G356" s="827">
        <f t="shared" ref="G356:G360" si="23">+F356*D356</f>
        <v>19133.333333333372</v>
      </c>
      <c r="H356" s="826"/>
    </row>
    <row r="357" spans="1:8" ht="13.5" customHeight="1">
      <c r="A357" s="2020" t="s">
        <v>1888</v>
      </c>
      <c r="B357" s="1611"/>
      <c r="C357" s="813" t="s">
        <v>127</v>
      </c>
      <c r="D357" s="817">
        <v>4708</v>
      </c>
      <c r="E357" s="817"/>
      <c r="F357" s="815">
        <v>1</v>
      </c>
      <c r="G357" s="827">
        <f t="shared" si="23"/>
        <v>4708</v>
      </c>
      <c r="H357" s="826"/>
    </row>
    <row r="358" spans="1:8" ht="13.5" customHeight="1">
      <c r="A358" s="2020" t="s">
        <v>1875</v>
      </c>
      <c r="B358" s="1611"/>
      <c r="C358" s="813" t="s">
        <v>1762</v>
      </c>
      <c r="D358" s="817">
        <v>110277</v>
      </c>
      <c r="E358" s="817"/>
      <c r="F358" s="815">
        <v>0.03</v>
      </c>
      <c r="G358" s="827">
        <f t="shared" si="23"/>
        <v>3308.31</v>
      </c>
      <c r="H358" s="826"/>
    </row>
    <row r="359" spans="1:8" ht="13.5" customHeight="1">
      <c r="A359" s="2020" t="s">
        <v>1851</v>
      </c>
      <c r="B359" s="1611"/>
      <c r="C359" s="813" t="s">
        <v>1762</v>
      </c>
      <c r="D359" s="817">
        <v>53176</v>
      </c>
      <c r="E359" s="817"/>
      <c r="F359" s="815">
        <v>0.02</v>
      </c>
      <c r="G359" s="827">
        <f t="shared" si="23"/>
        <v>1063.52</v>
      </c>
      <c r="H359" s="826"/>
    </row>
    <row r="360" spans="1:8" ht="13.5" customHeight="1">
      <c r="A360" s="2020" t="s">
        <v>1616</v>
      </c>
      <c r="B360" s="1611"/>
      <c r="C360" s="813" t="s">
        <v>1852</v>
      </c>
      <c r="D360" s="817">
        <v>2500</v>
      </c>
      <c r="E360" s="817"/>
      <c r="F360" s="815">
        <v>0.1</v>
      </c>
      <c r="G360" s="827">
        <f t="shared" si="23"/>
        <v>250</v>
      </c>
      <c r="H360" s="802"/>
    </row>
    <row r="361" spans="1:8" ht="13.5" customHeight="1">
      <c r="A361" s="824"/>
      <c r="B361" s="804"/>
      <c r="C361" s="805"/>
      <c r="D361" s="806"/>
      <c r="E361" s="806"/>
      <c r="F361" s="800"/>
      <c r="G361" s="828" t="s">
        <v>1560</v>
      </c>
      <c r="H361" s="823">
        <f>SUM(G356:G360)</f>
        <v>28463.163333333374</v>
      </c>
    </row>
    <row r="362" spans="1:8" ht="13.5" customHeight="1">
      <c r="A362" s="803"/>
      <c r="B362" s="804"/>
      <c r="C362" s="805"/>
      <c r="D362" s="806"/>
      <c r="E362" s="806"/>
      <c r="F362" s="800"/>
      <c r="G362" s="825"/>
      <c r="H362" s="802"/>
    </row>
    <row r="363" spans="1:8" ht="13.5" customHeight="1">
      <c r="A363" s="803"/>
      <c r="B363" s="804"/>
      <c r="C363" s="805"/>
      <c r="D363" s="806"/>
      <c r="E363" s="806"/>
      <c r="F363" s="800"/>
      <c r="G363" s="804"/>
      <c r="H363" s="826"/>
    </row>
    <row r="364" spans="1:8" ht="13.5" customHeight="1">
      <c r="A364" s="803" t="s">
        <v>1564</v>
      </c>
      <c r="B364" s="804"/>
      <c r="C364" s="805"/>
      <c r="D364" s="806"/>
      <c r="E364" s="806"/>
      <c r="F364" s="800"/>
      <c r="G364" s="806"/>
      <c r="H364" s="829"/>
    </row>
    <row r="365" spans="1:8" ht="13.5" customHeight="1">
      <c r="A365" s="830" t="s">
        <v>1853</v>
      </c>
      <c r="B365" s="831" t="s">
        <v>1854</v>
      </c>
      <c r="C365" s="808" t="s">
        <v>1855</v>
      </c>
      <c r="D365" s="832" t="s">
        <v>1244</v>
      </c>
      <c r="E365" s="809" t="s">
        <v>1856</v>
      </c>
      <c r="F365" s="810" t="s">
        <v>1843</v>
      </c>
      <c r="G365" s="833" t="s">
        <v>1845</v>
      </c>
      <c r="H365" s="834"/>
    </row>
    <row r="366" spans="1:8" ht="13.5" customHeight="1">
      <c r="A366" s="835"/>
      <c r="B366" s="836" t="s">
        <v>1857</v>
      </c>
      <c r="C366" s="837">
        <v>30000</v>
      </c>
      <c r="D366" s="837">
        <v>2</v>
      </c>
      <c r="E366" s="837">
        <f t="shared" ref="E366:E367" si="24">C366*D366</f>
        <v>60000</v>
      </c>
      <c r="F366" s="838">
        <v>0.35</v>
      </c>
      <c r="G366" s="837">
        <f t="shared" ref="G366:G367" si="25">ROUND((E366*F366)/8,0)</f>
        <v>2625</v>
      </c>
      <c r="H366" s="839"/>
    </row>
    <row r="367" spans="1:8" ht="13.5" customHeight="1">
      <c r="A367" s="835"/>
      <c r="B367" s="836" t="s">
        <v>1858</v>
      </c>
      <c r="C367" s="837">
        <v>40000</v>
      </c>
      <c r="D367" s="837">
        <v>1</v>
      </c>
      <c r="E367" s="837">
        <f t="shared" si="24"/>
        <v>40000</v>
      </c>
      <c r="F367" s="838">
        <v>0.35</v>
      </c>
      <c r="G367" s="837">
        <f t="shared" si="25"/>
        <v>1750</v>
      </c>
      <c r="H367" s="840"/>
    </row>
    <row r="368" spans="1:8" ht="13.5" customHeight="1">
      <c r="A368" s="824"/>
      <c r="B368" s="804"/>
      <c r="C368" s="805"/>
      <c r="D368" s="806"/>
      <c r="E368" s="806"/>
      <c r="F368" s="800"/>
      <c r="G368" s="841" t="s">
        <v>1560</v>
      </c>
      <c r="H368" s="823">
        <f>SUM(G366:G367)</f>
        <v>4375</v>
      </c>
    </row>
    <row r="370" spans="1:8" ht="13.5" customHeight="1">
      <c r="A370" s="824"/>
      <c r="B370" s="804"/>
      <c r="C370" s="805"/>
      <c r="D370" s="806"/>
      <c r="E370" s="806"/>
      <c r="F370" s="842" t="s">
        <v>142</v>
      </c>
      <c r="G370" s="806"/>
      <c r="H370" s="843">
        <f>+H368+H361+H352</f>
        <v>36263.163333333374</v>
      </c>
    </row>
    <row r="371" spans="1:8" ht="13.5" customHeight="1">
      <c r="A371" s="824"/>
      <c r="B371" s="804"/>
      <c r="C371" s="805"/>
      <c r="D371" s="806"/>
      <c r="E371" s="806"/>
      <c r="F371" s="842"/>
      <c r="G371" s="806"/>
      <c r="H371" s="829"/>
    </row>
    <row r="372" spans="1:8" ht="13.5" customHeight="1">
      <c r="A372" s="824"/>
      <c r="B372" s="801"/>
      <c r="C372" s="805"/>
      <c r="D372" s="806"/>
      <c r="E372" s="806"/>
      <c r="F372" s="800"/>
      <c r="G372" s="825"/>
      <c r="H372" s="802"/>
    </row>
    <row r="373" spans="1:8" ht="13.5" customHeight="1">
      <c r="A373" s="847"/>
      <c r="B373" s="848"/>
      <c r="C373" s="849"/>
      <c r="D373" s="806"/>
      <c r="E373" s="806"/>
      <c r="F373" s="800"/>
      <c r="G373" s="804"/>
      <c r="H373" s="826"/>
    </row>
    <row r="374" spans="1:8" ht="13.5" customHeight="1">
      <c r="A374" s="824" t="s">
        <v>1835</v>
      </c>
      <c r="B374" s="801"/>
      <c r="C374" s="805"/>
      <c r="D374" s="806"/>
      <c r="E374" s="806"/>
      <c r="F374" s="2021"/>
      <c r="G374" s="1825"/>
      <c r="H374" s="826"/>
    </row>
    <row r="375" spans="1:8" ht="13.5" customHeight="1">
      <c r="A375" s="824" t="s">
        <v>1859</v>
      </c>
      <c r="B375" s="801"/>
      <c r="C375" s="805"/>
      <c r="D375" s="806"/>
      <c r="E375" s="806"/>
      <c r="F375" s="800"/>
      <c r="G375" s="804"/>
      <c r="H375" s="826"/>
    </row>
    <row r="376" spans="1:8" ht="13.5" customHeight="1">
      <c r="A376" s="852"/>
      <c r="B376" s="848"/>
      <c r="C376" s="849"/>
      <c r="D376" s="850"/>
      <c r="E376" s="850"/>
      <c r="F376" s="851"/>
      <c r="G376" s="852"/>
      <c r="H376" s="852"/>
    </row>
    <row r="377" spans="1:8" ht="13.5" customHeight="1">
      <c r="A377" s="2034" t="s">
        <v>1834</v>
      </c>
      <c r="B377" s="1811"/>
      <c r="C377" s="1811"/>
      <c r="D377" s="1811"/>
      <c r="E377" s="1811"/>
      <c r="F377" s="1811"/>
      <c r="G377" s="1811"/>
      <c r="H377" s="1812"/>
    </row>
    <row r="378" spans="1:8" ht="13.5" customHeight="1">
      <c r="A378" s="2035" t="s">
        <v>559</v>
      </c>
      <c r="B378" s="2036"/>
      <c r="C378" s="2036"/>
      <c r="D378" s="2037"/>
      <c r="E378" s="2042" t="s">
        <v>1869</v>
      </c>
      <c r="F378" s="2036"/>
      <c r="G378" s="2036"/>
      <c r="H378" s="2043"/>
    </row>
    <row r="379" spans="1:8" ht="13.5" customHeight="1">
      <c r="A379" s="2038"/>
      <c r="B379" s="1605"/>
      <c r="C379" s="1605"/>
      <c r="D379" s="2039"/>
      <c r="E379" s="2044"/>
      <c r="F379" s="1605"/>
      <c r="G379" s="1605"/>
      <c r="H379" s="1606"/>
    </row>
    <row r="380" spans="1:8" ht="13.5" customHeight="1">
      <c r="A380" s="2040"/>
      <c r="B380" s="1608"/>
      <c r="C380" s="1608"/>
      <c r="D380" s="2041"/>
      <c r="E380" s="2045"/>
      <c r="F380" s="1608"/>
      <c r="G380" s="1608"/>
      <c r="H380" s="1919"/>
    </row>
    <row r="381" spans="1:8" ht="13.5" customHeight="1">
      <c r="A381" s="2027" t="s">
        <v>1836</v>
      </c>
      <c r="B381" s="2028"/>
      <c r="C381" s="2028"/>
      <c r="D381" s="2028"/>
      <c r="E381" s="2028"/>
      <c r="F381" s="2028"/>
      <c r="G381" s="2028"/>
      <c r="H381" s="2029"/>
    </row>
    <row r="382" spans="1:8" ht="13.5" customHeight="1">
      <c r="A382" s="793"/>
      <c r="B382" s="794"/>
      <c r="C382" s="794"/>
      <c r="D382" s="794"/>
      <c r="E382" s="794"/>
      <c r="F382" s="794"/>
      <c r="G382" s="794"/>
      <c r="H382" s="795"/>
    </row>
    <row r="383" spans="1:8" ht="13.5" customHeight="1">
      <c r="A383" s="2030"/>
      <c r="B383" s="1824"/>
      <c r="C383" s="1824"/>
      <c r="D383" s="1824"/>
      <c r="E383" s="1825"/>
      <c r="F383" s="794"/>
      <c r="G383" s="794"/>
      <c r="H383" s="795"/>
    </row>
    <row r="385" spans="1:8" ht="13.5" customHeight="1">
      <c r="A385" s="2030" t="s">
        <v>1837</v>
      </c>
      <c r="B385" s="1825"/>
      <c r="C385" s="794"/>
      <c r="D385" s="794"/>
      <c r="E385" s="794"/>
      <c r="F385" s="794"/>
      <c r="G385" s="794"/>
      <c r="H385" s="795"/>
    </row>
    <row r="386" spans="1:8" ht="13.5" customHeight="1">
      <c r="A386" s="2031" t="s">
        <v>445</v>
      </c>
      <c r="B386" s="1824"/>
      <c r="C386" s="1824"/>
      <c r="D386" s="1824"/>
      <c r="E386" s="1824"/>
      <c r="F386" s="1824"/>
      <c r="G386" s="1824"/>
      <c r="H386" s="2032"/>
    </row>
    <row r="387" spans="1:8" ht="13.5" customHeight="1">
      <c r="A387" s="796"/>
      <c r="B387" s="797"/>
      <c r="C387" s="798"/>
      <c r="D387" s="799"/>
      <c r="E387" s="799"/>
      <c r="F387" s="800"/>
      <c r="G387" s="801" t="s">
        <v>1889</v>
      </c>
      <c r="H387" s="802"/>
    </row>
    <row r="388" spans="1:8" ht="13.5" customHeight="1">
      <c r="A388" s="803" t="s">
        <v>1839</v>
      </c>
      <c r="B388" s="804"/>
      <c r="C388" s="805"/>
      <c r="D388" s="806"/>
      <c r="E388" s="806"/>
      <c r="F388" s="800"/>
      <c r="G388" s="807" t="s">
        <v>1553</v>
      </c>
      <c r="H388" s="802"/>
    </row>
    <row r="389" spans="1:8" ht="13.5" customHeight="1">
      <c r="A389" s="2022" t="s">
        <v>376</v>
      </c>
      <c r="B389" s="1611"/>
      <c r="C389" s="808" t="s">
        <v>1219</v>
      </c>
      <c r="D389" s="809" t="s">
        <v>1841</v>
      </c>
      <c r="E389" s="809" t="s">
        <v>1842</v>
      </c>
      <c r="F389" s="810" t="s">
        <v>1843</v>
      </c>
      <c r="G389" s="811" t="s">
        <v>1844</v>
      </c>
      <c r="H389" s="812"/>
    </row>
    <row r="390" spans="1:8" ht="13.5" customHeight="1">
      <c r="A390" s="854" t="s">
        <v>1568</v>
      </c>
      <c r="B390" s="808"/>
      <c r="C390" s="813" t="s">
        <v>1614</v>
      </c>
      <c r="D390" s="814">
        <v>1500</v>
      </c>
      <c r="E390" s="814"/>
      <c r="F390" s="815">
        <v>0.2</v>
      </c>
      <c r="G390" s="816">
        <f t="shared" ref="G390:G391" si="26">+D390*F390</f>
        <v>300</v>
      </c>
      <c r="H390" s="812"/>
    </row>
    <row r="391" spans="1:8" ht="13.5" customHeight="1">
      <c r="A391" s="2020" t="s">
        <v>1885</v>
      </c>
      <c r="B391" s="1611"/>
      <c r="C391" s="813" t="s">
        <v>1886</v>
      </c>
      <c r="D391" s="463">
        <v>3125</v>
      </c>
      <c r="E391" s="817"/>
      <c r="F391" s="815">
        <v>1</v>
      </c>
      <c r="G391" s="816">
        <f t="shared" si="26"/>
        <v>3125</v>
      </c>
      <c r="H391" s="812"/>
    </row>
    <row r="392" spans="1:8" ht="13.5" customHeight="1">
      <c r="A392" s="2023"/>
      <c r="B392" s="1611"/>
      <c r="C392" s="818"/>
      <c r="D392" s="819"/>
      <c r="E392" s="819"/>
      <c r="F392" s="819"/>
      <c r="G392" s="820"/>
      <c r="H392" s="821"/>
    </row>
    <row r="393" spans="1:8" ht="13.5" customHeight="1">
      <c r="A393" s="2033"/>
      <c r="B393" s="1825"/>
      <c r="C393" s="805"/>
      <c r="D393" s="806"/>
      <c r="E393" s="806"/>
      <c r="F393" s="800"/>
      <c r="G393" s="822" t="s">
        <v>1560</v>
      </c>
      <c r="H393" s="823">
        <f>SUM(G390:G392)</f>
        <v>3425</v>
      </c>
    </row>
    <row r="394" spans="1:8" ht="13.5" customHeight="1">
      <c r="A394" s="824"/>
      <c r="B394" s="804"/>
      <c r="C394" s="805"/>
      <c r="D394" s="806"/>
      <c r="E394" s="806"/>
      <c r="F394" s="800"/>
      <c r="G394" s="825"/>
      <c r="H394" s="802"/>
    </row>
    <row r="395" spans="1:8" ht="13.5" customHeight="1">
      <c r="A395" s="803" t="s">
        <v>1561</v>
      </c>
      <c r="B395" s="804"/>
      <c r="C395" s="805"/>
      <c r="D395" s="806"/>
      <c r="E395" s="806"/>
      <c r="F395" s="800"/>
      <c r="G395" s="825"/>
      <c r="H395" s="802"/>
    </row>
    <row r="396" spans="1:8" ht="13.5" customHeight="1">
      <c r="A396" s="2022" t="s">
        <v>376</v>
      </c>
      <c r="B396" s="1611"/>
      <c r="C396" s="808" t="s">
        <v>1219</v>
      </c>
      <c r="D396" s="809" t="s">
        <v>1845</v>
      </c>
      <c r="E396" s="809" t="s">
        <v>1842</v>
      </c>
      <c r="F396" s="810" t="s">
        <v>673</v>
      </c>
      <c r="G396" s="811" t="s">
        <v>1845</v>
      </c>
      <c r="H396" s="826"/>
    </row>
    <row r="397" spans="1:8" ht="13.5" customHeight="1">
      <c r="A397" s="2026" t="s">
        <v>1890</v>
      </c>
      <c r="B397" s="1611"/>
      <c r="C397" s="813" t="s">
        <v>120</v>
      </c>
      <c r="D397" s="817">
        <v>74864</v>
      </c>
      <c r="E397" s="817"/>
      <c r="F397" s="815">
        <f>+(0.166666666666667)</f>
        <v>0.16666666666666699</v>
      </c>
      <c r="G397" s="827">
        <f t="shared" ref="G397:G400" si="27">+F397*D397</f>
        <v>12477.333333333358</v>
      </c>
      <c r="H397" s="826"/>
    </row>
    <row r="398" spans="1:8" ht="13.5" customHeight="1">
      <c r="A398" s="2020" t="s">
        <v>1891</v>
      </c>
      <c r="B398" s="1611"/>
      <c r="C398" s="813" t="s">
        <v>127</v>
      </c>
      <c r="D398" s="817">
        <v>2874</v>
      </c>
      <c r="E398" s="817"/>
      <c r="F398" s="815">
        <v>1</v>
      </c>
      <c r="G398" s="827">
        <f t="shared" si="27"/>
        <v>2874</v>
      </c>
      <c r="H398" s="826"/>
    </row>
    <row r="399" spans="1:8" ht="13.5" customHeight="1">
      <c r="A399" s="2020" t="s">
        <v>1875</v>
      </c>
      <c r="B399" s="1611"/>
      <c r="C399" s="813" t="s">
        <v>1762</v>
      </c>
      <c r="D399" s="817">
        <v>110277</v>
      </c>
      <c r="E399" s="814"/>
      <c r="F399" s="815">
        <v>0.03</v>
      </c>
      <c r="G399" s="827">
        <f t="shared" si="27"/>
        <v>3308.31</v>
      </c>
      <c r="H399" s="826"/>
    </row>
    <row r="400" spans="1:8" ht="13.5" customHeight="1">
      <c r="A400" s="2020" t="s">
        <v>1851</v>
      </c>
      <c r="B400" s="1611"/>
      <c r="C400" s="813" t="s">
        <v>1762</v>
      </c>
      <c r="D400" s="817">
        <v>53176</v>
      </c>
      <c r="E400" s="817"/>
      <c r="F400" s="815">
        <v>0.02</v>
      </c>
      <c r="G400" s="827">
        <f t="shared" si="27"/>
        <v>1063.52</v>
      </c>
      <c r="H400" s="826"/>
    </row>
    <row r="401" spans="1:8" ht="13.5" customHeight="1">
      <c r="A401" s="2020" t="s">
        <v>1616</v>
      </c>
      <c r="B401" s="1611"/>
      <c r="C401" s="813" t="s">
        <v>1852</v>
      </c>
      <c r="D401" s="817">
        <v>2500</v>
      </c>
      <c r="E401" s="817"/>
      <c r="F401" s="815"/>
      <c r="G401" s="861"/>
      <c r="H401" s="802"/>
    </row>
    <row r="402" spans="1:8" ht="13.5" customHeight="1">
      <c r="A402" s="824"/>
      <c r="B402" s="804"/>
      <c r="C402" s="805"/>
      <c r="D402" s="806"/>
      <c r="E402" s="806"/>
      <c r="F402" s="800"/>
      <c r="G402" s="828" t="s">
        <v>1560</v>
      </c>
      <c r="H402" s="823">
        <f>SUM(G397:G401)</f>
        <v>19723.163333333359</v>
      </c>
    </row>
    <row r="403" spans="1:8" ht="13.5" customHeight="1">
      <c r="A403" s="803"/>
      <c r="B403" s="804"/>
      <c r="C403" s="805"/>
      <c r="D403" s="806"/>
      <c r="E403" s="806"/>
      <c r="F403" s="800"/>
      <c r="G403" s="825"/>
      <c r="H403" s="802"/>
    </row>
    <row r="404" spans="1:8" ht="13.5" customHeight="1">
      <c r="A404" s="803"/>
      <c r="B404" s="804"/>
      <c r="C404" s="805"/>
      <c r="D404" s="806"/>
      <c r="E404" s="806"/>
      <c r="F404" s="800"/>
      <c r="G404" s="804"/>
      <c r="H404" s="826"/>
    </row>
    <row r="405" spans="1:8" ht="13.5" customHeight="1">
      <c r="A405" s="803" t="s">
        <v>1564</v>
      </c>
      <c r="B405" s="804"/>
      <c r="C405" s="805"/>
      <c r="D405" s="806"/>
      <c r="E405" s="806"/>
      <c r="F405" s="800"/>
      <c r="G405" s="806"/>
      <c r="H405" s="829"/>
    </row>
    <row r="406" spans="1:8" ht="13.5" customHeight="1">
      <c r="A406" s="830" t="s">
        <v>1853</v>
      </c>
      <c r="B406" s="831" t="s">
        <v>1854</v>
      </c>
      <c r="C406" s="808" t="s">
        <v>1855</v>
      </c>
      <c r="D406" s="832" t="s">
        <v>1244</v>
      </c>
      <c r="E406" s="809" t="s">
        <v>1856</v>
      </c>
      <c r="F406" s="810" t="s">
        <v>1843</v>
      </c>
      <c r="G406" s="833" t="s">
        <v>1845</v>
      </c>
      <c r="H406" s="834"/>
    </row>
    <row r="407" spans="1:8" ht="13.5" customHeight="1">
      <c r="A407" s="835"/>
      <c r="B407" s="836" t="s">
        <v>1857</v>
      </c>
      <c r="C407" s="837">
        <v>30000</v>
      </c>
      <c r="D407" s="837">
        <v>2</v>
      </c>
      <c r="E407" s="837">
        <f t="shared" ref="E407:E408" si="28">+D407*C407</f>
        <v>60000</v>
      </c>
      <c r="F407" s="838">
        <v>0.3</v>
      </c>
      <c r="G407" s="837">
        <f t="shared" ref="G407:G408" si="29">+ROUND((F407*E407)/8,0)</f>
        <v>2250</v>
      </c>
      <c r="H407" s="839"/>
    </row>
    <row r="408" spans="1:8" ht="13.5" customHeight="1">
      <c r="A408" s="835"/>
      <c r="B408" s="836" t="s">
        <v>1858</v>
      </c>
      <c r="C408" s="837">
        <v>40000</v>
      </c>
      <c r="D408" s="837">
        <v>1</v>
      </c>
      <c r="E408" s="837">
        <f t="shared" si="28"/>
        <v>40000</v>
      </c>
      <c r="F408" s="838">
        <f>+F407</f>
        <v>0.3</v>
      </c>
      <c r="G408" s="837">
        <f t="shared" si="29"/>
        <v>1500</v>
      </c>
      <c r="H408" s="840"/>
    </row>
    <row r="409" spans="1:8" ht="13.5" customHeight="1">
      <c r="A409" s="824"/>
      <c r="B409" s="804"/>
      <c r="C409" s="805"/>
      <c r="D409" s="806"/>
      <c r="E409" s="806"/>
      <c r="F409" s="800"/>
      <c r="G409" s="841" t="s">
        <v>1560</v>
      </c>
      <c r="H409" s="823">
        <f>SUM(G407:G408)</f>
        <v>3750</v>
      </c>
    </row>
    <row r="410" spans="1:8" ht="13.5" customHeight="1">
      <c r="A410" s="824"/>
      <c r="B410" s="804"/>
      <c r="C410" s="805"/>
      <c r="D410" s="806"/>
      <c r="E410" s="806"/>
      <c r="F410" s="800"/>
      <c r="G410" s="806"/>
      <c r="H410" s="829"/>
    </row>
    <row r="411" spans="1:8" ht="13.5" customHeight="1">
      <c r="A411" s="824"/>
      <c r="B411" s="804"/>
      <c r="C411" s="805"/>
      <c r="D411" s="806"/>
      <c r="E411" s="806"/>
      <c r="F411" s="842" t="s">
        <v>142</v>
      </c>
      <c r="G411" s="806"/>
      <c r="H411" s="843">
        <f>+H409+H402+H393</f>
        <v>26898.163333333359</v>
      </c>
    </row>
    <row r="412" spans="1:8" ht="13.5" customHeight="1">
      <c r="A412" s="824"/>
      <c r="B412" s="804"/>
      <c r="C412" s="805"/>
      <c r="D412" s="806"/>
      <c r="E412" s="806"/>
      <c r="F412" s="842"/>
      <c r="G412" s="806"/>
      <c r="H412" s="829"/>
    </row>
    <row r="413" spans="1:8" ht="13.5" customHeight="1">
      <c r="A413" s="824"/>
      <c r="B413" s="801"/>
      <c r="C413" s="805"/>
      <c r="D413" s="806"/>
      <c r="E413" s="806"/>
      <c r="F413" s="800"/>
      <c r="G413" s="825"/>
      <c r="H413" s="802"/>
    </row>
    <row r="414" spans="1:8" ht="13.5" customHeight="1">
      <c r="A414" s="847"/>
      <c r="B414" s="848"/>
      <c r="C414" s="849"/>
      <c r="D414" s="806"/>
      <c r="E414" s="806"/>
      <c r="F414" s="800"/>
      <c r="G414" s="804"/>
      <c r="H414" s="826"/>
    </row>
    <row r="415" spans="1:8" ht="13.5" customHeight="1">
      <c r="A415" s="824" t="s">
        <v>1835</v>
      </c>
      <c r="B415" s="801"/>
      <c r="C415" s="805"/>
      <c r="D415" s="806"/>
      <c r="E415" s="806"/>
      <c r="F415" s="2021"/>
      <c r="G415" s="1825"/>
      <c r="H415" s="826"/>
    </row>
    <row r="416" spans="1:8" ht="13.5" customHeight="1">
      <c r="A416" s="847" t="s">
        <v>1859</v>
      </c>
      <c r="B416" s="848"/>
      <c r="C416" s="849"/>
      <c r="D416" s="850"/>
      <c r="E416" s="850"/>
      <c r="F416" s="851"/>
      <c r="G416" s="852"/>
      <c r="H416" s="853"/>
    </row>
    <row r="418" spans="1:8" ht="13.5" customHeight="1">
      <c r="A418" s="2046" t="s">
        <v>1834</v>
      </c>
      <c r="B418" s="1811"/>
      <c r="C418" s="1811"/>
      <c r="D418" s="1811"/>
      <c r="E418" s="1811"/>
      <c r="F418" s="1811"/>
      <c r="G418" s="1811"/>
      <c r="H418" s="1812"/>
    </row>
    <row r="419" spans="1:8" ht="13.5" customHeight="1">
      <c r="A419" s="2035" t="s">
        <v>559</v>
      </c>
      <c r="B419" s="2036"/>
      <c r="C419" s="2036"/>
      <c r="D419" s="2037"/>
      <c r="E419" s="2042" t="s">
        <v>1869</v>
      </c>
      <c r="F419" s="2036"/>
      <c r="G419" s="2036"/>
      <c r="H419" s="2043"/>
    </row>
    <row r="420" spans="1:8" ht="13.5" customHeight="1">
      <c r="A420" s="2038"/>
      <c r="B420" s="1605"/>
      <c r="C420" s="1605"/>
      <c r="D420" s="2039"/>
      <c r="E420" s="2044"/>
      <c r="F420" s="1605"/>
      <c r="G420" s="1605"/>
      <c r="H420" s="1606"/>
    </row>
    <row r="421" spans="1:8" ht="13.5" customHeight="1">
      <c r="A421" s="2040"/>
      <c r="B421" s="1608"/>
      <c r="C421" s="1608"/>
      <c r="D421" s="2041"/>
      <c r="E421" s="2045"/>
      <c r="F421" s="1608"/>
      <c r="G421" s="1608"/>
      <c r="H421" s="1919"/>
    </row>
    <row r="422" spans="1:8" ht="13.5" customHeight="1">
      <c r="A422" s="2027" t="s">
        <v>1836</v>
      </c>
      <c r="B422" s="2028"/>
      <c r="C422" s="2028"/>
      <c r="D422" s="2028"/>
      <c r="E422" s="2028"/>
      <c r="F422" s="2028"/>
      <c r="G422" s="2028"/>
      <c r="H422" s="2029"/>
    </row>
    <row r="423" spans="1:8" ht="13.5" customHeight="1">
      <c r="A423" s="793"/>
      <c r="B423" s="794"/>
      <c r="C423" s="794"/>
      <c r="D423" s="794"/>
      <c r="E423" s="794"/>
      <c r="F423" s="794"/>
      <c r="G423" s="794"/>
      <c r="H423" s="795"/>
    </row>
    <row r="424" spans="1:8" ht="13.5" customHeight="1">
      <c r="A424" s="2030"/>
      <c r="B424" s="1824"/>
      <c r="C424" s="1824"/>
      <c r="D424" s="1824"/>
      <c r="E424" s="1825"/>
      <c r="F424" s="794"/>
      <c r="G424" s="794"/>
      <c r="H424" s="795"/>
    </row>
    <row r="425" spans="1:8" ht="13.5" customHeight="1">
      <c r="A425" s="793"/>
      <c r="B425" s="794"/>
      <c r="C425" s="794"/>
      <c r="D425" s="794"/>
      <c r="E425" s="794"/>
      <c r="F425" s="794"/>
      <c r="G425" s="794"/>
      <c r="H425" s="795"/>
    </row>
    <row r="426" spans="1:8" ht="13.5" customHeight="1">
      <c r="A426" s="2030" t="s">
        <v>1837</v>
      </c>
      <c r="B426" s="1825"/>
      <c r="C426" s="794"/>
      <c r="D426" s="794"/>
      <c r="E426" s="794"/>
      <c r="F426" s="794"/>
      <c r="G426" s="794"/>
      <c r="H426" s="795"/>
    </row>
    <row r="427" spans="1:8" ht="13.5" customHeight="1">
      <c r="A427" s="2031" t="s">
        <v>446</v>
      </c>
      <c r="B427" s="1824"/>
      <c r="C427" s="1824"/>
      <c r="D427" s="1824"/>
      <c r="E427" s="1824"/>
      <c r="F427" s="1824"/>
      <c r="G427" s="1824"/>
      <c r="H427" s="2032"/>
    </row>
    <row r="428" spans="1:8" ht="13.5" customHeight="1">
      <c r="A428" s="796"/>
      <c r="B428" s="797"/>
      <c r="C428" s="798"/>
      <c r="D428" s="799"/>
      <c r="E428" s="799"/>
      <c r="F428" s="800"/>
      <c r="G428" s="801" t="s">
        <v>1892</v>
      </c>
      <c r="H428" s="802"/>
    </row>
    <row r="429" spans="1:8" ht="13.5" customHeight="1">
      <c r="A429" s="803" t="s">
        <v>1839</v>
      </c>
      <c r="B429" s="804"/>
      <c r="C429" s="805"/>
      <c r="D429" s="806"/>
      <c r="E429" s="806"/>
      <c r="F429" s="800"/>
      <c r="G429" s="807" t="s">
        <v>1553</v>
      </c>
      <c r="H429" s="802"/>
    </row>
    <row r="430" spans="1:8" ht="13.5" customHeight="1">
      <c r="A430" s="2022" t="s">
        <v>376</v>
      </c>
      <c r="B430" s="1611"/>
      <c r="C430" s="808" t="s">
        <v>1219</v>
      </c>
      <c r="D430" s="809" t="s">
        <v>1841</v>
      </c>
      <c r="E430" s="809" t="s">
        <v>1842</v>
      </c>
      <c r="F430" s="810" t="s">
        <v>1843</v>
      </c>
      <c r="G430" s="811" t="s">
        <v>1844</v>
      </c>
      <c r="H430" s="812"/>
    </row>
    <row r="431" spans="1:8" ht="13.5" customHeight="1">
      <c r="A431" s="854" t="s">
        <v>1568</v>
      </c>
      <c r="B431" s="808"/>
      <c r="C431" s="813" t="s">
        <v>1614</v>
      </c>
      <c r="D431" s="814">
        <v>1500</v>
      </c>
      <c r="E431" s="814"/>
      <c r="F431" s="815">
        <v>0.2</v>
      </c>
      <c r="G431" s="816">
        <f t="shared" ref="G431:G432" si="30">+D431*F431</f>
        <v>300</v>
      </c>
      <c r="H431" s="812"/>
    </row>
    <row r="432" spans="1:8" ht="13.5" customHeight="1">
      <c r="A432" s="2020" t="s">
        <v>1885</v>
      </c>
      <c r="B432" s="1611"/>
      <c r="C432" s="813" t="s">
        <v>1614</v>
      </c>
      <c r="D432" s="463">
        <v>3125</v>
      </c>
      <c r="E432" s="817"/>
      <c r="F432" s="815">
        <v>1</v>
      </c>
      <c r="G432" s="816">
        <f t="shared" si="30"/>
        <v>3125</v>
      </c>
      <c r="H432" s="812"/>
    </row>
    <row r="433" spans="1:8" ht="13.5" customHeight="1">
      <c r="A433" s="2023"/>
      <c r="B433" s="1611"/>
      <c r="C433" s="818"/>
      <c r="D433" s="819"/>
      <c r="E433" s="819"/>
      <c r="F433" s="819"/>
      <c r="G433" s="820"/>
      <c r="H433" s="821"/>
    </row>
    <row r="434" spans="1:8" ht="13.5" customHeight="1">
      <c r="A434" s="2033"/>
      <c r="B434" s="1825"/>
      <c r="C434" s="805"/>
      <c r="D434" s="806"/>
      <c r="E434" s="806"/>
      <c r="F434" s="800"/>
      <c r="G434" s="822" t="s">
        <v>1560</v>
      </c>
      <c r="H434" s="823">
        <f>SUM(G431:G433)</f>
        <v>3425</v>
      </c>
    </row>
    <row r="435" spans="1:8" ht="13.5" customHeight="1">
      <c r="A435" s="824"/>
      <c r="B435" s="804"/>
      <c r="C435" s="805"/>
      <c r="D435" s="806"/>
      <c r="E435" s="806"/>
      <c r="F435" s="800"/>
      <c r="G435" s="825"/>
      <c r="H435" s="802"/>
    </row>
    <row r="436" spans="1:8" ht="13.5" customHeight="1">
      <c r="A436" s="803" t="s">
        <v>1561</v>
      </c>
      <c r="B436" s="804"/>
      <c r="C436" s="805"/>
      <c r="D436" s="806"/>
      <c r="E436" s="806"/>
      <c r="F436" s="800"/>
      <c r="G436" s="825"/>
      <c r="H436" s="802"/>
    </row>
    <row r="437" spans="1:8" ht="13.5" customHeight="1">
      <c r="A437" s="2022" t="s">
        <v>376</v>
      </c>
      <c r="B437" s="1611"/>
      <c r="C437" s="808" t="s">
        <v>1219</v>
      </c>
      <c r="D437" s="809" t="s">
        <v>1845</v>
      </c>
      <c r="E437" s="809" t="s">
        <v>1842</v>
      </c>
      <c r="F437" s="810" t="s">
        <v>673</v>
      </c>
      <c r="G437" s="811" t="s">
        <v>1845</v>
      </c>
      <c r="H437" s="826"/>
    </row>
    <row r="438" spans="1:8" ht="13.5" customHeight="1">
      <c r="A438" s="2026" t="s">
        <v>1893</v>
      </c>
      <c r="B438" s="1611"/>
      <c r="C438" s="813" t="s">
        <v>120</v>
      </c>
      <c r="D438" s="817">
        <v>22683</v>
      </c>
      <c r="E438" s="817"/>
      <c r="F438" s="815">
        <f>+(0.166666666666667)</f>
        <v>0.16666666666666699</v>
      </c>
      <c r="G438" s="827">
        <f t="shared" ref="G438:G442" si="31">+F438*D438</f>
        <v>3780.5000000000073</v>
      </c>
      <c r="H438" s="826"/>
    </row>
    <row r="439" spans="1:8" ht="13.5" customHeight="1">
      <c r="A439" s="2020" t="s">
        <v>1894</v>
      </c>
      <c r="B439" s="1611"/>
      <c r="C439" s="813" t="s">
        <v>127</v>
      </c>
      <c r="D439" s="817">
        <v>703</v>
      </c>
      <c r="E439" s="817"/>
      <c r="F439" s="815">
        <v>1</v>
      </c>
      <c r="G439" s="827">
        <f t="shared" si="31"/>
        <v>703</v>
      </c>
      <c r="H439" s="826"/>
    </row>
    <row r="440" spans="1:8" ht="13.5" customHeight="1">
      <c r="A440" s="2020" t="s">
        <v>1875</v>
      </c>
      <c r="B440" s="1611"/>
      <c r="C440" s="813" t="s">
        <v>1762</v>
      </c>
      <c r="D440" s="817">
        <v>110277</v>
      </c>
      <c r="E440" s="814"/>
      <c r="F440" s="815">
        <v>0.02</v>
      </c>
      <c r="G440" s="827">
        <f t="shared" si="31"/>
        <v>2205.54</v>
      </c>
      <c r="H440" s="826"/>
    </row>
    <row r="441" spans="1:8" ht="13.5" customHeight="1">
      <c r="A441" s="2020" t="s">
        <v>1851</v>
      </c>
      <c r="B441" s="1611"/>
      <c r="C441" s="813" t="s">
        <v>1762</v>
      </c>
      <c r="D441" s="817">
        <v>53176</v>
      </c>
      <c r="E441" s="817"/>
      <c r="F441" s="815">
        <v>0.02</v>
      </c>
      <c r="G441" s="827">
        <f t="shared" si="31"/>
        <v>1063.52</v>
      </c>
      <c r="H441" s="826"/>
    </row>
    <row r="442" spans="1:8" ht="13.5" customHeight="1">
      <c r="A442" s="2020" t="s">
        <v>1616</v>
      </c>
      <c r="B442" s="1611"/>
      <c r="C442" s="813" t="s">
        <v>1852</v>
      </c>
      <c r="D442" s="817">
        <v>2500</v>
      </c>
      <c r="E442" s="817"/>
      <c r="F442" s="815">
        <v>0.1</v>
      </c>
      <c r="G442" s="827">
        <f t="shared" si="31"/>
        <v>250</v>
      </c>
      <c r="H442" s="802"/>
    </row>
    <row r="443" spans="1:8" ht="13.5" customHeight="1">
      <c r="A443" s="824"/>
      <c r="B443" s="804"/>
      <c r="C443" s="805"/>
      <c r="D443" s="806"/>
      <c r="E443" s="806"/>
      <c r="F443" s="800"/>
      <c r="G443" s="828" t="s">
        <v>1560</v>
      </c>
      <c r="H443" s="823">
        <f>SUM(G438:G442)</f>
        <v>8002.5600000000068</v>
      </c>
    </row>
    <row r="444" spans="1:8" ht="13.5" customHeight="1">
      <c r="A444" s="803"/>
      <c r="B444" s="804"/>
      <c r="C444" s="805"/>
      <c r="D444" s="806"/>
      <c r="E444" s="806"/>
      <c r="F444" s="800"/>
      <c r="G444" s="825"/>
      <c r="H444" s="802"/>
    </row>
    <row r="445" spans="1:8" ht="13.5" customHeight="1">
      <c r="A445" s="803"/>
      <c r="B445" s="804"/>
      <c r="C445" s="805"/>
      <c r="D445" s="806"/>
      <c r="E445" s="806"/>
      <c r="F445" s="800"/>
      <c r="G445" s="804"/>
      <c r="H445" s="826"/>
    </row>
    <row r="446" spans="1:8" ht="13.5" customHeight="1">
      <c r="A446" s="803" t="s">
        <v>1564</v>
      </c>
      <c r="B446" s="804"/>
      <c r="C446" s="805"/>
      <c r="D446" s="806"/>
      <c r="E446" s="806"/>
      <c r="F446" s="800"/>
      <c r="G446" s="806"/>
      <c r="H446" s="829"/>
    </row>
    <row r="447" spans="1:8" ht="13.5" customHeight="1">
      <c r="A447" s="830" t="s">
        <v>1853</v>
      </c>
      <c r="B447" s="831" t="s">
        <v>1854</v>
      </c>
      <c r="C447" s="808" t="s">
        <v>1855</v>
      </c>
      <c r="D447" s="832" t="s">
        <v>1244</v>
      </c>
      <c r="E447" s="809" t="s">
        <v>1856</v>
      </c>
      <c r="F447" s="810" t="s">
        <v>1843</v>
      </c>
      <c r="G447" s="833" t="s">
        <v>1845</v>
      </c>
      <c r="H447" s="834"/>
    </row>
    <row r="448" spans="1:8" ht="13.5" customHeight="1">
      <c r="A448" s="835"/>
      <c r="B448" s="836" t="s">
        <v>1857</v>
      </c>
      <c r="C448" s="837">
        <v>30000</v>
      </c>
      <c r="D448" s="837">
        <v>2</v>
      </c>
      <c r="E448" s="837">
        <f t="shared" ref="E448:E449" si="32">+D448*C448</f>
        <v>60000</v>
      </c>
      <c r="F448" s="838">
        <v>0.2</v>
      </c>
      <c r="G448" s="837">
        <f t="shared" ref="G448:G449" si="33">+ROUND((F448*E448)/8,0)</f>
        <v>1500</v>
      </c>
      <c r="H448" s="839"/>
    </row>
    <row r="449" spans="1:8" ht="13.5" customHeight="1">
      <c r="A449" s="835"/>
      <c r="B449" s="836" t="s">
        <v>1858</v>
      </c>
      <c r="C449" s="837">
        <v>40000</v>
      </c>
      <c r="D449" s="837">
        <v>1</v>
      </c>
      <c r="E449" s="837">
        <f t="shared" si="32"/>
        <v>40000</v>
      </c>
      <c r="F449" s="838">
        <f>+F448</f>
        <v>0.2</v>
      </c>
      <c r="G449" s="837">
        <f t="shared" si="33"/>
        <v>1000</v>
      </c>
      <c r="H449" s="840"/>
    </row>
    <row r="450" spans="1:8" ht="13.5" customHeight="1">
      <c r="A450" s="824"/>
      <c r="B450" s="804"/>
      <c r="C450" s="805"/>
      <c r="D450" s="806"/>
      <c r="E450" s="806"/>
      <c r="F450" s="800"/>
      <c r="G450" s="841" t="s">
        <v>1560</v>
      </c>
      <c r="H450" s="823">
        <f>SUM(G448:G449)</f>
        <v>2500</v>
      </c>
    </row>
    <row r="451" spans="1:8" ht="13.5" customHeight="1">
      <c r="A451" s="824"/>
      <c r="B451" s="804"/>
      <c r="C451" s="805"/>
      <c r="D451" s="806"/>
      <c r="E451" s="806"/>
      <c r="F451" s="800"/>
      <c r="G451" s="806"/>
      <c r="H451" s="829"/>
    </row>
    <row r="452" spans="1:8" ht="13.5" customHeight="1">
      <c r="A452" s="824"/>
      <c r="B452" s="804"/>
      <c r="C452" s="805"/>
      <c r="D452" s="806"/>
      <c r="E452" s="806"/>
      <c r="F452" s="842" t="s">
        <v>142</v>
      </c>
      <c r="G452" s="806"/>
      <c r="H452" s="843">
        <f>+H450+H443+H434</f>
        <v>13927.560000000007</v>
      </c>
    </row>
    <row r="453" spans="1:8" ht="13.5" customHeight="1">
      <c r="A453" s="824"/>
      <c r="B453" s="804"/>
      <c r="C453" s="805"/>
      <c r="D453" s="806"/>
      <c r="E453" s="806"/>
      <c r="F453" s="842"/>
      <c r="G453" s="806"/>
      <c r="H453" s="829"/>
    </row>
    <row r="454" spans="1:8" ht="13.5" customHeight="1">
      <c r="A454" s="824"/>
      <c r="B454" s="801"/>
      <c r="C454" s="805"/>
      <c r="D454" s="806"/>
      <c r="E454" s="806"/>
      <c r="F454" s="800"/>
      <c r="G454" s="825"/>
      <c r="H454" s="802"/>
    </row>
    <row r="455" spans="1:8" ht="13.5" customHeight="1">
      <c r="A455" s="847"/>
      <c r="B455" s="848"/>
      <c r="C455" s="849"/>
      <c r="D455" s="806"/>
      <c r="E455" s="806"/>
      <c r="F455" s="800"/>
      <c r="G455" s="804"/>
      <c r="H455" s="826"/>
    </row>
    <row r="456" spans="1:8" ht="13.5" customHeight="1">
      <c r="A456" s="824" t="s">
        <v>1835</v>
      </c>
      <c r="B456" s="801"/>
      <c r="C456" s="805"/>
      <c r="D456" s="806"/>
      <c r="E456" s="806"/>
      <c r="F456" s="2021"/>
      <c r="G456" s="1825"/>
      <c r="H456" s="826"/>
    </row>
    <row r="457" spans="1:8" ht="13.5" customHeight="1">
      <c r="A457" s="847" t="s">
        <v>1859</v>
      </c>
      <c r="B457" s="848"/>
      <c r="C457" s="849"/>
      <c r="D457" s="850"/>
      <c r="E457" s="850"/>
      <c r="F457" s="851"/>
      <c r="G457" s="852"/>
      <c r="H457" s="853"/>
    </row>
    <row r="458" spans="1:8" ht="13.5" customHeight="1">
      <c r="A458" s="792"/>
      <c r="B458" s="792"/>
      <c r="C458" s="792"/>
      <c r="D458" s="792"/>
      <c r="E458" s="792"/>
      <c r="F458" s="792"/>
      <c r="G458" s="792"/>
      <c r="H458" s="792"/>
    </row>
    <row r="459" spans="1:8" ht="13.5" customHeight="1">
      <c r="A459" s="2046" t="s">
        <v>1834</v>
      </c>
      <c r="B459" s="1811"/>
      <c r="C459" s="1811"/>
      <c r="D459" s="1811"/>
      <c r="E459" s="1811"/>
      <c r="F459" s="1811"/>
      <c r="G459" s="1811"/>
      <c r="H459" s="1812"/>
    </row>
    <row r="460" spans="1:8" ht="13.5" customHeight="1">
      <c r="A460" s="2035" t="s">
        <v>559</v>
      </c>
      <c r="B460" s="2036"/>
      <c r="C460" s="2036"/>
      <c r="D460" s="2037"/>
      <c r="E460" s="2042" t="s">
        <v>1835</v>
      </c>
      <c r="F460" s="2036"/>
      <c r="G460" s="2036"/>
      <c r="H460" s="2043"/>
    </row>
    <row r="461" spans="1:8" ht="13.5" customHeight="1">
      <c r="A461" s="2038"/>
      <c r="B461" s="1605"/>
      <c r="C461" s="1605"/>
      <c r="D461" s="2039"/>
      <c r="E461" s="2044"/>
      <c r="F461" s="1605"/>
      <c r="G461" s="1605"/>
      <c r="H461" s="1606"/>
    </row>
    <row r="462" spans="1:8" ht="13.5" customHeight="1">
      <c r="A462" s="2040"/>
      <c r="B462" s="1608"/>
      <c r="C462" s="1608"/>
      <c r="D462" s="2041"/>
      <c r="E462" s="2045"/>
      <c r="F462" s="1608"/>
      <c r="G462" s="1608"/>
      <c r="H462" s="1919"/>
    </row>
    <row r="463" spans="1:8" ht="13.5" customHeight="1">
      <c r="A463" s="2027" t="s">
        <v>1836</v>
      </c>
      <c r="B463" s="2028"/>
      <c r="C463" s="2028"/>
      <c r="D463" s="2028"/>
      <c r="E463" s="2028"/>
      <c r="F463" s="2028"/>
      <c r="G463" s="2028"/>
      <c r="H463" s="2029"/>
    </row>
    <row r="465" spans="1:8" ht="13.5" customHeight="1">
      <c r="A465" s="2030"/>
      <c r="B465" s="1824"/>
      <c r="C465" s="1824"/>
      <c r="D465" s="1824"/>
      <c r="E465" s="1825"/>
      <c r="F465" s="794"/>
      <c r="G465" s="794"/>
      <c r="H465" s="795"/>
    </row>
    <row r="466" spans="1:8" ht="13.5" customHeight="1">
      <c r="A466" s="793"/>
      <c r="B466" s="794"/>
      <c r="C466" s="794"/>
      <c r="D466" s="794"/>
      <c r="E466" s="794"/>
      <c r="F466" s="794"/>
      <c r="G466" s="794"/>
      <c r="H466" s="795"/>
    </row>
    <row r="467" spans="1:8" ht="13.5" customHeight="1">
      <c r="A467" s="2030" t="s">
        <v>1837</v>
      </c>
      <c r="B467" s="1825"/>
      <c r="C467" s="794"/>
      <c r="D467" s="794"/>
      <c r="E467" s="794"/>
      <c r="F467" s="794"/>
      <c r="G467" s="794"/>
      <c r="H467" s="795"/>
    </row>
    <row r="468" spans="1:8" ht="13.5" customHeight="1">
      <c r="A468" s="2031" t="s">
        <v>447</v>
      </c>
      <c r="B468" s="1824"/>
      <c r="C468" s="1824"/>
      <c r="D468" s="1824"/>
      <c r="E468" s="1824"/>
      <c r="F468" s="1824"/>
      <c r="G468" s="1824"/>
      <c r="H468" s="2032"/>
    </row>
    <row r="469" spans="1:8" ht="13.5" customHeight="1">
      <c r="A469" s="796"/>
      <c r="B469" s="797"/>
      <c r="C469" s="798"/>
      <c r="D469" s="799"/>
      <c r="E469" s="799"/>
      <c r="F469" s="800"/>
      <c r="G469" s="801" t="s">
        <v>1895</v>
      </c>
      <c r="H469" s="802"/>
    </row>
    <row r="470" spans="1:8" ht="13.5" customHeight="1">
      <c r="A470" s="803" t="s">
        <v>1839</v>
      </c>
      <c r="B470" s="804"/>
      <c r="C470" s="805"/>
      <c r="D470" s="806"/>
      <c r="E470" s="806"/>
      <c r="F470" s="800"/>
      <c r="G470" s="807" t="s">
        <v>1871</v>
      </c>
      <c r="H470" s="802"/>
    </row>
    <row r="471" spans="1:8" ht="13.5" customHeight="1">
      <c r="A471" s="2022" t="s">
        <v>376</v>
      </c>
      <c r="B471" s="1611"/>
      <c r="C471" s="808" t="s">
        <v>1219</v>
      </c>
      <c r="D471" s="809" t="s">
        <v>1841</v>
      </c>
      <c r="E471" s="809" t="s">
        <v>1842</v>
      </c>
      <c r="F471" s="810" t="s">
        <v>1843</v>
      </c>
      <c r="G471" s="811" t="s">
        <v>1844</v>
      </c>
      <c r="H471" s="812"/>
    </row>
    <row r="472" spans="1:8" ht="13.5" customHeight="1">
      <c r="A472" s="854" t="s">
        <v>1568</v>
      </c>
      <c r="B472" s="808"/>
      <c r="C472" s="813" t="s">
        <v>1614</v>
      </c>
      <c r="D472" s="814">
        <v>1500</v>
      </c>
      <c r="E472" s="814"/>
      <c r="F472" s="815">
        <v>0.2</v>
      </c>
      <c r="G472" s="816">
        <f t="shared" ref="G472:G473" si="34">+D472*F472</f>
        <v>300</v>
      </c>
      <c r="H472" s="812"/>
    </row>
    <row r="473" spans="1:8" ht="13.5" customHeight="1">
      <c r="A473" s="2020" t="s">
        <v>1885</v>
      </c>
      <c r="B473" s="1611"/>
      <c r="C473" s="813" t="s">
        <v>1886</v>
      </c>
      <c r="D473" s="817">
        <v>3125</v>
      </c>
      <c r="E473" s="817"/>
      <c r="F473" s="815">
        <v>1</v>
      </c>
      <c r="G473" s="816">
        <f t="shared" si="34"/>
        <v>3125</v>
      </c>
      <c r="H473" s="812"/>
    </row>
    <row r="474" spans="1:8" ht="13.5" customHeight="1">
      <c r="A474" s="2023"/>
      <c r="B474" s="1611"/>
      <c r="C474" s="818"/>
      <c r="D474" s="819"/>
      <c r="E474" s="819"/>
      <c r="F474" s="819"/>
      <c r="G474" s="820"/>
      <c r="H474" s="821"/>
    </row>
    <row r="475" spans="1:8" ht="13.5" customHeight="1">
      <c r="A475" s="2033"/>
      <c r="B475" s="1825"/>
      <c r="C475" s="805"/>
      <c r="D475" s="806"/>
      <c r="E475" s="806"/>
      <c r="F475" s="800"/>
      <c r="G475" s="822" t="s">
        <v>1560</v>
      </c>
      <c r="H475" s="823">
        <f>SUM(G472:G474)</f>
        <v>3425</v>
      </c>
    </row>
    <row r="476" spans="1:8" ht="13.5" customHeight="1">
      <c r="A476" s="824"/>
      <c r="B476" s="804"/>
      <c r="C476" s="805"/>
      <c r="D476" s="806"/>
      <c r="E476" s="806"/>
      <c r="F476" s="800"/>
      <c r="G476" s="825"/>
      <c r="H476" s="802"/>
    </row>
    <row r="477" spans="1:8" ht="13.5" customHeight="1">
      <c r="A477" s="803" t="s">
        <v>1561</v>
      </c>
      <c r="B477" s="804"/>
      <c r="C477" s="805"/>
      <c r="D477" s="806"/>
      <c r="E477" s="806"/>
      <c r="F477" s="800"/>
      <c r="G477" s="825"/>
      <c r="H477" s="802"/>
    </row>
    <row r="478" spans="1:8" ht="13.5" customHeight="1">
      <c r="A478" s="2022" t="s">
        <v>376</v>
      </c>
      <c r="B478" s="1611"/>
      <c r="C478" s="808" t="s">
        <v>1219</v>
      </c>
      <c r="D478" s="809" t="s">
        <v>1845</v>
      </c>
      <c r="E478" s="809" t="s">
        <v>1842</v>
      </c>
      <c r="F478" s="810" t="s">
        <v>673</v>
      </c>
      <c r="G478" s="811" t="s">
        <v>1845</v>
      </c>
      <c r="H478" s="826"/>
    </row>
    <row r="479" spans="1:8" ht="13.5" customHeight="1">
      <c r="A479" s="2020" t="s">
        <v>1896</v>
      </c>
      <c r="B479" s="1611"/>
      <c r="C479" s="813" t="s">
        <v>116</v>
      </c>
      <c r="D479" s="817">
        <v>31831</v>
      </c>
      <c r="E479" s="817"/>
      <c r="F479" s="815">
        <f>+(0.166666666666667)</f>
        <v>0.16666666666666699</v>
      </c>
      <c r="G479" s="811">
        <f t="shared" ref="G479:G483" si="35">+F479*D479</f>
        <v>5305.166666666677</v>
      </c>
      <c r="H479" s="826"/>
    </row>
    <row r="480" spans="1:8" ht="13.5" customHeight="1">
      <c r="A480" s="2020" t="s">
        <v>1897</v>
      </c>
      <c r="B480" s="1611"/>
      <c r="C480" s="813" t="s">
        <v>127</v>
      </c>
      <c r="D480" s="817">
        <v>1148</v>
      </c>
      <c r="E480" s="817"/>
      <c r="F480" s="815">
        <v>1</v>
      </c>
      <c r="G480" s="827">
        <f t="shared" si="35"/>
        <v>1148</v>
      </c>
      <c r="H480" s="826"/>
    </row>
    <row r="481" spans="1:8" ht="13.5" customHeight="1">
      <c r="A481" s="2020" t="s">
        <v>1875</v>
      </c>
      <c r="B481" s="1611"/>
      <c r="C481" s="813" t="s">
        <v>1762</v>
      </c>
      <c r="D481" s="817">
        <v>110277</v>
      </c>
      <c r="E481" s="817"/>
      <c r="F481" s="815">
        <v>0.02</v>
      </c>
      <c r="G481" s="827">
        <f t="shared" si="35"/>
        <v>2205.54</v>
      </c>
      <c r="H481" s="826"/>
    </row>
    <row r="482" spans="1:8" ht="13.5" customHeight="1">
      <c r="A482" s="2020" t="s">
        <v>1851</v>
      </c>
      <c r="B482" s="1611"/>
      <c r="C482" s="813" t="s">
        <v>1762</v>
      </c>
      <c r="D482" s="817">
        <v>53176</v>
      </c>
      <c r="E482" s="817"/>
      <c r="F482" s="815">
        <v>0.02</v>
      </c>
      <c r="G482" s="827">
        <f t="shared" si="35"/>
        <v>1063.52</v>
      </c>
      <c r="H482" s="826"/>
    </row>
    <row r="483" spans="1:8" ht="13.5" customHeight="1">
      <c r="A483" s="2020" t="s">
        <v>1898</v>
      </c>
      <c r="B483" s="1611"/>
      <c r="C483" s="813" t="s">
        <v>1852</v>
      </c>
      <c r="D483" s="817">
        <v>2500</v>
      </c>
      <c r="E483" s="817"/>
      <c r="F483" s="815">
        <v>0.1</v>
      </c>
      <c r="G483" s="861">
        <f t="shared" si="35"/>
        <v>250</v>
      </c>
      <c r="H483" s="802"/>
    </row>
    <row r="484" spans="1:8" ht="13.5" customHeight="1">
      <c r="A484" s="824"/>
      <c r="B484" s="804"/>
      <c r="C484" s="805"/>
      <c r="D484" s="806"/>
      <c r="E484" s="806"/>
      <c r="F484" s="800"/>
      <c r="G484" s="828" t="s">
        <v>1560</v>
      </c>
      <c r="H484" s="823">
        <f>SUM(G479:G483)</f>
        <v>9972.2266666666765</v>
      </c>
    </row>
    <row r="485" spans="1:8" ht="13.5" customHeight="1">
      <c r="A485" s="803"/>
      <c r="B485" s="804"/>
      <c r="C485" s="805"/>
      <c r="D485" s="806"/>
      <c r="E485" s="806"/>
      <c r="F485" s="800"/>
      <c r="G485" s="825"/>
      <c r="H485" s="802"/>
    </row>
    <row r="486" spans="1:8" ht="13.5" customHeight="1">
      <c r="A486" s="803"/>
      <c r="B486" s="804"/>
      <c r="C486" s="805"/>
      <c r="D486" s="806"/>
      <c r="E486" s="806"/>
      <c r="F486" s="800"/>
      <c r="G486" s="804"/>
      <c r="H486" s="826"/>
    </row>
    <row r="487" spans="1:8" ht="13.5" customHeight="1">
      <c r="A487" s="803" t="s">
        <v>1564</v>
      </c>
      <c r="B487" s="804"/>
      <c r="C487" s="805"/>
      <c r="D487" s="806"/>
      <c r="E487" s="806"/>
      <c r="F487" s="800"/>
      <c r="G487" s="806"/>
      <c r="H487" s="829"/>
    </row>
    <row r="488" spans="1:8" ht="13.5" customHeight="1">
      <c r="A488" s="830" t="s">
        <v>1853</v>
      </c>
      <c r="B488" s="831" t="s">
        <v>1854</v>
      </c>
      <c r="C488" s="808" t="s">
        <v>1855</v>
      </c>
      <c r="D488" s="832" t="s">
        <v>1244</v>
      </c>
      <c r="E488" s="809" t="s">
        <v>1856</v>
      </c>
      <c r="F488" s="810" t="s">
        <v>1843</v>
      </c>
      <c r="G488" s="833" t="s">
        <v>1845</v>
      </c>
      <c r="H488" s="834"/>
    </row>
    <row r="489" spans="1:8" ht="13.5" customHeight="1">
      <c r="A489" s="835"/>
      <c r="B489" s="836" t="s">
        <v>1857</v>
      </c>
      <c r="C489" s="837">
        <v>30000</v>
      </c>
      <c r="D489" s="837">
        <v>2</v>
      </c>
      <c r="E489" s="837">
        <f t="shared" ref="E489:E490" si="36">+D489*C489</f>
        <v>60000</v>
      </c>
      <c r="F489" s="838">
        <v>0.2</v>
      </c>
      <c r="G489" s="837">
        <f t="shared" ref="G489:G490" si="37">+ROUND((F489*E489)/8,0)</f>
        <v>1500</v>
      </c>
      <c r="H489" s="839"/>
    </row>
    <row r="490" spans="1:8" ht="13.5" customHeight="1">
      <c r="A490" s="835"/>
      <c r="B490" s="836" t="s">
        <v>1858</v>
      </c>
      <c r="C490" s="837">
        <v>40000</v>
      </c>
      <c r="D490" s="837">
        <v>1</v>
      </c>
      <c r="E490" s="837">
        <f t="shared" si="36"/>
        <v>40000</v>
      </c>
      <c r="F490" s="838">
        <v>0.2</v>
      </c>
      <c r="G490" s="837">
        <f t="shared" si="37"/>
        <v>1000</v>
      </c>
      <c r="H490" s="840"/>
    </row>
    <row r="491" spans="1:8" ht="13.5" customHeight="1">
      <c r="A491" s="824"/>
      <c r="B491" s="804"/>
      <c r="C491" s="805"/>
      <c r="D491" s="806"/>
      <c r="E491" s="806"/>
      <c r="F491" s="800"/>
      <c r="G491" s="841" t="s">
        <v>1560</v>
      </c>
      <c r="H491" s="823">
        <f>SUM(G489:G490)</f>
        <v>2500</v>
      </c>
    </row>
    <row r="492" spans="1:8" ht="13.5" customHeight="1">
      <c r="A492" s="824"/>
      <c r="B492" s="804"/>
      <c r="C492" s="805"/>
      <c r="D492" s="806"/>
      <c r="E492" s="806"/>
      <c r="F492" s="800"/>
      <c r="G492" s="806"/>
      <c r="H492" s="829"/>
    </row>
    <row r="493" spans="1:8" ht="13.5" customHeight="1">
      <c r="A493" s="824"/>
      <c r="B493" s="804"/>
      <c r="C493" s="805"/>
      <c r="D493" s="806"/>
      <c r="E493" s="806"/>
      <c r="F493" s="842" t="s">
        <v>142</v>
      </c>
      <c r="G493" s="806"/>
      <c r="H493" s="843">
        <f>+H491+H484+H475</f>
        <v>15897.226666666676</v>
      </c>
    </row>
    <row r="497" spans="1:8" ht="13.5" customHeight="1">
      <c r="A497" s="824" t="s">
        <v>1835</v>
      </c>
      <c r="B497" s="801"/>
      <c r="C497" s="805"/>
      <c r="D497" s="806"/>
      <c r="E497" s="806"/>
      <c r="F497" s="2021"/>
      <c r="G497" s="1825"/>
      <c r="H497" s="826"/>
    </row>
    <row r="498" spans="1:8" ht="13.5" customHeight="1">
      <c r="A498" s="847" t="s">
        <v>1859</v>
      </c>
      <c r="B498" s="848"/>
      <c r="C498" s="849"/>
      <c r="D498" s="850"/>
      <c r="E498" s="850"/>
      <c r="F498" s="851"/>
      <c r="G498" s="852"/>
      <c r="H498" s="853"/>
    </row>
    <row r="499" spans="1:8" ht="13.5" customHeight="1">
      <c r="A499" s="792"/>
      <c r="B499" s="792"/>
      <c r="C499" s="792"/>
      <c r="D499" s="792"/>
      <c r="E499" s="792"/>
      <c r="F499" s="792"/>
      <c r="G499" s="792"/>
      <c r="H499" s="792"/>
    </row>
    <row r="500" spans="1:8" ht="13.5" customHeight="1">
      <c r="A500" s="2046" t="s">
        <v>1834</v>
      </c>
      <c r="B500" s="1811"/>
      <c r="C500" s="1811"/>
      <c r="D500" s="1811"/>
      <c r="E500" s="1811"/>
      <c r="F500" s="1811"/>
      <c r="G500" s="1811"/>
      <c r="H500" s="1812"/>
    </row>
    <row r="501" spans="1:8" ht="13.5" customHeight="1">
      <c r="A501" s="2035" t="s">
        <v>559</v>
      </c>
      <c r="B501" s="2036"/>
      <c r="C501" s="2036"/>
      <c r="D501" s="2037"/>
      <c r="E501" s="2042" t="s">
        <v>1835</v>
      </c>
      <c r="F501" s="2036"/>
      <c r="G501" s="2036"/>
      <c r="H501" s="2043"/>
    </row>
    <row r="502" spans="1:8" ht="13.5" customHeight="1">
      <c r="A502" s="2038"/>
      <c r="B502" s="1605"/>
      <c r="C502" s="1605"/>
      <c r="D502" s="2039"/>
      <c r="E502" s="2044"/>
      <c r="F502" s="1605"/>
      <c r="G502" s="1605"/>
      <c r="H502" s="1606"/>
    </row>
    <row r="503" spans="1:8" ht="13.5" customHeight="1">
      <c r="A503" s="2040"/>
      <c r="B503" s="1608"/>
      <c r="C503" s="1608"/>
      <c r="D503" s="2041"/>
      <c r="E503" s="2045"/>
      <c r="F503" s="1608"/>
      <c r="G503" s="1608"/>
      <c r="H503" s="1919"/>
    </row>
    <row r="504" spans="1:8" ht="13.5" customHeight="1">
      <c r="A504" s="2027" t="s">
        <v>1899</v>
      </c>
      <c r="B504" s="2028"/>
      <c r="C504" s="2028"/>
      <c r="D504" s="2028"/>
      <c r="E504" s="2028"/>
      <c r="F504" s="2028"/>
      <c r="G504" s="2028"/>
      <c r="H504" s="2029"/>
    </row>
    <row r="505" spans="1:8" ht="13.5" customHeight="1">
      <c r="A505" s="793"/>
      <c r="B505" s="794"/>
      <c r="C505" s="794"/>
      <c r="D505" s="794"/>
      <c r="E505" s="794"/>
      <c r="F505" s="794"/>
      <c r="G505" s="794"/>
      <c r="H505" s="795"/>
    </row>
    <row r="506" spans="1:8" ht="13.5" customHeight="1">
      <c r="A506" s="2030"/>
      <c r="B506" s="1824"/>
      <c r="C506" s="1824"/>
      <c r="D506" s="1824"/>
      <c r="E506" s="1825"/>
      <c r="F506" s="794"/>
      <c r="G506" s="794"/>
      <c r="H506" s="795"/>
    </row>
    <row r="507" spans="1:8" ht="13.5" customHeight="1">
      <c r="A507" s="793"/>
      <c r="B507" s="794"/>
      <c r="C507" s="794"/>
      <c r="D507" s="794"/>
      <c r="E507" s="794"/>
      <c r="F507" s="794"/>
      <c r="G507" s="794"/>
      <c r="H507" s="795"/>
    </row>
    <row r="508" spans="1:8" ht="13.5" customHeight="1">
      <c r="A508" s="2030" t="s">
        <v>1837</v>
      </c>
      <c r="B508" s="1825"/>
      <c r="C508" s="794"/>
      <c r="D508" s="794"/>
      <c r="E508" s="794"/>
      <c r="F508" s="794"/>
      <c r="G508" s="794"/>
      <c r="H508" s="795"/>
    </row>
    <row r="509" spans="1:8" ht="13.5" customHeight="1">
      <c r="A509" s="2031" t="s">
        <v>448</v>
      </c>
      <c r="B509" s="1824"/>
      <c r="C509" s="1824"/>
      <c r="D509" s="1824"/>
      <c r="E509" s="1824"/>
      <c r="F509" s="1824"/>
      <c r="G509" s="1824"/>
      <c r="H509" s="2032"/>
    </row>
    <row r="510" spans="1:8" ht="13.5" customHeight="1">
      <c r="A510" s="796"/>
      <c r="B510" s="797"/>
      <c r="C510" s="798"/>
      <c r="D510" s="799"/>
      <c r="E510" s="799"/>
      <c r="F510" s="800"/>
      <c r="G510" s="801" t="s">
        <v>1900</v>
      </c>
      <c r="H510" s="802"/>
    </row>
    <row r="511" spans="1:8" ht="13.5" customHeight="1">
      <c r="A511" s="803" t="s">
        <v>1839</v>
      </c>
      <c r="B511" s="804"/>
      <c r="C511" s="805"/>
      <c r="D511" s="806"/>
      <c r="E511" s="806"/>
      <c r="F511" s="800"/>
      <c r="G511" s="807" t="s">
        <v>1840</v>
      </c>
      <c r="H511" s="802"/>
    </row>
    <row r="512" spans="1:8" ht="13.5" customHeight="1">
      <c r="A512" s="2022" t="s">
        <v>376</v>
      </c>
      <c r="B512" s="1611"/>
      <c r="C512" s="808" t="s">
        <v>1219</v>
      </c>
      <c r="D512" s="809" t="s">
        <v>1841</v>
      </c>
      <c r="E512" s="809" t="s">
        <v>1842</v>
      </c>
      <c r="F512" s="810" t="s">
        <v>1843</v>
      </c>
      <c r="G512" s="811" t="s">
        <v>1844</v>
      </c>
      <c r="H512" s="812"/>
    </row>
    <row r="513" spans="1:8" ht="13.5" customHeight="1">
      <c r="A513" s="854" t="s">
        <v>1568</v>
      </c>
      <c r="B513" s="808"/>
      <c r="C513" s="813" t="s">
        <v>1614</v>
      </c>
      <c r="D513" s="814">
        <v>1500</v>
      </c>
      <c r="E513" s="814"/>
      <c r="F513" s="815">
        <v>0.2</v>
      </c>
      <c r="G513" s="816">
        <f t="shared" ref="G513:G514" si="38">+D513*F513</f>
        <v>300</v>
      </c>
      <c r="H513" s="812"/>
    </row>
    <row r="514" spans="1:8" ht="13.5" customHeight="1">
      <c r="A514" s="2020"/>
      <c r="B514" s="1611"/>
      <c r="C514" s="813"/>
      <c r="D514" s="817"/>
      <c r="E514" s="817"/>
      <c r="F514" s="815"/>
      <c r="G514" s="816">
        <f t="shared" si="38"/>
        <v>0</v>
      </c>
      <c r="H514" s="812"/>
    </row>
    <row r="515" spans="1:8" ht="13.5" customHeight="1">
      <c r="A515" s="2023"/>
      <c r="B515" s="1611"/>
      <c r="C515" s="818"/>
      <c r="D515" s="819"/>
      <c r="E515" s="819"/>
      <c r="F515" s="819"/>
      <c r="G515" s="820"/>
      <c r="H515" s="821"/>
    </row>
    <row r="516" spans="1:8" ht="13.5" customHeight="1">
      <c r="A516" s="2033"/>
      <c r="B516" s="1825"/>
      <c r="C516" s="805"/>
      <c r="D516" s="806"/>
      <c r="E516" s="806"/>
      <c r="F516" s="800"/>
      <c r="G516" s="828" t="s">
        <v>1560</v>
      </c>
      <c r="H516" s="823">
        <f>SUM(G513:G515)</f>
        <v>300</v>
      </c>
    </row>
    <row r="517" spans="1:8" ht="13.5" customHeight="1">
      <c r="A517" s="824"/>
      <c r="B517" s="804"/>
      <c r="C517" s="805"/>
      <c r="D517" s="806"/>
      <c r="E517" s="806"/>
      <c r="F517" s="800"/>
      <c r="G517" s="825"/>
      <c r="H517" s="802"/>
    </row>
    <row r="518" spans="1:8" ht="13.5" customHeight="1">
      <c r="A518" s="803" t="s">
        <v>1561</v>
      </c>
      <c r="B518" s="804"/>
      <c r="C518" s="805"/>
      <c r="D518" s="806"/>
      <c r="E518" s="806"/>
      <c r="F518" s="800"/>
      <c r="G518" s="825"/>
      <c r="H518" s="802"/>
    </row>
    <row r="519" spans="1:8" ht="13.5" customHeight="1">
      <c r="A519" s="2022" t="s">
        <v>376</v>
      </c>
      <c r="B519" s="1611"/>
      <c r="C519" s="808" t="s">
        <v>1219</v>
      </c>
      <c r="D519" s="809" t="s">
        <v>1845</v>
      </c>
      <c r="E519" s="809" t="s">
        <v>1842</v>
      </c>
      <c r="F519" s="810" t="s">
        <v>673</v>
      </c>
      <c r="G519" s="811" t="s">
        <v>1845</v>
      </c>
      <c r="H519" s="826"/>
    </row>
    <row r="520" spans="1:8" ht="13.5" customHeight="1">
      <c r="A520" s="2020" t="s">
        <v>1901</v>
      </c>
      <c r="B520" s="1611"/>
      <c r="C520" s="813" t="s">
        <v>127</v>
      </c>
      <c r="D520" s="817">
        <v>71400</v>
      </c>
      <c r="E520" s="817"/>
      <c r="F520" s="815">
        <v>1</v>
      </c>
      <c r="G520" s="827">
        <f t="shared" ref="G520:G523" si="39">+F520*D520</f>
        <v>71400</v>
      </c>
      <c r="H520" s="826"/>
    </row>
    <row r="521" spans="1:8" ht="13.5" customHeight="1">
      <c r="A521" s="2020" t="s">
        <v>1902</v>
      </c>
      <c r="B521" s="1611"/>
      <c r="C521" s="813" t="s">
        <v>127</v>
      </c>
      <c r="D521" s="817">
        <v>4475</v>
      </c>
      <c r="E521" s="817"/>
      <c r="F521" s="815">
        <v>2</v>
      </c>
      <c r="G521" s="827">
        <f t="shared" si="39"/>
        <v>8950</v>
      </c>
      <c r="H521" s="826"/>
    </row>
    <row r="522" spans="1:8" ht="13.5" customHeight="1">
      <c r="A522" s="2020" t="s">
        <v>1875</v>
      </c>
      <c r="B522" s="1611"/>
      <c r="C522" s="813" t="s">
        <v>1762</v>
      </c>
      <c r="D522" s="817">
        <v>110277</v>
      </c>
      <c r="E522" s="817"/>
      <c r="F522" s="815">
        <v>0.02</v>
      </c>
      <c r="G522" s="827">
        <f t="shared" si="39"/>
        <v>2205.54</v>
      </c>
      <c r="H522" s="826"/>
    </row>
    <row r="523" spans="1:8" ht="13.5" customHeight="1">
      <c r="A523" s="2020" t="s">
        <v>1851</v>
      </c>
      <c r="B523" s="1611"/>
      <c r="C523" s="813" t="s">
        <v>1762</v>
      </c>
      <c r="D523" s="817">
        <v>53176</v>
      </c>
      <c r="E523" s="817"/>
      <c r="F523" s="815">
        <v>0.02</v>
      </c>
      <c r="G523" s="827">
        <f t="shared" si="39"/>
        <v>1063.52</v>
      </c>
      <c r="H523" s="826"/>
    </row>
    <row r="524" spans="1:8" ht="13.5" customHeight="1">
      <c r="A524" s="2020"/>
      <c r="B524" s="1611"/>
      <c r="C524" s="813"/>
      <c r="D524" s="817"/>
      <c r="E524" s="817"/>
      <c r="F524" s="815"/>
      <c r="G524" s="861"/>
      <c r="H524" s="802"/>
    </row>
    <row r="525" spans="1:8" ht="13.5" customHeight="1">
      <c r="A525" s="824"/>
      <c r="B525" s="804"/>
      <c r="C525" s="805"/>
      <c r="D525" s="806"/>
      <c r="E525" s="806"/>
      <c r="F525" s="800"/>
      <c r="G525" s="828" t="s">
        <v>1560</v>
      </c>
      <c r="H525" s="823">
        <f>SUM(G520:G524)</f>
        <v>83619.06</v>
      </c>
    </row>
    <row r="526" spans="1:8" ht="13.5" customHeight="1">
      <c r="A526" s="803"/>
      <c r="B526" s="804"/>
      <c r="C526" s="805"/>
      <c r="D526" s="806"/>
      <c r="E526" s="806"/>
      <c r="F526" s="800"/>
      <c r="G526" s="825"/>
      <c r="H526" s="802"/>
    </row>
    <row r="527" spans="1:8" ht="13.5" customHeight="1">
      <c r="A527" s="803"/>
      <c r="B527" s="804"/>
      <c r="C527" s="805"/>
      <c r="D527" s="806"/>
      <c r="E527" s="806"/>
      <c r="F527" s="800"/>
      <c r="G527" s="804"/>
      <c r="H527" s="826"/>
    </row>
    <row r="528" spans="1:8" ht="13.5" customHeight="1">
      <c r="A528" s="803" t="s">
        <v>1564</v>
      </c>
      <c r="B528" s="804"/>
      <c r="C528" s="805"/>
      <c r="D528" s="806"/>
      <c r="E528" s="806"/>
      <c r="F528" s="800"/>
      <c r="G528" s="806"/>
      <c r="H528" s="829"/>
    </row>
    <row r="529" spans="1:8" ht="13.5" customHeight="1">
      <c r="A529" s="830" t="s">
        <v>1853</v>
      </c>
      <c r="B529" s="831" t="s">
        <v>1854</v>
      </c>
      <c r="C529" s="808" t="s">
        <v>1855</v>
      </c>
      <c r="D529" s="832" t="s">
        <v>1244</v>
      </c>
      <c r="E529" s="809" t="s">
        <v>1856</v>
      </c>
      <c r="F529" s="810" t="s">
        <v>1843</v>
      </c>
      <c r="G529" s="833" t="s">
        <v>1845</v>
      </c>
      <c r="H529" s="834"/>
    </row>
    <row r="530" spans="1:8" ht="13.5" customHeight="1">
      <c r="A530" s="835"/>
      <c r="B530" s="836" t="s">
        <v>1857</v>
      </c>
      <c r="C530" s="837">
        <v>30000</v>
      </c>
      <c r="D530" s="837">
        <v>2</v>
      </c>
      <c r="E530" s="837">
        <f t="shared" ref="E530:E531" si="40">+D530*C530</f>
        <v>60000</v>
      </c>
      <c r="F530" s="838">
        <v>1.6</v>
      </c>
      <c r="G530" s="837">
        <f t="shared" ref="G530:G531" si="41">+ROUND((F530*E530)/8,0)</f>
        <v>12000</v>
      </c>
      <c r="H530" s="839"/>
    </row>
    <row r="531" spans="1:8" ht="13.5" customHeight="1">
      <c r="A531" s="835"/>
      <c r="B531" s="836" t="s">
        <v>1858</v>
      </c>
      <c r="C531" s="837">
        <v>40000</v>
      </c>
      <c r="D531" s="837">
        <v>1</v>
      </c>
      <c r="E531" s="837">
        <f t="shared" si="40"/>
        <v>40000</v>
      </c>
      <c r="F531" s="838">
        <v>1.6</v>
      </c>
      <c r="G531" s="837">
        <f t="shared" si="41"/>
        <v>8000</v>
      </c>
      <c r="H531" s="840"/>
    </row>
    <row r="532" spans="1:8" ht="13.5" customHeight="1">
      <c r="A532" s="824"/>
      <c r="B532" s="804"/>
      <c r="C532" s="805"/>
      <c r="D532" s="806"/>
      <c r="E532" s="806"/>
      <c r="F532" s="800"/>
      <c r="G532" s="841" t="s">
        <v>1560</v>
      </c>
      <c r="H532" s="823">
        <f>SUM(G530:G531)</f>
        <v>20000</v>
      </c>
    </row>
    <row r="533" spans="1:8" ht="13.5" customHeight="1">
      <c r="A533" s="824"/>
      <c r="B533" s="804"/>
      <c r="C533" s="805"/>
      <c r="D533" s="806"/>
      <c r="E533" s="806"/>
      <c r="F533" s="800"/>
      <c r="G533" s="806"/>
      <c r="H533" s="829"/>
    </row>
    <row r="534" spans="1:8" ht="13.5" customHeight="1">
      <c r="A534" s="824"/>
      <c r="B534" s="804"/>
      <c r="C534" s="805"/>
      <c r="D534" s="806"/>
      <c r="E534" s="806"/>
      <c r="F534" s="842" t="s">
        <v>142</v>
      </c>
      <c r="G534" s="806"/>
      <c r="H534" s="843">
        <f>+H532+H525+H516</f>
        <v>103919.06</v>
      </c>
    </row>
    <row r="535" spans="1:8" ht="13.5" customHeight="1">
      <c r="A535" s="824"/>
      <c r="B535" s="804"/>
      <c r="C535" s="805"/>
      <c r="D535" s="806"/>
      <c r="E535" s="806"/>
      <c r="F535" s="842"/>
      <c r="G535" s="806"/>
      <c r="H535" s="829"/>
    </row>
    <row r="536" spans="1:8" ht="13.5" customHeight="1">
      <c r="A536" s="824"/>
      <c r="B536" s="801"/>
      <c r="C536" s="805"/>
      <c r="D536" s="806"/>
      <c r="E536" s="806"/>
      <c r="F536" s="800"/>
      <c r="G536" s="825"/>
      <c r="H536" s="802"/>
    </row>
    <row r="537" spans="1:8" ht="13.5" customHeight="1">
      <c r="A537" s="847"/>
      <c r="B537" s="848"/>
      <c r="C537" s="849"/>
      <c r="D537" s="806"/>
      <c r="E537" s="806"/>
      <c r="F537" s="800"/>
      <c r="G537" s="804"/>
      <c r="H537" s="826"/>
    </row>
    <row r="538" spans="1:8" ht="13.5" customHeight="1">
      <c r="A538" s="824" t="s">
        <v>1835</v>
      </c>
      <c r="B538" s="801"/>
      <c r="C538" s="805"/>
      <c r="D538" s="806"/>
      <c r="E538" s="806"/>
      <c r="F538" s="2021"/>
      <c r="G538" s="1825"/>
      <c r="H538" s="826"/>
    </row>
    <row r="539" spans="1:8" ht="13.5" customHeight="1">
      <c r="A539" s="847" t="s">
        <v>1859</v>
      </c>
      <c r="B539" s="848"/>
      <c r="C539" s="849"/>
      <c r="D539" s="850"/>
      <c r="E539" s="850"/>
      <c r="F539" s="851"/>
      <c r="G539" s="852"/>
      <c r="H539" s="853"/>
    </row>
    <row r="540" spans="1:8" ht="13.5" customHeight="1">
      <c r="A540" s="792"/>
      <c r="B540" s="792"/>
      <c r="C540" s="792"/>
      <c r="D540" s="792"/>
      <c r="E540" s="792"/>
      <c r="F540" s="792"/>
      <c r="G540" s="792"/>
      <c r="H540" s="792"/>
    </row>
    <row r="541" spans="1:8" ht="13.5" customHeight="1">
      <c r="A541" s="2046" t="s">
        <v>1834</v>
      </c>
      <c r="B541" s="1811"/>
      <c r="C541" s="1811"/>
      <c r="D541" s="1811"/>
      <c r="E541" s="1811"/>
      <c r="F541" s="1811"/>
      <c r="G541" s="1811"/>
      <c r="H541" s="1812"/>
    </row>
    <row r="542" spans="1:8" ht="13.5" customHeight="1">
      <c r="A542" s="2035" t="s">
        <v>559</v>
      </c>
      <c r="B542" s="2036"/>
      <c r="C542" s="2036"/>
      <c r="D542" s="2037"/>
      <c r="E542" s="2042" t="s">
        <v>1835</v>
      </c>
      <c r="F542" s="2036"/>
      <c r="G542" s="2036"/>
      <c r="H542" s="2043"/>
    </row>
    <row r="543" spans="1:8" ht="13.5" customHeight="1">
      <c r="A543" s="2038"/>
      <c r="B543" s="1605"/>
      <c r="C543" s="1605"/>
      <c r="D543" s="2039"/>
      <c r="E543" s="2044"/>
      <c r="F543" s="1605"/>
      <c r="G543" s="1605"/>
      <c r="H543" s="1606"/>
    </row>
    <row r="544" spans="1:8" ht="13.5" customHeight="1">
      <c r="A544" s="2040"/>
      <c r="B544" s="1608"/>
      <c r="C544" s="1608"/>
      <c r="D544" s="2041"/>
      <c r="E544" s="2045"/>
      <c r="F544" s="1608"/>
      <c r="G544" s="1608"/>
      <c r="H544" s="1919"/>
    </row>
    <row r="545" spans="1:8" ht="13.5" customHeight="1">
      <c r="A545" s="2027" t="s">
        <v>1899</v>
      </c>
      <c r="B545" s="2028"/>
      <c r="C545" s="2028"/>
      <c r="D545" s="2028"/>
      <c r="E545" s="2028"/>
      <c r="F545" s="2028"/>
      <c r="G545" s="2028"/>
      <c r="H545" s="2029"/>
    </row>
    <row r="546" spans="1:8" ht="13.5" customHeight="1">
      <c r="A546" s="793"/>
      <c r="B546" s="794"/>
      <c r="C546" s="794"/>
      <c r="D546" s="794"/>
      <c r="E546" s="794"/>
      <c r="F546" s="794"/>
      <c r="G546" s="794"/>
      <c r="H546" s="795"/>
    </row>
    <row r="547" spans="1:8" ht="13.5" customHeight="1">
      <c r="A547" s="2030"/>
      <c r="B547" s="1824"/>
      <c r="C547" s="1824"/>
      <c r="D547" s="1824"/>
      <c r="E547" s="1825"/>
      <c r="F547" s="794"/>
      <c r="G547" s="794"/>
      <c r="H547" s="795"/>
    </row>
    <row r="548" spans="1:8" ht="13.5" customHeight="1">
      <c r="A548" s="793"/>
      <c r="B548" s="794"/>
      <c r="C548" s="794"/>
      <c r="D548" s="794"/>
      <c r="E548" s="794"/>
      <c r="F548" s="794"/>
      <c r="G548" s="794"/>
      <c r="H548" s="795"/>
    </row>
    <row r="549" spans="1:8" ht="13.5" customHeight="1">
      <c r="A549" s="2030" t="s">
        <v>1837</v>
      </c>
      <c r="B549" s="1825"/>
      <c r="C549" s="794"/>
      <c r="D549" s="794"/>
      <c r="E549" s="794"/>
      <c r="F549" s="794"/>
      <c r="G549" s="794"/>
      <c r="H549" s="795"/>
    </row>
    <row r="550" spans="1:8" ht="13.5" customHeight="1">
      <c r="A550" s="2031" t="s">
        <v>449</v>
      </c>
      <c r="B550" s="1824"/>
      <c r="C550" s="1824"/>
      <c r="D550" s="1824"/>
      <c r="E550" s="1824"/>
      <c r="F550" s="1824"/>
      <c r="G550" s="1824"/>
      <c r="H550" s="2032"/>
    </row>
    <row r="551" spans="1:8" ht="13.5" customHeight="1">
      <c r="A551" s="796"/>
      <c r="B551" s="797"/>
      <c r="C551" s="798"/>
      <c r="D551" s="799"/>
      <c r="E551" s="799"/>
      <c r="F551" s="800"/>
      <c r="G551" s="801" t="s">
        <v>1903</v>
      </c>
      <c r="H551" s="802"/>
    </row>
    <row r="552" spans="1:8" ht="13.5" customHeight="1">
      <c r="A552" s="803" t="s">
        <v>1839</v>
      </c>
      <c r="B552" s="804"/>
      <c r="C552" s="805"/>
      <c r="D552" s="806"/>
      <c r="E552" s="806"/>
      <c r="F552" s="800"/>
      <c r="G552" s="807" t="s">
        <v>1840</v>
      </c>
      <c r="H552" s="802"/>
    </row>
    <row r="553" spans="1:8" ht="13.5" customHeight="1">
      <c r="A553" s="2022" t="s">
        <v>376</v>
      </c>
      <c r="B553" s="1611"/>
      <c r="C553" s="808" t="s">
        <v>1219</v>
      </c>
      <c r="D553" s="809" t="s">
        <v>1841</v>
      </c>
      <c r="E553" s="809" t="s">
        <v>1842</v>
      </c>
      <c r="F553" s="810" t="s">
        <v>1843</v>
      </c>
      <c r="G553" s="811" t="s">
        <v>1844</v>
      </c>
      <c r="H553" s="812"/>
    </row>
    <row r="554" spans="1:8" ht="13.5" customHeight="1">
      <c r="A554" s="854" t="s">
        <v>1568</v>
      </c>
      <c r="B554" s="808"/>
      <c r="C554" s="813" t="s">
        <v>1614</v>
      </c>
      <c r="D554" s="814">
        <v>1500</v>
      </c>
      <c r="E554" s="814"/>
      <c r="F554" s="815">
        <v>0.2</v>
      </c>
      <c r="G554" s="816">
        <f t="shared" ref="G554:G555" si="42">+D554*F554</f>
        <v>300</v>
      </c>
      <c r="H554" s="812"/>
    </row>
    <row r="555" spans="1:8" ht="13.5" customHeight="1">
      <c r="A555" s="2020"/>
      <c r="B555" s="1611"/>
      <c r="C555" s="813"/>
      <c r="D555" s="817"/>
      <c r="E555" s="817"/>
      <c r="F555" s="815"/>
      <c r="G555" s="816">
        <f t="shared" si="42"/>
        <v>0</v>
      </c>
      <c r="H555" s="812"/>
    </row>
    <row r="556" spans="1:8" ht="13.5" customHeight="1">
      <c r="A556" s="2023"/>
      <c r="B556" s="1611"/>
      <c r="C556" s="818"/>
      <c r="D556" s="819"/>
      <c r="E556" s="819"/>
      <c r="F556" s="819"/>
      <c r="G556" s="820"/>
      <c r="H556" s="821"/>
    </row>
    <row r="557" spans="1:8" ht="13.5" customHeight="1">
      <c r="A557" s="2033"/>
      <c r="B557" s="1825"/>
      <c r="C557" s="805"/>
      <c r="D557" s="806"/>
      <c r="E557" s="806"/>
      <c r="F557" s="800"/>
      <c r="G557" s="822" t="s">
        <v>1560</v>
      </c>
      <c r="H557" s="823">
        <f>SUM(G554:G556)</f>
        <v>300</v>
      </c>
    </row>
    <row r="558" spans="1:8" ht="13.5" customHeight="1">
      <c r="A558" s="824"/>
      <c r="B558" s="804"/>
      <c r="C558" s="805"/>
      <c r="D558" s="806"/>
      <c r="E558" s="806"/>
      <c r="F558" s="800"/>
      <c r="G558" s="825"/>
      <c r="H558" s="802"/>
    </row>
    <row r="559" spans="1:8" ht="13.5" customHeight="1">
      <c r="A559" s="803" t="s">
        <v>1561</v>
      </c>
      <c r="B559" s="804"/>
      <c r="C559" s="805"/>
      <c r="D559" s="806"/>
      <c r="E559" s="806"/>
      <c r="F559" s="800"/>
      <c r="G559" s="825"/>
      <c r="H559" s="802"/>
    </row>
    <row r="560" spans="1:8" ht="13.5" customHeight="1">
      <c r="A560" s="2022" t="s">
        <v>376</v>
      </c>
      <c r="B560" s="1611"/>
      <c r="C560" s="808" t="s">
        <v>1219</v>
      </c>
      <c r="D560" s="809" t="s">
        <v>1845</v>
      </c>
      <c r="E560" s="809" t="s">
        <v>1842</v>
      </c>
      <c r="F560" s="810" t="s">
        <v>673</v>
      </c>
      <c r="G560" s="811" t="s">
        <v>1845</v>
      </c>
      <c r="H560" s="826"/>
    </row>
    <row r="561" spans="1:8" ht="13.5" customHeight="1">
      <c r="A561" s="2020" t="s">
        <v>1904</v>
      </c>
      <c r="B561" s="1611"/>
      <c r="C561" s="813" t="s">
        <v>127</v>
      </c>
      <c r="D561" s="817">
        <v>112800</v>
      </c>
      <c r="E561" s="817"/>
      <c r="F561" s="815">
        <v>1</v>
      </c>
      <c r="G561" s="827">
        <f t="shared" ref="G561:G564" si="43">+F561*D561</f>
        <v>112800</v>
      </c>
      <c r="H561" s="826"/>
    </row>
    <row r="562" spans="1:8" ht="13.5" customHeight="1">
      <c r="A562" s="2020" t="s">
        <v>1905</v>
      </c>
      <c r="B562" s="1611"/>
      <c r="C562" s="813" t="s">
        <v>127</v>
      </c>
      <c r="D562" s="817">
        <v>6392</v>
      </c>
      <c r="E562" s="817"/>
      <c r="F562" s="815">
        <v>2</v>
      </c>
      <c r="G562" s="827">
        <f t="shared" si="43"/>
        <v>12784</v>
      </c>
      <c r="H562" s="826"/>
    </row>
    <row r="563" spans="1:8" ht="13.5" customHeight="1">
      <c r="A563" s="2020" t="s">
        <v>1875</v>
      </c>
      <c r="B563" s="1611"/>
      <c r="C563" s="813" t="s">
        <v>1762</v>
      </c>
      <c r="D563" s="817">
        <v>110277</v>
      </c>
      <c r="E563" s="817"/>
      <c r="F563" s="815">
        <v>0.02</v>
      </c>
      <c r="G563" s="827">
        <f t="shared" si="43"/>
        <v>2205.54</v>
      </c>
      <c r="H563" s="826"/>
    </row>
    <row r="564" spans="1:8" ht="13.5" customHeight="1">
      <c r="A564" s="2020" t="s">
        <v>1851</v>
      </c>
      <c r="B564" s="1611"/>
      <c r="C564" s="813" t="s">
        <v>1762</v>
      </c>
      <c r="D564" s="817">
        <v>53176</v>
      </c>
      <c r="E564" s="817"/>
      <c r="F564" s="815">
        <v>0.02</v>
      </c>
      <c r="G564" s="827">
        <f t="shared" si="43"/>
        <v>1063.52</v>
      </c>
      <c r="H564" s="826"/>
    </row>
    <row r="565" spans="1:8" ht="13.5" customHeight="1">
      <c r="A565" s="2020"/>
      <c r="B565" s="1611"/>
      <c r="C565" s="813"/>
      <c r="D565" s="817"/>
      <c r="E565" s="817"/>
      <c r="F565" s="815"/>
      <c r="G565" s="861"/>
      <c r="H565" s="802"/>
    </row>
    <row r="566" spans="1:8" ht="13.5" customHeight="1">
      <c r="A566" s="824"/>
      <c r="B566" s="804"/>
      <c r="C566" s="805"/>
      <c r="D566" s="806"/>
      <c r="E566" s="806"/>
      <c r="F566" s="800"/>
      <c r="G566" s="828" t="s">
        <v>1560</v>
      </c>
      <c r="H566" s="823">
        <f>SUM(G561:G565)</f>
        <v>128853.06</v>
      </c>
    </row>
    <row r="567" spans="1:8" ht="13.5" customHeight="1">
      <c r="A567" s="803"/>
      <c r="B567" s="804"/>
      <c r="C567" s="805"/>
      <c r="D567" s="806"/>
      <c r="E567" s="806"/>
      <c r="F567" s="800"/>
      <c r="G567" s="825"/>
      <c r="H567" s="802"/>
    </row>
    <row r="568" spans="1:8" ht="13.5" customHeight="1">
      <c r="A568" s="803"/>
      <c r="B568" s="804"/>
      <c r="C568" s="805"/>
      <c r="D568" s="806"/>
      <c r="E568" s="806"/>
      <c r="F568" s="800"/>
      <c r="G568" s="804"/>
      <c r="H568" s="826"/>
    </row>
    <row r="569" spans="1:8" ht="13.5" customHeight="1">
      <c r="A569" s="803" t="s">
        <v>1564</v>
      </c>
      <c r="B569" s="804"/>
      <c r="C569" s="805"/>
      <c r="D569" s="806"/>
      <c r="E569" s="806"/>
      <c r="F569" s="800"/>
      <c r="G569" s="806"/>
      <c r="H569" s="829"/>
    </row>
    <row r="570" spans="1:8" ht="13.5" customHeight="1">
      <c r="A570" s="830" t="s">
        <v>1853</v>
      </c>
      <c r="B570" s="831" t="s">
        <v>1854</v>
      </c>
      <c r="C570" s="808" t="s">
        <v>1855</v>
      </c>
      <c r="D570" s="832" t="s">
        <v>1244</v>
      </c>
      <c r="E570" s="809" t="s">
        <v>1856</v>
      </c>
      <c r="F570" s="810" t="s">
        <v>1843</v>
      </c>
      <c r="G570" s="833" t="s">
        <v>1845</v>
      </c>
      <c r="H570" s="834"/>
    </row>
    <row r="571" spans="1:8" ht="13.5" customHeight="1">
      <c r="A571" s="835"/>
      <c r="B571" s="836" t="s">
        <v>1857</v>
      </c>
      <c r="C571" s="837">
        <v>30000</v>
      </c>
      <c r="D571" s="837">
        <v>2</v>
      </c>
      <c r="E571" s="837">
        <f t="shared" ref="E571:E572" si="44">+D571*C571</f>
        <v>60000</v>
      </c>
      <c r="F571" s="838">
        <v>2.8</v>
      </c>
      <c r="G571" s="837">
        <f t="shared" ref="G571:G572" si="45">+ROUND((F571*E571)/8,0)</f>
        <v>21000</v>
      </c>
      <c r="H571" s="839"/>
    </row>
    <row r="572" spans="1:8" ht="13.5" customHeight="1">
      <c r="A572" s="835"/>
      <c r="B572" s="836" t="s">
        <v>1858</v>
      </c>
      <c r="C572" s="837">
        <v>40000</v>
      </c>
      <c r="D572" s="837">
        <v>1</v>
      </c>
      <c r="E572" s="837">
        <f t="shared" si="44"/>
        <v>40000</v>
      </c>
      <c r="F572" s="838">
        <f>+F571</f>
        <v>2.8</v>
      </c>
      <c r="G572" s="837">
        <f t="shared" si="45"/>
        <v>14000</v>
      </c>
      <c r="H572" s="840"/>
    </row>
    <row r="573" spans="1:8" ht="13.5" customHeight="1">
      <c r="A573" s="824"/>
      <c r="B573" s="804"/>
      <c r="C573" s="805"/>
      <c r="D573" s="806"/>
      <c r="E573" s="806"/>
      <c r="F573" s="800"/>
      <c r="G573" s="841" t="s">
        <v>1560</v>
      </c>
      <c r="H573" s="823">
        <f>SUM(G571:G572)</f>
        <v>35000</v>
      </c>
    </row>
    <row r="574" spans="1:8" ht="13.5" customHeight="1">
      <c r="A574" s="824"/>
      <c r="B574" s="804"/>
      <c r="C574" s="805"/>
      <c r="D574" s="806"/>
      <c r="E574" s="806"/>
      <c r="F574" s="800"/>
      <c r="G574" s="806"/>
      <c r="H574" s="829"/>
    </row>
    <row r="575" spans="1:8" ht="13.5" customHeight="1">
      <c r="A575" s="824"/>
      <c r="B575" s="804"/>
      <c r="C575" s="805"/>
      <c r="D575" s="806"/>
      <c r="E575" s="806"/>
      <c r="F575" s="842" t="s">
        <v>142</v>
      </c>
      <c r="G575" s="806"/>
      <c r="H575" s="843">
        <f>+H573+H566+H557</f>
        <v>164153.06</v>
      </c>
    </row>
    <row r="579" spans="1:8" ht="13.5" customHeight="1">
      <c r="A579" s="824" t="s">
        <v>1835</v>
      </c>
      <c r="B579" s="801"/>
      <c r="C579" s="805"/>
      <c r="D579" s="806"/>
      <c r="E579" s="806"/>
      <c r="F579" s="2021"/>
      <c r="G579" s="1825"/>
      <c r="H579" s="826"/>
    </row>
    <row r="580" spans="1:8" ht="13.5" customHeight="1">
      <c r="A580" s="847" t="s">
        <v>1859</v>
      </c>
      <c r="B580" s="848"/>
      <c r="C580" s="849"/>
      <c r="D580" s="850"/>
      <c r="E580" s="850"/>
      <c r="F580" s="851"/>
      <c r="G580" s="852"/>
      <c r="H580" s="853"/>
    </row>
    <row r="581" spans="1:8" ht="13.5" customHeight="1">
      <c r="A581" s="792"/>
      <c r="B581" s="792"/>
      <c r="C581" s="792"/>
      <c r="D581" s="792"/>
      <c r="E581" s="792"/>
      <c r="F581" s="792"/>
      <c r="G581" s="792"/>
      <c r="H581" s="792"/>
    </row>
    <row r="582" spans="1:8" ht="13.5" customHeight="1">
      <c r="A582" s="2046" t="s">
        <v>1834</v>
      </c>
      <c r="B582" s="1811"/>
      <c r="C582" s="1811"/>
      <c r="D582" s="1811"/>
      <c r="E582" s="1811"/>
      <c r="F582" s="1811"/>
      <c r="G582" s="1811"/>
      <c r="H582" s="1812"/>
    </row>
    <row r="583" spans="1:8" ht="13.5" customHeight="1">
      <c r="A583" s="2035" t="s">
        <v>559</v>
      </c>
      <c r="B583" s="2036"/>
      <c r="C583" s="2036"/>
      <c r="D583" s="2037"/>
      <c r="E583" s="2042" t="s">
        <v>1835</v>
      </c>
      <c r="F583" s="2036"/>
      <c r="G583" s="2036"/>
      <c r="H583" s="2043"/>
    </row>
    <row r="584" spans="1:8" ht="13.5" customHeight="1">
      <c r="A584" s="2038"/>
      <c r="B584" s="1605"/>
      <c r="C584" s="1605"/>
      <c r="D584" s="2039"/>
      <c r="E584" s="2044"/>
      <c r="F584" s="1605"/>
      <c r="G584" s="1605"/>
      <c r="H584" s="1606"/>
    </row>
    <row r="585" spans="1:8" ht="13.5" customHeight="1">
      <c r="A585" s="2040"/>
      <c r="B585" s="1608"/>
      <c r="C585" s="1608"/>
      <c r="D585" s="2041"/>
      <c r="E585" s="2045"/>
      <c r="F585" s="1608"/>
      <c r="G585" s="1608"/>
      <c r="H585" s="1919"/>
    </row>
    <row r="586" spans="1:8" ht="13.5" customHeight="1">
      <c r="A586" s="2027" t="s">
        <v>1906</v>
      </c>
      <c r="B586" s="2028"/>
      <c r="C586" s="2028"/>
      <c r="D586" s="2028"/>
      <c r="E586" s="2028"/>
      <c r="F586" s="2028"/>
      <c r="G586" s="2028"/>
      <c r="H586" s="2029"/>
    </row>
    <row r="587" spans="1:8" ht="13.5" customHeight="1">
      <c r="A587" s="793"/>
      <c r="B587" s="794"/>
      <c r="C587" s="794"/>
      <c r="D587" s="794"/>
      <c r="E587" s="794"/>
      <c r="F587" s="794"/>
      <c r="G587" s="794"/>
      <c r="H587" s="795"/>
    </row>
    <row r="588" spans="1:8" ht="13.5" customHeight="1">
      <c r="A588" s="2030"/>
      <c r="B588" s="1824"/>
      <c r="C588" s="1824"/>
      <c r="D588" s="1824"/>
      <c r="E588" s="1825"/>
      <c r="F588" s="794"/>
      <c r="G588" s="794"/>
      <c r="H588" s="795"/>
    </row>
    <row r="589" spans="1:8" ht="13.5" customHeight="1">
      <c r="A589" s="793"/>
      <c r="B589" s="794"/>
      <c r="C589" s="794"/>
      <c r="D589" s="794"/>
      <c r="E589" s="794"/>
      <c r="F589" s="794"/>
      <c r="G589" s="794"/>
      <c r="H589" s="795"/>
    </row>
    <row r="590" spans="1:8" ht="13.5" customHeight="1">
      <c r="A590" s="2030" t="s">
        <v>1837</v>
      </c>
      <c r="B590" s="1825"/>
      <c r="C590" s="794"/>
      <c r="D590" s="794"/>
      <c r="E590" s="794"/>
      <c r="F590" s="794"/>
      <c r="G590" s="794"/>
      <c r="H590" s="795"/>
    </row>
    <row r="591" spans="1:8" ht="13.5" customHeight="1">
      <c r="A591" s="2031" t="s">
        <v>450</v>
      </c>
      <c r="B591" s="1824"/>
      <c r="C591" s="1824"/>
      <c r="D591" s="1824"/>
      <c r="E591" s="1824"/>
      <c r="F591" s="1824"/>
      <c r="G591" s="1824"/>
      <c r="H591" s="2032"/>
    </row>
    <row r="592" spans="1:8" ht="13.5" customHeight="1">
      <c r="A592" s="796"/>
      <c r="B592" s="797"/>
      <c r="C592" s="798"/>
      <c r="D592" s="799"/>
      <c r="E592" s="799"/>
      <c r="F592" s="800"/>
      <c r="G592" s="801" t="s">
        <v>1907</v>
      </c>
      <c r="H592" s="802"/>
    </row>
    <row r="593" spans="1:8" ht="13.5" customHeight="1">
      <c r="A593" s="803" t="s">
        <v>1839</v>
      </c>
      <c r="B593" s="804"/>
      <c r="C593" s="805"/>
      <c r="D593" s="806"/>
      <c r="E593" s="806"/>
      <c r="F593" s="800"/>
      <c r="G593" s="807" t="s">
        <v>1840</v>
      </c>
      <c r="H593" s="802"/>
    </row>
    <row r="594" spans="1:8" ht="13.5" customHeight="1">
      <c r="A594" s="2022" t="s">
        <v>376</v>
      </c>
      <c r="B594" s="1611"/>
      <c r="C594" s="808" t="s">
        <v>1219</v>
      </c>
      <c r="D594" s="809" t="s">
        <v>1841</v>
      </c>
      <c r="E594" s="809" t="s">
        <v>1842</v>
      </c>
      <c r="F594" s="810" t="s">
        <v>1843</v>
      </c>
      <c r="G594" s="811" t="s">
        <v>1844</v>
      </c>
      <c r="H594" s="812"/>
    </row>
    <row r="595" spans="1:8" ht="13.5" customHeight="1">
      <c r="A595" s="854" t="s">
        <v>1568</v>
      </c>
      <c r="B595" s="808"/>
      <c r="C595" s="813" t="s">
        <v>1614</v>
      </c>
      <c r="D595" s="814">
        <v>1500</v>
      </c>
      <c r="E595" s="814"/>
      <c r="F595" s="815">
        <v>0.2</v>
      </c>
      <c r="G595" s="816">
        <f t="shared" ref="G595:G596" si="46">+D595*F595</f>
        <v>300</v>
      </c>
      <c r="H595" s="812"/>
    </row>
    <row r="596" spans="1:8" ht="13.5" customHeight="1">
      <c r="A596" s="2020" t="s">
        <v>1885</v>
      </c>
      <c r="B596" s="1611"/>
      <c r="C596" s="813" t="s">
        <v>1614</v>
      </c>
      <c r="D596" s="463">
        <v>3125</v>
      </c>
      <c r="E596" s="817"/>
      <c r="F596" s="815">
        <v>1</v>
      </c>
      <c r="G596" s="816">
        <f t="shared" si="46"/>
        <v>3125</v>
      </c>
      <c r="H596" s="812"/>
    </row>
    <row r="597" spans="1:8" ht="13.5" customHeight="1">
      <c r="A597" s="2023"/>
      <c r="B597" s="1611"/>
      <c r="C597" s="818"/>
      <c r="D597" s="819"/>
      <c r="E597" s="819"/>
      <c r="F597" s="819"/>
      <c r="G597" s="820"/>
      <c r="H597" s="821"/>
    </row>
    <row r="598" spans="1:8" ht="13.5" customHeight="1">
      <c r="A598" s="2033"/>
      <c r="B598" s="1825"/>
      <c r="C598" s="805"/>
      <c r="D598" s="806"/>
      <c r="E598" s="806"/>
      <c r="F598" s="800"/>
      <c r="G598" s="822" t="s">
        <v>1560</v>
      </c>
      <c r="H598" s="823">
        <f>SUM(G595:G597)</f>
        <v>3425</v>
      </c>
    </row>
    <row r="599" spans="1:8" ht="13.5" customHeight="1">
      <c r="A599" s="824"/>
      <c r="B599" s="804"/>
      <c r="C599" s="805"/>
      <c r="D599" s="806"/>
      <c r="E599" s="806"/>
      <c r="F599" s="800"/>
      <c r="G599" s="825"/>
      <c r="H599" s="802"/>
    </row>
    <row r="600" spans="1:8" ht="13.5" customHeight="1">
      <c r="A600" s="803" t="s">
        <v>1561</v>
      </c>
      <c r="B600" s="804"/>
      <c r="C600" s="805"/>
      <c r="D600" s="806"/>
      <c r="E600" s="806"/>
      <c r="F600" s="800"/>
      <c r="G600" s="825"/>
      <c r="H600" s="802"/>
    </row>
    <row r="601" spans="1:8" ht="13.5" customHeight="1">
      <c r="A601" s="2022" t="s">
        <v>376</v>
      </c>
      <c r="B601" s="1611"/>
      <c r="C601" s="808" t="s">
        <v>1219</v>
      </c>
      <c r="D601" s="809" t="s">
        <v>1845</v>
      </c>
      <c r="E601" s="809" t="s">
        <v>1842</v>
      </c>
      <c r="F601" s="810" t="s">
        <v>673</v>
      </c>
      <c r="G601" s="811" t="s">
        <v>1845</v>
      </c>
      <c r="H601" s="826"/>
    </row>
    <row r="602" spans="1:8" ht="13.5" customHeight="1">
      <c r="A602" s="2020" t="s">
        <v>1908</v>
      </c>
      <c r="B602" s="1611"/>
      <c r="C602" s="813" t="s">
        <v>127</v>
      </c>
      <c r="D602" s="817">
        <v>868</v>
      </c>
      <c r="E602" s="809"/>
      <c r="F602" s="815">
        <v>1</v>
      </c>
      <c r="G602" s="827">
        <f t="shared" ref="G602:G608" si="47">F602*D602</f>
        <v>868</v>
      </c>
      <c r="H602" s="826"/>
    </row>
    <row r="603" spans="1:8" ht="13.5" customHeight="1">
      <c r="A603" s="2020" t="s">
        <v>1909</v>
      </c>
      <c r="B603" s="1611"/>
      <c r="C603" s="813" t="s">
        <v>127</v>
      </c>
      <c r="D603" s="817">
        <v>1113</v>
      </c>
      <c r="E603" s="809"/>
      <c r="F603" s="815">
        <v>2</v>
      </c>
      <c r="G603" s="827">
        <f t="shared" si="47"/>
        <v>2226</v>
      </c>
      <c r="H603" s="826"/>
    </row>
    <row r="604" spans="1:8" ht="13.5" customHeight="1">
      <c r="A604" s="2020" t="s">
        <v>1910</v>
      </c>
      <c r="B604" s="1611"/>
      <c r="C604" s="813" t="s">
        <v>127</v>
      </c>
      <c r="D604" s="817">
        <v>4507</v>
      </c>
      <c r="E604" s="817"/>
      <c r="F604" s="815">
        <v>1</v>
      </c>
      <c r="G604" s="827">
        <f t="shared" si="47"/>
        <v>4507</v>
      </c>
      <c r="H604" s="826"/>
    </row>
    <row r="605" spans="1:8" ht="13.5" customHeight="1">
      <c r="A605" s="2020" t="s">
        <v>1875</v>
      </c>
      <c r="B605" s="1611"/>
      <c r="C605" s="813" t="s">
        <v>1762</v>
      </c>
      <c r="D605" s="817">
        <v>110277</v>
      </c>
      <c r="E605" s="817"/>
      <c r="F605" s="815">
        <v>0.02</v>
      </c>
      <c r="G605" s="827">
        <f t="shared" si="47"/>
        <v>2205.54</v>
      </c>
      <c r="H605" s="826"/>
    </row>
    <row r="606" spans="1:8" ht="13.5" customHeight="1">
      <c r="A606" s="2020" t="s">
        <v>1851</v>
      </c>
      <c r="B606" s="1611"/>
      <c r="C606" s="813" t="s">
        <v>1762</v>
      </c>
      <c r="D606" s="817">
        <v>53176</v>
      </c>
      <c r="E606" s="817"/>
      <c r="F606" s="815">
        <v>0.02</v>
      </c>
      <c r="G606" s="827">
        <f t="shared" si="47"/>
        <v>1063.52</v>
      </c>
      <c r="H606" s="826"/>
    </row>
    <row r="607" spans="1:8" ht="13.5" customHeight="1">
      <c r="A607" s="2020" t="s">
        <v>1616</v>
      </c>
      <c r="B607" s="1611"/>
      <c r="C607" s="813" t="s">
        <v>1852</v>
      </c>
      <c r="D607" s="817">
        <v>2500</v>
      </c>
      <c r="E607" s="817"/>
      <c r="F607" s="815">
        <v>0.1</v>
      </c>
      <c r="G607" s="827">
        <f t="shared" si="47"/>
        <v>250</v>
      </c>
      <c r="H607" s="826"/>
    </row>
    <row r="608" spans="1:8" ht="13.5" customHeight="1">
      <c r="A608" s="2020" t="s">
        <v>1911</v>
      </c>
      <c r="B608" s="1611"/>
      <c r="C608" s="813" t="s">
        <v>127</v>
      </c>
      <c r="D608" s="817">
        <v>22683</v>
      </c>
      <c r="E608" s="817"/>
      <c r="F608" s="815">
        <v>0.33</v>
      </c>
      <c r="G608" s="827">
        <f t="shared" si="47"/>
        <v>7485.39</v>
      </c>
      <c r="H608" s="802"/>
    </row>
    <row r="609" spans="1:8" ht="13.5" customHeight="1">
      <c r="A609" s="824"/>
      <c r="B609" s="804"/>
      <c r="C609" s="805"/>
      <c r="D609" s="806"/>
      <c r="E609" s="806"/>
      <c r="F609" s="800"/>
      <c r="G609" s="828" t="s">
        <v>1560</v>
      </c>
      <c r="H609" s="823">
        <f>SUM(G602:G608)</f>
        <v>18605.45</v>
      </c>
    </row>
    <row r="610" spans="1:8" ht="13.5" customHeight="1">
      <c r="A610" s="803"/>
      <c r="B610" s="804"/>
      <c r="C610" s="805"/>
      <c r="D610" s="806"/>
      <c r="E610" s="806"/>
      <c r="F610" s="800"/>
      <c r="G610" s="825"/>
      <c r="H610" s="802"/>
    </row>
    <row r="611" spans="1:8" ht="13.5" customHeight="1">
      <c r="A611" s="803"/>
      <c r="B611" s="804"/>
      <c r="C611" s="805"/>
      <c r="D611" s="806"/>
      <c r="E611" s="806"/>
      <c r="F611" s="800"/>
      <c r="G611" s="804"/>
      <c r="H611" s="826"/>
    </row>
    <row r="612" spans="1:8" ht="13.5" customHeight="1">
      <c r="A612" s="803" t="s">
        <v>1564</v>
      </c>
      <c r="B612" s="804"/>
      <c r="C612" s="805"/>
      <c r="D612" s="806"/>
      <c r="E612" s="806"/>
      <c r="F612" s="800"/>
      <c r="G612" s="806"/>
      <c r="H612" s="829"/>
    </row>
    <row r="613" spans="1:8" ht="13.5" customHeight="1">
      <c r="A613" s="830" t="s">
        <v>1853</v>
      </c>
      <c r="B613" s="831" t="s">
        <v>1854</v>
      </c>
      <c r="C613" s="808" t="s">
        <v>1855</v>
      </c>
      <c r="D613" s="832" t="s">
        <v>1244</v>
      </c>
      <c r="E613" s="809" t="s">
        <v>1856</v>
      </c>
      <c r="F613" s="810" t="s">
        <v>1843</v>
      </c>
      <c r="G613" s="833" t="s">
        <v>1845</v>
      </c>
      <c r="H613" s="834"/>
    </row>
    <row r="614" spans="1:8" ht="13.5" customHeight="1">
      <c r="A614" s="835"/>
      <c r="B614" s="836" t="s">
        <v>1857</v>
      </c>
      <c r="C614" s="837">
        <v>30000</v>
      </c>
      <c r="D614" s="837">
        <v>2</v>
      </c>
      <c r="E614" s="837">
        <f t="shared" ref="E614:E615" si="48">+D614*C614</f>
        <v>60000</v>
      </c>
      <c r="F614" s="838">
        <v>1.6</v>
      </c>
      <c r="G614" s="837">
        <f t="shared" ref="G614:G615" si="49">+ROUND((F614*E614)/8,0)</f>
        <v>12000</v>
      </c>
      <c r="H614" s="839"/>
    </row>
    <row r="615" spans="1:8" ht="13.5" customHeight="1">
      <c r="A615" s="835"/>
      <c r="B615" s="836" t="s">
        <v>1858</v>
      </c>
      <c r="C615" s="837">
        <v>40000</v>
      </c>
      <c r="D615" s="837">
        <v>1</v>
      </c>
      <c r="E615" s="837">
        <f t="shared" si="48"/>
        <v>40000</v>
      </c>
      <c r="F615" s="838">
        <f>+F614</f>
        <v>1.6</v>
      </c>
      <c r="G615" s="837">
        <f t="shared" si="49"/>
        <v>8000</v>
      </c>
      <c r="H615" s="840"/>
    </row>
    <row r="616" spans="1:8" ht="13.5" customHeight="1">
      <c r="A616" s="824"/>
      <c r="B616" s="804"/>
      <c r="C616" s="805"/>
      <c r="D616" s="806"/>
      <c r="E616" s="806"/>
      <c r="F616" s="800"/>
      <c r="G616" s="841" t="s">
        <v>1560</v>
      </c>
      <c r="H616" s="823">
        <f>SUM(G614:G615)</f>
        <v>20000</v>
      </c>
    </row>
    <row r="617" spans="1:8" ht="13.5" customHeight="1">
      <c r="A617" s="824"/>
      <c r="B617" s="804"/>
      <c r="C617" s="805"/>
      <c r="D617" s="806"/>
      <c r="E617" s="806"/>
      <c r="F617" s="800"/>
      <c r="G617" s="806"/>
      <c r="H617" s="829"/>
    </row>
    <row r="618" spans="1:8" ht="13.5" customHeight="1">
      <c r="A618" s="824"/>
      <c r="B618" s="804"/>
      <c r="C618" s="805"/>
      <c r="D618" s="806"/>
      <c r="E618" s="806"/>
      <c r="F618" s="842" t="s">
        <v>142</v>
      </c>
      <c r="G618" s="806"/>
      <c r="H618" s="843">
        <f>+H616+H609+H598</f>
        <v>42030.45</v>
      </c>
    </row>
    <row r="619" spans="1:8" ht="13.5" customHeight="1">
      <c r="A619" s="824"/>
      <c r="B619" s="804"/>
      <c r="C619" s="805"/>
      <c r="D619" s="806"/>
      <c r="E619" s="806"/>
      <c r="F619" s="842"/>
      <c r="G619" s="806"/>
      <c r="H619" s="829"/>
    </row>
    <row r="620" spans="1:8" ht="13.5" customHeight="1">
      <c r="A620" s="824"/>
      <c r="B620" s="801"/>
      <c r="C620" s="805"/>
      <c r="D620" s="806"/>
      <c r="E620" s="806"/>
      <c r="F620" s="800"/>
      <c r="G620" s="825"/>
      <c r="H620" s="802"/>
    </row>
    <row r="621" spans="1:8" ht="13.5" customHeight="1">
      <c r="A621" s="847"/>
      <c r="B621" s="848"/>
      <c r="C621" s="849"/>
      <c r="D621" s="806"/>
      <c r="E621" s="806"/>
      <c r="F621" s="800"/>
      <c r="G621" s="804"/>
      <c r="H621" s="826"/>
    </row>
    <row r="622" spans="1:8" ht="13.5" customHeight="1">
      <c r="A622" s="824" t="s">
        <v>1835</v>
      </c>
      <c r="B622" s="801"/>
      <c r="C622" s="805"/>
      <c r="D622" s="806"/>
      <c r="E622" s="806"/>
      <c r="F622" s="2021"/>
      <c r="G622" s="1825"/>
      <c r="H622" s="826"/>
    </row>
    <row r="623" spans="1:8" ht="13.5" customHeight="1">
      <c r="A623" s="847" t="s">
        <v>1859</v>
      </c>
      <c r="B623" s="848"/>
      <c r="C623" s="849"/>
      <c r="D623" s="850"/>
      <c r="E623" s="850"/>
      <c r="F623" s="851"/>
      <c r="G623" s="852"/>
      <c r="H623" s="853"/>
    </row>
    <row r="625" spans="1:8" ht="13.5" customHeight="1">
      <c r="A625" s="2046" t="s">
        <v>1834</v>
      </c>
      <c r="B625" s="1811"/>
      <c r="C625" s="1811"/>
      <c r="D625" s="1811"/>
      <c r="E625" s="1811"/>
      <c r="F625" s="1811"/>
      <c r="G625" s="1811"/>
      <c r="H625" s="1812"/>
    </row>
    <row r="626" spans="1:8" ht="13.5" customHeight="1">
      <c r="A626" s="2035" t="s">
        <v>559</v>
      </c>
      <c r="B626" s="2036"/>
      <c r="C626" s="2036"/>
      <c r="D626" s="2037"/>
      <c r="E626" s="2042" t="s">
        <v>1835</v>
      </c>
      <c r="F626" s="2036"/>
      <c r="G626" s="2036"/>
      <c r="H626" s="2043"/>
    </row>
    <row r="627" spans="1:8" ht="13.5" customHeight="1">
      <c r="A627" s="2038"/>
      <c r="B627" s="1605"/>
      <c r="C627" s="1605"/>
      <c r="D627" s="2039"/>
      <c r="E627" s="2044"/>
      <c r="F627" s="1605"/>
      <c r="G627" s="1605"/>
      <c r="H627" s="1606"/>
    </row>
    <row r="628" spans="1:8" ht="13.5" customHeight="1">
      <c r="A628" s="2040"/>
      <c r="B628" s="1608"/>
      <c r="C628" s="1608"/>
      <c r="D628" s="2041"/>
      <c r="E628" s="2045"/>
      <c r="F628" s="1608"/>
      <c r="G628" s="1608"/>
      <c r="H628" s="1919"/>
    </row>
    <row r="629" spans="1:8" ht="13.5" customHeight="1">
      <c r="A629" s="2027" t="s">
        <v>1906</v>
      </c>
      <c r="B629" s="2028"/>
      <c r="C629" s="2028"/>
      <c r="D629" s="2028"/>
      <c r="E629" s="2028"/>
      <c r="F629" s="2028"/>
      <c r="G629" s="2028"/>
      <c r="H629" s="2029"/>
    </row>
    <row r="630" spans="1:8" ht="13.5" customHeight="1">
      <c r="A630" s="793"/>
      <c r="B630" s="794"/>
      <c r="C630" s="794"/>
      <c r="D630" s="794"/>
      <c r="E630" s="794"/>
      <c r="F630" s="794"/>
      <c r="G630" s="794"/>
      <c r="H630" s="795"/>
    </row>
    <row r="631" spans="1:8" ht="13.5" customHeight="1">
      <c r="A631" s="2030"/>
      <c r="B631" s="1824"/>
      <c r="C631" s="1824"/>
      <c r="D631" s="1824"/>
      <c r="E631" s="1825"/>
      <c r="F631" s="794"/>
      <c r="G631" s="794"/>
      <c r="H631" s="795"/>
    </row>
    <row r="632" spans="1:8" ht="13.5" customHeight="1">
      <c r="A632" s="793"/>
      <c r="B632" s="794"/>
      <c r="C632" s="794"/>
      <c r="D632" s="794"/>
      <c r="E632" s="794"/>
      <c r="F632" s="794"/>
      <c r="G632" s="794"/>
      <c r="H632" s="795"/>
    </row>
    <row r="633" spans="1:8" ht="13.5" customHeight="1">
      <c r="A633" s="2030" t="s">
        <v>1837</v>
      </c>
      <c r="B633" s="1825"/>
      <c r="C633" s="794"/>
      <c r="D633" s="794"/>
      <c r="E633" s="794"/>
      <c r="F633" s="794"/>
      <c r="G633" s="794"/>
      <c r="H633" s="795"/>
    </row>
    <row r="634" spans="1:8" ht="13.5" customHeight="1">
      <c r="A634" s="2031" t="s">
        <v>451</v>
      </c>
      <c r="B634" s="1824"/>
      <c r="C634" s="1824"/>
      <c r="D634" s="1824"/>
      <c r="E634" s="1824"/>
      <c r="F634" s="1824"/>
      <c r="G634" s="1824"/>
      <c r="H634" s="2032"/>
    </row>
    <row r="635" spans="1:8" ht="13.5" customHeight="1">
      <c r="A635" s="796"/>
      <c r="B635" s="797"/>
      <c r="C635" s="798"/>
      <c r="D635" s="799"/>
      <c r="E635" s="799"/>
      <c r="F635" s="800"/>
      <c r="G635" s="801" t="s">
        <v>1912</v>
      </c>
      <c r="H635" s="802"/>
    </row>
    <row r="636" spans="1:8" ht="13.5" customHeight="1">
      <c r="A636" s="803" t="s">
        <v>1839</v>
      </c>
      <c r="B636" s="804"/>
      <c r="C636" s="805"/>
      <c r="D636" s="806"/>
      <c r="E636" s="806"/>
      <c r="F636" s="800"/>
      <c r="G636" s="807" t="s">
        <v>1840</v>
      </c>
      <c r="H636" s="802"/>
    </row>
    <row r="637" spans="1:8" ht="13.5" customHeight="1">
      <c r="A637" s="2022" t="s">
        <v>376</v>
      </c>
      <c r="B637" s="1611"/>
      <c r="C637" s="808" t="s">
        <v>1219</v>
      </c>
      <c r="D637" s="809" t="s">
        <v>1841</v>
      </c>
      <c r="E637" s="809" t="s">
        <v>1842</v>
      </c>
      <c r="F637" s="810" t="s">
        <v>1843</v>
      </c>
      <c r="G637" s="811" t="s">
        <v>1844</v>
      </c>
      <c r="H637" s="812"/>
    </row>
    <row r="638" spans="1:8" ht="13.5" customHeight="1">
      <c r="A638" s="854" t="s">
        <v>1568</v>
      </c>
      <c r="B638" s="808"/>
      <c r="C638" s="813" t="s">
        <v>1614</v>
      </c>
      <c r="D638" s="814">
        <v>1500</v>
      </c>
      <c r="E638" s="814"/>
      <c r="F638" s="815">
        <v>0.2</v>
      </c>
      <c r="G638" s="816">
        <f t="shared" ref="G638:G639" si="50">+D638*F638</f>
        <v>300</v>
      </c>
      <c r="H638" s="812"/>
    </row>
    <row r="639" spans="1:8" ht="13.5" customHeight="1">
      <c r="A639" s="2020" t="s">
        <v>1885</v>
      </c>
      <c r="B639" s="1611"/>
      <c r="C639" s="813" t="s">
        <v>1614</v>
      </c>
      <c r="D639" s="463">
        <v>3125</v>
      </c>
      <c r="E639" s="817"/>
      <c r="F639" s="815">
        <v>1</v>
      </c>
      <c r="G639" s="816">
        <f t="shared" si="50"/>
        <v>3125</v>
      </c>
      <c r="H639" s="812"/>
    </row>
    <row r="640" spans="1:8" ht="13.5" customHeight="1">
      <c r="A640" s="2023"/>
      <c r="B640" s="1611"/>
      <c r="C640" s="818"/>
      <c r="D640" s="819"/>
      <c r="E640" s="819"/>
      <c r="F640" s="819"/>
      <c r="G640" s="820"/>
      <c r="H640" s="821"/>
    </row>
    <row r="641" spans="1:8" ht="13.5" customHeight="1">
      <c r="A641" s="2033"/>
      <c r="B641" s="1825"/>
      <c r="C641" s="805"/>
      <c r="D641" s="806"/>
      <c r="E641" s="806"/>
      <c r="F641" s="800"/>
      <c r="G641" s="822" t="s">
        <v>1560</v>
      </c>
      <c r="H641" s="823">
        <f>SUM(G638:G640)</f>
        <v>3425</v>
      </c>
    </row>
    <row r="642" spans="1:8" ht="13.5" customHeight="1">
      <c r="A642" s="824"/>
      <c r="B642" s="804"/>
      <c r="C642" s="805"/>
      <c r="D642" s="806"/>
      <c r="E642" s="806"/>
      <c r="F642" s="800"/>
      <c r="G642" s="825"/>
      <c r="H642" s="802"/>
    </row>
    <row r="643" spans="1:8" ht="13.5" customHeight="1">
      <c r="A643" s="803" t="s">
        <v>1561</v>
      </c>
      <c r="B643" s="804"/>
      <c r="C643" s="805"/>
      <c r="D643" s="806"/>
      <c r="E643" s="806"/>
      <c r="F643" s="800"/>
      <c r="G643" s="825"/>
      <c r="H643" s="802"/>
    </row>
    <row r="644" spans="1:8" ht="13.5" customHeight="1">
      <c r="A644" s="2022" t="s">
        <v>376</v>
      </c>
      <c r="B644" s="1611"/>
      <c r="C644" s="808" t="s">
        <v>1219</v>
      </c>
      <c r="D644" s="809" t="s">
        <v>1845</v>
      </c>
      <c r="E644" s="809" t="s">
        <v>1842</v>
      </c>
      <c r="F644" s="810" t="s">
        <v>673</v>
      </c>
      <c r="G644" s="811" t="s">
        <v>1845</v>
      </c>
      <c r="H644" s="826"/>
    </row>
    <row r="645" spans="1:8" ht="13.5" customHeight="1">
      <c r="A645" s="2020" t="s">
        <v>1913</v>
      </c>
      <c r="B645" s="1611"/>
      <c r="C645" s="813" t="s">
        <v>127</v>
      </c>
      <c r="D645" s="817">
        <v>7809</v>
      </c>
      <c r="E645" s="809"/>
      <c r="F645" s="815">
        <v>1</v>
      </c>
      <c r="G645" s="827">
        <f t="shared" ref="G645:G651" si="51">F645*D645</f>
        <v>7809</v>
      </c>
      <c r="H645" s="826"/>
    </row>
    <row r="646" spans="1:8" ht="13.5" customHeight="1">
      <c r="A646" s="2020" t="s">
        <v>1914</v>
      </c>
      <c r="B646" s="1611"/>
      <c r="C646" s="813" t="s">
        <v>127</v>
      </c>
      <c r="D646" s="817">
        <v>10268</v>
      </c>
      <c r="E646" s="817"/>
      <c r="F646" s="815">
        <v>2</v>
      </c>
      <c r="G646" s="827">
        <f t="shared" si="51"/>
        <v>20536</v>
      </c>
      <c r="H646" s="826"/>
    </row>
    <row r="647" spans="1:8" ht="13.5" customHeight="1">
      <c r="A647" s="2020" t="s">
        <v>1915</v>
      </c>
      <c r="B647" s="1611"/>
      <c r="C647" s="813" t="s">
        <v>127</v>
      </c>
      <c r="D647" s="817">
        <v>1816</v>
      </c>
      <c r="E647" s="817"/>
      <c r="F647" s="815">
        <v>1</v>
      </c>
      <c r="G647" s="827">
        <f t="shared" si="51"/>
        <v>1816</v>
      </c>
      <c r="H647" s="826"/>
    </row>
    <row r="648" spans="1:8" ht="13.5" customHeight="1">
      <c r="A648" s="2020" t="s">
        <v>1875</v>
      </c>
      <c r="B648" s="1611"/>
      <c r="C648" s="813" t="s">
        <v>1762</v>
      </c>
      <c r="D648" s="817">
        <v>110277</v>
      </c>
      <c r="E648" s="817"/>
      <c r="F648" s="815">
        <v>0.02</v>
      </c>
      <c r="G648" s="827">
        <f t="shared" si="51"/>
        <v>2205.54</v>
      </c>
      <c r="H648" s="826"/>
    </row>
    <row r="649" spans="1:8" ht="13.5" customHeight="1">
      <c r="A649" s="2020" t="s">
        <v>1851</v>
      </c>
      <c r="B649" s="1611"/>
      <c r="C649" s="813" t="s">
        <v>1762</v>
      </c>
      <c r="D649" s="817">
        <v>53176</v>
      </c>
      <c r="E649" s="817"/>
      <c r="F649" s="815">
        <v>0.02</v>
      </c>
      <c r="G649" s="827">
        <f t="shared" si="51"/>
        <v>1063.52</v>
      </c>
      <c r="H649" s="826"/>
    </row>
    <row r="650" spans="1:8" ht="13.5" customHeight="1">
      <c r="A650" s="2020" t="s">
        <v>1616</v>
      </c>
      <c r="B650" s="1611"/>
      <c r="C650" s="813" t="s">
        <v>1852</v>
      </c>
      <c r="D650" s="817">
        <v>2500</v>
      </c>
      <c r="E650" s="817"/>
      <c r="F650" s="815">
        <v>0.1</v>
      </c>
      <c r="G650" s="827">
        <f t="shared" si="51"/>
        <v>250</v>
      </c>
      <c r="H650" s="826"/>
    </row>
    <row r="651" spans="1:8" ht="13.5" customHeight="1">
      <c r="A651" s="2020" t="s">
        <v>1916</v>
      </c>
      <c r="B651" s="1611"/>
      <c r="C651" s="813" t="s">
        <v>127</v>
      </c>
      <c r="D651" s="817">
        <v>74864</v>
      </c>
      <c r="E651" s="817"/>
      <c r="F651" s="815">
        <v>0.33</v>
      </c>
      <c r="G651" s="827">
        <f t="shared" si="51"/>
        <v>24705.120000000003</v>
      </c>
      <c r="H651" s="802"/>
    </row>
    <row r="652" spans="1:8" ht="13.5" customHeight="1">
      <c r="A652" s="824"/>
      <c r="B652" s="804"/>
      <c r="C652" s="805"/>
      <c r="D652" s="806"/>
      <c r="E652" s="806"/>
      <c r="F652" s="800"/>
      <c r="G652" s="828" t="s">
        <v>1560</v>
      </c>
      <c r="H652" s="823">
        <f>SUM(G645:G651)</f>
        <v>58385.18</v>
      </c>
    </row>
    <row r="653" spans="1:8" ht="13.5" customHeight="1">
      <c r="A653" s="803"/>
      <c r="B653" s="804"/>
      <c r="C653" s="805"/>
      <c r="D653" s="806"/>
      <c r="E653" s="806"/>
      <c r="F653" s="800"/>
      <c r="G653" s="825"/>
      <c r="H653" s="802"/>
    </row>
    <row r="654" spans="1:8" ht="13.5" customHeight="1">
      <c r="A654" s="803"/>
      <c r="B654" s="804"/>
      <c r="C654" s="805"/>
      <c r="D654" s="806"/>
      <c r="E654" s="806"/>
      <c r="F654" s="800"/>
      <c r="G654" s="804"/>
      <c r="H654" s="826"/>
    </row>
    <row r="655" spans="1:8" ht="13.5" customHeight="1">
      <c r="A655" s="803" t="s">
        <v>1564</v>
      </c>
      <c r="B655" s="804"/>
      <c r="C655" s="805"/>
      <c r="D655" s="806"/>
      <c r="E655" s="806"/>
      <c r="F655" s="800"/>
      <c r="G655" s="806"/>
      <c r="H655" s="829"/>
    </row>
    <row r="656" spans="1:8" ht="13.5" customHeight="1">
      <c r="A656" s="830" t="s">
        <v>1853</v>
      </c>
      <c r="B656" s="831" t="s">
        <v>1854</v>
      </c>
      <c r="C656" s="808" t="s">
        <v>1855</v>
      </c>
      <c r="D656" s="832" t="s">
        <v>1244</v>
      </c>
      <c r="E656" s="809" t="s">
        <v>1856</v>
      </c>
      <c r="F656" s="810" t="s">
        <v>1843</v>
      </c>
      <c r="G656" s="833" t="s">
        <v>1845</v>
      </c>
      <c r="H656" s="834"/>
    </row>
    <row r="657" spans="1:8" ht="13.5" customHeight="1">
      <c r="A657" s="835"/>
      <c r="B657" s="836" t="s">
        <v>1857</v>
      </c>
      <c r="C657" s="837">
        <v>30000</v>
      </c>
      <c r="D657" s="837">
        <v>2</v>
      </c>
      <c r="E657" s="837">
        <f t="shared" ref="E657:E658" si="52">+D657*C657</f>
        <v>60000</v>
      </c>
      <c r="F657" s="838">
        <v>2.8</v>
      </c>
      <c r="G657" s="837">
        <f t="shared" ref="G657:G658" si="53">+ROUND((F657*E657)/8,0)</f>
        <v>21000</v>
      </c>
      <c r="H657" s="839"/>
    </row>
    <row r="658" spans="1:8" ht="13.5" customHeight="1">
      <c r="A658" s="835"/>
      <c r="B658" s="836" t="s">
        <v>1858</v>
      </c>
      <c r="C658" s="837">
        <v>40000</v>
      </c>
      <c r="D658" s="837">
        <v>1</v>
      </c>
      <c r="E658" s="837">
        <f t="shared" si="52"/>
        <v>40000</v>
      </c>
      <c r="F658" s="838">
        <f>+F657</f>
        <v>2.8</v>
      </c>
      <c r="G658" s="837">
        <f t="shared" si="53"/>
        <v>14000</v>
      </c>
      <c r="H658" s="840"/>
    </row>
    <row r="659" spans="1:8" ht="13.5" customHeight="1">
      <c r="A659" s="824"/>
      <c r="B659" s="804"/>
      <c r="C659" s="805"/>
      <c r="D659" s="806"/>
      <c r="E659" s="806"/>
      <c r="F659" s="800"/>
      <c r="G659" s="841" t="s">
        <v>1560</v>
      </c>
      <c r="H659" s="823">
        <f>SUM(G657:G658)</f>
        <v>35000</v>
      </c>
    </row>
    <row r="660" spans="1:8" ht="13.5" customHeight="1">
      <c r="A660" s="824"/>
      <c r="B660" s="804"/>
      <c r="C660" s="805"/>
      <c r="D660" s="806"/>
      <c r="E660" s="806"/>
      <c r="F660" s="800"/>
      <c r="G660" s="806"/>
      <c r="H660" s="829"/>
    </row>
    <row r="661" spans="1:8" ht="13.5" customHeight="1">
      <c r="A661" s="824"/>
      <c r="B661" s="804"/>
      <c r="C661" s="805"/>
      <c r="D661" s="806"/>
      <c r="E661" s="806"/>
      <c r="F661" s="842" t="s">
        <v>142</v>
      </c>
      <c r="G661" s="806"/>
      <c r="H661" s="843">
        <f>+H659+H652+H641</f>
        <v>96810.18</v>
      </c>
    </row>
    <row r="662" spans="1:8" ht="13.5" customHeight="1">
      <c r="A662" s="824"/>
      <c r="B662" s="804"/>
      <c r="C662" s="805"/>
      <c r="D662" s="806"/>
      <c r="E662" s="806"/>
      <c r="F662" s="842"/>
      <c r="G662" s="806"/>
      <c r="H662" s="829"/>
    </row>
    <row r="663" spans="1:8" ht="13.5" customHeight="1">
      <c r="A663" s="824"/>
      <c r="B663" s="801"/>
      <c r="C663" s="805"/>
      <c r="D663" s="806"/>
      <c r="E663" s="806"/>
      <c r="F663" s="800"/>
      <c r="G663" s="825"/>
      <c r="H663" s="802"/>
    </row>
    <row r="664" spans="1:8" ht="13.5" customHeight="1">
      <c r="A664" s="847"/>
      <c r="B664" s="848"/>
      <c r="C664" s="849"/>
      <c r="D664" s="806"/>
      <c r="E664" s="806"/>
      <c r="F664" s="800"/>
      <c r="G664" s="804"/>
      <c r="H664" s="826"/>
    </row>
    <row r="665" spans="1:8" ht="13.5" customHeight="1">
      <c r="A665" s="824" t="s">
        <v>1917</v>
      </c>
      <c r="B665" s="801"/>
      <c r="C665" s="805"/>
      <c r="D665" s="806"/>
      <c r="E665" s="806"/>
      <c r="F665" s="2021"/>
      <c r="G665" s="1825"/>
      <c r="H665" s="826"/>
    </row>
    <row r="666" spans="1:8" ht="13.5" customHeight="1">
      <c r="A666" s="847" t="s">
        <v>1859</v>
      </c>
      <c r="B666" s="848"/>
      <c r="C666" s="849"/>
      <c r="D666" s="850"/>
      <c r="E666" s="850"/>
      <c r="F666" s="851"/>
      <c r="G666" s="852"/>
      <c r="H666" s="853"/>
    </row>
    <row r="667" spans="1:8" ht="13.5" customHeight="1">
      <c r="A667" s="804"/>
      <c r="B667" s="801"/>
      <c r="C667" s="805"/>
      <c r="D667" s="806"/>
      <c r="E667" s="806"/>
      <c r="F667" s="800"/>
      <c r="G667" s="804"/>
      <c r="H667" s="804"/>
    </row>
    <row r="668" spans="1:8" ht="13.5" customHeight="1">
      <c r="A668" s="792"/>
      <c r="B668" s="792"/>
      <c r="C668" s="792"/>
      <c r="D668" s="792"/>
      <c r="E668" s="792"/>
      <c r="F668" s="792"/>
      <c r="G668" s="792"/>
      <c r="H668" s="792"/>
    </row>
    <row r="669" spans="1:8" ht="13.5" customHeight="1">
      <c r="A669" s="2046" t="s">
        <v>1834</v>
      </c>
      <c r="B669" s="1811"/>
      <c r="C669" s="1811"/>
      <c r="D669" s="1811"/>
      <c r="E669" s="1811"/>
      <c r="F669" s="1811"/>
      <c r="G669" s="1811"/>
      <c r="H669" s="1812"/>
    </row>
    <row r="670" spans="1:8" ht="13.5" customHeight="1">
      <c r="A670" s="2035" t="s">
        <v>559</v>
      </c>
      <c r="B670" s="2036"/>
      <c r="C670" s="2036"/>
      <c r="D670" s="2037"/>
      <c r="E670" s="2042" t="s">
        <v>1835</v>
      </c>
      <c r="F670" s="2036"/>
      <c r="G670" s="2036"/>
      <c r="H670" s="2043"/>
    </row>
    <row r="671" spans="1:8" ht="13.5" customHeight="1">
      <c r="A671" s="2038"/>
      <c r="B671" s="1605"/>
      <c r="C671" s="1605"/>
      <c r="D671" s="2039"/>
      <c r="E671" s="2044"/>
      <c r="F671" s="1605"/>
      <c r="G671" s="1605"/>
      <c r="H671" s="1606"/>
    </row>
    <row r="672" spans="1:8" ht="13.5" customHeight="1">
      <c r="A672" s="2040"/>
      <c r="B672" s="1608"/>
      <c r="C672" s="1608"/>
      <c r="D672" s="2041"/>
      <c r="E672" s="2045"/>
      <c r="F672" s="1608"/>
      <c r="G672" s="1608"/>
      <c r="H672" s="1919"/>
    </row>
    <row r="673" spans="1:8" ht="13.5" customHeight="1">
      <c r="A673" s="2027" t="s">
        <v>1906</v>
      </c>
      <c r="B673" s="2028"/>
      <c r="C673" s="2028"/>
      <c r="D673" s="2028"/>
      <c r="E673" s="2028"/>
      <c r="F673" s="2028"/>
      <c r="G673" s="2028"/>
      <c r="H673" s="2029"/>
    </row>
    <row r="674" spans="1:8" ht="13.5" customHeight="1">
      <c r="A674" s="793"/>
      <c r="B674" s="794"/>
      <c r="C674" s="794"/>
      <c r="D674" s="794"/>
      <c r="E674" s="794"/>
      <c r="F674" s="794"/>
      <c r="G674" s="794"/>
      <c r="H674" s="795"/>
    </row>
    <row r="675" spans="1:8" ht="13.5" customHeight="1">
      <c r="A675" s="2030"/>
      <c r="B675" s="1824"/>
      <c r="C675" s="1824"/>
      <c r="D675" s="1824"/>
      <c r="E675" s="1825"/>
      <c r="F675" s="794"/>
      <c r="G675" s="794"/>
      <c r="H675" s="795"/>
    </row>
    <row r="676" spans="1:8" ht="13.5" customHeight="1">
      <c r="A676" s="793"/>
      <c r="B676" s="794"/>
      <c r="C676" s="794"/>
      <c r="D676" s="794"/>
      <c r="E676" s="794"/>
      <c r="F676" s="794"/>
      <c r="G676" s="794"/>
      <c r="H676" s="795"/>
    </row>
    <row r="677" spans="1:8" ht="13.5" customHeight="1">
      <c r="A677" s="2030" t="s">
        <v>1837</v>
      </c>
      <c r="B677" s="1825"/>
      <c r="C677" s="794"/>
      <c r="D677" s="794"/>
      <c r="E677" s="794"/>
      <c r="F677" s="794"/>
      <c r="G677" s="794"/>
      <c r="H677" s="795"/>
    </row>
    <row r="678" spans="1:8" ht="13.5" customHeight="1">
      <c r="A678" s="2031" t="s">
        <v>462</v>
      </c>
      <c r="B678" s="1824"/>
      <c r="C678" s="1824"/>
      <c r="D678" s="1824"/>
      <c r="E678" s="1824"/>
      <c r="F678" s="1824"/>
      <c r="G678" s="1824"/>
      <c r="H678" s="2032"/>
    </row>
    <row r="679" spans="1:8" ht="13.5" customHeight="1">
      <c r="A679" s="796"/>
      <c r="B679" s="797"/>
      <c r="C679" s="798"/>
      <c r="D679" s="799"/>
      <c r="E679" s="799"/>
      <c r="F679" s="800"/>
      <c r="G679" s="163" t="s">
        <v>1918</v>
      </c>
      <c r="H679" s="802"/>
    </row>
    <row r="680" spans="1:8" ht="13.5" customHeight="1">
      <c r="A680" s="803" t="s">
        <v>1839</v>
      </c>
      <c r="B680" s="804"/>
      <c r="C680" s="805"/>
      <c r="D680" s="806"/>
      <c r="E680" s="806"/>
      <c r="F680" s="800"/>
      <c r="G680" s="807" t="s">
        <v>1871</v>
      </c>
      <c r="H680" s="802"/>
    </row>
    <row r="681" spans="1:8" ht="13.5" customHeight="1">
      <c r="A681" s="2022" t="s">
        <v>376</v>
      </c>
      <c r="B681" s="1611"/>
      <c r="C681" s="808" t="s">
        <v>1219</v>
      </c>
      <c r="D681" s="809" t="s">
        <v>1841</v>
      </c>
      <c r="E681" s="809" t="s">
        <v>1842</v>
      </c>
      <c r="F681" s="810" t="s">
        <v>1843</v>
      </c>
      <c r="G681" s="811" t="s">
        <v>1844</v>
      </c>
      <c r="H681" s="812"/>
    </row>
    <row r="682" spans="1:8" ht="13.5" customHeight="1">
      <c r="A682" s="854" t="s">
        <v>1568</v>
      </c>
      <c r="B682" s="808"/>
      <c r="C682" s="813" t="s">
        <v>1614</v>
      </c>
      <c r="D682" s="814">
        <v>1500</v>
      </c>
      <c r="E682" s="814"/>
      <c r="F682" s="815">
        <v>0.2</v>
      </c>
      <c r="G682" s="816">
        <f t="shared" ref="G682:G683" si="54">+D682*F682</f>
        <v>300</v>
      </c>
      <c r="H682" s="812"/>
    </row>
    <row r="683" spans="1:8" ht="13.5" customHeight="1">
      <c r="A683" s="2020"/>
      <c r="B683" s="1611"/>
      <c r="C683" s="813"/>
      <c r="D683" s="817"/>
      <c r="E683" s="817"/>
      <c r="F683" s="815"/>
      <c r="G683" s="816">
        <f t="shared" si="54"/>
        <v>0</v>
      </c>
      <c r="H683" s="812"/>
    </row>
    <row r="684" spans="1:8" ht="13.5" customHeight="1">
      <c r="A684" s="2023"/>
      <c r="B684" s="1611"/>
      <c r="C684" s="818"/>
      <c r="D684" s="819"/>
      <c r="E684" s="819"/>
      <c r="F684" s="819"/>
      <c r="G684" s="820"/>
      <c r="H684" s="821"/>
    </row>
    <row r="685" spans="1:8" ht="13.5" customHeight="1">
      <c r="A685" s="2024"/>
      <c r="B685" s="2025"/>
      <c r="C685" s="805"/>
      <c r="D685" s="806"/>
      <c r="E685" s="806"/>
      <c r="F685" s="800"/>
      <c r="G685" s="822" t="s">
        <v>1560</v>
      </c>
      <c r="H685" s="823">
        <f>SUM(G682:G684)</f>
        <v>300</v>
      </c>
    </row>
    <row r="686" spans="1:8" ht="13.5" customHeight="1">
      <c r="A686" s="824"/>
      <c r="B686" s="804"/>
      <c r="C686" s="805"/>
      <c r="D686" s="806"/>
      <c r="E686" s="806"/>
      <c r="F686" s="800"/>
      <c r="G686" s="825"/>
      <c r="H686" s="802"/>
    </row>
    <row r="687" spans="1:8" ht="13.5" customHeight="1">
      <c r="A687" s="803" t="s">
        <v>1561</v>
      </c>
      <c r="B687" s="804"/>
      <c r="C687" s="805"/>
      <c r="D687" s="806"/>
      <c r="E687" s="806"/>
      <c r="F687" s="800"/>
      <c r="G687" s="825"/>
      <c r="H687" s="802"/>
    </row>
    <row r="688" spans="1:8" ht="13.5" customHeight="1">
      <c r="A688" s="2022" t="s">
        <v>376</v>
      </c>
      <c r="B688" s="1611"/>
      <c r="C688" s="808" t="s">
        <v>1219</v>
      </c>
      <c r="D688" s="809" t="s">
        <v>1845</v>
      </c>
      <c r="E688" s="809" t="s">
        <v>1842</v>
      </c>
      <c r="F688" s="810" t="s">
        <v>673</v>
      </c>
      <c r="G688" s="811" t="s">
        <v>1845</v>
      </c>
      <c r="H688" s="826"/>
    </row>
    <row r="689" spans="1:8" ht="13.5" customHeight="1">
      <c r="A689" s="2020" t="s">
        <v>1919</v>
      </c>
      <c r="B689" s="1611"/>
      <c r="C689" s="813" t="s">
        <v>1873</v>
      </c>
      <c r="D689" s="817">
        <v>120295</v>
      </c>
      <c r="E689" s="817"/>
      <c r="F689" s="815">
        <v>0.17</v>
      </c>
      <c r="G689" s="827">
        <f>+D689*F689</f>
        <v>20450.150000000001</v>
      </c>
      <c r="H689" s="826"/>
    </row>
    <row r="690" spans="1:8" ht="13.5" customHeight="1">
      <c r="A690" s="2020" t="s">
        <v>1874</v>
      </c>
      <c r="B690" s="1611"/>
      <c r="C690" s="813" t="s">
        <v>127</v>
      </c>
      <c r="D690" s="817">
        <v>8318</v>
      </c>
      <c r="E690" s="817"/>
      <c r="F690" s="815">
        <v>1</v>
      </c>
      <c r="G690" s="827">
        <f t="shared" ref="G690:G694" si="55">+F690*D690</f>
        <v>8318</v>
      </c>
      <c r="H690" s="826"/>
    </row>
    <row r="691" spans="1:8" ht="13.5" customHeight="1">
      <c r="A691" s="2020" t="s">
        <v>1875</v>
      </c>
      <c r="B691" s="1611"/>
      <c r="C691" s="813" t="s">
        <v>1762</v>
      </c>
      <c r="D691" s="817">
        <v>110277</v>
      </c>
      <c r="E691" s="809"/>
      <c r="F691" s="815">
        <v>0.02</v>
      </c>
      <c r="G691" s="827">
        <f t="shared" si="55"/>
        <v>2205.54</v>
      </c>
      <c r="H691" s="826"/>
    </row>
    <row r="692" spans="1:8" ht="13.5" customHeight="1">
      <c r="A692" s="2020" t="s">
        <v>1851</v>
      </c>
      <c r="B692" s="1611"/>
      <c r="C692" s="813" t="s">
        <v>1762</v>
      </c>
      <c r="D692" s="817">
        <v>53176</v>
      </c>
      <c r="E692" s="809"/>
      <c r="F692" s="815">
        <v>0.02</v>
      </c>
      <c r="G692" s="827">
        <f t="shared" si="55"/>
        <v>1063.52</v>
      </c>
      <c r="H692" s="826"/>
    </row>
    <row r="693" spans="1:8" ht="13.5" customHeight="1">
      <c r="A693" s="2020" t="s">
        <v>1616</v>
      </c>
      <c r="B693" s="1611"/>
      <c r="C693" s="813" t="s">
        <v>1852</v>
      </c>
      <c r="D693" s="817">
        <v>2500</v>
      </c>
      <c r="E693" s="809"/>
      <c r="F693" s="815">
        <v>0.1</v>
      </c>
      <c r="G693" s="827">
        <f t="shared" si="55"/>
        <v>250</v>
      </c>
      <c r="H693" s="826"/>
    </row>
    <row r="694" spans="1:8" ht="13.5" customHeight="1">
      <c r="A694" s="2051"/>
      <c r="B694" s="1611"/>
      <c r="C694" s="808"/>
      <c r="D694" s="809"/>
      <c r="E694" s="809"/>
      <c r="F694" s="810"/>
      <c r="G694" s="827">
        <f t="shared" si="55"/>
        <v>0</v>
      </c>
      <c r="H694" s="826"/>
    </row>
    <row r="695" spans="1:8" ht="13.5" customHeight="1">
      <c r="A695" s="2020"/>
      <c r="B695" s="1611"/>
      <c r="C695" s="813"/>
      <c r="D695" s="817"/>
      <c r="E695" s="817"/>
      <c r="F695" s="815"/>
      <c r="G695" s="861"/>
      <c r="H695" s="802"/>
    </row>
    <row r="696" spans="1:8" ht="13.5" customHeight="1">
      <c r="A696" s="824"/>
      <c r="B696" s="804"/>
      <c r="C696" s="805"/>
      <c r="D696" s="806"/>
      <c r="E696" s="806"/>
      <c r="F696" s="800"/>
      <c r="G696" s="828" t="s">
        <v>1560</v>
      </c>
      <c r="H696" s="823">
        <f>SUM(G689:G695)</f>
        <v>32287.210000000003</v>
      </c>
    </row>
    <row r="697" spans="1:8" ht="13.5" customHeight="1">
      <c r="A697" s="803"/>
      <c r="B697" s="804"/>
      <c r="C697" s="805"/>
      <c r="D697" s="806"/>
      <c r="E697" s="806"/>
      <c r="F697" s="800"/>
      <c r="G697" s="825"/>
      <c r="H697" s="802"/>
    </row>
    <row r="698" spans="1:8" ht="13.5" customHeight="1">
      <c r="A698" s="803"/>
      <c r="B698" s="804"/>
      <c r="C698" s="805"/>
      <c r="D698" s="806"/>
      <c r="E698" s="806"/>
      <c r="F698" s="800"/>
      <c r="G698" s="804"/>
      <c r="H698" s="826"/>
    </row>
    <row r="699" spans="1:8" ht="13.5" customHeight="1">
      <c r="A699" s="803" t="s">
        <v>1564</v>
      </c>
      <c r="B699" s="804"/>
      <c r="C699" s="805"/>
      <c r="D699" s="806"/>
      <c r="E699" s="806"/>
      <c r="F699" s="800"/>
      <c r="G699" s="806"/>
      <c r="H699" s="829"/>
    </row>
    <row r="700" spans="1:8" ht="13.5" customHeight="1">
      <c r="A700" s="830" t="s">
        <v>1853</v>
      </c>
      <c r="B700" s="831" t="s">
        <v>1854</v>
      </c>
      <c r="C700" s="808" t="s">
        <v>1855</v>
      </c>
      <c r="D700" s="832" t="s">
        <v>1244</v>
      </c>
      <c r="E700" s="809" t="s">
        <v>1856</v>
      </c>
      <c r="F700" s="810" t="s">
        <v>1843</v>
      </c>
      <c r="G700" s="833" t="s">
        <v>1845</v>
      </c>
      <c r="H700" s="834"/>
    </row>
    <row r="701" spans="1:8" ht="13.5" customHeight="1">
      <c r="A701" s="835"/>
      <c r="B701" s="836" t="s">
        <v>1857</v>
      </c>
      <c r="C701" s="837">
        <v>30000</v>
      </c>
      <c r="D701" s="837">
        <v>2</v>
      </c>
      <c r="E701" s="837">
        <f t="shared" ref="E701:E702" si="56">+D701*C701</f>
        <v>60000</v>
      </c>
      <c r="F701" s="838">
        <v>0.92</v>
      </c>
      <c r="G701" s="837">
        <f t="shared" ref="G701:G702" si="57">+ROUND((F701*E701)/8,0)</f>
        <v>6900</v>
      </c>
      <c r="H701" s="839"/>
    </row>
    <row r="702" spans="1:8" ht="13.5" customHeight="1">
      <c r="A702" s="835"/>
      <c r="B702" s="836" t="s">
        <v>1858</v>
      </c>
      <c r="C702" s="837">
        <v>40000</v>
      </c>
      <c r="D702" s="837">
        <v>1</v>
      </c>
      <c r="E702" s="837">
        <f t="shared" si="56"/>
        <v>40000</v>
      </c>
      <c r="F702" s="838">
        <f>+F701</f>
        <v>0.92</v>
      </c>
      <c r="G702" s="837">
        <f t="shared" si="57"/>
        <v>4600</v>
      </c>
      <c r="H702" s="840"/>
    </row>
    <row r="703" spans="1:8" ht="13.5" customHeight="1">
      <c r="A703" s="824"/>
      <c r="B703" s="804"/>
      <c r="C703" s="805"/>
      <c r="D703" s="806"/>
      <c r="E703" s="806"/>
      <c r="F703" s="800"/>
      <c r="G703" s="841" t="s">
        <v>1560</v>
      </c>
      <c r="H703" s="823">
        <f>SUM(G701:G702)</f>
        <v>11500</v>
      </c>
    </row>
    <row r="705" spans="1:8" ht="13.5" customHeight="1">
      <c r="A705" s="824"/>
      <c r="B705" s="804"/>
      <c r="C705" s="805"/>
      <c r="D705" s="806"/>
      <c r="E705" s="806"/>
      <c r="F705" s="842" t="s">
        <v>142</v>
      </c>
      <c r="G705" s="806"/>
      <c r="H705" s="843">
        <f>+H703+H696+H685</f>
        <v>44087.210000000006</v>
      </c>
    </row>
    <row r="706" spans="1:8" ht="13.5" customHeight="1">
      <c r="A706" s="824"/>
      <c r="B706" s="804"/>
      <c r="C706" s="805"/>
      <c r="D706" s="806"/>
      <c r="E706" s="806"/>
      <c r="F706" s="842"/>
      <c r="G706" s="806"/>
      <c r="H706" s="829"/>
    </row>
    <row r="707" spans="1:8" ht="13.5" customHeight="1">
      <c r="A707" s="824"/>
      <c r="B707" s="801"/>
      <c r="C707" s="805"/>
      <c r="D707" s="806"/>
      <c r="E707" s="806"/>
      <c r="F707" s="800"/>
      <c r="G707" s="825"/>
      <c r="H707" s="802"/>
    </row>
    <row r="708" spans="1:8" ht="13.5" customHeight="1">
      <c r="A708" s="847"/>
      <c r="B708" s="848"/>
      <c r="C708" s="849"/>
      <c r="D708" s="806"/>
      <c r="E708" s="806"/>
      <c r="F708" s="800"/>
      <c r="G708" s="804"/>
      <c r="H708" s="826"/>
    </row>
    <row r="709" spans="1:8" ht="13.5" customHeight="1">
      <c r="A709" s="824" t="s">
        <v>1835</v>
      </c>
      <c r="B709" s="801"/>
      <c r="C709" s="805"/>
      <c r="D709" s="806"/>
      <c r="E709" s="806"/>
      <c r="F709" s="2021"/>
      <c r="G709" s="1825"/>
      <c r="H709" s="826"/>
    </row>
    <row r="710" spans="1:8" ht="13.5" customHeight="1">
      <c r="A710" s="847" t="s">
        <v>1859</v>
      </c>
      <c r="B710" s="848"/>
      <c r="C710" s="849"/>
      <c r="D710" s="850"/>
      <c r="E710" s="850"/>
      <c r="F710" s="851"/>
      <c r="G710" s="852"/>
      <c r="H710" s="853"/>
    </row>
    <row r="711" spans="1:8" ht="13.5" customHeight="1">
      <c r="A711" s="862"/>
      <c r="B711" s="792"/>
      <c r="C711" s="792"/>
      <c r="D711" s="792"/>
      <c r="E711" s="792"/>
      <c r="F711" s="792"/>
      <c r="G711" s="792"/>
      <c r="H711" s="863"/>
    </row>
    <row r="712" spans="1:8" ht="13.5" customHeight="1">
      <c r="A712" s="2046" t="s">
        <v>1834</v>
      </c>
      <c r="B712" s="1811"/>
      <c r="C712" s="1811"/>
      <c r="D712" s="1811"/>
      <c r="E712" s="1811"/>
      <c r="F712" s="1811"/>
      <c r="G712" s="1811"/>
      <c r="H712" s="1812"/>
    </row>
    <row r="713" spans="1:8" ht="13.5" customHeight="1">
      <c r="A713" s="2035" t="s">
        <v>559</v>
      </c>
      <c r="B713" s="2036"/>
      <c r="C713" s="2036"/>
      <c r="D713" s="2037"/>
      <c r="E713" s="2042" t="s">
        <v>1835</v>
      </c>
      <c r="F713" s="2036"/>
      <c r="G713" s="2036"/>
      <c r="H713" s="2043"/>
    </row>
    <row r="714" spans="1:8" ht="13.5" customHeight="1">
      <c r="A714" s="2038"/>
      <c r="B714" s="1605"/>
      <c r="C714" s="1605"/>
      <c r="D714" s="2039"/>
      <c r="E714" s="2044"/>
      <c r="F714" s="1605"/>
      <c r="G714" s="1605"/>
      <c r="H714" s="1606"/>
    </row>
    <row r="715" spans="1:8" ht="13.5" customHeight="1">
      <c r="A715" s="2040"/>
      <c r="B715" s="1608"/>
      <c r="C715" s="1608"/>
      <c r="D715" s="2041"/>
      <c r="E715" s="2045"/>
      <c r="F715" s="1608"/>
      <c r="G715" s="1608"/>
      <c r="H715" s="1919"/>
    </row>
    <row r="716" spans="1:8" ht="13.5" customHeight="1">
      <c r="A716" s="2027" t="s">
        <v>1906</v>
      </c>
      <c r="B716" s="2028"/>
      <c r="C716" s="2028"/>
      <c r="D716" s="2028"/>
      <c r="E716" s="2028"/>
      <c r="F716" s="2028"/>
      <c r="G716" s="2028"/>
      <c r="H716" s="2029"/>
    </row>
    <row r="717" spans="1:8" ht="13.5" customHeight="1">
      <c r="A717" s="793"/>
      <c r="B717" s="794"/>
      <c r="C717" s="794"/>
      <c r="D717" s="794"/>
      <c r="E717" s="794"/>
      <c r="F717" s="794"/>
      <c r="G717" s="794"/>
      <c r="H717" s="795"/>
    </row>
    <row r="718" spans="1:8" ht="13.5" customHeight="1">
      <c r="A718" s="2030"/>
      <c r="B718" s="1824"/>
      <c r="C718" s="1824"/>
      <c r="D718" s="1824"/>
      <c r="E718" s="1825"/>
      <c r="F718" s="794"/>
      <c r="G718" s="794"/>
      <c r="H718" s="795"/>
    </row>
    <row r="719" spans="1:8" ht="13.5" customHeight="1">
      <c r="A719" s="793"/>
      <c r="B719" s="794"/>
      <c r="C719" s="794"/>
      <c r="D719" s="794"/>
      <c r="E719" s="794"/>
      <c r="F719" s="794"/>
      <c r="G719" s="794"/>
      <c r="H719" s="795"/>
    </row>
    <row r="720" spans="1:8" ht="13.5" customHeight="1">
      <c r="A720" s="2030" t="s">
        <v>1837</v>
      </c>
      <c r="B720" s="1825"/>
      <c r="C720" s="794"/>
      <c r="D720" s="794"/>
      <c r="E720" s="794"/>
      <c r="F720" s="794"/>
      <c r="G720" s="794"/>
      <c r="H720" s="795"/>
    </row>
    <row r="721" spans="1:8" ht="13.5" customHeight="1">
      <c r="A721" s="2031" t="s">
        <v>1920</v>
      </c>
      <c r="B721" s="1824"/>
      <c r="C721" s="1824"/>
      <c r="D721" s="1824"/>
      <c r="E721" s="1824"/>
      <c r="F721" s="1824"/>
      <c r="G721" s="1824"/>
      <c r="H721" s="2032"/>
    </row>
    <row r="722" spans="1:8" ht="13.5" customHeight="1">
      <c r="A722" s="796"/>
      <c r="B722" s="797"/>
      <c r="C722" s="798"/>
      <c r="D722" s="799"/>
      <c r="E722" s="799"/>
      <c r="F722" s="800"/>
      <c r="G722" s="801" t="s">
        <v>1921</v>
      </c>
      <c r="H722" s="802"/>
    </row>
    <row r="723" spans="1:8" ht="13.5" customHeight="1">
      <c r="A723" s="803" t="s">
        <v>1839</v>
      </c>
      <c r="B723" s="804"/>
      <c r="C723" s="805"/>
      <c r="D723" s="806"/>
      <c r="E723" s="806"/>
      <c r="F723" s="800"/>
      <c r="G723" s="807" t="s">
        <v>1871</v>
      </c>
      <c r="H723" s="802"/>
    </row>
    <row r="724" spans="1:8" ht="13.5" customHeight="1">
      <c r="A724" s="2022" t="s">
        <v>376</v>
      </c>
      <c r="B724" s="1611"/>
      <c r="C724" s="808" t="s">
        <v>1219</v>
      </c>
      <c r="D724" s="809" t="s">
        <v>1841</v>
      </c>
      <c r="E724" s="809" t="s">
        <v>1842</v>
      </c>
      <c r="F724" s="810" t="s">
        <v>1843</v>
      </c>
      <c r="G724" s="811" t="s">
        <v>1844</v>
      </c>
      <c r="H724" s="812"/>
    </row>
    <row r="725" spans="1:8" ht="13.5" customHeight="1">
      <c r="A725" s="854" t="s">
        <v>1568</v>
      </c>
      <c r="B725" s="808"/>
      <c r="C725" s="813" t="s">
        <v>1614</v>
      </c>
      <c r="D725" s="814">
        <v>1500</v>
      </c>
      <c r="E725" s="814"/>
      <c r="F725" s="815">
        <v>0.2</v>
      </c>
      <c r="G725" s="816">
        <f t="shared" ref="G725:G726" si="58">+D725*F725</f>
        <v>300</v>
      </c>
      <c r="H725" s="812"/>
    </row>
    <row r="726" spans="1:8" ht="13.5" customHeight="1">
      <c r="A726" s="2020"/>
      <c r="B726" s="1611"/>
      <c r="C726" s="813"/>
      <c r="D726" s="817"/>
      <c r="E726" s="817"/>
      <c r="F726" s="815"/>
      <c r="G726" s="816">
        <f t="shared" si="58"/>
        <v>0</v>
      </c>
      <c r="H726" s="812"/>
    </row>
    <row r="727" spans="1:8" ht="13.5" customHeight="1">
      <c r="A727" s="2023"/>
      <c r="B727" s="1611"/>
      <c r="C727" s="818"/>
      <c r="D727" s="819"/>
      <c r="E727" s="819"/>
      <c r="F727" s="819"/>
      <c r="G727" s="820"/>
      <c r="H727" s="821"/>
    </row>
    <row r="728" spans="1:8" ht="13.5" customHeight="1">
      <c r="A728" s="2033"/>
      <c r="B728" s="1825"/>
      <c r="C728" s="805"/>
      <c r="D728" s="806"/>
      <c r="E728" s="806"/>
      <c r="F728" s="800"/>
      <c r="G728" s="822" t="s">
        <v>1560</v>
      </c>
      <c r="H728" s="823">
        <f>SUM(G725:G727)</f>
        <v>300</v>
      </c>
    </row>
    <row r="729" spans="1:8" ht="13.5" customHeight="1">
      <c r="A729" s="824"/>
      <c r="B729" s="804"/>
      <c r="C729" s="805"/>
      <c r="D729" s="806"/>
      <c r="E729" s="806"/>
      <c r="F729" s="800"/>
      <c r="G729" s="825"/>
      <c r="H729" s="802"/>
    </row>
    <row r="730" spans="1:8" ht="13.5" customHeight="1">
      <c r="A730" s="803" t="s">
        <v>1561</v>
      </c>
      <c r="B730" s="804"/>
      <c r="C730" s="805"/>
      <c r="D730" s="806"/>
      <c r="E730" s="806"/>
      <c r="F730" s="800"/>
      <c r="G730" s="825"/>
      <c r="H730" s="802"/>
    </row>
    <row r="731" spans="1:8" ht="13.5" customHeight="1">
      <c r="A731" s="2022" t="s">
        <v>376</v>
      </c>
      <c r="B731" s="1611"/>
      <c r="C731" s="808" t="s">
        <v>1219</v>
      </c>
      <c r="D731" s="809" t="s">
        <v>1845</v>
      </c>
      <c r="E731" s="809" t="s">
        <v>1842</v>
      </c>
      <c r="F731" s="810" t="s">
        <v>673</v>
      </c>
      <c r="G731" s="811" t="s">
        <v>1845</v>
      </c>
      <c r="H731" s="826"/>
    </row>
    <row r="732" spans="1:8" ht="13.5" customHeight="1">
      <c r="A732" s="2020" t="s">
        <v>1922</v>
      </c>
      <c r="B732" s="1611"/>
      <c r="C732" s="813" t="s">
        <v>127</v>
      </c>
      <c r="D732" s="864">
        <v>97313474.969512776</v>
      </c>
      <c r="E732" s="817"/>
      <c r="F732" s="815">
        <v>0.17</v>
      </c>
      <c r="G732" s="827">
        <f>+D732*F732</f>
        <v>16543290.744817173</v>
      </c>
      <c r="H732" s="826"/>
    </row>
    <row r="733" spans="1:8" ht="13.5" customHeight="1">
      <c r="A733" s="2020" t="s">
        <v>1923</v>
      </c>
      <c r="B733" s="1611"/>
      <c r="C733" s="813" t="s">
        <v>1614</v>
      </c>
      <c r="D733" s="817">
        <v>36463</v>
      </c>
      <c r="E733" s="817"/>
      <c r="F733" s="815">
        <v>1</v>
      </c>
      <c r="G733" s="827">
        <f t="shared" ref="G733:G735" si="59">+F733*D733</f>
        <v>36463</v>
      </c>
      <c r="H733" s="826"/>
    </row>
    <row r="734" spans="1:8" ht="13.5" customHeight="1">
      <c r="A734" s="2020" t="s">
        <v>1875</v>
      </c>
      <c r="B734" s="1611"/>
      <c r="C734" s="813" t="s">
        <v>1762</v>
      </c>
      <c r="D734" s="817">
        <v>110277</v>
      </c>
      <c r="E734" s="809"/>
      <c r="F734" s="815">
        <v>0.02</v>
      </c>
      <c r="G734" s="827">
        <f t="shared" si="59"/>
        <v>2205.54</v>
      </c>
      <c r="H734" s="826"/>
    </row>
    <row r="735" spans="1:8" ht="13.5" customHeight="1">
      <c r="A735" s="2020" t="s">
        <v>1851</v>
      </c>
      <c r="B735" s="1611"/>
      <c r="C735" s="813" t="s">
        <v>1762</v>
      </c>
      <c r="D735" s="817">
        <v>53176</v>
      </c>
      <c r="E735" s="809"/>
      <c r="F735" s="815">
        <v>0.02</v>
      </c>
      <c r="G735" s="827">
        <f t="shared" si="59"/>
        <v>1063.52</v>
      </c>
      <c r="H735" s="826"/>
    </row>
    <row r="736" spans="1:8" ht="13.5" customHeight="1">
      <c r="A736" s="2020"/>
      <c r="B736" s="1611"/>
      <c r="C736" s="813"/>
      <c r="D736" s="817"/>
      <c r="E736" s="809"/>
      <c r="F736" s="815"/>
      <c r="G736" s="827"/>
      <c r="H736" s="826"/>
    </row>
    <row r="737" spans="1:8" ht="13.5" customHeight="1">
      <c r="A737" s="2051"/>
      <c r="B737" s="1611"/>
      <c r="C737" s="808"/>
      <c r="D737" s="809"/>
      <c r="E737" s="809"/>
      <c r="F737" s="810"/>
      <c r="G737" s="811">
        <f>+F737*D737</f>
        <v>0</v>
      </c>
      <c r="H737" s="826"/>
    </row>
    <row r="738" spans="1:8" ht="13.5" customHeight="1">
      <c r="A738" s="2020"/>
      <c r="B738" s="1611"/>
      <c r="C738" s="813"/>
      <c r="D738" s="817"/>
      <c r="E738" s="817"/>
      <c r="F738" s="815"/>
      <c r="G738" s="861"/>
      <c r="H738" s="802"/>
    </row>
    <row r="739" spans="1:8" ht="13.5" customHeight="1">
      <c r="A739" s="824"/>
      <c r="B739" s="804"/>
      <c r="C739" s="805"/>
      <c r="D739" s="806"/>
      <c r="E739" s="806"/>
      <c r="F739" s="800"/>
      <c r="G739" s="828" t="s">
        <v>1560</v>
      </c>
      <c r="H739" s="823">
        <f>SUM(G732:G738)</f>
        <v>16583022.804817172</v>
      </c>
    </row>
    <row r="740" spans="1:8" ht="13.5" customHeight="1">
      <c r="A740" s="803"/>
      <c r="B740" s="804"/>
      <c r="C740" s="805"/>
      <c r="D740" s="806"/>
      <c r="E740" s="806"/>
      <c r="F740" s="800"/>
      <c r="G740" s="825"/>
      <c r="H740" s="802"/>
    </row>
    <row r="741" spans="1:8" ht="13.5" customHeight="1">
      <c r="A741" s="803"/>
      <c r="B741" s="804"/>
      <c r="C741" s="805"/>
      <c r="D741" s="806"/>
      <c r="E741" s="806"/>
      <c r="F741" s="800"/>
      <c r="G741" s="804"/>
      <c r="H741" s="826"/>
    </row>
    <row r="742" spans="1:8" ht="13.5" customHeight="1">
      <c r="A742" s="803" t="s">
        <v>1564</v>
      </c>
      <c r="B742" s="804"/>
      <c r="C742" s="805"/>
      <c r="D742" s="806"/>
      <c r="E742" s="806"/>
      <c r="F742" s="800"/>
      <c r="G742" s="806"/>
      <c r="H742" s="829"/>
    </row>
    <row r="743" spans="1:8" ht="13.5" customHeight="1">
      <c r="A743" s="830" t="s">
        <v>1853</v>
      </c>
      <c r="B743" s="831" t="s">
        <v>1854</v>
      </c>
      <c r="C743" s="808" t="s">
        <v>1855</v>
      </c>
      <c r="D743" s="832" t="s">
        <v>1244</v>
      </c>
      <c r="E743" s="809" t="s">
        <v>1856</v>
      </c>
      <c r="F743" s="810" t="s">
        <v>1843</v>
      </c>
      <c r="G743" s="833" t="s">
        <v>1845</v>
      </c>
      <c r="H743" s="834"/>
    </row>
    <row r="744" spans="1:8" ht="13.5" customHeight="1">
      <c r="A744" s="835"/>
      <c r="B744" s="836" t="s">
        <v>1857</v>
      </c>
      <c r="C744" s="837">
        <v>30000</v>
      </c>
      <c r="D744" s="837">
        <v>2</v>
      </c>
      <c r="E744" s="837">
        <f t="shared" ref="E744:E745" si="60">+D744*C744</f>
        <v>60000</v>
      </c>
      <c r="F744" s="838">
        <v>102.42436357187894</v>
      </c>
      <c r="G744" s="837">
        <f t="shared" ref="G744:G745" si="61">+ROUND((F744*E744)/8,0)</f>
        <v>768183</v>
      </c>
      <c r="H744" s="839"/>
    </row>
    <row r="745" spans="1:8" ht="13.5" customHeight="1">
      <c r="A745" s="835"/>
      <c r="B745" s="836" t="s">
        <v>1858</v>
      </c>
      <c r="C745" s="837">
        <v>40000</v>
      </c>
      <c r="D745" s="837">
        <v>1</v>
      </c>
      <c r="E745" s="837">
        <f t="shared" si="60"/>
        <v>40000</v>
      </c>
      <c r="F745" s="838">
        <f>+F744</f>
        <v>102.42436357187894</v>
      </c>
      <c r="G745" s="837">
        <f t="shared" si="61"/>
        <v>512122</v>
      </c>
      <c r="H745" s="840"/>
    </row>
    <row r="746" spans="1:8" ht="13.5" customHeight="1">
      <c r="A746" s="824"/>
      <c r="B746" s="804"/>
      <c r="C746" s="805"/>
      <c r="D746" s="806"/>
      <c r="E746" s="806"/>
      <c r="F746" s="800"/>
      <c r="G746" s="841" t="s">
        <v>1560</v>
      </c>
      <c r="H746" s="823">
        <f>SUM(G744:G745)</f>
        <v>1280305</v>
      </c>
    </row>
    <row r="747" spans="1:8" ht="13.5" customHeight="1">
      <c r="A747" s="824"/>
      <c r="B747" s="804"/>
      <c r="C747" s="805"/>
      <c r="D747" s="806"/>
      <c r="E747" s="806"/>
      <c r="F747" s="800"/>
      <c r="G747" s="806"/>
      <c r="H747" s="829"/>
    </row>
    <row r="748" spans="1:8" ht="13.5" customHeight="1">
      <c r="A748" s="824"/>
      <c r="B748" s="804"/>
      <c r="C748" s="805"/>
      <c r="D748" s="806"/>
      <c r="E748" s="806"/>
      <c r="F748" s="842" t="s">
        <v>142</v>
      </c>
      <c r="G748" s="806"/>
      <c r="H748" s="843">
        <f>+H746+H739+H728+0.0285483</f>
        <v>17863627.83336547</v>
      </c>
    </row>
    <row r="749" spans="1:8" ht="13.5" customHeight="1">
      <c r="A749" s="824"/>
      <c r="B749" s="804"/>
      <c r="C749" s="805"/>
      <c r="D749" s="806"/>
      <c r="E749" s="806"/>
      <c r="F749" s="842"/>
      <c r="G749" s="806"/>
      <c r="H749" s="829"/>
    </row>
    <row r="750" spans="1:8" ht="13.5" customHeight="1">
      <c r="A750" s="824"/>
      <c r="B750" s="801"/>
      <c r="C750" s="805"/>
      <c r="D750" s="806"/>
      <c r="E750" s="806"/>
      <c r="F750" s="800"/>
      <c r="G750" s="825"/>
      <c r="H750" s="802"/>
    </row>
    <row r="751" spans="1:8" ht="13.5" customHeight="1">
      <c r="A751" s="847"/>
      <c r="B751" s="848"/>
      <c r="C751" s="849"/>
      <c r="D751" s="806"/>
      <c r="E751" s="806"/>
      <c r="F751" s="800"/>
      <c r="G751" s="804"/>
      <c r="H751" s="826"/>
    </row>
    <row r="752" spans="1:8" ht="13.5" customHeight="1">
      <c r="A752" s="824" t="s">
        <v>1835</v>
      </c>
      <c r="B752" s="801"/>
      <c r="C752" s="805"/>
      <c r="D752" s="806"/>
      <c r="E752" s="806"/>
      <c r="F752" s="2021"/>
      <c r="G752" s="1825"/>
      <c r="H752" s="826"/>
    </row>
    <row r="753" spans="1:8" ht="13.5" customHeight="1">
      <c r="A753" s="847" t="s">
        <v>1859</v>
      </c>
      <c r="B753" s="848"/>
      <c r="C753" s="849"/>
      <c r="D753" s="850"/>
      <c r="E753" s="850"/>
      <c r="F753" s="851"/>
      <c r="G753" s="852"/>
      <c r="H753" s="853"/>
    </row>
    <row r="754" spans="1:8" ht="13.5" customHeight="1">
      <c r="A754" s="804"/>
      <c r="B754" s="801"/>
      <c r="C754" s="805"/>
      <c r="D754" s="806"/>
      <c r="E754" s="806"/>
      <c r="F754" s="800"/>
      <c r="G754" s="804"/>
      <c r="H754" s="804"/>
    </row>
    <row r="755" spans="1:8" ht="13.5" customHeight="1">
      <c r="A755" s="2046" t="s">
        <v>1834</v>
      </c>
      <c r="B755" s="1811"/>
      <c r="C755" s="1811"/>
      <c r="D755" s="1811"/>
      <c r="E755" s="1811"/>
      <c r="F755" s="1811"/>
      <c r="G755" s="1811"/>
      <c r="H755" s="1812"/>
    </row>
    <row r="756" spans="1:8" ht="13.5" customHeight="1">
      <c r="A756" s="2035" t="s">
        <v>559</v>
      </c>
      <c r="B756" s="2036"/>
      <c r="C756" s="2036"/>
      <c r="D756" s="2037"/>
      <c r="E756" s="2042" t="s">
        <v>1835</v>
      </c>
      <c r="F756" s="2036"/>
      <c r="G756" s="2036"/>
      <c r="H756" s="2043"/>
    </row>
    <row r="757" spans="1:8" ht="13.5" customHeight="1">
      <c r="A757" s="2038"/>
      <c r="B757" s="1605"/>
      <c r="C757" s="1605"/>
      <c r="D757" s="2039"/>
      <c r="E757" s="2044"/>
      <c r="F757" s="1605"/>
      <c r="G757" s="1605"/>
      <c r="H757" s="1606"/>
    </row>
    <row r="758" spans="1:8" ht="13.5" customHeight="1">
      <c r="A758" s="2040"/>
      <c r="B758" s="1608"/>
      <c r="C758" s="1608"/>
      <c r="D758" s="2041"/>
      <c r="E758" s="2045"/>
      <c r="F758" s="1608"/>
      <c r="G758" s="1608"/>
      <c r="H758" s="1919"/>
    </row>
    <row r="759" spans="1:8" ht="13.5" customHeight="1">
      <c r="A759" s="2027" t="s">
        <v>1906</v>
      </c>
      <c r="B759" s="2028"/>
      <c r="C759" s="2028"/>
      <c r="D759" s="2028"/>
      <c r="E759" s="2028"/>
      <c r="F759" s="2028"/>
      <c r="G759" s="2028"/>
      <c r="H759" s="2029"/>
    </row>
    <row r="760" spans="1:8" ht="13.5" customHeight="1">
      <c r="A760" s="793"/>
      <c r="B760" s="794"/>
      <c r="C760" s="794"/>
      <c r="D760" s="794"/>
      <c r="E760" s="794"/>
      <c r="F760" s="794"/>
      <c r="G760" s="794"/>
      <c r="H760" s="795"/>
    </row>
    <row r="761" spans="1:8" ht="13.5" customHeight="1">
      <c r="A761" s="2030"/>
      <c r="B761" s="1824"/>
      <c r="C761" s="1824"/>
      <c r="D761" s="1824"/>
      <c r="E761" s="1825"/>
      <c r="F761" s="794"/>
      <c r="G761" s="794"/>
      <c r="H761" s="795"/>
    </row>
    <row r="762" spans="1:8" ht="13.5" customHeight="1">
      <c r="A762" s="793"/>
      <c r="B762" s="794"/>
      <c r="C762" s="794"/>
      <c r="D762" s="794"/>
      <c r="E762" s="794"/>
      <c r="F762" s="794"/>
      <c r="G762" s="794"/>
      <c r="H762" s="795"/>
    </row>
    <row r="763" spans="1:8" ht="13.5" customHeight="1">
      <c r="A763" s="2030" t="s">
        <v>1837</v>
      </c>
      <c r="B763" s="1825"/>
      <c r="C763" s="794"/>
      <c r="D763" s="794"/>
      <c r="E763" s="794"/>
      <c r="F763" s="794"/>
      <c r="G763" s="794"/>
      <c r="H763" s="795"/>
    </row>
    <row r="764" spans="1:8" ht="13.5" customHeight="1">
      <c r="A764" s="2031" t="s">
        <v>463</v>
      </c>
      <c r="B764" s="1824"/>
      <c r="C764" s="1824"/>
      <c r="D764" s="1824"/>
      <c r="E764" s="1824"/>
      <c r="F764" s="1824"/>
      <c r="G764" s="1824"/>
      <c r="H764" s="2032"/>
    </row>
    <row r="765" spans="1:8" ht="13.5" customHeight="1">
      <c r="A765" s="796"/>
      <c r="B765" s="797"/>
      <c r="C765" s="798"/>
      <c r="D765" s="799"/>
      <c r="E765" s="799"/>
      <c r="F765" s="800"/>
      <c r="G765" s="801" t="s">
        <v>1924</v>
      </c>
      <c r="H765" s="802"/>
    </row>
    <row r="766" spans="1:8" ht="13.5" customHeight="1">
      <c r="A766" s="803" t="s">
        <v>1839</v>
      </c>
      <c r="B766" s="804"/>
      <c r="C766" s="805"/>
      <c r="D766" s="806"/>
      <c r="E766" s="806"/>
      <c r="F766" s="800"/>
      <c r="G766" s="807" t="s">
        <v>1871</v>
      </c>
      <c r="H766" s="802"/>
    </row>
    <row r="767" spans="1:8" ht="13.5" customHeight="1">
      <c r="A767" s="2022" t="s">
        <v>376</v>
      </c>
      <c r="B767" s="1611"/>
      <c r="C767" s="808" t="s">
        <v>1219</v>
      </c>
      <c r="D767" s="809" t="s">
        <v>1841</v>
      </c>
      <c r="E767" s="809" t="s">
        <v>1842</v>
      </c>
      <c r="F767" s="810" t="s">
        <v>1843</v>
      </c>
      <c r="G767" s="811" t="s">
        <v>1844</v>
      </c>
      <c r="H767" s="812"/>
    </row>
    <row r="768" spans="1:8" ht="13.5" customHeight="1">
      <c r="A768" s="854" t="s">
        <v>1568</v>
      </c>
      <c r="B768" s="808"/>
      <c r="C768" s="813" t="s">
        <v>1614</v>
      </c>
      <c r="D768" s="814">
        <v>1500</v>
      </c>
      <c r="E768" s="814"/>
      <c r="F768" s="815">
        <v>0.2</v>
      </c>
      <c r="G768" s="816">
        <f t="shared" ref="G768:G769" si="62">+D768*F768</f>
        <v>300</v>
      </c>
      <c r="H768" s="812"/>
    </row>
    <row r="769" spans="1:8" ht="13.5" customHeight="1">
      <c r="A769" s="2020"/>
      <c r="B769" s="1611"/>
      <c r="C769" s="813"/>
      <c r="D769" s="817"/>
      <c r="E769" s="817"/>
      <c r="F769" s="815"/>
      <c r="G769" s="816">
        <f t="shared" si="62"/>
        <v>0</v>
      </c>
      <c r="H769" s="812"/>
    </row>
    <row r="770" spans="1:8" ht="13.5" customHeight="1">
      <c r="A770" s="2023"/>
      <c r="B770" s="1611"/>
      <c r="C770" s="818"/>
      <c r="D770" s="819"/>
      <c r="E770" s="819"/>
      <c r="F770" s="819"/>
      <c r="G770" s="820"/>
      <c r="H770" s="821"/>
    </row>
    <row r="771" spans="1:8" ht="13.5" customHeight="1">
      <c r="A771" s="2033"/>
      <c r="B771" s="1825"/>
      <c r="C771" s="805"/>
      <c r="D771" s="806"/>
      <c r="E771" s="806"/>
      <c r="F771" s="800"/>
      <c r="G771" s="822" t="s">
        <v>1560</v>
      </c>
      <c r="H771" s="823">
        <f>SUM(G768:G770)</f>
        <v>300</v>
      </c>
    </row>
    <row r="772" spans="1:8" ht="13.5" customHeight="1">
      <c r="A772" s="824"/>
      <c r="B772" s="804"/>
      <c r="C772" s="805"/>
      <c r="D772" s="806"/>
      <c r="E772" s="806"/>
      <c r="F772" s="800"/>
      <c r="G772" s="825"/>
      <c r="H772" s="802"/>
    </row>
    <row r="773" spans="1:8" ht="13.5" customHeight="1">
      <c r="A773" s="803" t="s">
        <v>1561</v>
      </c>
      <c r="B773" s="804"/>
      <c r="C773" s="805"/>
      <c r="D773" s="806"/>
      <c r="E773" s="806"/>
      <c r="F773" s="800"/>
      <c r="G773" s="825"/>
      <c r="H773" s="802"/>
    </row>
    <row r="774" spans="1:8" ht="13.5" customHeight="1">
      <c r="A774" s="2022" t="s">
        <v>376</v>
      </c>
      <c r="B774" s="1611"/>
      <c r="C774" s="808" t="s">
        <v>1219</v>
      </c>
      <c r="D774" s="809" t="s">
        <v>1845</v>
      </c>
      <c r="E774" s="809" t="s">
        <v>1842</v>
      </c>
      <c r="F774" s="810" t="s">
        <v>673</v>
      </c>
      <c r="G774" s="811" t="s">
        <v>1845</v>
      </c>
      <c r="H774" s="826"/>
    </row>
    <row r="775" spans="1:8" ht="13.5" customHeight="1">
      <c r="A775" s="2020" t="s">
        <v>1925</v>
      </c>
      <c r="B775" s="1611"/>
      <c r="C775" s="813" t="s">
        <v>1614</v>
      </c>
      <c r="D775" s="865">
        <v>23695</v>
      </c>
      <c r="E775" s="817"/>
      <c r="F775" s="815">
        <v>1</v>
      </c>
      <c r="G775" s="866">
        <f t="shared" ref="G775:G779" si="63">+F775*D775</f>
        <v>23695</v>
      </c>
      <c r="H775" s="826"/>
    </row>
    <row r="776" spans="1:8" ht="13.5" customHeight="1">
      <c r="A776" s="2020" t="s">
        <v>1875</v>
      </c>
      <c r="B776" s="1611"/>
      <c r="C776" s="813" t="s">
        <v>1762</v>
      </c>
      <c r="D776" s="817">
        <v>110277</v>
      </c>
      <c r="E776" s="809"/>
      <c r="F776" s="815">
        <v>0.01</v>
      </c>
      <c r="G776" s="827">
        <f t="shared" si="63"/>
        <v>1102.77</v>
      </c>
      <c r="H776" s="826"/>
    </row>
    <row r="777" spans="1:8" ht="13.5" customHeight="1">
      <c r="A777" s="2020" t="s">
        <v>1851</v>
      </c>
      <c r="B777" s="1611"/>
      <c r="C777" s="813" t="s">
        <v>1762</v>
      </c>
      <c r="D777" s="817">
        <v>53176</v>
      </c>
      <c r="E777" s="809"/>
      <c r="F777" s="815">
        <v>0.01</v>
      </c>
      <c r="G777" s="827">
        <f t="shared" si="63"/>
        <v>531.76</v>
      </c>
      <c r="H777" s="826"/>
    </row>
    <row r="778" spans="1:8" ht="13.5" customHeight="1">
      <c r="A778" s="2020" t="s">
        <v>1616</v>
      </c>
      <c r="B778" s="1611"/>
      <c r="C778" s="813" t="s">
        <v>1852</v>
      </c>
      <c r="D778" s="817">
        <v>2500</v>
      </c>
      <c r="E778" s="809"/>
      <c r="F778" s="815">
        <v>0.1</v>
      </c>
      <c r="G778" s="827">
        <f t="shared" si="63"/>
        <v>250</v>
      </c>
      <c r="H778" s="826"/>
    </row>
    <row r="779" spans="1:8" ht="13.5" customHeight="1">
      <c r="A779" s="2051"/>
      <c r="B779" s="1611"/>
      <c r="C779" s="808"/>
      <c r="D779" s="809"/>
      <c r="E779" s="809"/>
      <c r="F779" s="810"/>
      <c r="G779" s="811">
        <f t="shared" si="63"/>
        <v>0</v>
      </c>
      <c r="H779" s="826"/>
    </row>
    <row r="780" spans="1:8" ht="13.5" customHeight="1">
      <c r="A780" s="2020"/>
      <c r="B780" s="1611"/>
      <c r="C780" s="813"/>
      <c r="D780" s="817"/>
      <c r="E780" s="817"/>
      <c r="F780" s="815"/>
      <c r="G780" s="861"/>
      <c r="H780" s="802"/>
    </row>
    <row r="781" spans="1:8" ht="13.5" customHeight="1">
      <c r="A781" s="824"/>
      <c r="B781" s="804"/>
      <c r="C781" s="805"/>
      <c r="D781" s="806"/>
      <c r="E781" s="806"/>
      <c r="F781" s="800"/>
      <c r="G781" s="828" t="s">
        <v>1560</v>
      </c>
      <c r="H781" s="823">
        <f>SUM(G775:G780)</f>
        <v>25579.53</v>
      </c>
    </row>
    <row r="782" spans="1:8" ht="13.5" customHeight="1">
      <c r="A782" s="803"/>
      <c r="B782" s="804"/>
      <c r="C782" s="805"/>
      <c r="D782" s="806"/>
      <c r="E782" s="806"/>
      <c r="F782" s="800"/>
      <c r="G782" s="825"/>
      <c r="H782" s="802"/>
    </row>
    <row r="783" spans="1:8" ht="13.5" customHeight="1">
      <c r="A783" s="803"/>
      <c r="B783" s="804"/>
      <c r="C783" s="805"/>
      <c r="D783" s="806"/>
      <c r="E783" s="806"/>
      <c r="F783" s="800"/>
      <c r="G783" s="804"/>
      <c r="H783" s="826"/>
    </row>
    <row r="784" spans="1:8" ht="13.5" customHeight="1">
      <c r="A784" s="803" t="s">
        <v>1564</v>
      </c>
      <c r="B784" s="804"/>
      <c r="C784" s="805"/>
      <c r="D784" s="806"/>
      <c r="E784" s="806"/>
      <c r="F784" s="800"/>
      <c r="G784" s="806"/>
      <c r="H784" s="829"/>
    </row>
    <row r="785" spans="1:8" ht="13.5" customHeight="1">
      <c r="A785" s="830" t="s">
        <v>1853</v>
      </c>
      <c r="B785" s="831" t="s">
        <v>1854</v>
      </c>
      <c r="C785" s="808" t="s">
        <v>1855</v>
      </c>
      <c r="D785" s="832" t="s">
        <v>1244</v>
      </c>
      <c r="E785" s="809" t="s">
        <v>1856</v>
      </c>
      <c r="F785" s="810" t="s">
        <v>1843</v>
      </c>
      <c r="G785" s="833" t="s">
        <v>1845</v>
      </c>
      <c r="H785" s="834"/>
    </row>
    <row r="786" spans="1:8" ht="13.5" customHeight="1">
      <c r="A786" s="835"/>
      <c r="B786" s="836" t="s">
        <v>1857</v>
      </c>
      <c r="C786" s="837">
        <v>30000</v>
      </c>
      <c r="D786" s="837">
        <v>1</v>
      </c>
      <c r="E786" s="837">
        <f t="shared" ref="E786:E787" si="64">+D786*C786</f>
        <v>30000</v>
      </c>
      <c r="F786" s="838">
        <v>0.5</v>
      </c>
      <c r="G786" s="837">
        <f t="shared" ref="G786:G787" si="65">+ROUND((F786*E786)/8,0)</f>
        <v>1875</v>
      </c>
      <c r="H786" s="839"/>
    </row>
    <row r="787" spans="1:8" ht="13.5" customHeight="1">
      <c r="A787" s="835"/>
      <c r="B787" s="836" t="s">
        <v>1858</v>
      </c>
      <c r="C787" s="837">
        <v>40000</v>
      </c>
      <c r="D787" s="837">
        <v>1</v>
      </c>
      <c r="E787" s="837">
        <f t="shared" si="64"/>
        <v>40000</v>
      </c>
      <c r="F787" s="838">
        <f>+F786</f>
        <v>0.5</v>
      </c>
      <c r="G787" s="837">
        <f t="shared" si="65"/>
        <v>2500</v>
      </c>
      <c r="H787" s="840"/>
    </row>
    <row r="788" spans="1:8" ht="13.5" customHeight="1">
      <c r="A788" s="824"/>
      <c r="B788" s="804"/>
      <c r="C788" s="805"/>
      <c r="D788" s="806"/>
      <c r="E788" s="806"/>
      <c r="F788" s="800"/>
      <c r="G788" s="841" t="s">
        <v>1560</v>
      </c>
      <c r="H788" s="823">
        <f>SUM(G786:G787)</f>
        <v>4375</v>
      </c>
    </row>
    <row r="789" spans="1:8" ht="13.5" customHeight="1">
      <c r="A789" s="824"/>
      <c r="B789" s="804"/>
      <c r="C789" s="805"/>
      <c r="D789" s="806"/>
      <c r="E789" s="806"/>
      <c r="F789" s="800"/>
      <c r="G789" s="806"/>
      <c r="H789" s="829"/>
    </row>
    <row r="790" spans="1:8" ht="13.5" customHeight="1">
      <c r="A790" s="824"/>
      <c r="B790" s="804"/>
      <c r="C790" s="805"/>
      <c r="D790" s="806"/>
      <c r="E790" s="806"/>
      <c r="F790" s="842" t="s">
        <v>142</v>
      </c>
      <c r="G790" s="806"/>
      <c r="H790" s="843">
        <f>+H788+H781+H771</f>
        <v>30254.53</v>
      </c>
    </row>
    <row r="791" spans="1:8" ht="13.5" customHeight="1">
      <c r="A791" s="824"/>
      <c r="B791" s="804"/>
      <c r="C791" s="805"/>
      <c r="D791" s="806"/>
      <c r="E791" s="806"/>
      <c r="F791" s="842"/>
      <c r="G791" s="806"/>
      <c r="H791" s="829"/>
    </row>
    <row r="792" spans="1:8" ht="13.5" customHeight="1">
      <c r="A792" s="824"/>
      <c r="B792" s="801"/>
      <c r="C792" s="805"/>
      <c r="D792" s="806"/>
      <c r="E792" s="806"/>
      <c r="F792" s="800"/>
      <c r="G792" s="825"/>
      <c r="H792" s="802"/>
    </row>
    <row r="793" spans="1:8" ht="13.5" customHeight="1">
      <c r="A793" s="847"/>
      <c r="B793" s="848"/>
      <c r="C793" s="849"/>
      <c r="D793" s="806"/>
      <c r="E793" s="806"/>
      <c r="F793" s="800"/>
      <c r="G793" s="804"/>
      <c r="H793" s="826"/>
    </row>
    <row r="794" spans="1:8" ht="13.5" customHeight="1">
      <c r="A794" s="824" t="s">
        <v>1835</v>
      </c>
      <c r="B794" s="801"/>
      <c r="C794" s="805"/>
      <c r="D794" s="806"/>
      <c r="E794" s="806"/>
      <c r="F794" s="2021"/>
      <c r="G794" s="1825"/>
      <c r="H794" s="826"/>
    </row>
    <row r="795" spans="1:8" ht="13.5" customHeight="1">
      <c r="A795" s="847" t="s">
        <v>1859</v>
      </c>
      <c r="B795" s="848"/>
      <c r="C795" s="849"/>
      <c r="D795" s="850"/>
      <c r="E795" s="850"/>
      <c r="F795" s="851"/>
      <c r="G795" s="852"/>
      <c r="H795" s="853"/>
    </row>
    <row r="796" spans="1:8" ht="13.5" customHeight="1">
      <c r="A796" s="824"/>
      <c r="B796" s="801"/>
      <c r="C796" s="805"/>
      <c r="D796" s="806"/>
      <c r="E796" s="806"/>
      <c r="F796" s="800"/>
      <c r="G796" s="804"/>
      <c r="H796" s="826"/>
    </row>
    <row r="797" spans="1:8" ht="13.5" customHeight="1">
      <c r="A797" s="824"/>
      <c r="B797" s="801"/>
      <c r="C797" s="805"/>
      <c r="D797" s="806"/>
      <c r="E797" s="806"/>
      <c r="F797" s="800"/>
      <c r="G797" s="804"/>
      <c r="H797" s="826"/>
    </row>
    <row r="798" spans="1:8" ht="13.5" customHeight="1">
      <c r="A798" s="844"/>
      <c r="B798" s="845"/>
      <c r="C798" s="845"/>
      <c r="D798" s="845"/>
      <c r="E798" s="845"/>
      <c r="F798" s="845"/>
      <c r="G798" s="845"/>
      <c r="H798" s="846"/>
    </row>
    <row r="799" spans="1:8" ht="13.5" customHeight="1">
      <c r="A799" s="2046" t="s">
        <v>1834</v>
      </c>
      <c r="B799" s="1811"/>
      <c r="C799" s="1811"/>
      <c r="D799" s="1811"/>
      <c r="E799" s="1811"/>
      <c r="F799" s="1811"/>
      <c r="G799" s="1811"/>
      <c r="H799" s="1812"/>
    </row>
    <row r="800" spans="1:8" ht="13.5" customHeight="1">
      <c r="A800" s="2035" t="s">
        <v>559</v>
      </c>
      <c r="B800" s="2036"/>
      <c r="C800" s="2036"/>
      <c r="D800" s="2037"/>
      <c r="E800" s="2042" t="s">
        <v>1835</v>
      </c>
      <c r="F800" s="2036"/>
      <c r="G800" s="2036"/>
      <c r="H800" s="2043"/>
    </row>
    <row r="801" spans="1:8" ht="13.5" customHeight="1">
      <c r="A801" s="2038"/>
      <c r="B801" s="1605"/>
      <c r="C801" s="1605"/>
      <c r="D801" s="2039"/>
      <c r="E801" s="2044"/>
      <c r="F801" s="1605"/>
      <c r="G801" s="1605"/>
      <c r="H801" s="1606"/>
    </row>
    <row r="802" spans="1:8" ht="13.5" customHeight="1">
      <c r="A802" s="2040"/>
      <c r="B802" s="1608"/>
      <c r="C802" s="1608"/>
      <c r="D802" s="2041"/>
      <c r="E802" s="2045"/>
      <c r="F802" s="1608"/>
      <c r="G802" s="1608"/>
      <c r="H802" s="1919"/>
    </row>
    <row r="803" spans="1:8" ht="13.5" customHeight="1">
      <c r="A803" s="2027" t="s">
        <v>1906</v>
      </c>
      <c r="B803" s="2028"/>
      <c r="C803" s="2028"/>
      <c r="D803" s="2028"/>
      <c r="E803" s="2028"/>
      <c r="F803" s="2028"/>
      <c r="G803" s="2028"/>
      <c r="H803" s="2029"/>
    </row>
    <row r="804" spans="1:8" ht="13.5" customHeight="1">
      <c r="A804" s="793"/>
      <c r="B804" s="794"/>
      <c r="C804" s="794"/>
      <c r="D804" s="794"/>
      <c r="E804" s="794"/>
      <c r="F804" s="794"/>
      <c r="G804" s="794"/>
      <c r="H804" s="795"/>
    </row>
    <row r="805" spans="1:8" ht="13.5" customHeight="1">
      <c r="A805" s="2030"/>
      <c r="B805" s="1824"/>
      <c r="C805" s="1824"/>
      <c r="D805" s="1824"/>
      <c r="E805" s="1825"/>
      <c r="F805" s="794"/>
      <c r="G805" s="794"/>
      <c r="H805" s="795"/>
    </row>
    <row r="806" spans="1:8" ht="13.5" customHeight="1">
      <c r="A806" s="793"/>
      <c r="B806" s="794"/>
      <c r="C806" s="794"/>
      <c r="D806" s="794"/>
      <c r="E806" s="794"/>
      <c r="F806" s="794"/>
      <c r="G806" s="794"/>
      <c r="H806" s="795"/>
    </row>
    <row r="807" spans="1:8" ht="13.5" customHeight="1">
      <c r="A807" s="2030" t="s">
        <v>1837</v>
      </c>
      <c r="B807" s="1825"/>
      <c r="C807" s="794"/>
      <c r="D807" s="794"/>
      <c r="E807" s="794"/>
      <c r="F807" s="794"/>
      <c r="G807" s="794"/>
      <c r="H807" s="795"/>
    </row>
    <row r="808" spans="1:8" ht="13.5" customHeight="1">
      <c r="A808" s="2031" t="s">
        <v>476</v>
      </c>
      <c r="B808" s="1824"/>
      <c r="C808" s="1824"/>
      <c r="D808" s="1824"/>
      <c r="E808" s="1824"/>
      <c r="F808" s="1824"/>
      <c r="G808" s="1824"/>
      <c r="H808" s="2032"/>
    </row>
    <row r="809" spans="1:8" ht="13.5" customHeight="1">
      <c r="A809" s="796"/>
      <c r="B809" s="797"/>
      <c r="C809" s="798"/>
      <c r="D809" s="799"/>
      <c r="E809" s="799"/>
      <c r="F809" s="800"/>
      <c r="G809" s="801" t="s">
        <v>1926</v>
      </c>
      <c r="H809" s="802"/>
    </row>
    <row r="810" spans="1:8" ht="13.5" customHeight="1">
      <c r="A810" s="803" t="s">
        <v>1839</v>
      </c>
      <c r="B810" s="804"/>
      <c r="C810" s="805"/>
      <c r="D810" s="806"/>
      <c r="E810" s="806"/>
      <c r="F810" s="800"/>
      <c r="G810" s="807" t="s">
        <v>1840</v>
      </c>
      <c r="H810" s="802"/>
    </row>
    <row r="811" spans="1:8" ht="13.5" customHeight="1">
      <c r="A811" s="2022" t="s">
        <v>376</v>
      </c>
      <c r="B811" s="1611"/>
      <c r="C811" s="808" t="s">
        <v>1219</v>
      </c>
      <c r="D811" s="809" t="s">
        <v>1841</v>
      </c>
      <c r="E811" s="809" t="s">
        <v>1842</v>
      </c>
      <c r="F811" s="810" t="s">
        <v>1843</v>
      </c>
      <c r="G811" s="811" t="s">
        <v>1844</v>
      </c>
      <c r="H811" s="812"/>
    </row>
    <row r="812" spans="1:8" ht="13.5" customHeight="1">
      <c r="A812" s="854" t="s">
        <v>1568</v>
      </c>
      <c r="B812" s="808"/>
      <c r="C812" s="813" t="s">
        <v>1614</v>
      </c>
      <c r="D812" s="814">
        <v>10000</v>
      </c>
      <c r="E812" s="814"/>
      <c r="F812" s="815">
        <v>1</v>
      </c>
      <c r="G812" s="816">
        <f t="shared" ref="G812:G813" si="66">+D812*F812</f>
        <v>10000</v>
      </c>
      <c r="H812" s="812"/>
    </row>
    <row r="813" spans="1:8" ht="13.5" customHeight="1">
      <c r="A813" s="2020"/>
      <c r="B813" s="1611"/>
      <c r="C813" s="813"/>
      <c r="D813" s="817"/>
      <c r="E813" s="817"/>
      <c r="F813" s="815"/>
      <c r="G813" s="816">
        <f t="shared" si="66"/>
        <v>0</v>
      </c>
      <c r="H813" s="812"/>
    </row>
    <row r="814" spans="1:8" ht="13.5" customHeight="1">
      <c r="A814" s="2023"/>
      <c r="B814" s="1611"/>
      <c r="C814" s="818"/>
      <c r="D814" s="819"/>
      <c r="E814" s="819"/>
      <c r="F814" s="819"/>
      <c r="G814" s="820"/>
      <c r="H814" s="821"/>
    </row>
    <row r="815" spans="1:8" ht="13.5" customHeight="1">
      <c r="A815" s="2033"/>
      <c r="B815" s="1825"/>
      <c r="C815" s="805"/>
      <c r="D815" s="806"/>
      <c r="E815" s="806"/>
      <c r="F815" s="800"/>
      <c r="G815" s="822" t="s">
        <v>1560</v>
      </c>
      <c r="H815" s="823">
        <f>SUM(G812:G814)</f>
        <v>10000</v>
      </c>
    </row>
    <row r="817" spans="1:8" ht="13.5" customHeight="1">
      <c r="A817" s="803" t="s">
        <v>1561</v>
      </c>
      <c r="B817" s="804"/>
      <c r="C817" s="805"/>
      <c r="D817" s="806"/>
      <c r="E817" s="806"/>
      <c r="F817" s="800"/>
      <c r="G817" s="825"/>
      <c r="H817" s="802"/>
    </row>
    <row r="818" spans="1:8" ht="13.5" customHeight="1">
      <c r="A818" s="2022" t="s">
        <v>376</v>
      </c>
      <c r="B818" s="1611"/>
      <c r="C818" s="808" t="s">
        <v>1219</v>
      </c>
      <c r="D818" s="809" t="s">
        <v>1845</v>
      </c>
      <c r="E818" s="809" t="s">
        <v>1842</v>
      </c>
      <c r="F818" s="810" t="s">
        <v>673</v>
      </c>
      <c r="G818" s="811" t="s">
        <v>1845</v>
      </c>
      <c r="H818" s="826"/>
    </row>
    <row r="819" spans="1:8" ht="13.5" customHeight="1">
      <c r="A819" s="2020" t="s">
        <v>1927</v>
      </c>
      <c r="B819" s="1611"/>
      <c r="C819" s="813" t="s">
        <v>116</v>
      </c>
      <c r="D819" s="867">
        <v>300000</v>
      </c>
      <c r="E819" s="817"/>
      <c r="F819" s="815">
        <v>0.35</v>
      </c>
      <c r="G819" s="827">
        <f>+D819*F819</f>
        <v>105000</v>
      </c>
      <c r="H819" s="826"/>
    </row>
    <row r="820" spans="1:8" ht="13.5" customHeight="1">
      <c r="A820" s="2020" t="s">
        <v>266</v>
      </c>
      <c r="B820" s="1611"/>
      <c r="C820" s="813" t="s">
        <v>171</v>
      </c>
      <c r="D820" s="817">
        <v>3500</v>
      </c>
      <c r="E820" s="817"/>
      <c r="F820" s="815">
        <v>14</v>
      </c>
      <c r="G820" s="827">
        <f t="shared" ref="G820:G821" si="67">+F820*D820</f>
        <v>49000</v>
      </c>
      <c r="H820" s="826"/>
    </row>
    <row r="821" spans="1:8" ht="13.5" customHeight="1">
      <c r="A821" s="2020" t="s">
        <v>1665</v>
      </c>
      <c r="B821" s="1611"/>
      <c r="C821" s="813" t="s">
        <v>127</v>
      </c>
      <c r="D821" s="817">
        <v>38500</v>
      </c>
      <c r="E821" s="817"/>
      <c r="F821" s="815">
        <v>0.5</v>
      </c>
      <c r="G821" s="861">
        <f t="shared" si="67"/>
        <v>19250</v>
      </c>
      <c r="H821" s="802"/>
    </row>
    <row r="822" spans="1:8" ht="13.5" customHeight="1">
      <c r="A822" s="824"/>
      <c r="B822" s="804"/>
      <c r="C822" s="805"/>
      <c r="D822" s="806"/>
      <c r="E822" s="806"/>
      <c r="F822" s="800"/>
      <c r="G822" s="828" t="s">
        <v>1560</v>
      </c>
      <c r="H822" s="823">
        <f>SUM(G819:G821)</f>
        <v>173250</v>
      </c>
    </row>
    <row r="823" spans="1:8" ht="13.5" customHeight="1">
      <c r="A823" s="803"/>
      <c r="B823" s="804"/>
      <c r="C823" s="805"/>
      <c r="D823" s="806"/>
      <c r="E823" s="806"/>
      <c r="F823" s="800"/>
      <c r="G823" s="825"/>
      <c r="H823" s="802"/>
    </row>
    <row r="824" spans="1:8" ht="13.5" customHeight="1">
      <c r="A824" s="803"/>
      <c r="B824" s="804"/>
      <c r="C824" s="805"/>
      <c r="D824" s="806"/>
      <c r="E824" s="806"/>
      <c r="F824" s="800"/>
      <c r="G824" s="804"/>
      <c r="H824" s="826"/>
    </row>
    <row r="825" spans="1:8" ht="13.5" customHeight="1">
      <c r="A825" s="803" t="s">
        <v>1564</v>
      </c>
      <c r="B825" s="804"/>
      <c r="C825" s="805"/>
      <c r="D825" s="806"/>
      <c r="E825" s="806"/>
      <c r="F825" s="800"/>
      <c r="G825" s="806"/>
      <c r="H825" s="829"/>
    </row>
    <row r="826" spans="1:8" ht="13.5" customHeight="1">
      <c r="A826" s="830" t="s">
        <v>1853</v>
      </c>
      <c r="B826" s="831" t="s">
        <v>1854</v>
      </c>
      <c r="C826" s="808" t="s">
        <v>1855</v>
      </c>
      <c r="D826" s="832" t="s">
        <v>1244</v>
      </c>
      <c r="E826" s="809" t="s">
        <v>1856</v>
      </c>
      <c r="F826" s="810" t="s">
        <v>1843</v>
      </c>
      <c r="G826" s="833" t="s">
        <v>1845</v>
      </c>
      <c r="H826" s="834"/>
    </row>
    <row r="827" spans="1:8" ht="13.5" customHeight="1">
      <c r="A827" s="835"/>
      <c r="B827" s="836" t="s">
        <v>1857</v>
      </c>
      <c r="C827" s="837">
        <v>30000</v>
      </c>
      <c r="D827" s="837">
        <v>2</v>
      </c>
      <c r="E827" s="837">
        <f t="shared" ref="E827:E828" si="68">+D827*C827</f>
        <v>60000</v>
      </c>
      <c r="F827" s="838">
        <v>6.45</v>
      </c>
      <c r="G827" s="837">
        <f t="shared" ref="G827:G828" si="69">+ROUND((F827*E827)/8,0)</f>
        <v>48375</v>
      </c>
      <c r="H827" s="839"/>
    </row>
    <row r="828" spans="1:8" ht="13.5" customHeight="1">
      <c r="A828" s="835"/>
      <c r="B828" s="836" t="s">
        <v>1858</v>
      </c>
      <c r="C828" s="837">
        <v>40000</v>
      </c>
      <c r="D828" s="837">
        <v>1</v>
      </c>
      <c r="E828" s="837">
        <f t="shared" si="68"/>
        <v>40000</v>
      </c>
      <c r="F828" s="838">
        <f>+F827</f>
        <v>6.45</v>
      </c>
      <c r="G828" s="837">
        <f t="shared" si="69"/>
        <v>32250</v>
      </c>
      <c r="H828" s="840"/>
    </row>
    <row r="829" spans="1:8" ht="13.5" customHeight="1">
      <c r="A829" s="824"/>
      <c r="B829" s="804"/>
      <c r="C829" s="805"/>
      <c r="D829" s="806"/>
      <c r="E829" s="806"/>
      <c r="F829" s="800"/>
      <c r="G829" s="841" t="s">
        <v>1560</v>
      </c>
      <c r="H829" s="823">
        <f>SUM(G827:G828)</f>
        <v>80625</v>
      </c>
    </row>
    <row r="830" spans="1:8" ht="13.5" customHeight="1">
      <c r="A830" s="824"/>
      <c r="B830" s="804"/>
      <c r="C830" s="805"/>
      <c r="D830" s="806"/>
      <c r="E830" s="806"/>
      <c r="F830" s="800"/>
      <c r="G830" s="806"/>
      <c r="H830" s="829"/>
    </row>
    <row r="831" spans="1:8" ht="13.5" customHeight="1">
      <c r="A831" s="824"/>
      <c r="B831" s="804"/>
      <c r="C831" s="805"/>
      <c r="D831" s="806"/>
      <c r="E831" s="806"/>
      <c r="F831" s="842" t="s">
        <v>142</v>
      </c>
      <c r="G831" s="806"/>
      <c r="H831" s="843">
        <f>+H829+H822+H815</f>
        <v>263875</v>
      </c>
    </row>
    <row r="835" spans="1:8" ht="13.5" customHeight="1">
      <c r="A835" s="824" t="s">
        <v>1835</v>
      </c>
      <c r="B835" s="801"/>
      <c r="C835" s="805"/>
      <c r="D835" s="806"/>
      <c r="E835" s="806"/>
      <c r="F835" s="2021"/>
      <c r="G835" s="1825"/>
      <c r="H835" s="826"/>
    </row>
    <row r="836" spans="1:8" ht="13.5" customHeight="1">
      <c r="A836" s="847" t="s">
        <v>1859</v>
      </c>
      <c r="B836" s="848"/>
      <c r="C836" s="849"/>
      <c r="D836" s="850"/>
      <c r="E836" s="850"/>
      <c r="F836" s="851"/>
      <c r="G836" s="852"/>
      <c r="H836" s="853"/>
    </row>
    <row r="837" spans="1:8" ht="13.5" customHeight="1">
      <c r="A837" s="792"/>
      <c r="B837" s="792"/>
      <c r="C837" s="792"/>
      <c r="D837" s="792"/>
      <c r="E837" s="792"/>
      <c r="F837" s="792"/>
      <c r="G837" s="792"/>
      <c r="H837" s="792"/>
    </row>
    <row r="838" spans="1:8" ht="13.5" customHeight="1">
      <c r="A838" s="2046" t="s">
        <v>1834</v>
      </c>
      <c r="B838" s="1811"/>
      <c r="C838" s="1811"/>
      <c r="D838" s="1811"/>
      <c r="E838" s="1811"/>
      <c r="F838" s="1811"/>
      <c r="G838" s="1811"/>
      <c r="H838" s="1812"/>
    </row>
    <row r="839" spans="1:8" ht="13.5" customHeight="1">
      <c r="A839" s="2035" t="s">
        <v>559</v>
      </c>
      <c r="B839" s="2036"/>
      <c r="C839" s="2036"/>
      <c r="D839" s="2037"/>
      <c r="E839" s="2042" t="s">
        <v>1835</v>
      </c>
      <c r="F839" s="2036"/>
      <c r="G839" s="2036"/>
      <c r="H839" s="2043"/>
    </row>
    <row r="840" spans="1:8" ht="13.5" customHeight="1">
      <c r="A840" s="2038"/>
      <c r="B840" s="1605"/>
      <c r="C840" s="1605"/>
      <c r="D840" s="2039"/>
      <c r="E840" s="2044"/>
      <c r="F840" s="1605"/>
      <c r="G840" s="1605"/>
      <c r="H840" s="1606"/>
    </row>
    <row r="841" spans="1:8" ht="13.5" customHeight="1">
      <c r="A841" s="2040"/>
      <c r="B841" s="1608"/>
      <c r="C841" s="1608"/>
      <c r="D841" s="2041"/>
      <c r="E841" s="2045"/>
      <c r="F841" s="1608"/>
      <c r="G841" s="1608"/>
      <c r="H841" s="1919"/>
    </row>
    <row r="842" spans="1:8" ht="13.5" customHeight="1">
      <c r="A842" s="2027" t="s">
        <v>1906</v>
      </c>
      <c r="B842" s="2028"/>
      <c r="C842" s="2028"/>
      <c r="D842" s="2028"/>
      <c r="E842" s="2028"/>
      <c r="F842" s="2028"/>
      <c r="G842" s="2028"/>
      <c r="H842" s="2029"/>
    </row>
    <row r="843" spans="1:8" ht="13.5" customHeight="1">
      <c r="A843" s="793"/>
      <c r="B843" s="794"/>
      <c r="C843" s="794"/>
      <c r="D843" s="794"/>
      <c r="E843" s="794"/>
      <c r="F843" s="794"/>
      <c r="G843" s="794"/>
      <c r="H843" s="795"/>
    </row>
    <row r="844" spans="1:8" ht="13.5" customHeight="1">
      <c r="A844" s="2030"/>
      <c r="B844" s="1824"/>
      <c r="C844" s="1824"/>
      <c r="D844" s="1824"/>
      <c r="E844" s="1825"/>
      <c r="F844" s="794"/>
      <c r="G844" s="794"/>
      <c r="H844" s="795"/>
    </row>
    <row r="845" spans="1:8" ht="13.5" customHeight="1">
      <c r="A845" s="793"/>
      <c r="B845" s="794"/>
      <c r="C845" s="794"/>
      <c r="D845" s="794"/>
      <c r="E845" s="794"/>
      <c r="F845" s="794"/>
      <c r="G845" s="794"/>
      <c r="H845" s="795"/>
    </row>
    <row r="846" spans="1:8" ht="13.5" customHeight="1">
      <c r="A846" s="2030" t="s">
        <v>1837</v>
      </c>
      <c r="B846" s="1825"/>
      <c r="C846" s="794"/>
      <c r="D846" s="794"/>
      <c r="E846" s="794"/>
      <c r="F846" s="794"/>
      <c r="G846" s="794"/>
      <c r="H846" s="795"/>
    </row>
    <row r="847" spans="1:8" ht="13.5" customHeight="1">
      <c r="A847" s="2031" t="s">
        <v>478</v>
      </c>
      <c r="B847" s="1824"/>
      <c r="C847" s="1824"/>
      <c r="D847" s="1824"/>
      <c r="E847" s="1824"/>
      <c r="F847" s="1824"/>
      <c r="G847" s="1824"/>
      <c r="H847" s="2032"/>
    </row>
    <row r="848" spans="1:8" ht="13.5" customHeight="1">
      <c r="A848" s="796"/>
      <c r="B848" s="797"/>
      <c r="C848" s="798"/>
      <c r="D848" s="799"/>
      <c r="E848" s="799"/>
      <c r="F848" s="800"/>
      <c r="G848" s="801" t="s">
        <v>1928</v>
      </c>
      <c r="H848" s="802"/>
    </row>
    <row r="849" spans="1:8" ht="13.5" customHeight="1">
      <c r="A849" s="803" t="s">
        <v>1839</v>
      </c>
      <c r="B849" s="804"/>
      <c r="C849" s="805"/>
      <c r="D849" s="806"/>
      <c r="E849" s="806"/>
      <c r="F849" s="800"/>
      <c r="G849" s="807" t="s">
        <v>1840</v>
      </c>
      <c r="H849" s="802"/>
    </row>
    <row r="850" spans="1:8" ht="13.5" customHeight="1">
      <c r="A850" s="2022" t="s">
        <v>376</v>
      </c>
      <c r="B850" s="1611"/>
      <c r="C850" s="808" t="s">
        <v>1219</v>
      </c>
      <c r="D850" s="809" t="s">
        <v>1841</v>
      </c>
      <c r="E850" s="809" t="s">
        <v>1842</v>
      </c>
      <c r="F850" s="810" t="s">
        <v>1843</v>
      </c>
      <c r="G850" s="811" t="s">
        <v>1844</v>
      </c>
      <c r="H850" s="812"/>
    </row>
    <row r="851" spans="1:8" ht="13.5" customHeight="1">
      <c r="A851" s="854" t="s">
        <v>1568</v>
      </c>
      <c r="B851" s="808"/>
      <c r="C851" s="813" t="s">
        <v>1614</v>
      </c>
      <c r="D851" s="814">
        <v>10000</v>
      </c>
      <c r="E851" s="814"/>
      <c r="F851" s="815">
        <v>1</v>
      </c>
      <c r="G851" s="816">
        <f t="shared" ref="G851:G852" si="70">+D851*F851</f>
        <v>10000</v>
      </c>
      <c r="H851" s="812"/>
    </row>
    <row r="852" spans="1:8" ht="13.5" customHeight="1">
      <c r="A852" s="2020"/>
      <c r="B852" s="1611"/>
      <c r="C852" s="813"/>
      <c r="D852" s="817"/>
      <c r="E852" s="817"/>
      <c r="F852" s="815"/>
      <c r="G852" s="816">
        <f t="shared" si="70"/>
        <v>0</v>
      </c>
      <c r="H852" s="812"/>
    </row>
    <row r="853" spans="1:8" ht="13.5" customHeight="1">
      <c r="A853" s="2023"/>
      <c r="B853" s="1611"/>
      <c r="C853" s="818"/>
      <c r="D853" s="819"/>
      <c r="E853" s="819"/>
      <c r="F853" s="819"/>
      <c r="G853" s="820"/>
      <c r="H853" s="821"/>
    </row>
    <row r="854" spans="1:8" ht="13.5" customHeight="1">
      <c r="A854" s="2033"/>
      <c r="B854" s="1825"/>
      <c r="C854" s="805"/>
      <c r="D854" s="806"/>
      <c r="E854" s="806"/>
      <c r="F854" s="800"/>
      <c r="G854" s="822" t="s">
        <v>1560</v>
      </c>
      <c r="H854" s="823">
        <f>SUM(G851:G853)</f>
        <v>10000</v>
      </c>
    </row>
    <row r="855" spans="1:8" ht="13.5" customHeight="1">
      <c r="A855" s="824"/>
      <c r="B855" s="804"/>
      <c r="C855" s="805"/>
      <c r="D855" s="806"/>
      <c r="E855" s="806"/>
      <c r="F855" s="800"/>
      <c r="G855" s="825"/>
      <c r="H855" s="802"/>
    </row>
    <row r="856" spans="1:8" ht="13.5" customHeight="1">
      <c r="A856" s="803" t="s">
        <v>1561</v>
      </c>
      <c r="B856" s="804"/>
      <c r="C856" s="805"/>
      <c r="D856" s="806"/>
      <c r="E856" s="806"/>
      <c r="F856" s="800"/>
      <c r="G856" s="825"/>
      <c r="H856" s="802"/>
    </row>
    <row r="857" spans="1:8" ht="13.5" customHeight="1">
      <c r="A857" s="2022" t="s">
        <v>376</v>
      </c>
      <c r="B857" s="1611"/>
      <c r="C857" s="813" t="s">
        <v>1219</v>
      </c>
      <c r="D857" s="817" t="s">
        <v>1845</v>
      </c>
      <c r="E857" s="817" t="s">
        <v>1842</v>
      </c>
      <c r="F857" s="815" t="s">
        <v>673</v>
      </c>
      <c r="G857" s="827" t="s">
        <v>1845</v>
      </c>
      <c r="H857" s="826"/>
    </row>
    <row r="858" spans="1:8" ht="13.5" customHeight="1">
      <c r="A858" s="2020" t="s">
        <v>1927</v>
      </c>
      <c r="B858" s="1611"/>
      <c r="C858" s="813" t="s">
        <v>116</v>
      </c>
      <c r="D858" s="867">
        <v>300000</v>
      </c>
      <c r="E858" s="817"/>
      <c r="F858" s="815">
        <v>0.43</v>
      </c>
      <c r="G858" s="827">
        <f>+D858*F858</f>
        <v>129000</v>
      </c>
      <c r="H858" s="826"/>
    </row>
    <row r="859" spans="1:8" ht="13.5" customHeight="1">
      <c r="A859" s="2020" t="s">
        <v>266</v>
      </c>
      <c r="B859" s="1611"/>
      <c r="C859" s="813" t="s">
        <v>171</v>
      </c>
      <c r="D859" s="817">
        <v>3500</v>
      </c>
      <c r="E859" s="817"/>
      <c r="F859" s="815">
        <v>16.8</v>
      </c>
      <c r="G859" s="827">
        <f t="shared" ref="G859:G860" si="71">+F859*D859</f>
        <v>58800</v>
      </c>
      <c r="H859" s="826"/>
    </row>
    <row r="860" spans="1:8" ht="13.5" customHeight="1">
      <c r="A860" s="2020" t="s">
        <v>1665</v>
      </c>
      <c r="B860" s="1611"/>
      <c r="C860" s="813" t="s">
        <v>127</v>
      </c>
      <c r="D860" s="817">
        <v>38500</v>
      </c>
      <c r="E860" s="817"/>
      <c r="F860" s="815">
        <v>0.5</v>
      </c>
      <c r="G860" s="861">
        <f t="shared" si="71"/>
        <v>19250</v>
      </c>
      <c r="H860" s="802"/>
    </row>
    <row r="861" spans="1:8" ht="13.5" customHeight="1">
      <c r="A861" s="824"/>
      <c r="B861" s="804"/>
      <c r="C861" s="805"/>
      <c r="D861" s="806"/>
      <c r="E861" s="806"/>
      <c r="F861" s="800"/>
      <c r="G861" s="828" t="s">
        <v>1560</v>
      </c>
      <c r="H861" s="823">
        <f>SUM(G858:G860)</f>
        <v>207050</v>
      </c>
    </row>
    <row r="862" spans="1:8" ht="13.5" customHeight="1">
      <c r="A862" s="803"/>
      <c r="B862" s="804"/>
      <c r="C862" s="805"/>
      <c r="D862" s="806"/>
      <c r="E862" s="806"/>
      <c r="F862" s="800"/>
      <c r="G862" s="825"/>
      <c r="H862" s="802"/>
    </row>
    <row r="863" spans="1:8" ht="13.5" customHeight="1">
      <c r="A863" s="803"/>
      <c r="B863" s="804"/>
      <c r="C863" s="805"/>
      <c r="D863" s="806"/>
      <c r="E863" s="806"/>
      <c r="F863" s="800"/>
      <c r="G863" s="804"/>
      <c r="H863" s="826"/>
    </row>
    <row r="864" spans="1:8" ht="13.5" customHeight="1">
      <c r="A864" s="803" t="s">
        <v>1564</v>
      </c>
      <c r="B864" s="804"/>
      <c r="C864" s="805"/>
      <c r="D864" s="806"/>
      <c r="E864" s="806"/>
      <c r="F864" s="800"/>
      <c r="G864" s="806"/>
      <c r="H864" s="829"/>
    </row>
    <row r="865" spans="1:8" ht="13.5" customHeight="1">
      <c r="A865" s="830" t="s">
        <v>1853</v>
      </c>
      <c r="B865" s="831" t="s">
        <v>1854</v>
      </c>
      <c r="C865" s="808" t="s">
        <v>1855</v>
      </c>
      <c r="D865" s="832" t="s">
        <v>1244</v>
      </c>
      <c r="E865" s="809" t="s">
        <v>1856</v>
      </c>
      <c r="F865" s="810" t="s">
        <v>1843</v>
      </c>
      <c r="G865" s="833" t="s">
        <v>1845</v>
      </c>
      <c r="H865" s="834"/>
    </row>
    <row r="866" spans="1:8" ht="13.5" customHeight="1">
      <c r="A866" s="835"/>
      <c r="B866" s="836" t="s">
        <v>1857</v>
      </c>
      <c r="C866" s="837">
        <v>30000</v>
      </c>
      <c r="D866" s="837">
        <v>2</v>
      </c>
      <c r="E866" s="837">
        <f t="shared" ref="E866:E867" si="72">+D866*C866</f>
        <v>60000</v>
      </c>
      <c r="F866" s="838">
        <v>8</v>
      </c>
      <c r="G866" s="837">
        <f t="shared" ref="G866:G867" si="73">+ROUND((F866*E866)/8,0)</f>
        <v>60000</v>
      </c>
      <c r="H866" s="839"/>
    </row>
    <row r="867" spans="1:8" ht="13.5" customHeight="1">
      <c r="A867" s="835"/>
      <c r="B867" s="836" t="s">
        <v>1858</v>
      </c>
      <c r="C867" s="837">
        <v>40000</v>
      </c>
      <c r="D867" s="837">
        <v>1</v>
      </c>
      <c r="E867" s="837">
        <f t="shared" si="72"/>
        <v>40000</v>
      </c>
      <c r="F867" s="838">
        <f>+F866</f>
        <v>8</v>
      </c>
      <c r="G867" s="837">
        <f t="shared" si="73"/>
        <v>40000</v>
      </c>
      <c r="H867" s="840"/>
    </row>
    <row r="868" spans="1:8" ht="13.5" customHeight="1">
      <c r="A868" s="824"/>
      <c r="B868" s="804"/>
      <c r="C868" s="805"/>
      <c r="D868" s="806"/>
      <c r="E868" s="806"/>
      <c r="F868" s="800"/>
      <c r="G868" s="841" t="s">
        <v>1560</v>
      </c>
      <c r="H868" s="823">
        <f>SUM(G866:G867)</f>
        <v>100000</v>
      </c>
    </row>
    <row r="869" spans="1:8" ht="13.5" customHeight="1">
      <c r="A869" s="824"/>
      <c r="B869" s="804"/>
      <c r="C869" s="805"/>
      <c r="D869" s="806"/>
      <c r="E869" s="806"/>
      <c r="F869" s="800"/>
      <c r="G869" s="806"/>
      <c r="H869" s="829"/>
    </row>
    <row r="870" spans="1:8" ht="13.5" customHeight="1">
      <c r="A870" s="824"/>
      <c r="B870" s="804"/>
      <c r="C870" s="805"/>
      <c r="D870" s="806"/>
      <c r="E870" s="806"/>
      <c r="F870" s="842" t="s">
        <v>142</v>
      </c>
      <c r="G870" s="806"/>
      <c r="H870" s="843">
        <f>+H868+H861+H854</f>
        <v>317050</v>
      </c>
    </row>
    <row r="871" spans="1:8" ht="13.5" customHeight="1">
      <c r="A871" s="824"/>
      <c r="B871" s="804"/>
      <c r="C871" s="805"/>
      <c r="D871" s="806"/>
      <c r="E871" s="806"/>
      <c r="F871" s="842"/>
      <c r="G871" s="806"/>
      <c r="H871" s="829"/>
    </row>
    <row r="872" spans="1:8" ht="13.5" customHeight="1">
      <c r="A872" s="824"/>
      <c r="B872" s="801"/>
      <c r="C872" s="805"/>
      <c r="D872" s="806"/>
      <c r="E872" s="806"/>
      <c r="F872" s="800"/>
      <c r="G872" s="825"/>
      <c r="H872" s="802"/>
    </row>
    <row r="873" spans="1:8" ht="13.5" customHeight="1">
      <c r="A873" s="847"/>
      <c r="B873" s="848"/>
      <c r="C873" s="849"/>
      <c r="D873" s="806"/>
      <c r="E873" s="806"/>
      <c r="F873" s="800"/>
      <c r="G873" s="804"/>
      <c r="H873" s="826"/>
    </row>
    <row r="874" spans="1:8" ht="13.5" customHeight="1">
      <c r="A874" s="824" t="s">
        <v>1835</v>
      </c>
      <c r="B874" s="801"/>
      <c r="C874" s="805"/>
      <c r="D874" s="806"/>
      <c r="E874" s="806"/>
      <c r="F874" s="2021"/>
      <c r="G874" s="1825"/>
      <c r="H874" s="826"/>
    </row>
    <row r="875" spans="1:8" ht="13.5" customHeight="1">
      <c r="A875" s="847" t="s">
        <v>1859</v>
      </c>
      <c r="B875" s="848"/>
      <c r="C875" s="849"/>
      <c r="D875" s="850"/>
      <c r="E875" s="850"/>
      <c r="F875" s="851"/>
      <c r="G875" s="852"/>
      <c r="H875" s="853"/>
    </row>
    <row r="876" spans="1:8" ht="13.5" customHeight="1">
      <c r="A876" s="792"/>
      <c r="B876" s="792"/>
      <c r="C876" s="792"/>
      <c r="D876" s="792"/>
      <c r="E876" s="792"/>
      <c r="F876" s="792"/>
      <c r="G876" s="792"/>
      <c r="H876" s="792"/>
    </row>
    <row r="877" spans="1:8" ht="13.5" customHeight="1">
      <c r="A877" s="792"/>
      <c r="B877" s="792"/>
      <c r="C877" s="792"/>
      <c r="D877" s="792"/>
      <c r="E877" s="792"/>
      <c r="F877" s="792"/>
      <c r="G877" s="792"/>
      <c r="H877" s="792"/>
    </row>
    <row r="878" spans="1:8" ht="13.5" customHeight="1">
      <c r="A878" s="2046" t="s">
        <v>1834</v>
      </c>
      <c r="B878" s="1811"/>
      <c r="C878" s="1811"/>
      <c r="D878" s="1811"/>
      <c r="E878" s="1811"/>
      <c r="F878" s="1811"/>
      <c r="G878" s="1811"/>
      <c r="H878" s="1812"/>
    </row>
    <row r="879" spans="1:8" ht="13.5" customHeight="1">
      <c r="A879" s="2035" t="s">
        <v>559</v>
      </c>
      <c r="B879" s="2036"/>
      <c r="C879" s="2036"/>
      <c r="D879" s="2037"/>
      <c r="E879" s="2042" t="s">
        <v>1835</v>
      </c>
      <c r="F879" s="2036"/>
      <c r="G879" s="2036"/>
      <c r="H879" s="2043"/>
    </row>
    <row r="880" spans="1:8" ht="13.5" customHeight="1">
      <c r="A880" s="2038"/>
      <c r="B880" s="1605"/>
      <c r="C880" s="1605"/>
      <c r="D880" s="2039"/>
      <c r="E880" s="2044"/>
      <c r="F880" s="1605"/>
      <c r="G880" s="1605"/>
      <c r="H880" s="1606"/>
    </row>
    <row r="881" spans="1:8" ht="13.5" customHeight="1">
      <c r="A881" s="2040"/>
      <c r="B881" s="1608"/>
      <c r="C881" s="1608"/>
      <c r="D881" s="2041"/>
      <c r="E881" s="2045"/>
      <c r="F881" s="1608"/>
      <c r="G881" s="1608"/>
      <c r="H881" s="1919"/>
    </row>
    <row r="882" spans="1:8" ht="13.5" customHeight="1">
      <c r="A882" s="2027" t="s">
        <v>1906</v>
      </c>
      <c r="B882" s="2028"/>
      <c r="C882" s="2028"/>
      <c r="D882" s="2028"/>
      <c r="E882" s="2028"/>
      <c r="F882" s="2028"/>
      <c r="G882" s="2028"/>
      <c r="H882" s="2029"/>
    </row>
    <row r="883" spans="1:8" ht="13.5" customHeight="1">
      <c r="A883" s="793"/>
      <c r="B883" s="794"/>
      <c r="C883" s="794"/>
      <c r="D883" s="794"/>
      <c r="E883" s="794"/>
      <c r="F883" s="794"/>
      <c r="G883" s="794"/>
      <c r="H883" s="795"/>
    </row>
    <row r="884" spans="1:8" ht="13.5" customHeight="1">
      <c r="A884" s="2030"/>
      <c r="B884" s="1824"/>
      <c r="C884" s="1824"/>
      <c r="D884" s="1824"/>
      <c r="E884" s="1825"/>
      <c r="F884" s="794"/>
      <c r="G884" s="794"/>
      <c r="H884" s="795"/>
    </row>
    <row r="885" spans="1:8" ht="13.5" customHeight="1">
      <c r="A885" s="793"/>
      <c r="B885" s="794"/>
      <c r="C885" s="794"/>
      <c r="D885" s="794"/>
      <c r="E885" s="794"/>
      <c r="F885" s="794"/>
      <c r="G885" s="794"/>
      <c r="H885" s="795"/>
    </row>
    <row r="886" spans="1:8" ht="13.5" customHeight="1">
      <c r="A886" s="2030" t="s">
        <v>1837</v>
      </c>
      <c r="B886" s="1825"/>
      <c r="C886" s="794"/>
      <c r="D886" s="794"/>
      <c r="E886" s="794"/>
      <c r="F886" s="794"/>
      <c r="G886" s="794"/>
      <c r="H886" s="795"/>
    </row>
    <row r="887" spans="1:8" ht="13.5" customHeight="1">
      <c r="A887" s="2031" t="s">
        <v>480</v>
      </c>
      <c r="B887" s="1824"/>
      <c r="C887" s="1824"/>
      <c r="D887" s="1824"/>
      <c r="E887" s="1824"/>
      <c r="F887" s="1824"/>
      <c r="G887" s="1824"/>
      <c r="H887" s="2032"/>
    </row>
    <row r="888" spans="1:8" ht="13.5" customHeight="1">
      <c r="A888" s="796"/>
      <c r="B888" s="797"/>
      <c r="C888" s="798"/>
      <c r="D888" s="799"/>
      <c r="E888" s="799"/>
      <c r="F888" s="800"/>
      <c r="G888" s="801" t="s">
        <v>1929</v>
      </c>
      <c r="H888" s="802"/>
    </row>
    <row r="889" spans="1:8" ht="13.5" customHeight="1">
      <c r="A889" s="803" t="s">
        <v>1839</v>
      </c>
      <c r="B889" s="804"/>
      <c r="C889" s="805"/>
      <c r="D889" s="806"/>
      <c r="E889" s="806"/>
      <c r="F889" s="800"/>
      <c r="G889" s="807" t="s">
        <v>1840</v>
      </c>
      <c r="H889" s="802"/>
    </row>
    <row r="890" spans="1:8" ht="13.5" customHeight="1">
      <c r="A890" s="2022" t="s">
        <v>376</v>
      </c>
      <c r="B890" s="1611"/>
      <c r="C890" s="808" t="s">
        <v>1219</v>
      </c>
      <c r="D890" s="809" t="s">
        <v>1841</v>
      </c>
      <c r="E890" s="809" t="s">
        <v>1842</v>
      </c>
      <c r="F890" s="810" t="s">
        <v>1843</v>
      </c>
      <c r="G890" s="811" t="s">
        <v>1844</v>
      </c>
      <c r="H890" s="812"/>
    </row>
    <row r="891" spans="1:8" ht="13.5" customHeight="1">
      <c r="A891" s="854" t="s">
        <v>1568</v>
      </c>
      <c r="B891" s="808"/>
      <c r="C891" s="813" t="s">
        <v>1614</v>
      </c>
      <c r="D891" s="814">
        <v>10000</v>
      </c>
      <c r="E891" s="814"/>
      <c r="F891" s="815">
        <v>1</v>
      </c>
      <c r="G891" s="816">
        <f t="shared" ref="G891:G892" si="74">+D891*F891</f>
        <v>10000</v>
      </c>
      <c r="H891" s="812"/>
    </row>
    <row r="892" spans="1:8" ht="13.5" customHeight="1">
      <c r="A892" s="2020"/>
      <c r="B892" s="1611"/>
      <c r="C892" s="813"/>
      <c r="D892" s="817"/>
      <c r="E892" s="817"/>
      <c r="F892" s="815"/>
      <c r="G892" s="816">
        <f t="shared" si="74"/>
        <v>0</v>
      </c>
      <c r="H892" s="812"/>
    </row>
    <row r="893" spans="1:8" ht="13.5" customHeight="1">
      <c r="A893" s="2023"/>
      <c r="B893" s="1611"/>
      <c r="C893" s="818"/>
      <c r="D893" s="819"/>
      <c r="E893" s="819"/>
      <c r="F893" s="819"/>
      <c r="G893" s="820"/>
      <c r="H893" s="821"/>
    </row>
    <row r="894" spans="1:8" ht="13.5" customHeight="1">
      <c r="A894" s="2033"/>
      <c r="B894" s="1825"/>
      <c r="C894" s="805"/>
      <c r="D894" s="806"/>
      <c r="E894" s="806"/>
      <c r="F894" s="800"/>
      <c r="G894" s="822" t="s">
        <v>1560</v>
      </c>
      <c r="H894" s="843">
        <f>SUM(G891:G893)</f>
        <v>10000</v>
      </c>
    </row>
    <row r="895" spans="1:8" ht="13.5" customHeight="1">
      <c r="A895" s="824"/>
      <c r="B895" s="804"/>
      <c r="C895" s="805"/>
      <c r="D895" s="806"/>
      <c r="E895" s="806"/>
      <c r="F895" s="800"/>
      <c r="G895" s="825"/>
      <c r="H895" s="802"/>
    </row>
    <row r="896" spans="1:8" ht="13.5" customHeight="1">
      <c r="A896" s="803" t="s">
        <v>1561</v>
      </c>
      <c r="B896" s="804"/>
      <c r="C896" s="805"/>
      <c r="D896" s="806"/>
      <c r="E896" s="806"/>
      <c r="F896" s="800"/>
      <c r="G896" s="825"/>
      <c r="H896" s="802"/>
    </row>
    <row r="897" spans="1:8" ht="13.5" customHeight="1">
      <c r="A897" s="2022" t="s">
        <v>376</v>
      </c>
      <c r="B897" s="1611"/>
      <c r="C897" s="808" t="s">
        <v>1219</v>
      </c>
      <c r="D897" s="809" t="s">
        <v>1845</v>
      </c>
      <c r="E897" s="809" t="s">
        <v>1842</v>
      </c>
      <c r="F897" s="810" t="s">
        <v>673</v>
      </c>
      <c r="G897" s="811" t="s">
        <v>1845</v>
      </c>
      <c r="H897" s="826"/>
    </row>
    <row r="898" spans="1:8" ht="13.5" customHeight="1">
      <c r="A898" s="2020" t="s">
        <v>1927</v>
      </c>
      <c r="B898" s="1611"/>
      <c r="C898" s="813" t="s">
        <v>116</v>
      </c>
      <c r="D898" s="868">
        <v>300000</v>
      </c>
      <c r="E898" s="817"/>
      <c r="F898" s="869">
        <v>1.87</v>
      </c>
      <c r="G898" s="827">
        <f>+D898*F898</f>
        <v>561000</v>
      </c>
      <c r="H898" s="826"/>
    </row>
    <row r="899" spans="1:8" ht="13.5" customHeight="1">
      <c r="A899" s="2020" t="s">
        <v>266</v>
      </c>
      <c r="B899" s="1611"/>
      <c r="C899" s="813" t="s">
        <v>1930</v>
      </c>
      <c r="D899" s="868">
        <v>3500</v>
      </c>
      <c r="E899" s="817"/>
      <c r="F899" s="869">
        <v>10</v>
      </c>
      <c r="G899" s="827">
        <f t="shared" ref="G899:G902" si="75">F899*D899</f>
        <v>35000</v>
      </c>
      <c r="H899" s="826"/>
    </row>
    <row r="900" spans="1:8" ht="13.5" customHeight="1">
      <c r="A900" s="2050" t="s">
        <v>1931</v>
      </c>
      <c r="B900" s="1611"/>
      <c r="C900" s="280" t="s">
        <v>120</v>
      </c>
      <c r="D900" s="870">
        <v>7850</v>
      </c>
      <c r="E900" s="809"/>
      <c r="F900" s="869">
        <v>2.5099999999999998</v>
      </c>
      <c r="G900" s="827">
        <f t="shared" si="75"/>
        <v>19703.5</v>
      </c>
      <c r="H900" s="826"/>
    </row>
    <row r="901" spans="1:8" ht="13.5" customHeight="1">
      <c r="A901" s="2020" t="s">
        <v>1932</v>
      </c>
      <c r="B901" s="1611"/>
      <c r="C901" s="813" t="s">
        <v>120</v>
      </c>
      <c r="D901" s="871">
        <v>9993.2999999999993</v>
      </c>
      <c r="E901" s="817"/>
      <c r="F901" s="869">
        <v>2.5099999999999998</v>
      </c>
      <c r="G901" s="827">
        <f t="shared" si="75"/>
        <v>25083.182999999997</v>
      </c>
      <c r="H901" s="826"/>
    </row>
    <row r="902" spans="1:8" ht="13.5" customHeight="1">
      <c r="A902" s="2020" t="s">
        <v>1665</v>
      </c>
      <c r="B902" s="1611"/>
      <c r="C902" s="813" t="s">
        <v>127</v>
      </c>
      <c r="D902" s="871">
        <v>60000</v>
      </c>
      <c r="E902" s="808"/>
      <c r="F902" s="869">
        <v>0.5</v>
      </c>
      <c r="G902" s="827">
        <f t="shared" si="75"/>
        <v>30000</v>
      </c>
      <c r="H902" s="802"/>
    </row>
    <row r="903" spans="1:8" ht="13.5" customHeight="1">
      <c r="A903" s="824"/>
      <c r="B903" s="804"/>
      <c r="C903" s="805"/>
      <c r="D903" s="806"/>
      <c r="E903" s="806"/>
      <c r="F903" s="800"/>
      <c r="G903" s="828" t="s">
        <v>1560</v>
      </c>
      <c r="H903" s="823">
        <f>SUM(G898:G902)</f>
        <v>670786.68299999996</v>
      </c>
    </row>
    <row r="904" spans="1:8" ht="13.5" customHeight="1">
      <c r="A904" s="803"/>
      <c r="B904" s="804"/>
      <c r="C904" s="805"/>
      <c r="D904" s="806"/>
      <c r="E904" s="806"/>
      <c r="F904" s="800"/>
      <c r="G904" s="825"/>
      <c r="H904" s="802"/>
    </row>
    <row r="905" spans="1:8" ht="13.5" customHeight="1">
      <c r="A905" s="803"/>
      <c r="B905" s="804"/>
      <c r="C905" s="805"/>
      <c r="D905" s="806"/>
      <c r="E905" s="806"/>
      <c r="F905" s="800"/>
      <c r="G905" s="804"/>
      <c r="H905" s="826"/>
    </row>
    <row r="906" spans="1:8" ht="13.5" customHeight="1">
      <c r="A906" s="803" t="s">
        <v>1564</v>
      </c>
      <c r="B906" s="804"/>
      <c r="C906" s="805"/>
      <c r="D906" s="806"/>
      <c r="E906" s="806"/>
      <c r="F906" s="800"/>
      <c r="G906" s="806"/>
      <c r="H906" s="829"/>
    </row>
    <row r="907" spans="1:8" ht="13.5" customHeight="1">
      <c r="A907" s="830" t="s">
        <v>1853</v>
      </c>
      <c r="B907" s="831" t="s">
        <v>1854</v>
      </c>
      <c r="C907" s="808" t="s">
        <v>1855</v>
      </c>
      <c r="D907" s="832" t="s">
        <v>1244</v>
      </c>
      <c r="E907" s="809" t="s">
        <v>1856</v>
      </c>
      <c r="F907" s="810" t="s">
        <v>1843</v>
      </c>
      <c r="G907" s="833" t="s">
        <v>1845</v>
      </c>
      <c r="H907" s="834"/>
    </row>
    <row r="908" spans="1:8" ht="13.5" customHeight="1">
      <c r="A908" s="835"/>
      <c r="B908" s="836" t="s">
        <v>1857</v>
      </c>
      <c r="C908" s="837">
        <v>30000</v>
      </c>
      <c r="D908" s="837">
        <v>2</v>
      </c>
      <c r="E908" s="837">
        <f t="shared" ref="E908:E909" si="76">+D908*C908</f>
        <v>60000</v>
      </c>
      <c r="F908" s="838">
        <v>12</v>
      </c>
      <c r="G908" s="837">
        <f t="shared" ref="G908:G909" si="77">+ROUND((F908*E908)/8,0)</f>
        <v>90000</v>
      </c>
      <c r="H908" s="839"/>
    </row>
    <row r="909" spans="1:8" ht="13.5" customHeight="1">
      <c r="A909" s="835"/>
      <c r="B909" s="836" t="s">
        <v>1858</v>
      </c>
      <c r="C909" s="837">
        <v>40000</v>
      </c>
      <c r="D909" s="837">
        <v>1</v>
      </c>
      <c r="E909" s="837">
        <f t="shared" si="76"/>
        <v>40000</v>
      </c>
      <c r="F909" s="838">
        <f>+F908</f>
        <v>12</v>
      </c>
      <c r="G909" s="837">
        <f t="shared" si="77"/>
        <v>60000</v>
      </c>
      <c r="H909" s="840"/>
    </row>
    <row r="910" spans="1:8" ht="13.5" customHeight="1">
      <c r="A910" s="824"/>
      <c r="B910" s="804"/>
      <c r="C910" s="805"/>
      <c r="D910" s="806"/>
      <c r="E910" s="806"/>
      <c r="F910" s="800"/>
      <c r="G910" s="841" t="s">
        <v>1560</v>
      </c>
      <c r="H910" s="823">
        <f>SUM(G908:G909)</f>
        <v>150000</v>
      </c>
    </row>
    <row r="911" spans="1:8" ht="13.5" customHeight="1">
      <c r="A911" s="824"/>
      <c r="B911" s="804"/>
      <c r="C911" s="805"/>
      <c r="D911" s="806"/>
      <c r="E911" s="806"/>
      <c r="F911" s="800"/>
      <c r="G911" s="806"/>
      <c r="H911" s="829"/>
    </row>
    <row r="912" spans="1:8" ht="13.5" customHeight="1">
      <c r="A912" s="824"/>
      <c r="B912" s="804"/>
      <c r="C912" s="805"/>
      <c r="D912" s="806"/>
      <c r="E912" s="806"/>
      <c r="F912" s="842" t="s">
        <v>142</v>
      </c>
      <c r="G912" s="806"/>
      <c r="H912" s="843">
        <f>+H910+H903+H894</f>
        <v>830786.68299999996</v>
      </c>
    </row>
    <row r="916" spans="1:8" ht="13.5" customHeight="1">
      <c r="A916" s="824" t="s">
        <v>1835</v>
      </c>
      <c r="B916" s="801"/>
      <c r="C916" s="805"/>
      <c r="D916" s="806"/>
      <c r="E916" s="806"/>
      <c r="F916" s="2021"/>
      <c r="G916" s="1825"/>
      <c r="H916" s="826"/>
    </row>
    <row r="917" spans="1:8" ht="13.5" customHeight="1">
      <c r="A917" s="847" t="s">
        <v>1859</v>
      </c>
      <c r="B917" s="848"/>
      <c r="C917" s="849"/>
      <c r="D917" s="850"/>
      <c r="E917" s="850"/>
      <c r="F917" s="851"/>
      <c r="G917" s="852"/>
      <c r="H917" s="853"/>
    </row>
    <row r="918" spans="1:8" ht="13.5" customHeight="1">
      <c r="A918" s="792"/>
      <c r="B918" s="792"/>
      <c r="C918" s="792"/>
      <c r="D918" s="792"/>
      <c r="E918" s="792"/>
      <c r="F918" s="792"/>
      <c r="G918" s="792"/>
      <c r="H918" s="792"/>
    </row>
    <row r="919" spans="1:8" ht="13.5" customHeight="1">
      <c r="A919" s="792"/>
      <c r="B919" s="792"/>
      <c r="C919" s="792"/>
      <c r="D919" s="792"/>
      <c r="E919" s="792"/>
      <c r="F919" s="792"/>
      <c r="G919" s="792"/>
      <c r="H919" s="792"/>
    </row>
    <row r="920" spans="1:8" ht="13.5" customHeight="1">
      <c r="A920" s="792"/>
      <c r="B920" s="792"/>
      <c r="C920" s="792"/>
      <c r="D920" s="792"/>
      <c r="E920" s="792"/>
      <c r="F920" s="792"/>
      <c r="G920" s="792"/>
      <c r="H920" s="792"/>
    </row>
    <row r="921" spans="1:8" ht="13.5" customHeight="1">
      <c r="A921" s="2046" t="s">
        <v>1834</v>
      </c>
      <c r="B921" s="1811"/>
      <c r="C921" s="1811"/>
      <c r="D921" s="1811"/>
      <c r="E921" s="1811"/>
      <c r="F921" s="1811"/>
      <c r="G921" s="1811"/>
      <c r="H921" s="1812"/>
    </row>
    <row r="922" spans="1:8" ht="13.5" customHeight="1">
      <c r="A922" s="2035" t="s">
        <v>559</v>
      </c>
      <c r="B922" s="2036"/>
      <c r="C922" s="2036"/>
      <c r="D922" s="2037"/>
      <c r="E922" s="2042" t="s">
        <v>1835</v>
      </c>
      <c r="F922" s="2036"/>
      <c r="G922" s="2036"/>
      <c r="H922" s="2043"/>
    </row>
    <row r="923" spans="1:8" ht="13.5" customHeight="1">
      <c r="A923" s="2038"/>
      <c r="B923" s="1605"/>
      <c r="C923" s="1605"/>
      <c r="D923" s="2039"/>
      <c r="E923" s="2044"/>
      <c r="F923" s="1605"/>
      <c r="G923" s="1605"/>
      <c r="H923" s="1606"/>
    </row>
    <row r="924" spans="1:8" ht="13.5" customHeight="1">
      <c r="A924" s="2040"/>
      <c r="B924" s="1608"/>
      <c r="C924" s="1608"/>
      <c r="D924" s="2041"/>
      <c r="E924" s="2045"/>
      <c r="F924" s="1608"/>
      <c r="G924" s="1608"/>
      <c r="H924" s="1919"/>
    </row>
    <row r="925" spans="1:8" ht="13.5" customHeight="1">
      <c r="A925" s="2027" t="s">
        <v>1906</v>
      </c>
      <c r="B925" s="2028"/>
      <c r="C925" s="2028"/>
      <c r="D925" s="2028"/>
      <c r="E925" s="2028"/>
      <c r="F925" s="2028"/>
      <c r="G925" s="2028"/>
      <c r="H925" s="2029"/>
    </row>
    <row r="926" spans="1:8" ht="13.5" customHeight="1">
      <c r="A926" s="793"/>
      <c r="B926" s="794"/>
      <c r="C926" s="794"/>
      <c r="D926" s="794"/>
      <c r="E926" s="794"/>
      <c r="F926" s="794"/>
      <c r="G926" s="794"/>
      <c r="H926" s="795"/>
    </row>
    <row r="927" spans="1:8" ht="13.5" customHeight="1">
      <c r="A927" s="2030"/>
      <c r="B927" s="1824"/>
      <c r="C927" s="1824"/>
      <c r="D927" s="1824"/>
      <c r="E927" s="1825"/>
      <c r="F927" s="794"/>
      <c r="G927" s="794"/>
      <c r="H927" s="795"/>
    </row>
    <row r="929" spans="1:8" ht="13.5" customHeight="1">
      <c r="A929" s="2030" t="s">
        <v>1837</v>
      </c>
      <c r="B929" s="1825"/>
      <c r="C929" s="794"/>
      <c r="D929" s="794"/>
      <c r="E929" s="794"/>
      <c r="F929" s="794"/>
      <c r="G929" s="794"/>
      <c r="H929" s="795"/>
    </row>
    <row r="930" spans="1:8" ht="13.5" customHeight="1">
      <c r="A930" s="2031" t="s">
        <v>468</v>
      </c>
      <c r="B930" s="1824"/>
      <c r="C930" s="1824"/>
      <c r="D930" s="1824"/>
      <c r="E930" s="1824"/>
      <c r="F930" s="1824"/>
      <c r="G930" s="1824"/>
      <c r="H930" s="2032"/>
    </row>
    <row r="931" spans="1:8" ht="13.5" customHeight="1">
      <c r="A931" s="796"/>
      <c r="B931" s="797"/>
      <c r="C931" s="798"/>
      <c r="D931" s="799"/>
      <c r="E931" s="799"/>
      <c r="F931" s="800"/>
      <c r="G931" s="801" t="s">
        <v>1933</v>
      </c>
      <c r="H931" s="802"/>
    </row>
    <row r="932" spans="1:8" ht="13.5" customHeight="1">
      <c r="A932" s="803" t="s">
        <v>1839</v>
      </c>
      <c r="B932" s="804"/>
      <c r="C932" s="805"/>
      <c r="D932" s="806"/>
      <c r="E932" s="806"/>
      <c r="F932" s="800"/>
      <c r="G932" s="807" t="s">
        <v>1934</v>
      </c>
      <c r="H932" s="802"/>
    </row>
    <row r="933" spans="1:8" ht="13.5" customHeight="1">
      <c r="A933" s="2022" t="s">
        <v>376</v>
      </c>
      <c r="B933" s="1611"/>
      <c r="C933" s="808" t="s">
        <v>1219</v>
      </c>
      <c r="D933" s="809" t="s">
        <v>1841</v>
      </c>
      <c r="E933" s="809" t="s">
        <v>1842</v>
      </c>
      <c r="F933" s="810" t="s">
        <v>1843</v>
      </c>
      <c r="G933" s="811" t="s">
        <v>1844</v>
      </c>
      <c r="H933" s="812"/>
    </row>
    <row r="934" spans="1:8" ht="13.5" customHeight="1">
      <c r="A934" s="854" t="s">
        <v>1568</v>
      </c>
      <c r="B934" s="808"/>
      <c r="C934" s="813" t="s">
        <v>1614</v>
      </c>
      <c r="D934" s="814">
        <v>2500</v>
      </c>
      <c r="E934" s="814"/>
      <c r="F934" s="815">
        <v>1</v>
      </c>
      <c r="G934" s="816">
        <f t="shared" ref="G934:G935" si="78">+D934*F934</f>
        <v>2500</v>
      </c>
      <c r="H934" s="812"/>
    </row>
    <row r="935" spans="1:8" ht="13.5" customHeight="1">
      <c r="A935" s="2020"/>
      <c r="B935" s="1611"/>
      <c r="C935" s="813"/>
      <c r="D935" s="817"/>
      <c r="E935" s="817"/>
      <c r="F935" s="815"/>
      <c r="G935" s="816">
        <f t="shared" si="78"/>
        <v>0</v>
      </c>
      <c r="H935" s="812"/>
    </row>
    <row r="936" spans="1:8" ht="13.5" customHeight="1">
      <c r="A936" s="2023"/>
      <c r="B936" s="1611"/>
      <c r="C936" s="818"/>
      <c r="D936" s="819"/>
      <c r="E936" s="819"/>
      <c r="F936" s="819"/>
      <c r="G936" s="820"/>
      <c r="H936" s="821"/>
    </row>
    <row r="937" spans="1:8" ht="13.5" customHeight="1">
      <c r="A937" s="2033"/>
      <c r="B937" s="1825"/>
      <c r="C937" s="805"/>
      <c r="D937" s="806"/>
      <c r="E937" s="806"/>
      <c r="F937" s="800"/>
      <c r="G937" s="822" t="s">
        <v>1560</v>
      </c>
      <c r="H937" s="823">
        <f>SUM(G934:G936)</f>
        <v>2500</v>
      </c>
    </row>
    <row r="938" spans="1:8" ht="13.5" customHeight="1">
      <c r="A938" s="824"/>
      <c r="B938" s="804"/>
      <c r="C938" s="805"/>
      <c r="D938" s="806"/>
      <c r="E938" s="806"/>
      <c r="F938" s="800"/>
      <c r="G938" s="825"/>
      <c r="H938" s="802"/>
    </row>
    <row r="939" spans="1:8" ht="13.5" customHeight="1">
      <c r="A939" s="803" t="s">
        <v>1561</v>
      </c>
      <c r="B939" s="804"/>
      <c r="C939" s="805"/>
      <c r="D939" s="806"/>
      <c r="E939" s="806"/>
      <c r="F939" s="800"/>
      <c r="G939" s="825"/>
      <c r="H939" s="802"/>
    </row>
    <row r="940" spans="1:8" ht="13.5" customHeight="1">
      <c r="A940" s="2022" t="s">
        <v>376</v>
      </c>
      <c r="B940" s="1611"/>
      <c r="C940" s="808" t="s">
        <v>1219</v>
      </c>
      <c r="D940" s="809" t="s">
        <v>1845</v>
      </c>
      <c r="E940" s="809" t="s">
        <v>1842</v>
      </c>
      <c r="F940" s="810" t="s">
        <v>673</v>
      </c>
      <c r="G940" s="811" t="s">
        <v>1845</v>
      </c>
      <c r="H940" s="826"/>
    </row>
    <row r="941" spans="1:8" ht="13.5" customHeight="1">
      <c r="A941" s="2020"/>
      <c r="B941" s="1611"/>
      <c r="C941" s="813"/>
      <c r="D941" s="817"/>
      <c r="E941" s="817"/>
      <c r="F941" s="815"/>
      <c r="G941" s="861"/>
      <c r="H941" s="802"/>
    </row>
    <row r="942" spans="1:8" ht="13.5" customHeight="1">
      <c r="A942" s="824"/>
      <c r="B942" s="804"/>
      <c r="C942" s="805"/>
      <c r="D942" s="806"/>
      <c r="E942" s="806"/>
      <c r="F942" s="800"/>
      <c r="G942" s="828" t="s">
        <v>1560</v>
      </c>
      <c r="H942" s="823">
        <f>SUM(G941)</f>
        <v>0</v>
      </c>
    </row>
    <row r="945" spans="1:8" ht="13.5" customHeight="1">
      <c r="A945" s="803" t="s">
        <v>1564</v>
      </c>
      <c r="B945" s="804"/>
      <c r="C945" s="805"/>
      <c r="D945" s="806"/>
      <c r="E945" s="806"/>
      <c r="F945" s="800"/>
      <c r="G945" s="806"/>
      <c r="H945" s="829"/>
    </row>
    <row r="946" spans="1:8" ht="13.5" customHeight="1">
      <c r="A946" s="830" t="s">
        <v>1853</v>
      </c>
      <c r="B946" s="831" t="s">
        <v>1854</v>
      </c>
      <c r="C946" s="808" t="s">
        <v>1855</v>
      </c>
      <c r="D946" s="832" t="s">
        <v>1244</v>
      </c>
      <c r="E946" s="809" t="s">
        <v>1856</v>
      </c>
      <c r="F946" s="810" t="s">
        <v>1843</v>
      </c>
      <c r="G946" s="833" t="s">
        <v>1845</v>
      </c>
      <c r="H946" s="834"/>
    </row>
    <row r="947" spans="1:8" ht="13.5" customHeight="1">
      <c r="A947" s="835"/>
      <c r="B947" s="836" t="s">
        <v>1857</v>
      </c>
      <c r="C947" s="837">
        <v>30000</v>
      </c>
      <c r="D947" s="837">
        <v>2</v>
      </c>
      <c r="E947" s="837">
        <f t="shared" ref="E947:E948" si="79">+D947*C947</f>
        <v>60000</v>
      </c>
      <c r="F947" s="838">
        <v>2.9</v>
      </c>
      <c r="G947" s="837">
        <f t="shared" ref="G947:G948" si="80">+ROUND((F947*E947)/8,0)</f>
        <v>21750</v>
      </c>
      <c r="H947" s="839"/>
    </row>
    <row r="948" spans="1:8" ht="13.5" customHeight="1">
      <c r="A948" s="835"/>
      <c r="B948" s="836" t="s">
        <v>1858</v>
      </c>
      <c r="C948" s="837">
        <v>40000</v>
      </c>
      <c r="D948" s="837">
        <v>1</v>
      </c>
      <c r="E948" s="837">
        <f t="shared" si="79"/>
        <v>40000</v>
      </c>
      <c r="F948" s="838">
        <f>+F947</f>
        <v>2.9</v>
      </c>
      <c r="G948" s="837">
        <f t="shared" si="80"/>
        <v>14500</v>
      </c>
      <c r="H948" s="840"/>
    </row>
    <row r="949" spans="1:8" ht="13.5" customHeight="1">
      <c r="A949" s="824"/>
      <c r="B949" s="804"/>
      <c r="C949" s="805"/>
      <c r="D949" s="806"/>
      <c r="E949" s="806"/>
      <c r="F949" s="800"/>
      <c r="G949" s="841" t="s">
        <v>1560</v>
      </c>
      <c r="H949" s="823">
        <f>SUM(G947:G948)</f>
        <v>36250</v>
      </c>
    </row>
    <row r="950" spans="1:8" ht="13.5" customHeight="1">
      <c r="A950" s="824"/>
      <c r="B950" s="804"/>
      <c r="C950" s="805"/>
      <c r="D950" s="806"/>
      <c r="E950" s="806"/>
      <c r="F950" s="800"/>
      <c r="G950" s="806"/>
      <c r="H950" s="829"/>
    </row>
    <row r="951" spans="1:8" ht="13.5" customHeight="1">
      <c r="A951" s="824"/>
      <c r="B951" s="804"/>
      <c r="C951" s="805"/>
      <c r="D951" s="806"/>
      <c r="E951" s="806"/>
      <c r="F951" s="842" t="s">
        <v>142</v>
      </c>
      <c r="G951" s="806"/>
      <c r="H951" s="843">
        <f>+H949+H942+H937</f>
        <v>38750</v>
      </c>
    </row>
    <row r="952" spans="1:8" ht="13.5" customHeight="1">
      <c r="A952" s="824"/>
      <c r="B952" s="804"/>
      <c r="C952" s="805"/>
      <c r="D952" s="806"/>
      <c r="E952" s="806"/>
      <c r="F952" s="842"/>
      <c r="G952" s="806"/>
      <c r="H952" s="829"/>
    </row>
    <row r="953" spans="1:8" ht="13.5" customHeight="1">
      <c r="A953" s="824"/>
      <c r="B953" s="801"/>
      <c r="C953" s="805"/>
      <c r="D953" s="806"/>
      <c r="E953" s="806"/>
      <c r="F953" s="800"/>
      <c r="G953" s="825"/>
      <c r="H953" s="802"/>
    </row>
    <row r="954" spans="1:8" ht="13.5" customHeight="1">
      <c r="A954" s="847"/>
      <c r="B954" s="848"/>
      <c r="C954" s="849"/>
      <c r="D954" s="806"/>
      <c r="E954" s="806"/>
      <c r="F954" s="800"/>
      <c r="G954" s="804"/>
      <c r="H954" s="826"/>
    </row>
    <row r="955" spans="1:8" ht="13.5" customHeight="1">
      <c r="A955" s="824" t="s">
        <v>1835</v>
      </c>
      <c r="B955" s="801"/>
      <c r="C955" s="805"/>
      <c r="D955" s="806"/>
      <c r="E955" s="806"/>
      <c r="F955" s="2021"/>
      <c r="G955" s="1825"/>
      <c r="H955" s="826"/>
    </row>
    <row r="956" spans="1:8" ht="13.5" customHeight="1">
      <c r="A956" s="847" t="s">
        <v>1859</v>
      </c>
      <c r="B956" s="848"/>
      <c r="C956" s="849"/>
      <c r="D956" s="850"/>
      <c r="E956" s="850"/>
      <c r="F956" s="851"/>
      <c r="G956" s="852"/>
      <c r="H956" s="853"/>
    </row>
    <row r="957" spans="1:8" ht="13.5" customHeight="1">
      <c r="A957" s="792"/>
      <c r="B957" s="792"/>
      <c r="C957" s="792"/>
      <c r="D957" s="792"/>
      <c r="E957" s="792"/>
      <c r="F957" s="792"/>
      <c r="G957" s="792"/>
      <c r="H957" s="792"/>
    </row>
    <row r="958" spans="1:8" ht="13.5" customHeight="1">
      <c r="A958" s="792"/>
      <c r="B958" s="792"/>
      <c r="C958" s="792"/>
      <c r="D958" s="792"/>
      <c r="E958" s="792"/>
      <c r="F958" s="792"/>
      <c r="G958" s="792"/>
      <c r="H958" s="792"/>
    </row>
    <row r="959" spans="1:8" ht="13.5" customHeight="1">
      <c r="A959" s="2046" t="s">
        <v>1834</v>
      </c>
      <c r="B959" s="1811"/>
      <c r="C959" s="1811"/>
      <c r="D959" s="1811"/>
      <c r="E959" s="1811"/>
      <c r="F959" s="1811"/>
      <c r="G959" s="1811"/>
      <c r="H959" s="1812"/>
    </row>
    <row r="960" spans="1:8" ht="13.5" customHeight="1">
      <c r="A960" s="2035" t="s">
        <v>559</v>
      </c>
      <c r="B960" s="2036"/>
      <c r="C960" s="2036"/>
      <c r="D960" s="2037"/>
      <c r="E960" s="2042" t="s">
        <v>1835</v>
      </c>
      <c r="F960" s="2036"/>
      <c r="G960" s="2036"/>
      <c r="H960" s="2043"/>
    </row>
    <row r="961" spans="1:8" ht="13.5" customHeight="1">
      <c r="A961" s="2038"/>
      <c r="B961" s="1605"/>
      <c r="C961" s="1605"/>
      <c r="D961" s="2039"/>
      <c r="E961" s="2044"/>
      <c r="F961" s="1605"/>
      <c r="G961" s="1605"/>
      <c r="H961" s="1606"/>
    </row>
    <row r="962" spans="1:8" ht="13.5" customHeight="1">
      <c r="A962" s="2040"/>
      <c r="B962" s="1608"/>
      <c r="C962" s="1608"/>
      <c r="D962" s="2041"/>
      <c r="E962" s="2045"/>
      <c r="F962" s="1608"/>
      <c r="G962" s="1608"/>
      <c r="H962" s="1919"/>
    </row>
    <row r="963" spans="1:8" ht="13.5" customHeight="1">
      <c r="A963" s="2027" t="s">
        <v>1906</v>
      </c>
      <c r="B963" s="2028"/>
      <c r="C963" s="2028"/>
      <c r="D963" s="2028"/>
      <c r="E963" s="2028"/>
      <c r="F963" s="2028"/>
      <c r="G963" s="2028"/>
      <c r="H963" s="2029"/>
    </row>
    <row r="964" spans="1:8" ht="13.5" customHeight="1">
      <c r="A964" s="793"/>
      <c r="B964" s="794"/>
      <c r="C964" s="794"/>
      <c r="D964" s="794"/>
      <c r="E964" s="794"/>
      <c r="F964" s="794"/>
      <c r="G964" s="794"/>
      <c r="H964" s="795"/>
    </row>
    <row r="965" spans="1:8" ht="13.5" customHeight="1">
      <c r="A965" s="2030"/>
      <c r="B965" s="1824"/>
      <c r="C965" s="1824"/>
      <c r="D965" s="1824"/>
      <c r="E965" s="1825"/>
      <c r="F965" s="794"/>
      <c r="G965" s="794"/>
      <c r="H965" s="795"/>
    </row>
    <row r="966" spans="1:8" ht="13.5" customHeight="1">
      <c r="A966" s="793"/>
      <c r="B966" s="794"/>
      <c r="C966" s="794"/>
      <c r="D966" s="794"/>
      <c r="E966" s="794"/>
      <c r="F966" s="794"/>
      <c r="G966" s="794"/>
      <c r="H966" s="795"/>
    </row>
    <row r="967" spans="1:8" ht="13.5" customHeight="1">
      <c r="A967" s="2030" t="s">
        <v>1837</v>
      </c>
      <c r="B967" s="1825"/>
      <c r="C967" s="794"/>
      <c r="D967" s="794"/>
      <c r="E967" s="794"/>
      <c r="F967" s="794"/>
      <c r="G967" s="794"/>
      <c r="H967" s="795"/>
    </row>
    <row r="968" spans="1:8" ht="13.5" customHeight="1">
      <c r="A968" s="2031" t="s">
        <v>470</v>
      </c>
      <c r="B968" s="1824"/>
      <c r="C968" s="1824"/>
      <c r="D968" s="1824"/>
      <c r="E968" s="1824"/>
      <c r="F968" s="1824"/>
      <c r="G968" s="1824"/>
      <c r="H968" s="2032"/>
    </row>
    <row r="969" spans="1:8" ht="13.5" customHeight="1">
      <c r="A969" s="796"/>
      <c r="B969" s="797"/>
      <c r="C969" s="798"/>
      <c r="D969" s="799"/>
      <c r="E969" s="799"/>
      <c r="F969" s="800"/>
      <c r="G969" s="801" t="s">
        <v>1935</v>
      </c>
      <c r="H969" s="802"/>
    </row>
    <row r="970" spans="1:8" ht="13.5" customHeight="1">
      <c r="A970" s="803" t="s">
        <v>1839</v>
      </c>
      <c r="B970" s="804"/>
      <c r="C970" s="805"/>
      <c r="D970" s="806"/>
      <c r="E970" s="806"/>
      <c r="F970" s="800"/>
      <c r="G970" s="807" t="s">
        <v>1934</v>
      </c>
      <c r="H970" s="802"/>
    </row>
    <row r="971" spans="1:8" ht="13.5" customHeight="1">
      <c r="A971" s="2022" t="s">
        <v>376</v>
      </c>
      <c r="B971" s="1611"/>
      <c r="C971" s="808" t="s">
        <v>1219</v>
      </c>
      <c r="D971" s="809" t="s">
        <v>1841</v>
      </c>
      <c r="E971" s="809" t="s">
        <v>1842</v>
      </c>
      <c r="F971" s="810" t="s">
        <v>1843</v>
      </c>
      <c r="G971" s="811" t="s">
        <v>1844</v>
      </c>
      <c r="H971" s="812"/>
    </row>
    <row r="972" spans="1:8" ht="13.5" customHeight="1">
      <c r="A972" s="854" t="s">
        <v>1568</v>
      </c>
      <c r="B972" s="808"/>
      <c r="C972" s="813" t="s">
        <v>1614</v>
      </c>
      <c r="D972" s="814">
        <v>1500</v>
      </c>
      <c r="E972" s="814"/>
      <c r="F972" s="815">
        <v>0.2</v>
      </c>
      <c r="G972" s="816">
        <f t="shared" ref="G972:G973" si="81">+D972*F972</f>
        <v>300</v>
      </c>
      <c r="H972" s="812"/>
    </row>
    <row r="973" spans="1:8" ht="13.5" customHeight="1">
      <c r="A973" s="2020" t="s">
        <v>1936</v>
      </c>
      <c r="B973" s="1611"/>
      <c r="C973" s="813" t="s">
        <v>1614</v>
      </c>
      <c r="D973" s="817">
        <v>6000</v>
      </c>
      <c r="E973" s="817"/>
      <c r="F973" s="815">
        <v>1</v>
      </c>
      <c r="G973" s="816">
        <f t="shared" si="81"/>
        <v>6000</v>
      </c>
      <c r="H973" s="812"/>
    </row>
    <row r="974" spans="1:8" ht="13.5" customHeight="1">
      <c r="A974" s="2023"/>
      <c r="B974" s="1611"/>
      <c r="C974" s="818"/>
      <c r="D974" s="819"/>
      <c r="E974" s="819"/>
      <c r="F974" s="819"/>
      <c r="G974" s="820"/>
      <c r="H974" s="821"/>
    </row>
    <row r="975" spans="1:8" ht="13.5" customHeight="1">
      <c r="A975" s="2033"/>
      <c r="B975" s="1825"/>
      <c r="C975" s="805"/>
      <c r="D975" s="806"/>
      <c r="E975" s="806"/>
      <c r="F975" s="800"/>
      <c r="G975" s="822" t="s">
        <v>1560</v>
      </c>
      <c r="H975" s="823">
        <f>SUM(G972:G974)</f>
        <v>6300</v>
      </c>
    </row>
    <row r="977" spans="1:8" ht="13.5" customHeight="1">
      <c r="A977" s="803" t="s">
        <v>1561</v>
      </c>
      <c r="B977" s="804"/>
      <c r="C977" s="805"/>
      <c r="D977" s="806"/>
      <c r="E977" s="806"/>
      <c r="F977" s="800"/>
      <c r="G977" s="825"/>
      <c r="H977" s="802"/>
    </row>
    <row r="978" spans="1:8" ht="13.5" customHeight="1">
      <c r="A978" s="2022" t="s">
        <v>376</v>
      </c>
      <c r="B978" s="1611"/>
      <c r="C978" s="808" t="s">
        <v>1219</v>
      </c>
      <c r="D978" s="809" t="s">
        <v>1845</v>
      </c>
      <c r="E978" s="809" t="s">
        <v>1842</v>
      </c>
      <c r="F978" s="810" t="s">
        <v>673</v>
      </c>
      <c r="G978" s="811" t="s">
        <v>1845</v>
      </c>
      <c r="H978" s="826"/>
    </row>
    <row r="979" spans="1:8" ht="13.5" customHeight="1">
      <c r="A979" s="2020" t="s">
        <v>1937</v>
      </c>
      <c r="B979" s="1611"/>
      <c r="C979" s="813" t="s">
        <v>116</v>
      </c>
      <c r="D979" s="817">
        <v>25000</v>
      </c>
      <c r="E979" s="817"/>
      <c r="F979" s="815">
        <v>1</v>
      </c>
      <c r="G979" s="861">
        <f>+F979*D979</f>
        <v>25000</v>
      </c>
      <c r="H979" s="802"/>
    </row>
    <row r="980" spans="1:8" ht="13.5" customHeight="1">
      <c r="A980" s="824"/>
      <c r="B980" s="804"/>
      <c r="C980" s="805"/>
      <c r="D980" s="806"/>
      <c r="E980" s="806"/>
      <c r="F980" s="800"/>
      <c r="G980" s="828" t="s">
        <v>1560</v>
      </c>
      <c r="H980" s="823">
        <f>SUM(G979)</f>
        <v>25000</v>
      </c>
    </row>
    <row r="981" spans="1:8" ht="13.5" customHeight="1">
      <c r="A981" s="803"/>
      <c r="B981" s="804"/>
      <c r="C981" s="805"/>
      <c r="D981" s="806"/>
      <c r="E981" s="806"/>
      <c r="F981" s="800"/>
      <c r="G981" s="825"/>
      <c r="H981" s="802"/>
    </row>
    <row r="982" spans="1:8" ht="13.5" customHeight="1">
      <c r="A982" s="803"/>
      <c r="B982" s="804"/>
      <c r="C982" s="805"/>
      <c r="D982" s="806"/>
      <c r="E982" s="806"/>
      <c r="F982" s="800"/>
      <c r="G982" s="804"/>
      <c r="H982" s="826"/>
    </row>
    <row r="983" spans="1:8" ht="13.5" customHeight="1">
      <c r="A983" s="803" t="s">
        <v>1564</v>
      </c>
      <c r="B983" s="804"/>
      <c r="C983" s="805"/>
      <c r="D983" s="806"/>
      <c r="E983" s="806"/>
      <c r="F983" s="800"/>
      <c r="G983" s="806"/>
      <c r="H983" s="829"/>
    </row>
    <row r="984" spans="1:8" ht="13.5" customHeight="1">
      <c r="A984" s="830" t="s">
        <v>1853</v>
      </c>
      <c r="B984" s="831" t="s">
        <v>1854</v>
      </c>
      <c r="C984" s="808" t="s">
        <v>1855</v>
      </c>
      <c r="D984" s="832" t="s">
        <v>1244</v>
      </c>
      <c r="E984" s="809" t="s">
        <v>1856</v>
      </c>
      <c r="F984" s="810" t="s">
        <v>1843</v>
      </c>
      <c r="G984" s="833" t="s">
        <v>1845</v>
      </c>
      <c r="H984" s="834"/>
    </row>
    <row r="985" spans="1:8" ht="13.5" customHeight="1">
      <c r="A985" s="835"/>
      <c r="B985" s="836" t="s">
        <v>1857</v>
      </c>
      <c r="C985" s="837">
        <v>30000</v>
      </c>
      <c r="D985" s="837">
        <v>2</v>
      </c>
      <c r="E985" s="837">
        <f t="shared" ref="E985:E986" si="82">+D985*C985</f>
        <v>60000</v>
      </c>
      <c r="F985" s="838">
        <v>1</v>
      </c>
      <c r="G985" s="837">
        <f t="shared" ref="G985:G986" si="83">+ROUND((F985*E985)/8,0)</f>
        <v>7500</v>
      </c>
      <c r="H985" s="839"/>
    </row>
    <row r="986" spans="1:8" ht="13.5" customHeight="1">
      <c r="A986" s="835"/>
      <c r="B986" s="836" t="s">
        <v>1858</v>
      </c>
      <c r="C986" s="837">
        <v>40000</v>
      </c>
      <c r="D986" s="837">
        <v>1</v>
      </c>
      <c r="E986" s="837">
        <f t="shared" si="82"/>
        <v>40000</v>
      </c>
      <c r="F986" s="838">
        <f>+F985</f>
        <v>1</v>
      </c>
      <c r="G986" s="837">
        <f t="shared" si="83"/>
        <v>5000</v>
      </c>
      <c r="H986" s="840"/>
    </row>
    <row r="987" spans="1:8" ht="13.5" customHeight="1">
      <c r="A987" s="824"/>
      <c r="B987" s="804"/>
      <c r="C987" s="805"/>
      <c r="D987" s="806"/>
      <c r="E987" s="806"/>
      <c r="F987" s="800"/>
      <c r="G987" s="841" t="s">
        <v>1560</v>
      </c>
      <c r="H987" s="823">
        <f>SUM(G985:G986)</f>
        <v>12500</v>
      </c>
    </row>
    <row r="988" spans="1:8" ht="13.5" customHeight="1">
      <c r="A988" s="824"/>
      <c r="B988" s="804"/>
      <c r="C988" s="805"/>
      <c r="D988" s="806"/>
      <c r="E988" s="806"/>
      <c r="F988" s="800"/>
      <c r="G988" s="806"/>
      <c r="H988" s="829"/>
    </row>
    <row r="989" spans="1:8" ht="13.5" customHeight="1">
      <c r="A989" s="824"/>
      <c r="B989" s="804"/>
      <c r="C989" s="805"/>
      <c r="D989" s="806"/>
      <c r="E989" s="806"/>
      <c r="F989" s="842" t="s">
        <v>142</v>
      </c>
      <c r="G989" s="806"/>
      <c r="H989" s="843">
        <f>+H987+H980+H975</f>
        <v>43800</v>
      </c>
    </row>
    <row r="993" spans="1:8" ht="13.5" customHeight="1">
      <c r="A993" s="824" t="s">
        <v>1835</v>
      </c>
      <c r="B993" s="801"/>
      <c r="C993" s="805"/>
      <c r="D993" s="806"/>
      <c r="E993" s="806"/>
      <c r="F993" s="2021"/>
      <c r="G993" s="1825"/>
      <c r="H993" s="826"/>
    </row>
    <row r="994" spans="1:8" ht="13.5" customHeight="1">
      <c r="A994" s="847" t="s">
        <v>1859</v>
      </c>
      <c r="B994" s="848"/>
      <c r="C994" s="849"/>
      <c r="D994" s="850"/>
      <c r="E994" s="850"/>
      <c r="F994" s="851"/>
      <c r="G994" s="852"/>
      <c r="H994" s="853"/>
    </row>
    <row r="995" spans="1:8" ht="13.5" customHeight="1">
      <c r="A995" s="792"/>
      <c r="B995" s="792"/>
      <c r="C995" s="792"/>
      <c r="D995" s="792"/>
      <c r="E995" s="792"/>
      <c r="F995" s="792"/>
      <c r="G995" s="792"/>
      <c r="H995" s="792"/>
    </row>
    <row r="996" spans="1:8" ht="13.5" customHeight="1">
      <c r="A996" s="792"/>
      <c r="B996" s="792"/>
      <c r="C996" s="792"/>
      <c r="D996" s="792"/>
      <c r="E996" s="792"/>
      <c r="F996" s="792"/>
      <c r="G996" s="792"/>
      <c r="H996" s="792"/>
    </row>
    <row r="997" spans="1:8" ht="13.5" customHeight="1">
      <c r="A997" s="2046" t="s">
        <v>1834</v>
      </c>
      <c r="B997" s="1811"/>
      <c r="C997" s="1811"/>
      <c r="D997" s="1811"/>
      <c r="E997" s="1811"/>
      <c r="F997" s="1811"/>
      <c r="G997" s="1811"/>
      <c r="H997" s="1812"/>
    </row>
    <row r="998" spans="1:8" ht="13.5" customHeight="1">
      <c r="A998" s="2035" t="s">
        <v>559</v>
      </c>
      <c r="B998" s="2036"/>
      <c r="C998" s="2036"/>
      <c r="D998" s="2037"/>
      <c r="E998" s="2042" t="s">
        <v>1835</v>
      </c>
      <c r="F998" s="2036"/>
      <c r="G998" s="2036"/>
      <c r="H998" s="2043"/>
    </row>
    <row r="999" spans="1:8" ht="13.5" customHeight="1">
      <c r="A999" s="2038"/>
      <c r="B999" s="1605"/>
      <c r="C999" s="1605"/>
      <c r="D999" s="2039"/>
      <c r="E999" s="2044"/>
      <c r="F999" s="1605"/>
      <c r="G999" s="1605"/>
      <c r="H999" s="1606"/>
    </row>
    <row r="1000" spans="1:8" ht="13.5" customHeight="1">
      <c r="A1000" s="2040"/>
      <c r="B1000" s="1608"/>
      <c r="C1000" s="1608"/>
      <c r="D1000" s="2041"/>
      <c r="E1000" s="2045"/>
      <c r="F1000" s="1608"/>
      <c r="G1000" s="1608"/>
      <c r="H1000" s="1919"/>
    </row>
    <row r="1001" spans="1:8" ht="13.5" customHeight="1">
      <c r="A1001" s="2027" t="s">
        <v>1906</v>
      </c>
      <c r="B1001" s="2028"/>
      <c r="C1001" s="2028"/>
      <c r="D1001" s="2028"/>
      <c r="E1001" s="2028"/>
      <c r="F1001" s="2028"/>
      <c r="G1001" s="2028"/>
      <c r="H1001" s="2029"/>
    </row>
    <row r="1002" spans="1:8" ht="13.5" customHeight="1">
      <c r="A1002" s="793"/>
      <c r="B1002" s="794"/>
      <c r="C1002" s="794"/>
      <c r="D1002" s="794"/>
      <c r="E1002" s="794"/>
      <c r="F1002" s="794"/>
      <c r="G1002" s="794"/>
      <c r="H1002" s="795"/>
    </row>
    <row r="1003" spans="1:8" ht="13.5" customHeight="1">
      <c r="A1003" s="2030"/>
      <c r="B1003" s="1824"/>
      <c r="C1003" s="1824"/>
      <c r="D1003" s="1824"/>
      <c r="E1003" s="1825"/>
      <c r="F1003" s="794"/>
      <c r="G1003" s="794"/>
      <c r="H1003" s="795"/>
    </row>
    <row r="1004" spans="1:8" ht="13.5" customHeight="1">
      <c r="A1004" s="793"/>
      <c r="B1004" s="794"/>
      <c r="C1004" s="794"/>
      <c r="D1004" s="794"/>
      <c r="E1004" s="794"/>
      <c r="F1004" s="794"/>
      <c r="G1004" s="794"/>
      <c r="H1004" s="795"/>
    </row>
    <row r="1005" spans="1:8" ht="13.5" customHeight="1">
      <c r="A1005" s="2030" t="s">
        <v>1837</v>
      </c>
      <c r="B1005" s="1825"/>
      <c r="C1005" s="794"/>
      <c r="D1005" s="794"/>
      <c r="E1005" s="794"/>
      <c r="F1005" s="794"/>
      <c r="G1005" s="794"/>
      <c r="H1005" s="795"/>
    </row>
    <row r="1006" spans="1:8" ht="13.5" customHeight="1">
      <c r="A1006" s="2031" t="s">
        <v>472</v>
      </c>
      <c r="B1006" s="1824"/>
      <c r="C1006" s="1824"/>
      <c r="D1006" s="1824"/>
      <c r="E1006" s="1824"/>
      <c r="F1006" s="1824"/>
      <c r="G1006" s="1824"/>
      <c r="H1006" s="2032"/>
    </row>
    <row r="1007" spans="1:8" ht="13.5" customHeight="1">
      <c r="A1007" s="796"/>
      <c r="B1007" s="797"/>
      <c r="C1007" s="798"/>
      <c r="D1007" s="799"/>
      <c r="E1007" s="799"/>
      <c r="F1007" s="800"/>
      <c r="G1007" s="801" t="s">
        <v>1938</v>
      </c>
      <c r="H1007" s="802"/>
    </row>
    <row r="1008" spans="1:8" ht="13.5" customHeight="1">
      <c r="A1008" s="803" t="s">
        <v>1839</v>
      </c>
      <c r="B1008" s="804"/>
      <c r="C1008" s="805"/>
      <c r="D1008" s="806"/>
      <c r="E1008" s="806"/>
      <c r="F1008" s="800"/>
      <c r="G1008" s="807" t="s">
        <v>1840</v>
      </c>
      <c r="H1008" s="802"/>
    </row>
    <row r="1009" spans="1:8" ht="13.5" customHeight="1">
      <c r="A1009" s="2022" t="s">
        <v>376</v>
      </c>
      <c r="B1009" s="1611"/>
      <c r="C1009" s="808" t="s">
        <v>1219</v>
      </c>
      <c r="D1009" s="809" t="s">
        <v>1841</v>
      </c>
      <c r="E1009" s="809" t="s">
        <v>1842</v>
      </c>
      <c r="F1009" s="810" t="s">
        <v>1843</v>
      </c>
      <c r="G1009" s="811" t="s">
        <v>1844</v>
      </c>
      <c r="H1009" s="812"/>
    </row>
    <row r="1010" spans="1:8" ht="13.5" customHeight="1">
      <c r="A1010" s="854" t="s">
        <v>1568</v>
      </c>
      <c r="B1010" s="808"/>
      <c r="C1010" s="813" t="s">
        <v>1614</v>
      </c>
      <c r="D1010" s="814">
        <v>1500</v>
      </c>
      <c r="E1010" s="814"/>
      <c r="F1010" s="815">
        <v>1</v>
      </c>
      <c r="G1010" s="816">
        <f t="shared" ref="G1010:G1011" si="84">+D1010*F1010</f>
        <v>1500</v>
      </c>
      <c r="H1010" s="812"/>
    </row>
    <row r="1011" spans="1:8" ht="13.5" customHeight="1">
      <c r="A1011" s="2020"/>
      <c r="B1011" s="1611"/>
      <c r="C1011" s="813"/>
      <c r="D1011" s="817"/>
      <c r="E1011" s="817"/>
      <c r="F1011" s="815"/>
      <c r="G1011" s="816">
        <f t="shared" si="84"/>
        <v>0</v>
      </c>
      <c r="H1011" s="812"/>
    </row>
    <row r="1012" spans="1:8" ht="13.5" customHeight="1">
      <c r="A1012" s="2023"/>
      <c r="B1012" s="1611"/>
      <c r="C1012" s="818"/>
      <c r="D1012" s="819"/>
      <c r="E1012" s="819"/>
      <c r="F1012" s="819"/>
      <c r="G1012" s="820"/>
      <c r="H1012" s="821"/>
    </row>
    <row r="1013" spans="1:8" ht="13.5" customHeight="1">
      <c r="A1013" s="2033"/>
      <c r="B1013" s="1825"/>
      <c r="C1013" s="805"/>
      <c r="D1013" s="806"/>
      <c r="E1013" s="806"/>
      <c r="F1013" s="800"/>
      <c r="G1013" s="822" t="s">
        <v>1560</v>
      </c>
      <c r="H1013" s="823">
        <f>SUM(G1010:G1012)</f>
        <v>1500</v>
      </c>
    </row>
    <row r="1014" spans="1:8" ht="13.5" customHeight="1">
      <c r="A1014" s="824"/>
      <c r="B1014" s="804"/>
      <c r="C1014" s="805"/>
      <c r="D1014" s="806"/>
      <c r="E1014" s="806"/>
      <c r="F1014" s="800"/>
      <c r="G1014" s="825"/>
      <c r="H1014" s="802"/>
    </row>
    <row r="1015" spans="1:8" ht="13.5" customHeight="1">
      <c r="A1015" s="803" t="s">
        <v>1561</v>
      </c>
      <c r="B1015" s="804"/>
      <c r="C1015" s="805"/>
      <c r="D1015" s="806"/>
      <c r="E1015" s="806"/>
      <c r="F1015" s="800"/>
      <c r="G1015" s="825"/>
      <c r="H1015" s="802"/>
    </row>
    <row r="1016" spans="1:8" ht="13.5" customHeight="1">
      <c r="A1016" s="2022" t="s">
        <v>376</v>
      </c>
      <c r="B1016" s="1611"/>
      <c r="C1016" s="808" t="s">
        <v>1219</v>
      </c>
      <c r="D1016" s="809" t="s">
        <v>1845</v>
      </c>
      <c r="E1016" s="809" t="s">
        <v>1842</v>
      </c>
      <c r="F1016" s="810" t="s">
        <v>673</v>
      </c>
      <c r="G1016" s="811" t="s">
        <v>1845</v>
      </c>
      <c r="H1016" s="826"/>
    </row>
    <row r="1017" spans="1:8" ht="13.5" customHeight="1">
      <c r="A1017" s="2020" t="s">
        <v>1939</v>
      </c>
      <c r="B1017" s="1611"/>
      <c r="C1017" s="813" t="s">
        <v>127</v>
      </c>
      <c r="D1017" s="817">
        <v>130000</v>
      </c>
      <c r="E1017" s="817"/>
      <c r="F1017" s="815">
        <v>1</v>
      </c>
      <c r="G1017" s="827">
        <f t="shared" ref="G1017:G1018" si="85">+F1017*D1017</f>
        <v>130000</v>
      </c>
      <c r="H1017" s="826"/>
    </row>
    <row r="1018" spans="1:8" ht="13.5" customHeight="1">
      <c r="A1018" s="2020"/>
      <c r="B1018" s="1611"/>
      <c r="C1018" s="808"/>
      <c r="D1018" s="809"/>
      <c r="E1018" s="809"/>
      <c r="F1018" s="872"/>
      <c r="G1018" s="811">
        <f t="shared" si="85"/>
        <v>0</v>
      </c>
      <c r="H1018" s="826"/>
    </row>
    <row r="1019" spans="1:8" ht="13.5" customHeight="1">
      <c r="A1019" s="2020"/>
      <c r="B1019" s="1611"/>
      <c r="C1019" s="813"/>
      <c r="D1019" s="817"/>
      <c r="E1019" s="817"/>
      <c r="F1019" s="815"/>
      <c r="G1019" s="861"/>
      <c r="H1019" s="802"/>
    </row>
    <row r="1020" spans="1:8" ht="13.5" customHeight="1">
      <c r="A1020" s="824"/>
      <c r="B1020" s="804"/>
      <c r="C1020" s="805"/>
      <c r="D1020" s="806"/>
      <c r="E1020" s="806"/>
      <c r="F1020" s="800"/>
      <c r="G1020" s="828" t="s">
        <v>1560</v>
      </c>
      <c r="H1020" s="823">
        <f>SUM(G1017:G1019)</f>
        <v>130000</v>
      </c>
    </row>
    <row r="1021" spans="1:8" ht="13.5" customHeight="1">
      <c r="A1021" s="803"/>
      <c r="B1021" s="804"/>
      <c r="C1021" s="805"/>
      <c r="D1021" s="806"/>
      <c r="E1021" s="806"/>
      <c r="F1021" s="800"/>
      <c r="G1021" s="825"/>
      <c r="H1021" s="802"/>
    </row>
    <row r="1022" spans="1:8" ht="13.5" customHeight="1">
      <c r="A1022" s="803"/>
      <c r="B1022" s="804"/>
      <c r="C1022" s="805"/>
      <c r="D1022" s="806"/>
      <c r="E1022" s="806"/>
      <c r="F1022" s="800"/>
      <c r="G1022" s="804"/>
      <c r="H1022" s="826"/>
    </row>
    <row r="1023" spans="1:8" ht="13.5" customHeight="1">
      <c r="A1023" s="803" t="s">
        <v>1564</v>
      </c>
      <c r="B1023" s="804"/>
      <c r="C1023" s="805"/>
      <c r="D1023" s="806"/>
      <c r="E1023" s="806"/>
      <c r="F1023" s="800"/>
      <c r="G1023" s="806"/>
      <c r="H1023" s="829"/>
    </row>
    <row r="1024" spans="1:8" ht="13.5" customHeight="1">
      <c r="A1024" s="830" t="s">
        <v>1853</v>
      </c>
      <c r="B1024" s="831" t="s">
        <v>1854</v>
      </c>
      <c r="C1024" s="808" t="s">
        <v>1855</v>
      </c>
      <c r="D1024" s="832" t="s">
        <v>1244</v>
      </c>
      <c r="E1024" s="809" t="s">
        <v>1856</v>
      </c>
      <c r="F1024" s="810" t="s">
        <v>1843</v>
      </c>
      <c r="G1024" s="833" t="s">
        <v>1845</v>
      </c>
      <c r="H1024" s="834"/>
    </row>
    <row r="1025" spans="1:8" ht="13.5" customHeight="1">
      <c r="A1025" s="835"/>
      <c r="B1025" s="836" t="s">
        <v>1857</v>
      </c>
      <c r="C1025" s="837">
        <v>30000</v>
      </c>
      <c r="D1025" s="837">
        <v>2</v>
      </c>
      <c r="E1025" s="837">
        <f t="shared" ref="E1025:E1026" si="86">+D1025*C1025</f>
        <v>60000</v>
      </c>
      <c r="F1025" s="838">
        <v>2</v>
      </c>
      <c r="G1025" s="837">
        <f t="shared" ref="G1025:G1026" si="87">+ROUND((F1025*E1025)/8,0)</f>
        <v>15000</v>
      </c>
      <c r="H1025" s="839"/>
    </row>
    <row r="1026" spans="1:8" ht="13.5" customHeight="1">
      <c r="A1026" s="835"/>
      <c r="B1026" s="836" t="s">
        <v>1858</v>
      </c>
      <c r="C1026" s="837">
        <v>40000</v>
      </c>
      <c r="D1026" s="837">
        <v>1</v>
      </c>
      <c r="E1026" s="837">
        <f t="shared" si="86"/>
        <v>40000</v>
      </c>
      <c r="F1026" s="838">
        <f>+F1025</f>
        <v>2</v>
      </c>
      <c r="G1026" s="837">
        <f t="shared" si="87"/>
        <v>10000</v>
      </c>
      <c r="H1026" s="840"/>
    </row>
    <row r="1027" spans="1:8" ht="13.5" customHeight="1">
      <c r="A1027" s="824"/>
      <c r="B1027" s="804"/>
      <c r="C1027" s="805"/>
      <c r="D1027" s="806"/>
      <c r="E1027" s="806"/>
      <c r="F1027" s="800"/>
      <c r="G1027" s="841" t="s">
        <v>1560</v>
      </c>
      <c r="H1027" s="823">
        <f>SUM(G1025:G1026)</f>
        <v>25000</v>
      </c>
    </row>
    <row r="1028" spans="1:8" ht="13.5" customHeight="1">
      <c r="A1028" s="824"/>
      <c r="B1028" s="804"/>
      <c r="C1028" s="805"/>
      <c r="D1028" s="806"/>
      <c r="E1028" s="806"/>
      <c r="F1028" s="800"/>
      <c r="G1028" s="806"/>
      <c r="H1028" s="829"/>
    </row>
    <row r="1029" spans="1:8" ht="13.5" customHeight="1">
      <c r="A1029" s="824"/>
      <c r="B1029" s="804"/>
      <c r="C1029" s="805"/>
      <c r="D1029" s="806"/>
      <c r="E1029" s="806"/>
      <c r="F1029" s="842" t="s">
        <v>142</v>
      </c>
      <c r="G1029" s="806"/>
      <c r="H1029" s="843">
        <f>+H1027+H1020+H1013</f>
        <v>156500</v>
      </c>
    </row>
    <row r="1030" spans="1:8" ht="13.5" customHeight="1">
      <c r="A1030" s="824"/>
      <c r="B1030" s="804"/>
      <c r="C1030" s="805"/>
      <c r="D1030" s="806"/>
      <c r="E1030" s="806"/>
      <c r="F1030" s="842"/>
      <c r="G1030" s="806"/>
      <c r="H1030" s="829"/>
    </row>
    <row r="1031" spans="1:8" ht="13.5" customHeight="1">
      <c r="A1031" s="824"/>
      <c r="B1031" s="801"/>
      <c r="C1031" s="805"/>
      <c r="D1031" s="806"/>
      <c r="E1031" s="806"/>
      <c r="F1031" s="800"/>
      <c r="G1031" s="825"/>
      <c r="H1031" s="802"/>
    </row>
    <row r="1032" spans="1:8" ht="13.5" customHeight="1">
      <c r="A1032" s="847"/>
      <c r="B1032" s="848"/>
      <c r="C1032" s="849"/>
      <c r="D1032" s="806"/>
      <c r="E1032" s="806"/>
      <c r="F1032" s="800"/>
      <c r="G1032" s="804"/>
      <c r="H1032" s="826"/>
    </row>
    <row r="1033" spans="1:8" ht="13.5" customHeight="1">
      <c r="A1033" s="824" t="s">
        <v>1835</v>
      </c>
      <c r="B1033" s="801"/>
      <c r="C1033" s="805"/>
      <c r="D1033" s="806"/>
      <c r="E1033" s="806"/>
      <c r="F1033" s="2021"/>
      <c r="G1033" s="1825"/>
      <c r="H1033" s="826"/>
    </row>
    <row r="1034" spans="1:8" ht="13.5" customHeight="1">
      <c r="A1034" s="847" t="s">
        <v>1859</v>
      </c>
      <c r="B1034" s="848"/>
      <c r="C1034" s="849"/>
      <c r="D1034" s="850"/>
      <c r="E1034" s="850"/>
      <c r="F1034" s="851"/>
      <c r="G1034" s="852"/>
      <c r="H1034" s="853"/>
    </row>
    <row r="1035" spans="1:8" ht="13.5" customHeight="1">
      <c r="A1035" s="873"/>
      <c r="B1035" s="873"/>
      <c r="C1035" s="873"/>
      <c r="D1035" s="873"/>
      <c r="E1035" s="873"/>
      <c r="F1035" s="873"/>
      <c r="G1035" s="873"/>
      <c r="H1035" s="873"/>
    </row>
    <row r="1036" spans="1:8" ht="13.5" customHeight="1">
      <c r="A1036" s="2046" t="s">
        <v>1834</v>
      </c>
      <c r="B1036" s="1811"/>
      <c r="C1036" s="1811"/>
      <c r="D1036" s="1811"/>
      <c r="E1036" s="1811"/>
      <c r="F1036" s="1811"/>
      <c r="G1036" s="1811"/>
      <c r="H1036" s="1812"/>
    </row>
    <row r="1037" spans="1:8" ht="13.5" customHeight="1">
      <c r="A1037" s="2035" t="s">
        <v>559</v>
      </c>
      <c r="B1037" s="2036"/>
      <c r="C1037" s="2036"/>
      <c r="D1037" s="2037"/>
      <c r="E1037" s="2042" t="s">
        <v>1835</v>
      </c>
      <c r="F1037" s="2036"/>
      <c r="G1037" s="2036"/>
      <c r="H1037" s="2043"/>
    </row>
    <row r="1038" spans="1:8" ht="13.5" customHeight="1">
      <c r="A1038" s="2038"/>
      <c r="B1038" s="1605"/>
      <c r="C1038" s="1605"/>
      <c r="D1038" s="2039"/>
      <c r="E1038" s="2044"/>
      <c r="F1038" s="1605"/>
      <c r="G1038" s="1605"/>
      <c r="H1038" s="1606"/>
    </row>
    <row r="1039" spans="1:8" ht="13.5" customHeight="1">
      <c r="A1039" s="2040"/>
      <c r="B1039" s="1608"/>
      <c r="C1039" s="1608"/>
      <c r="D1039" s="2041"/>
      <c r="E1039" s="2045"/>
      <c r="F1039" s="1608"/>
      <c r="G1039" s="1608"/>
      <c r="H1039" s="1919"/>
    </row>
    <row r="1040" spans="1:8" ht="13.5" customHeight="1">
      <c r="A1040" s="2027" t="s">
        <v>1906</v>
      </c>
      <c r="B1040" s="2028"/>
      <c r="C1040" s="2028"/>
      <c r="D1040" s="2028"/>
      <c r="E1040" s="2028"/>
      <c r="F1040" s="2028"/>
      <c r="G1040" s="2028"/>
      <c r="H1040" s="2029"/>
    </row>
    <row r="1042" spans="1:8" ht="13.5" customHeight="1">
      <c r="A1042" s="2030"/>
      <c r="B1042" s="1824"/>
      <c r="C1042" s="1824"/>
      <c r="D1042" s="1824"/>
      <c r="E1042" s="1825"/>
      <c r="F1042" s="794"/>
      <c r="G1042" s="794"/>
      <c r="H1042" s="795"/>
    </row>
    <row r="1043" spans="1:8" ht="13.5" customHeight="1">
      <c r="A1043" s="793"/>
      <c r="B1043" s="794"/>
      <c r="C1043" s="794"/>
      <c r="D1043" s="794"/>
      <c r="E1043" s="794"/>
      <c r="F1043" s="794"/>
      <c r="G1043" s="794"/>
      <c r="H1043" s="795"/>
    </row>
    <row r="1044" spans="1:8" ht="13.5" customHeight="1">
      <c r="A1044" s="2030" t="s">
        <v>1837</v>
      </c>
      <c r="B1044" s="1825"/>
      <c r="C1044" s="794"/>
      <c r="D1044" s="794"/>
      <c r="E1044" s="794"/>
      <c r="F1044" s="794"/>
      <c r="G1044" s="794"/>
      <c r="H1044" s="795"/>
    </row>
    <row r="1045" spans="1:8" ht="13.5" customHeight="1">
      <c r="A1045" s="2031" t="s">
        <v>474</v>
      </c>
      <c r="B1045" s="1824"/>
      <c r="C1045" s="1824"/>
      <c r="D1045" s="1824"/>
      <c r="E1045" s="1824"/>
      <c r="F1045" s="1824"/>
      <c r="G1045" s="1824"/>
      <c r="H1045" s="2032"/>
    </row>
    <row r="1046" spans="1:8" ht="13.5" customHeight="1">
      <c r="A1046" s="796"/>
      <c r="B1046" s="797"/>
      <c r="C1046" s="798"/>
      <c r="D1046" s="799"/>
      <c r="E1046" s="799"/>
      <c r="F1046" s="800"/>
      <c r="G1046" s="801" t="s">
        <v>1940</v>
      </c>
      <c r="H1046" s="802"/>
    </row>
    <row r="1047" spans="1:8" ht="13.5" customHeight="1">
      <c r="A1047" s="803" t="s">
        <v>1839</v>
      </c>
      <c r="B1047" s="804"/>
      <c r="C1047" s="805"/>
      <c r="D1047" s="806"/>
      <c r="E1047" s="806"/>
      <c r="F1047" s="800"/>
      <c r="G1047" s="807" t="s">
        <v>1840</v>
      </c>
      <c r="H1047" s="802"/>
    </row>
    <row r="1048" spans="1:8" ht="13.5" customHeight="1">
      <c r="A1048" s="2022" t="s">
        <v>376</v>
      </c>
      <c r="B1048" s="1611"/>
      <c r="C1048" s="808" t="s">
        <v>1219</v>
      </c>
      <c r="D1048" s="809" t="s">
        <v>1841</v>
      </c>
      <c r="E1048" s="809" t="s">
        <v>1842</v>
      </c>
      <c r="F1048" s="810" t="s">
        <v>1843</v>
      </c>
      <c r="G1048" s="811" t="s">
        <v>1844</v>
      </c>
      <c r="H1048" s="812"/>
    </row>
    <row r="1049" spans="1:8" ht="13.5" customHeight="1">
      <c r="A1049" s="854" t="s">
        <v>1568</v>
      </c>
      <c r="B1049" s="808"/>
      <c r="C1049" s="813" t="s">
        <v>1614</v>
      </c>
      <c r="D1049" s="814">
        <v>1500</v>
      </c>
      <c r="E1049" s="814"/>
      <c r="F1049" s="815">
        <v>1</v>
      </c>
      <c r="G1049" s="816">
        <f t="shared" ref="G1049:G1050" si="88">+D1049*F1049</f>
        <v>1500</v>
      </c>
      <c r="H1049" s="812"/>
    </row>
    <row r="1050" spans="1:8" ht="13.5" customHeight="1">
      <c r="A1050" s="2020"/>
      <c r="B1050" s="1611"/>
      <c r="C1050" s="813"/>
      <c r="D1050" s="817"/>
      <c r="E1050" s="817"/>
      <c r="F1050" s="815"/>
      <c r="G1050" s="816">
        <f t="shared" si="88"/>
        <v>0</v>
      </c>
      <c r="H1050" s="812"/>
    </row>
    <row r="1051" spans="1:8" ht="13.5" customHeight="1">
      <c r="A1051" s="2023"/>
      <c r="B1051" s="1611"/>
      <c r="C1051" s="818"/>
      <c r="D1051" s="819"/>
      <c r="E1051" s="819"/>
      <c r="F1051" s="819"/>
      <c r="G1051" s="820"/>
      <c r="H1051" s="821"/>
    </row>
    <row r="1052" spans="1:8" ht="13.5" customHeight="1">
      <c r="A1052" s="2033"/>
      <c r="B1052" s="1825"/>
      <c r="C1052" s="805"/>
      <c r="D1052" s="806"/>
      <c r="E1052" s="806"/>
      <c r="F1052" s="800"/>
      <c r="G1052" s="822" t="s">
        <v>1560</v>
      </c>
      <c r="H1052" s="823">
        <f>SUM(G1049:G1051)</f>
        <v>1500</v>
      </c>
    </row>
    <row r="1053" spans="1:8" ht="13.5" customHeight="1">
      <c r="A1053" s="824"/>
      <c r="B1053" s="804"/>
      <c r="C1053" s="805"/>
      <c r="D1053" s="806"/>
      <c r="E1053" s="806"/>
      <c r="F1053" s="800"/>
      <c r="G1053" s="825"/>
      <c r="H1053" s="802"/>
    </row>
    <row r="1054" spans="1:8" ht="13.5" customHeight="1">
      <c r="A1054" s="803" t="s">
        <v>1561</v>
      </c>
      <c r="B1054" s="804"/>
      <c r="C1054" s="805"/>
      <c r="D1054" s="806"/>
      <c r="E1054" s="806"/>
      <c r="F1054" s="800"/>
      <c r="G1054" s="825"/>
      <c r="H1054" s="802"/>
    </row>
    <row r="1055" spans="1:8" ht="13.5" customHeight="1">
      <c r="A1055" s="2022" t="s">
        <v>376</v>
      </c>
      <c r="B1055" s="1611"/>
      <c r="C1055" s="808" t="s">
        <v>1219</v>
      </c>
      <c r="D1055" s="809" t="s">
        <v>1845</v>
      </c>
      <c r="E1055" s="809" t="s">
        <v>1842</v>
      </c>
      <c r="F1055" s="810" t="s">
        <v>673</v>
      </c>
      <c r="G1055" s="811" t="s">
        <v>1845</v>
      </c>
      <c r="H1055" s="826"/>
    </row>
    <row r="1056" spans="1:8" ht="13.5" customHeight="1">
      <c r="A1056" s="2020" t="s">
        <v>1941</v>
      </c>
      <c r="B1056" s="1611"/>
      <c r="C1056" s="813" t="s">
        <v>127</v>
      </c>
      <c r="D1056" s="817">
        <v>180000</v>
      </c>
      <c r="E1056" s="817"/>
      <c r="F1056" s="815">
        <v>1</v>
      </c>
      <c r="G1056" s="827">
        <f t="shared" ref="G1056:G1057" si="89">+F1056*D1056</f>
        <v>180000</v>
      </c>
      <c r="H1056" s="826"/>
    </row>
    <row r="1057" spans="1:8" ht="13.5" customHeight="1">
      <c r="A1057" s="2020"/>
      <c r="B1057" s="1611"/>
      <c r="C1057" s="808"/>
      <c r="D1057" s="809"/>
      <c r="E1057" s="809"/>
      <c r="F1057" s="872"/>
      <c r="G1057" s="811">
        <f t="shared" si="89"/>
        <v>0</v>
      </c>
      <c r="H1057" s="826"/>
    </row>
    <row r="1058" spans="1:8" ht="13.5" customHeight="1">
      <c r="A1058" s="2020"/>
      <c r="B1058" s="1611"/>
      <c r="C1058" s="813"/>
      <c r="D1058" s="817"/>
      <c r="E1058" s="817"/>
      <c r="F1058" s="815"/>
      <c r="G1058" s="861"/>
      <c r="H1058" s="802"/>
    </row>
    <row r="1059" spans="1:8" ht="13.5" customHeight="1">
      <c r="A1059" s="824"/>
      <c r="B1059" s="804"/>
      <c r="C1059" s="805"/>
      <c r="D1059" s="806"/>
      <c r="E1059" s="806"/>
      <c r="F1059" s="800"/>
      <c r="G1059" s="828" t="s">
        <v>1560</v>
      </c>
      <c r="H1059" s="823">
        <f>SUM(G1056:G1058)</f>
        <v>180000</v>
      </c>
    </row>
    <row r="1060" spans="1:8" ht="13.5" customHeight="1">
      <c r="A1060" s="803"/>
      <c r="B1060" s="804"/>
      <c r="C1060" s="805"/>
      <c r="D1060" s="806"/>
      <c r="E1060" s="806"/>
      <c r="F1060" s="800"/>
      <c r="G1060" s="825"/>
      <c r="H1060" s="802"/>
    </row>
    <row r="1061" spans="1:8" ht="13.5" customHeight="1">
      <c r="A1061" s="803"/>
      <c r="B1061" s="804"/>
      <c r="C1061" s="805"/>
      <c r="D1061" s="806"/>
      <c r="E1061" s="806"/>
      <c r="F1061" s="800"/>
      <c r="G1061" s="804"/>
      <c r="H1061" s="826"/>
    </row>
    <row r="1062" spans="1:8" ht="13.5" customHeight="1">
      <c r="A1062" s="803" t="s">
        <v>1564</v>
      </c>
      <c r="B1062" s="804"/>
      <c r="C1062" s="805"/>
      <c r="D1062" s="806"/>
      <c r="E1062" s="806"/>
      <c r="F1062" s="800"/>
      <c r="G1062" s="806"/>
      <c r="H1062" s="829"/>
    </row>
    <row r="1063" spans="1:8" ht="13.5" customHeight="1">
      <c r="A1063" s="830" t="s">
        <v>1853</v>
      </c>
      <c r="B1063" s="831" t="s">
        <v>1854</v>
      </c>
      <c r="C1063" s="808" t="s">
        <v>1855</v>
      </c>
      <c r="D1063" s="832" t="s">
        <v>1244</v>
      </c>
      <c r="E1063" s="809" t="s">
        <v>1856</v>
      </c>
      <c r="F1063" s="810" t="s">
        <v>1843</v>
      </c>
      <c r="G1063" s="833" t="s">
        <v>1845</v>
      </c>
      <c r="H1063" s="834"/>
    </row>
    <row r="1064" spans="1:8" ht="13.5" customHeight="1">
      <c r="A1064" s="835"/>
      <c r="B1064" s="836" t="s">
        <v>1857</v>
      </c>
      <c r="C1064" s="837">
        <v>30000</v>
      </c>
      <c r="D1064" s="837">
        <v>2</v>
      </c>
      <c r="E1064" s="837">
        <f t="shared" ref="E1064:E1065" si="90">+D1064*C1064</f>
        <v>60000</v>
      </c>
      <c r="F1064" s="838">
        <v>2</v>
      </c>
      <c r="G1064" s="837">
        <f t="shared" ref="G1064:G1065" si="91">+ROUND((F1064*E1064)/8,0)</f>
        <v>15000</v>
      </c>
      <c r="H1064" s="839"/>
    </row>
    <row r="1065" spans="1:8" ht="13.5" customHeight="1">
      <c r="A1065" s="835"/>
      <c r="B1065" s="836" t="s">
        <v>1858</v>
      </c>
      <c r="C1065" s="837">
        <v>40000</v>
      </c>
      <c r="D1065" s="837">
        <v>1</v>
      </c>
      <c r="E1065" s="837">
        <f t="shared" si="90"/>
        <v>40000</v>
      </c>
      <c r="F1065" s="838">
        <v>2</v>
      </c>
      <c r="G1065" s="837">
        <f t="shared" si="91"/>
        <v>10000</v>
      </c>
      <c r="H1065" s="840"/>
    </row>
    <row r="1066" spans="1:8" ht="13.5" customHeight="1">
      <c r="A1066" s="824"/>
      <c r="B1066" s="804"/>
      <c r="C1066" s="805"/>
      <c r="D1066" s="806"/>
      <c r="E1066" s="806"/>
      <c r="F1066" s="800"/>
      <c r="G1066" s="841" t="s">
        <v>1560</v>
      </c>
      <c r="H1066" s="823">
        <f>SUM(G1064:G1065)</f>
        <v>25000</v>
      </c>
    </row>
    <row r="1067" spans="1:8" ht="13.5" customHeight="1">
      <c r="A1067" s="824"/>
      <c r="B1067" s="804"/>
      <c r="C1067" s="805"/>
      <c r="D1067" s="806"/>
      <c r="E1067" s="806"/>
      <c r="F1067" s="800"/>
      <c r="G1067" s="806"/>
      <c r="H1067" s="829"/>
    </row>
    <row r="1068" spans="1:8" ht="13.5" customHeight="1">
      <c r="A1068" s="824"/>
      <c r="B1068" s="804"/>
      <c r="C1068" s="805"/>
      <c r="D1068" s="806"/>
      <c r="E1068" s="806"/>
      <c r="F1068" s="842" t="s">
        <v>142</v>
      </c>
      <c r="G1068" s="806"/>
      <c r="H1068" s="843">
        <f>+H1066+H1059+H1052</f>
        <v>206500</v>
      </c>
    </row>
    <row r="1069" spans="1:8" ht="13.5" customHeight="1">
      <c r="A1069" s="824"/>
      <c r="B1069" s="804"/>
      <c r="C1069" s="805"/>
      <c r="D1069" s="806"/>
      <c r="E1069" s="806"/>
      <c r="F1069" s="842"/>
      <c r="G1069" s="806"/>
      <c r="H1069" s="829"/>
    </row>
    <row r="1070" spans="1:8" ht="13.5" customHeight="1">
      <c r="A1070" s="824"/>
      <c r="B1070" s="801"/>
      <c r="C1070" s="805"/>
      <c r="D1070" s="806"/>
      <c r="E1070" s="806"/>
      <c r="F1070" s="800"/>
      <c r="G1070" s="825"/>
      <c r="H1070" s="802"/>
    </row>
    <row r="1071" spans="1:8" ht="13.5" customHeight="1">
      <c r="A1071" s="847"/>
      <c r="B1071" s="848"/>
      <c r="C1071" s="849"/>
      <c r="D1071" s="806"/>
      <c r="E1071" s="806"/>
      <c r="F1071" s="800"/>
      <c r="G1071" s="804"/>
      <c r="H1071" s="826"/>
    </row>
    <row r="1072" spans="1:8" ht="13.5" customHeight="1">
      <c r="A1072" s="824" t="s">
        <v>1835</v>
      </c>
      <c r="B1072" s="801"/>
      <c r="C1072" s="805"/>
      <c r="D1072" s="806"/>
      <c r="E1072" s="806"/>
      <c r="F1072" s="2021"/>
      <c r="G1072" s="1825"/>
      <c r="H1072" s="826"/>
    </row>
    <row r="1073" spans="1:8" ht="13.5" customHeight="1">
      <c r="A1073" s="824" t="s">
        <v>1859</v>
      </c>
      <c r="B1073" s="801"/>
      <c r="C1073" s="805"/>
      <c r="D1073" s="806"/>
      <c r="E1073" s="806"/>
      <c r="F1073" s="800"/>
      <c r="G1073" s="804"/>
      <c r="H1073" s="826"/>
    </row>
    <row r="1074" spans="1:8" ht="13.5" customHeight="1">
      <c r="A1074" s="792"/>
      <c r="B1074" s="792"/>
      <c r="C1074" s="792"/>
      <c r="D1074" s="792"/>
      <c r="E1074" s="792"/>
      <c r="F1074" s="792"/>
      <c r="G1074" s="792"/>
      <c r="H1074" s="792"/>
    </row>
    <row r="1075" spans="1:8" ht="13.5" customHeight="1">
      <c r="A1075" s="792"/>
      <c r="B1075" s="792"/>
      <c r="C1075" s="792"/>
      <c r="D1075" s="792"/>
      <c r="E1075" s="792"/>
      <c r="F1075" s="792"/>
      <c r="G1075" s="792"/>
      <c r="H1075" s="792"/>
    </row>
    <row r="1076" spans="1:8" ht="13.5" customHeight="1">
      <c r="A1076" s="2046" t="s">
        <v>1834</v>
      </c>
      <c r="B1076" s="1811"/>
      <c r="C1076" s="1811"/>
      <c r="D1076" s="1811"/>
      <c r="E1076" s="1811"/>
      <c r="F1076" s="1811"/>
      <c r="G1076" s="1811"/>
      <c r="H1076" s="1812"/>
    </row>
    <row r="1077" spans="1:8" ht="13.5" customHeight="1">
      <c r="A1077" s="2035" t="s">
        <v>559</v>
      </c>
      <c r="B1077" s="2036"/>
      <c r="C1077" s="2036"/>
      <c r="D1077" s="2037"/>
      <c r="E1077" s="2042" t="s">
        <v>1835</v>
      </c>
      <c r="F1077" s="2036"/>
      <c r="G1077" s="2036"/>
      <c r="H1077" s="2043"/>
    </row>
    <row r="1078" spans="1:8" ht="13.5" customHeight="1">
      <c r="A1078" s="2038"/>
      <c r="B1078" s="1605"/>
      <c r="C1078" s="1605"/>
      <c r="D1078" s="2039"/>
      <c r="E1078" s="2044"/>
      <c r="F1078" s="1605"/>
      <c r="G1078" s="1605"/>
      <c r="H1078" s="1606"/>
    </row>
    <row r="1079" spans="1:8" ht="13.5" customHeight="1">
      <c r="A1079" s="2040"/>
      <c r="B1079" s="1608"/>
      <c r="C1079" s="1608"/>
      <c r="D1079" s="2041"/>
      <c r="E1079" s="2045"/>
      <c r="F1079" s="1608"/>
      <c r="G1079" s="1608"/>
      <c r="H1079" s="1919"/>
    </row>
    <row r="1080" spans="1:8" ht="13.5" customHeight="1">
      <c r="A1080" s="2027" t="s">
        <v>1906</v>
      </c>
      <c r="B1080" s="2028"/>
      <c r="C1080" s="2028"/>
      <c r="D1080" s="2028"/>
      <c r="E1080" s="2028"/>
      <c r="F1080" s="2028"/>
      <c r="G1080" s="2028"/>
      <c r="H1080" s="2029"/>
    </row>
    <row r="1081" spans="1:8" ht="13.5" customHeight="1">
      <c r="A1081" s="793"/>
      <c r="B1081" s="794"/>
      <c r="C1081" s="794"/>
      <c r="D1081" s="794"/>
      <c r="E1081" s="794"/>
      <c r="F1081" s="794"/>
      <c r="G1081" s="794"/>
      <c r="H1081" s="795"/>
    </row>
    <row r="1082" spans="1:8" ht="13.5" customHeight="1">
      <c r="A1082" s="2030"/>
      <c r="B1082" s="1824"/>
      <c r="C1082" s="1824"/>
      <c r="D1082" s="1824"/>
      <c r="E1082" s="1825"/>
      <c r="F1082" s="794"/>
      <c r="G1082" s="794"/>
      <c r="H1082" s="795"/>
    </row>
    <row r="1083" spans="1:8" ht="13.5" customHeight="1">
      <c r="A1083" s="793"/>
      <c r="B1083" s="794"/>
      <c r="C1083" s="794"/>
      <c r="D1083" s="794"/>
      <c r="E1083" s="794"/>
      <c r="F1083" s="794"/>
      <c r="G1083" s="794"/>
      <c r="H1083" s="795"/>
    </row>
    <row r="1084" spans="1:8" ht="13.5" customHeight="1">
      <c r="A1084" s="2030" t="s">
        <v>1837</v>
      </c>
      <c r="B1084" s="1825"/>
      <c r="C1084" s="794"/>
      <c r="D1084" s="794"/>
      <c r="E1084" s="794"/>
      <c r="F1084" s="794"/>
      <c r="G1084" s="794"/>
      <c r="H1084" s="795"/>
    </row>
    <row r="1085" spans="1:8" ht="13.5" customHeight="1">
      <c r="A1085" s="2031" t="s">
        <v>452</v>
      </c>
      <c r="B1085" s="1824"/>
      <c r="C1085" s="1824"/>
      <c r="D1085" s="1824"/>
      <c r="E1085" s="1824"/>
      <c r="F1085" s="1824"/>
      <c r="G1085" s="1824"/>
      <c r="H1085" s="2032"/>
    </row>
    <row r="1086" spans="1:8" ht="13.5" customHeight="1">
      <c r="A1086" s="796"/>
      <c r="B1086" s="797"/>
      <c r="C1086" s="798"/>
      <c r="D1086" s="799"/>
      <c r="E1086" s="799"/>
      <c r="F1086" s="800"/>
      <c r="G1086" s="801" t="s">
        <v>1942</v>
      </c>
      <c r="H1086" s="802"/>
    </row>
    <row r="1087" spans="1:8" ht="13.5" customHeight="1">
      <c r="A1087" s="803" t="s">
        <v>1839</v>
      </c>
      <c r="B1087" s="804"/>
      <c r="C1087" s="805"/>
      <c r="D1087" s="806"/>
      <c r="E1087" s="806"/>
      <c r="F1087" s="800"/>
      <c r="G1087" s="807" t="s">
        <v>1840</v>
      </c>
      <c r="H1087" s="802"/>
    </row>
    <row r="1088" spans="1:8" ht="13.5" customHeight="1">
      <c r="A1088" s="2022" t="s">
        <v>376</v>
      </c>
      <c r="B1088" s="1611"/>
      <c r="C1088" s="808" t="s">
        <v>1219</v>
      </c>
      <c r="D1088" s="809" t="s">
        <v>1841</v>
      </c>
      <c r="E1088" s="809" t="s">
        <v>1842</v>
      </c>
      <c r="F1088" s="810" t="s">
        <v>1843</v>
      </c>
      <c r="G1088" s="811" t="s">
        <v>1844</v>
      </c>
      <c r="H1088" s="812"/>
    </row>
    <row r="1089" spans="1:8" ht="13.5" customHeight="1">
      <c r="A1089" s="854" t="s">
        <v>1568</v>
      </c>
      <c r="B1089" s="808"/>
      <c r="C1089" s="813" t="s">
        <v>1614</v>
      </c>
      <c r="D1089" s="814">
        <v>1500</v>
      </c>
      <c r="E1089" s="814"/>
      <c r="F1089" s="815">
        <v>0.2</v>
      </c>
      <c r="G1089" s="816">
        <f t="shared" ref="G1089:G1090" si="92">+D1089*F1089</f>
        <v>300</v>
      </c>
      <c r="H1089" s="812"/>
    </row>
    <row r="1090" spans="1:8" ht="13.5" customHeight="1">
      <c r="A1090" s="2020"/>
      <c r="B1090" s="1611"/>
      <c r="C1090" s="813"/>
      <c r="D1090" s="817"/>
      <c r="E1090" s="817"/>
      <c r="F1090" s="815"/>
      <c r="G1090" s="816">
        <f t="shared" si="92"/>
        <v>0</v>
      </c>
      <c r="H1090" s="812"/>
    </row>
    <row r="1091" spans="1:8" ht="13.5" customHeight="1">
      <c r="A1091" s="2023"/>
      <c r="B1091" s="1611"/>
      <c r="C1091" s="818"/>
      <c r="D1091" s="819"/>
      <c r="E1091" s="819"/>
      <c r="F1091" s="819"/>
      <c r="G1091" s="820"/>
      <c r="H1091" s="821"/>
    </row>
    <row r="1092" spans="1:8" ht="13.5" customHeight="1">
      <c r="A1092" s="2033"/>
      <c r="B1092" s="1825"/>
      <c r="C1092" s="805"/>
      <c r="D1092" s="806"/>
      <c r="E1092" s="806"/>
      <c r="F1092" s="800"/>
      <c r="G1092" s="822" t="s">
        <v>1560</v>
      </c>
      <c r="H1092" s="823">
        <f>SUM(G1089:G1091)</f>
        <v>300</v>
      </c>
    </row>
    <row r="1093" spans="1:8" ht="13.5" customHeight="1">
      <c r="A1093" s="824"/>
      <c r="B1093" s="804"/>
      <c r="C1093" s="805"/>
      <c r="D1093" s="806"/>
      <c r="E1093" s="806"/>
      <c r="F1093" s="800"/>
      <c r="G1093" s="825"/>
      <c r="H1093" s="802"/>
    </row>
    <row r="1094" spans="1:8" ht="13.5" customHeight="1">
      <c r="A1094" s="803" t="s">
        <v>1561</v>
      </c>
      <c r="B1094" s="804"/>
      <c r="C1094" s="805"/>
      <c r="D1094" s="806"/>
      <c r="E1094" s="806"/>
      <c r="F1094" s="800"/>
      <c r="G1094" s="825"/>
      <c r="H1094" s="802"/>
    </row>
    <row r="1095" spans="1:8" ht="13.5" customHeight="1">
      <c r="A1095" s="2022" t="s">
        <v>376</v>
      </c>
      <c r="B1095" s="1611"/>
      <c r="C1095" s="808" t="s">
        <v>1219</v>
      </c>
      <c r="D1095" s="809" t="s">
        <v>1845</v>
      </c>
      <c r="E1095" s="809" t="s">
        <v>1842</v>
      </c>
      <c r="F1095" s="810" t="s">
        <v>673</v>
      </c>
      <c r="G1095" s="811" t="s">
        <v>1845</v>
      </c>
      <c r="H1095" s="826"/>
    </row>
    <row r="1096" spans="1:8" ht="13.5" customHeight="1">
      <c r="A1096" s="2020" t="s">
        <v>1943</v>
      </c>
      <c r="B1096" s="1611"/>
      <c r="C1096" s="813" t="s">
        <v>127</v>
      </c>
      <c r="D1096" s="817">
        <v>257040</v>
      </c>
      <c r="E1096" s="817"/>
      <c r="F1096" s="815">
        <v>1</v>
      </c>
      <c r="G1096" s="827">
        <f t="shared" ref="G1096:G1097" si="93">+F1096*D1096</f>
        <v>257040</v>
      </c>
      <c r="H1096" s="826"/>
    </row>
    <row r="1097" spans="1:8" ht="13.5" customHeight="1">
      <c r="A1097" s="2020" t="s">
        <v>1944</v>
      </c>
      <c r="B1097" s="1611"/>
      <c r="C1097" s="813" t="s">
        <v>1886</v>
      </c>
      <c r="D1097" s="817">
        <v>1000</v>
      </c>
      <c r="E1097" s="817"/>
      <c r="F1097" s="874">
        <v>1</v>
      </c>
      <c r="G1097" s="827">
        <f t="shared" si="93"/>
        <v>1000</v>
      </c>
      <c r="H1097" s="826"/>
    </row>
    <row r="1098" spans="1:8" ht="13.5" customHeight="1">
      <c r="A1098" s="2020"/>
      <c r="B1098" s="1611"/>
      <c r="C1098" s="813"/>
      <c r="D1098" s="817"/>
      <c r="E1098" s="817"/>
      <c r="F1098" s="815"/>
      <c r="G1098" s="861"/>
      <c r="H1098" s="802"/>
    </row>
    <row r="1099" spans="1:8" ht="13.5" customHeight="1">
      <c r="A1099" s="824"/>
      <c r="B1099" s="804"/>
      <c r="C1099" s="805"/>
      <c r="D1099" s="806"/>
      <c r="E1099" s="806"/>
      <c r="F1099" s="800"/>
      <c r="G1099" s="828" t="s">
        <v>1560</v>
      </c>
      <c r="H1099" s="823">
        <f>SUM(G1096:G1098)</f>
        <v>258040</v>
      </c>
    </row>
    <row r="1100" spans="1:8" ht="13.5" customHeight="1">
      <c r="A1100" s="803"/>
      <c r="B1100" s="804"/>
      <c r="C1100" s="805"/>
      <c r="D1100" s="806"/>
      <c r="E1100" s="806"/>
      <c r="F1100" s="800"/>
      <c r="G1100" s="825"/>
      <c r="H1100" s="802"/>
    </row>
    <row r="1101" spans="1:8" ht="13.5" customHeight="1">
      <c r="A1101" s="803"/>
      <c r="B1101" s="804"/>
      <c r="C1101" s="805"/>
      <c r="D1101" s="806"/>
      <c r="E1101" s="806"/>
      <c r="F1101" s="800"/>
      <c r="G1101" s="804"/>
      <c r="H1101" s="826"/>
    </row>
    <row r="1102" spans="1:8" ht="13.5" customHeight="1">
      <c r="A1102" s="803" t="s">
        <v>1564</v>
      </c>
      <c r="B1102" s="804"/>
      <c r="C1102" s="805"/>
      <c r="D1102" s="806"/>
      <c r="E1102" s="806"/>
      <c r="F1102" s="800"/>
      <c r="G1102" s="806"/>
      <c r="H1102" s="829"/>
    </row>
    <row r="1103" spans="1:8" ht="13.5" customHeight="1">
      <c r="A1103" s="830" t="s">
        <v>1853</v>
      </c>
      <c r="B1103" s="831" t="s">
        <v>1854</v>
      </c>
      <c r="C1103" s="808" t="s">
        <v>1855</v>
      </c>
      <c r="D1103" s="832" t="s">
        <v>1244</v>
      </c>
      <c r="E1103" s="809" t="s">
        <v>1856</v>
      </c>
      <c r="F1103" s="810" t="s">
        <v>1843</v>
      </c>
      <c r="G1103" s="833" t="s">
        <v>1845</v>
      </c>
      <c r="H1103" s="834"/>
    </row>
    <row r="1104" spans="1:8" ht="13.5" customHeight="1">
      <c r="A1104" s="835"/>
      <c r="B1104" s="836" t="s">
        <v>1857</v>
      </c>
      <c r="C1104" s="837">
        <v>30000</v>
      </c>
      <c r="D1104" s="837">
        <v>2</v>
      </c>
      <c r="E1104" s="837">
        <f t="shared" ref="E1104:E1105" si="94">+D1104*C1104</f>
        <v>60000</v>
      </c>
      <c r="F1104" s="838">
        <v>2</v>
      </c>
      <c r="G1104" s="837">
        <f t="shared" ref="G1104:G1105" si="95">+ROUND((F1104*E1104)/8,0)</f>
        <v>15000</v>
      </c>
      <c r="H1104" s="839"/>
    </row>
    <row r="1105" spans="1:8" ht="13.5" customHeight="1">
      <c r="A1105" s="835"/>
      <c r="B1105" s="836" t="s">
        <v>1858</v>
      </c>
      <c r="C1105" s="837">
        <v>40000</v>
      </c>
      <c r="D1105" s="837">
        <v>1</v>
      </c>
      <c r="E1105" s="837">
        <f t="shared" si="94"/>
        <v>40000</v>
      </c>
      <c r="F1105" s="838">
        <f>+F1104</f>
        <v>2</v>
      </c>
      <c r="G1105" s="837">
        <f t="shared" si="95"/>
        <v>10000</v>
      </c>
      <c r="H1105" s="840"/>
    </row>
    <row r="1106" spans="1:8" ht="13.5" customHeight="1">
      <c r="A1106" s="824"/>
      <c r="B1106" s="804"/>
      <c r="C1106" s="805"/>
      <c r="D1106" s="806"/>
      <c r="E1106" s="806"/>
      <c r="F1106" s="800"/>
      <c r="G1106" s="841" t="s">
        <v>1560</v>
      </c>
      <c r="H1106" s="823">
        <f>SUM(G1104:G1105)</f>
        <v>25000</v>
      </c>
    </row>
    <row r="1107" spans="1:8" ht="13.5" customHeight="1">
      <c r="A1107" s="824"/>
      <c r="B1107" s="804"/>
      <c r="C1107" s="805"/>
      <c r="D1107" s="806"/>
      <c r="E1107" s="806"/>
      <c r="F1107" s="800"/>
      <c r="G1107" s="806"/>
      <c r="H1107" s="829"/>
    </row>
    <row r="1108" spans="1:8" ht="13.5" customHeight="1">
      <c r="A1108" s="824"/>
      <c r="B1108" s="804"/>
      <c r="C1108" s="805"/>
      <c r="D1108" s="806"/>
      <c r="E1108" s="806"/>
      <c r="F1108" s="842" t="s">
        <v>142</v>
      </c>
      <c r="G1108" s="806"/>
      <c r="H1108" s="843">
        <f>+H1106+H1099+H1092</f>
        <v>283340</v>
      </c>
    </row>
    <row r="1109" spans="1:8" ht="13.5" customHeight="1">
      <c r="A1109" s="824"/>
      <c r="B1109" s="804"/>
      <c r="C1109" s="805"/>
      <c r="D1109" s="806"/>
      <c r="E1109" s="806"/>
      <c r="F1109" s="842"/>
      <c r="G1109" s="806"/>
      <c r="H1109" s="829"/>
    </row>
    <row r="1110" spans="1:8" ht="13.5" customHeight="1">
      <c r="A1110" s="824"/>
      <c r="B1110" s="801"/>
      <c r="C1110" s="805"/>
      <c r="D1110" s="806"/>
      <c r="E1110" s="806"/>
      <c r="F1110" s="800"/>
      <c r="G1110" s="825"/>
      <c r="H1110" s="802"/>
    </row>
    <row r="1111" spans="1:8" ht="13.5" customHeight="1">
      <c r="A1111" s="847"/>
      <c r="B1111" s="848"/>
      <c r="C1111" s="849"/>
      <c r="D1111" s="806"/>
      <c r="E1111" s="806"/>
      <c r="F1111" s="800"/>
      <c r="G1111" s="804"/>
      <c r="H1111" s="826"/>
    </row>
    <row r="1112" spans="1:8" ht="13.5" customHeight="1">
      <c r="A1112" s="824" t="s">
        <v>1835</v>
      </c>
      <c r="B1112" s="801"/>
      <c r="C1112" s="805"/>
      <c r="D1112" s="806"/>
      <c r="E1112" s="806"/>
      <c r="F1112" s="2021"/>
      <c r="G1112" s="1825"/>
      <c r="H1112" s="826"/>
    </row>
    <row r="1113" spans="1:8" ht="13.5" customHeight="1">
      <c r="A1113" s="847" t="s">
        <v>1859</v>
      </c>
      <c r="B1113" s="848"/>
      <c r="C1113" s="849"/>
      <c r="D1113" s="850"/>
      <c r="E1113" s="850"/>
      <c r="F1113" s="851"/>
      <c r="G1113" s="852"/>
      <c r="H1113" s="853"/>
    </row>
    <row r="1114" spans="1:8" ht="13.5" customHeight="1">
      <c r="A1114" s="792"/>
      <c r="B1114" s="792"/>
      <c r="C1114" s="792"/>
      <c r="D1114" s="792"/>
      <c r="E1114" s="792"/>
      <c r="F1114" s="792"/>
      <c r="G1114" s="792"/>
      <c r="H1114" s="792"/>
    </row>
    <row r="1115" spans="1:8" ht="13.5" customHeight="1">
      <c r="A1115" s="792"/>
      <c r="B1115" s="792"/>
      <c r="C1115" s="792"/>
      <c r="D1115" s="792"/>
      <c r="E1115" s="792"/>
      <c r="F1115" s="792"/>
      <c r="G1115" s="792"/>
      <c r="H1115" s="792"/>
    </row>
    <row r="1116" spans="1:8" ht="13.5" customHeight="1">
      <c r="A1116" s="2046" t="s">
        <v>1834</v>
      </c>
      <c r="B1116" s="1811"/>
      <c r="C1116" s="1811"/>
      <c r="D1116" s="1811"/>
      <c r="E1116" s="1811"/>
      <c r="F1116" s="1811"/>
      <c r="G1116" s="1811"/>
      <c r="H1116" s="1812"/>
    </row>
    <row r="1117" spans="1:8" ht="13.5" customHeight="1">
      <c r="A1117" s="2035" t="s">
        <v>559</v>
      </c>
      <c r="B1117" s="2036"/>
      <c r="C1117" s="2036"/>
      <c r="D1117" s="2037"/>
      <c r="E1117" s="2042" t="s">
        <v>1835</v>
      </c>
      <c r="F1117" s="2036"/>
      <c r="G1117" s="2036"/>
      <c r="H1117" s="2043"/>
    </row>
    <row r="1118" spans="1:8" ht="13.5" customHeight="1">
      <c r="A1118" s="2038"/>
      <c r="B1118" s="1605"/>
      <c r="C1118" s="1605"/>
      <c r="D1118" s="2039"/>
      <c r="E1118" s="2044"/>
      <c r="F1118" s="1605"/>
      <c r="G1118" s="1605"/>
      <c r="H1118" s="1606"/>
    </row>
    <row r="1119" spans="1:8" ht="13.5" customHeight="1">
      <c r="A1119" s="2040"/>
      <c r="B1119" s="1608"/>
      <c r="C1119" s="1608"/>
      <c r="D1119" s="2041"/>
      <c r="E1119" s="2045"/>
      <c r="F1119" s="1608"/>
      <c r="G1119" s="1608"/>
      <c r="H1119" s="1919"/>
    </row>
    <row r="1120" spans="1:8" ht="13.5" customHeight="1">
      <c r="A1120" s="2027" t="s">
        <v>1906</v>
      </c>
      <c r="B1120" s="2028"/>
      <c r="C1120" s="2028"/>
      <c r="D1120" s="2028"/>
      <c r="E1120" s="2028"/>
      <c r="F1120" s="2028"/>
      <c r="G1120" s="2028"/>
      <c r="H1120" s="2029"/>
    </row>
    <row r="1122" spans="1:8" ht="13.5" customHeight="1">
      <c r="A1122" s="2030"/>
      <c r="B1122" s="1824"/>
      <c r="C1122" s="1824"/>
      <c r="D1122" s="1824"/>
      <c r="E1122" s="1825"/>
      <c r="F1122" s="794"/>
      <c r="G1122" s="794"/>
      <c r="H1122" s="795"/>
    </row>
    <row r="1123" spans="1:8" ht="13.5" customHeight="1">
      <c r="A1123" s="793"/>
      <c r="B1123" s="794"/>
      <c r="C1123" s="794"/>
      <c r="D1123" s="794"/>
      <c r="E1123" s="794"/>
      <c r="F1123" s="794"/>
      <c r="G1123" s="794"/>
      <c r="H1123" s="795"/>
    </row>
    <row r="1124" spans="1:8" ht="13.5" customHeight="1">
      <c r="A1124" s="2030" t="s">
        <v>1837</v>
      </c>
      <c r="B1124" s="1825"/>
      <c r="C1124" s="794"/>
      <c r="D1124" s="794"/>
      <c r="E1124" s="794"/>
      <c r="F1124" s="794"/>
      <c r="G1124" s="794"/>
      <c r="H1124" s="795"/>
    </row>
    <row r="1125" spans="1:8" ht="13.5" customHeight="1">
      <c r="A1125" s="2031" t="s">
        <v>1945</v>
      </c>
      <c r="B1125" s="1824"/>
      <c r="C1125" s="1824"/>
      <c r="D1125" s="1824"/>
      <c r="E1125" s="1824"/>
      <c r="F1125" s="1824"/>
      <c r="G1125" s="1824"/>
      <c r="H1125" s="2032"/>
    </row>
    <row r="1126" spans="1:8" ht="13.5" customHeight="1">
      <c r="A1126" s="796"/>
      <c r="B1126" s="797"/>
      <c r="C1126" s="798"/>
      <c r="D1126" s="799"/>
      <c r="E1126" s="799"/>
      <c r="F1126" s="800"/>
      <c r="G1126" s="801" t="s">
        <v>1946</v>
      </c>
      <c r="H1126" s="802"/>
    </row>
    <row r="1127" spans="1:8" ht="13.5" customHeight="1">
      <c r="A1127" s="803" t="s">
        <v>1839</v>
      </c>
      <c r="B1127" s="804"/>
      <c r="C1127" s="805"/>
      <c r="D1127" s="806"/>
      <c r="E1127" s="806"/>
      <c r="F1127" s="800"/>
      <c r="G1127" s="807" t="s">
        <v>1934</v>
      </c>
      <c r="H1127" s="802"/>
    </row>
    <row r="1128" spans="1:8" ht="13.5" customHeight="1">
      <c r="A1128" s="2022" t="s">
        <v>376</v>
      </c>
      <c r="B1128" s="1611"/>
      <c r="C1128" s="808" t="s">
        <v>1219</v>
      </c>
      <c r="D1128" s="809" t="s">
        <v>1841</v>
      </c>
      <c r="E1128" s="809" t="s">
        <v>1842</v>
      </c>
      <c r="F1128" s="810" t="s">
        <v>1843</v>
      </c>
      <c r="G1128" s="811" t="s">
        <v>1844</v>
      </c>
      <c r="H1128" s="812"/>
    </row>
    <row r="1129" spans="1:8" ht="13.5" customHeight="1">
      <c r="A1129" s="2020" t="s">
        <v>1568</v>
      </c>
      <c r="B1129" s="1611"/>
      <c r="C1129" s="813" t="s">
        <v>1614</v>
      </c>
      <c r="D1129" s="814">
        <v>1500</v>
      </c>
      <c r="E1129" s="814"/>
      <c r="F1129" s="815">
        <v>0.2</v>
      </c>
      <c r="G1129" s="816">
        <f t="shared" ref="G1129:G1130" si="96">+D1129*F1129</f>
        <v>300</v>
      </c>
      <c r="H1129" s="812"/>
    </row>
    <row r="1130" spans="1:8" ht="13.5" customHeight="1">
      <c r="A1130" s="2020" t="s">
        <v>1947</v>
      </c>
      <c r="B1130" s="1611"/>
      <c r="C1130" s="813" t="s">
        <v>1886</v>
      </c>
      <c r="D1130" s="817">
        <v>5000</v>
      </c>
      <c r="E1130" s="817"/>
      <c r="F1130" s="815">
        <v>1</v>
      </c>
      <c r="G1130" s="816">
        <f t="shared" si="96"/>
        <v>5000</v>
      </c>
      <c r="H1130" s="812"/>
    </row>
    <row r="1131" spans="1:8" ht="13.5" customHeight="1">
      <c r="A1131" s="2023"/>
      <c r="B1131" s="1611"/>
      <c r="C1131" s="818"/>
      <c r="D1131" s="819"/>
      <c r="E1131" s="819"/>
      <c r="F1131" s="819"/>
      <c r="G1131" s="820"/>
      <c r="H1131" s="821"/>
    </row>
    <row r="1132" spans="1:8" ht="13.5" customHeight="1">
      <c r="A1132" s="2033"/>
      <c r="B1132" s="1825"/>
      <c r="C1132" s="805"/>
      <c r="D1132" s="806"/>
      <c r="E1132" s="806"/>
      <c r="F1132" s="800"/>
      <c r="G1132" s="822" t="s">
        <v>1560</v>
      </c>
      <c r="H1132" s="823">
        <f>SUM(G1129:G1131)</f>
        <v>5300</v>
      </c>
    </row>
    <row r="1133" spans="1:8" ht="13.5" customHeight="1">
      <c r="A1133" s="824"/>
      <c r="B1133" s="804"/>
      <c r="C1133" s="805"/>
      <c r="D1133" s="806"/>
      <c r="E1133" s="806"/>
      <c r="F1133" s="800"/>
      <c r="G1133" s="825"/>
      <c r="H1133" s="802"/>
    </row>
    <row r="1134" spans="1:8" ht="13.5" customHeight="1">
      <c r="A1134" s="803" t="s">
        <v>1561</v>
      </c>
      <c r="B1134" s="804"/>
      <c r="C1134" s="805"/>
      <c r="D1134" s="806"/>
      <c r="E1134" s="806"/>
      <c r="F1134" s="800"/>
      <c r="G1134" s="825"/>
      <c r="H1134" s="802"/>
    </row>
    <row r="1135" spans="1:8" ht="13.5" customHeight="1">
      <c r="A1135" s="2022" t="s">
        <v>376</v>
      </c>
      <c r="B1135" s="1611"/>
      <c r="C1135" s="808" t="s">
        <v>1219</v>
      </c>
      <c r="D1135" s="809" t="s">
        <v>1845</v>
      </c>
      <c r="E1135" s="809" t="s">
        <v>1842</v>
      </c>
      <c r="F1135" s="810" t="s">
        <v>673</v>
      </c>
      <c r="G1135" s="811" t="s">
        <v>1845</v>
      </c>
      <c r="H1135" s="826"/>
    </row>
    <row r="1136" spans="1:8" ht="13.5" customHeight="1">
      <c r="A1136" s="2020" t="s">
        <v>1948</v>
      </c>
      <c r="B1136" s="1611"/>
      <c r="C1136" s="813" t="s">
        <v>116</v>
      </c>
      <c r="D1136" s="875">
        <v>540000</v>
      </c>
      <c r="E1136" s="876"/>
      <c r="F1136" s="815">
        <v>1</v>
      </c>
      <c r="G1136" s="866">
        <f>+D1136*F1136</f>
        <v>540000</v>
      </c>
      <c r="H1136" s="826"/>
    </row>
    <row r="1137" spans="1:8" ht="13.5" customHeight="1">
      <c r="A1137" s="2020" t="s">
        <v>1949</v>
      </c>
      <c r="B1137" s="1611"/>
      <c r="C1137" s="813" t="s">
        <v>127</v>
      </c>
      <c r="D1137" s="817">
        <v>30000</v>
      </c>
      <c r="E1137" s="817"/>
      <c r="F1137" s="815">
        <v>1</v>
      </c>
      <c r="G1137" s="827">
        <f>+F1137*D1137</f>
        <v>30000</v>
      </c>
      <c r="H1137" s="826"/>
    </row>
    <row r="1138" spans="1:8" ht="13.5" customHeight="1">
      <c r="A1138" s="2020"/>
      <c r="B1138" s="1611"/>
      <c r="C1138" s="813"/>
      <c r="D1138" s="817"/>
      <c r="E1138" s="817"/>
      <c r="F1138" s="815"/>
      <c r="G1138" s="861"/>
      <c r="H1138" s="802"/>
    </row>
    <row r="1139" spans="1:8" ht="13.5" customHeight="1">
      <c r="A1139" s="824"/>
      <c r="B1139" s="804"/>
      <c r="C1139" s="805"/>
      <c r="D1139" s="806"/>
      <c r="E1139" s="806"/>
      <c r="F1139" s="800"/>
      <c r="G1139" s="828" t="s">
        <v>1560</v>
      </c>
      <c r="H1139" s="823">
        <f>SUM(G1136:G1138)</f>
        <v>570000</v>
      </c>
    </row>
    <row r="1140" spans="1:8" ht="13.5" customHeight="1">
      <c r="A1140" s="803"/>
      <c r="B1140" s="804"/>
      <c r="C1140" s="805"/>
      <c r="D1140" s="806"/>
      <c r="E1140" s="806"/>
      <c r="F1140" s="800"/>
      <c r="G1140" s="825"/>
      <c r="H1140" s="802"/>
    </row>
    <row r="1141" spans="1:8" ht="13.5" customHeight="1">
      <c r="A1141" s="803"/>
      <c r="B1141" s="804"/>
      <c r="C1141" s="805"/>
      <c r="D1141" s="806"/>
      <c r="E1141" s="806"/>
      <c r="F1141" s="800"/>
      <c r="G1141" s="804"/>
      <c r="H1141" s="826"/>
    </row>
    <row r="1142" spans="1:8" ht="13.5" customHeight="1">
      <c r="A1142" s="803" t="s">
        <v>1564</v>
      </c>
      <c r="B1142" s="804"/>
      <c r="C1142" s="805"/>
      <c r="D1142" s="806"/>
      <c r="E1142" s="806"/>
      <c r="F1142" s="800"/>
      <c r="G1142" s="806"/>
      <c r="H1142" s="829"/>
    </row>
    <row r="1143" spans="1:8" ht="13.5" customHeight="1">
      <c r="A1143" s="830" t="s">
        <v>1853</v>
      </c>
      <c r="B1143" s="831" t="s">
        <v>1854</v>
      </c>
      <c r="C1143" s="808" t="s">
        <v>1855</v>
      </c>
      <c r="D1143" s="832" t="s">
        <v>1244</v>
      </c>
      <c r="E1143" s="809" t="s">
        <v>1856</v>
      </c>
      <c r="F1143" s="810" t="s">
        <v>1843</v>
      </c>
      <c r="G1143" s="833" t="s">
        <v>1845</v>
      </c>
      <c r="H1143" s="834"/>
    </row>
    <row r="1144" spans="1:8" ht="13.5" customHeight="1">
      <c r="A1144" s="835"/>
      <c r="B1144" s="836" t="s">
        <v>1857</v>
      </c>
      <c r="C1144" s="837">
        <v>30000</v>
      </c>
      <c r="D1144" s="837">
        <v>2</v>
      </c>
      <c r="E1144" s="837">
        <f t="shared" ref="E1144:E1145" si="97">+D1144*C1144</f>
        <v>60000</v>
      </c>
      <c r="F1144" s="838">
        <v>10</v>
      </c>
      <c r="G1144" s="837">
        <f t="shared" ref="G1144:G1145" si="98">+ROUND((F1144*E1144)/8,0)</f>
        <v>75000</v>
      </c>
      <c r="H1144" s="839"/>
    </row>
    <row r="1145" spans="1:8" ht="13.5" customHeight="1">
      <c r="A1145" s="835"/>
      <c r="B1145" s="836" t="s">
        <v>1858</v>
      </c>
      <c r="C1145" s="837">
        <v>40000</v>
      </c>
      <c r="D1145" s="837">
        <v>1</v>
      </c>
      <c r="E1145" s="837">
        <f t="shared" si="97"/>
        <v>40000</v>
      </c>
      <c r="F1145" s="838">
        <f>+F1144</f>
        <v>10</v>
      </c>
      <c r="G1145" s="837">
        <f t="shared" si="98"/>
        <v>50000</v>
      </c>
      <c r="H1145" s="840"/>
    </row>
    <row r="1146" spans="1:8" ht="13.5" customHeight="1">
      <c r="A1146" s="824"/>
      <c r="B1146" s="804"/>
      <c r="C1146" s="805"/>
      <c r="D1146" s="806"/>
      <c r="E1146" s="806"/>
      <c r="F1146" s="800"/>
      <c r="G1146" s="841" t="s">
        <v>1560</v>
      </c>
      <c r="H1146" s="823">
        <f>SUM(G1144:G1145)</f>
        <v>125000</v>
      </c>
    </row>
    <row r="1147" spans="1:8" ht="13.5" customHeight="1">
      <c r="A1147" s="824"/>
      <c r="B1147" s="804"/>
      <c r="C1147" s="805"/>
      <c r="D1147" s="806"/>
      <c r="E1147" s="806"/>
      <c r="F1147" s="800"/>
      <c r="G1147" s="806"/>
      <c r="H1147" s="829"/>
    </row>
    <row r="1148" spans="1:8" ht="13.5" customHeight="1">
      <c r="A1148" s="824"/>
      <c r="B1148" s="804"/>
      <c r="C1148" s="805"/>
      <c r="D1148" s="806"/>
      <c r="E1148" s="806"/>
      <c r="F1148" s="842" t="s">
        <v>142</v>
      </c>
      <c r="G1148" s="806"/>
      <c r="H1148" s="843">
        <f>+H1146+H1139+H1132</f>
        <v>700300</v>
      </c>
    </row>
    <row r="1149" spans="1:8" ht="13.5" customHeight="1">
      <c r="A1149" s="824"/>
      <c r="B1149" s="804"/>
      <c r="C1149" s="805"/>
      <c r="D1149" s="806"/>
      <c r="E1149" s="806"/>
      <c r="F1149" s="842"/>
      <c r="G1149" s="806"/>
      <c r="H1149" s="829"/>
    </row>
    <row r="1150" spans="1:8" ht="13.5" customHeight="1">
      <c r="A1150" s="824"/>
      <c r="B1150" s="801"/>
      <c r="C1150" s="805"/>
      <c r="D1150" s="806"/>
      <c r="E1150" s="806"/>
      <c r="F1150" s="800"/>
      <c r="G1150" s="825"/>
      <c r="H1150" s="802"/>
    </row>
    <row r="1151" spans="1:8" ht="13.5" customHeight="1">
      <c r="A1151" s="847"/>
      <c r="B1151" s="848"/>
      <c r="C1151" s="849"/>
      <c r="D1151" s="806"/>
      <c r="E1151" s="806"/>
      <c r="F1151" s="800"/>
      <c r="G1151" s="804"/>
      <c r="H1151" s="826"/>
    </row>
    <row r="1152" spans="1:8" ht="13.5" customHeight="1">
      <c r="A1152" s="824" t="s">
        <v>1835</v>
      </c>
      <c r="B1152" s="801"/>
      <c r="C1152" s="805"/>
      <c r="D1152" s="806"/>
      <c r="E1152" s="806"/>
      <c r="F1152" s="2021"/>
      <c r="G1152" s="1825"/>
      <c r="H1152" s="826"/>
    </row>
    <row r="1153" spans="1:8" ht="13.5" customHeight="1">
      <c r="A1153" s="847" t="s">
        <v>1859</v>
      </c>
      <c r="B1153" s="848"/>
      <c r="C1153" s="849"/>
      <c r="D1153" s="850"/>
      <c r="E1153" s="850"/>
      <c r="F1153" s="851"/>
      <c r="G1153" s="852"/>
      <c r="H1153" s="853"/>
    </row>
    <row r="1154" spans="1:8" ht="13.5" customHeight="1">
      <c r="A1154" s="792"/>
      <c r="B1154" s="792"/>
      <c r="C1154" s="792"/>
      <c r="D1154" s="792"/>
      <c r="E1154" s="792"/>
      <c r="F1154" s="792"/>
      <c r="G1154" s="792"/>
      <c r="H1154" s="792"/>
    </row>
    <row r="1155" spans="1:8" ht="13.5" customHeight="1">
      <c r="A1155" s="792"/>
      <c r="B1155" s="792"/>
      <c r="C1155" s="792"/>
      <c r="D1155" s="792"/>
      <c r="E1155" s="792"/>
      <c r="F1155" s="792"/>
      <c r="G1155" s="792"/>
      <c r="H1155" s="792"/>
    </row>
    <row r="1156" spans="1:8" ht="13.5" customHeight="1">
      <c r="A1156" s="2046" t="s">
        <v>1834</v>
      </c>
      <c r="B1156" s="1811"/>
      <c r="C1156" s="1811"/>
      <c r="D1156" s="1811"/>
      <c r="E1156" s="1811"/>
      <c r="F1156" s="1811"/>
      <c r="G1156" s="1811"/>
      <c r="H1156" s="1812"/>
    </row>
    <row r="1157" spans="1:8" ht="13.5" customHeight="1">
      <c r="A1157" s="2035" t="s">
        <v>559</v>
      </c>
      <c r="B1157" s="2036"/>
      <c r="C1157" s="2036"/>
      <c r="D1157" s="2037"/>
      <c r="E1157" s="2042" t="s">
        <v>1835</v>
      </c>
      <c r="F1157" s="2036"/>
      <c r="G1157" s="2036"/>
      <c r="H1157" s="2043"/>
    </row>
    <row r="1158" spans="1:8" ht="13.5" customHeight="1">
      <c r="A1158" s="2038"/>
      <c r="B1158" s="1605"/>
      <c r="C1158" s="1605"/>
      <c r="D1158" s="2039"/>
      <c r="E1158" s="2044"/>
      <c r="F1158" s="1605"/>
      <c r="G1158" s="1605"/>
      <c r="H1158" s="1606"/>
    </row>
    <row r="1159" spans="1:8" ht="13.5" customHeight="1">
      <c r="A1159" s="2040"/>
      <c r="B1159" s="1608"/>
      <c r="C1159" s="1608"/>
      <c r="D1159" s="2041"/>
      <c r="E1159" s="2045"/>
      <c r="F1159" s="1608"/>
      <c r="G1159" s="1608"/>
      <c r="H1159" s="1919"/>
    </row>
    <row r="1160" spans="1:8" ht="13.5" customHeight="1">
      <c r="A1160" s="2027" t="s">
        <v>1906</v>
      </c>
      <c r="B1160" s="2028"/>
      <c r="C1160" s="2028"/>
      <c r="D1160" s="2028"/>
      <c r="E1160" s="2028"/>
      <c r="F1160" s="2028"/>
      <c r="G1160" s="2028"/>
      <c r="H1160" s="2029"/>
    </row>
    <row r="1161" spans="1:8" ht="13.5" customHeight="1">
      <c r="A1161" s="793"/>
      <c r="B1161" s="794"/>
      <c r="C1161" s="794"/>
      <c r="D1161" s="794"/>
      <c r="E1161" s="794"/>
      <c r="F1161" s="794"/>
      <c r="G1161" s="794"/>
      <c r="H1161" s="795"/>
    </row>
    <row r="1162" spans="1:8" ht="13.5" customHeight="1">
      <c r="A1162" s="2030"/>
      <c r="B1162" s="1824"/>
      <c r="C1162" s="1824"/>
      <c r="D1162" s="1824"/>
      <c r="E1162" s="1825"/>
      <c r="F1162" s="794"/>
      <c r="G1162" s="794"/>
      <c r="H1162" s="795"/>
    </row>
    <row r="1163" spans="1:8" ht="13.5" customHeight="1">
      <c r="A1163" s="793"/>
      <c r="B1163" s="794"/>
      <c r="C1163" s="794"/>
      <c r="D1163" s="794"/>
      <c r="E1163" s="794"/>
      <c r="F1163" s="794"/>
      <c r="G1163" s="794"/>
      <c r="H1163" s="795"/>
    </row>
    <row r="1164" spans="1:8" ht="13.5" customHeight="1">
      <c r="A1164" s="2030" t="s">
        <v>1837</v>
      </c>
      <c r="B1164" s="1825"/>
      <c r="C1164" s="794"/>
      <c r="D1164" s="794"/>
      <c r="E1164" s="794"/>
      <c r="F1164" s="794"/>
      <c r="G1164" s="794"/>
      <c r="H1164" s="795"/>
    </row>
    <row r="1165" spans="1:8" ht="13.5" customHeight="1">
      <c r="A1165" s="2031" t="s">
        <v>485</v>
      </c>
      <c r="B1165" s="1824"/>
      <c r="C1165" s="1824"/>
      <c r="D1165" s="1824"/>
      <c r="E1165" s="1824"/>
      <c r="F1165" s="1824"/>
      <c r="G1165" s="1824"/>
      <c r="H1165" s="2032"/>
    </row>
    <row r="1166" spans="1:8" ht="13.5" customHeight="1">
      <c r="A1166" s="796"/>
      <c r="B1166" s="797"/>
      <c r="C1166" s="798"/>
      <c r="D1166" s="799"/>
      <c r="E1166" s="799"/>
      <c r="F1166" s="800"/>
      <c r="G1166" s="801" t="s">
        <v>1950</v>
      </c>
      <c r="H1166" s="802"/>
    </row>
    <row r="1167" spans="1:8" ht="13.5" customHeight="1">
      <c r="A1167" s="803" t="s">
        <v>1839</v>
      </c>
      <c r="B1167" s="804"/>
      <c r="C1167" s="805"/>
      <c r="D1167" s="806"/>
      <c r="E1167" s="806"/>
      <c r="F1167" s="800"/>
      <c r="G1167" s="807" t="s">
        <v>1951</v>
      </c>
      <c r="H1167" s="802"/>
    </row>
    <row r="1168" spans="1:8" ht="13.5" customHeight="1">
      <c r="A1168" s="2022" t="s">
        <v>376</v>
      </c>
      <c r="B1168" s="1611"/>
      <c r="C1168" s="808" t="s">
        <v>1219</v>
      </c>
      <c r="D1168" s="809" t="s">
        <v>1841</v>
      </c>
      <c r="E1168" s="809" t="s">
        <v>1842</v>
      </c>
      <c r="F1168" s="810" t="s">
        <v>1843</v>
      </c>
      <c r="G1168" s="811" t="s">
        <v>1844</v>
      </c>
      <c r="H1168" s="812"/>
    </row>
    <row r="1170" spans="1:8" ht="13.5" customHeight="1">
      <c r="A1170" s="2020"/>
      <c r="B1170" s="1611"/>
      <c r="C1170" s="813"/>
      <c r="D1170" s="817"/>
      <c r="E1170" s="817"/>
      <c r="F1170" s="815"/>
      <c r="G1170" s="816">
        <f>+D1170*F1170</f>
        <v>0</v>
      </c>
      <c r="H1170" s="812"/>
    </row>
    <row r="1171" spans="1:8" ht="13.5" customHeight="1">
      <c r="A1171" s="2023"/>
      <c r="B1171" s="1611"/>
      <c r="C1171" s="818"/>
      <c r="D1171" s="819"/>
      <c r="E1171" s="819"/>
      <c r="F1171" s="819"/>
      <c r="G1171" s="820"/>
      <c r="H1171" s="821"/>
    </row>
    <row r="1172" spans="1:8" ht="13.5" customHeight="1">
      <c r="A1172" s="2033"/>
      <c r="B1172" s="1825"/>
      <c r="C1172" s="805"/>
      <c r="D1172" s="806"/>
      <c r="E1172" s="806"/>
      <c r="F1172" s="800"/>
      <c r="G1172" s="822" t="s">
        <v>1560</v>
      </c>
      <c r="H1172" s="823">
        <f>SUM(G1169:G1171)</f>
        <v>0</v>
      </c>
    </row>
    <row r="1173" spans="1:8" ht="13.5" customHeight="1">
      <c r="A1173" s="824"/>
      <c r="B1173" s="804"/>
      <c r="C1173" s="805"/>
      <c r="D1173" s="806"/>
      <c r="E1173" s="806"/>
      <c r="F1173" s="800"/>
      <c r="G1173" s="825"/>
      <c r="H1173" s="802"/>
    </row>
    <row r="1174" spans="1:8" ht="13.5" customHeight="1">
      <c r="A1174" s="803" t="s">
        <v>1561</v>
      </c>
      <c r="B1174" s="804"/>
      <c r="C1174" s="805"/>
      <c r="D1174" s="806"/>
      <c r="E1174" s="806"/>
      <c r="F1174" s="800"/>
      <c r="G1174" s="825"/>
      <c r="H1174" s="802"/>
    </row>
    <row r="1175" spans="1:8" ht="13.5" customHeight="1">
      <c r="A1175" s="2022" t="s">
        <v>376</v>
      </c>
      <c r="B1175" s="1611"/>
      <c r="C1175" s="808" t="s">
        <v>1219</v>
      </c>
      <c r="D1175" s="809" t="s">
        <v>1845</v>
      </c>
      <c r="E1175" s="809" t="s">
        <v>1842</v>
      </c>
      <c r="F1175" s="810" t="s">
        <v>673</v>
      </c>
      <c r="G1175" s="811" t="s">
        <v>1845</v>
      </c>
      <c r="H1175" s="826"/>
    </row>
    <row r="1176" spans="1:8" ht="13.5" customHeight="1">
      <c r="A1176" s="2020" t="s">
        <v>1952</v>
      </c>
      <c r="B1176" s="1611"/>
      <c r="C1176" s="813" t="s">
        <v>171</v>
      </c>
      <c r="D1176" s="817">
        <v>3014.75</v>
      </c>
      <c r="E1176" s="817"/>
      <c r="F1176" s="815">
        <v>1</v>
      </c>
      <c r="G1176" s="827">
        <f>+D1176*F1176</f>
        <v>3014.75</v>
      </c>
      <c r="H1176" s="826"/>
    </row>
    <row r="1177" spans="1:8" ht="13.5" customHeight="1">
      <c r="A1177" s="2020" t="s">
        <v>1953</v>
      </c>
      <c r="B1177" s="1611"/>
      <c r="C1177" s="813" t="s">
        <v>171</v>
      </c>
      <c r="D1177" s="817">
        <v>4785</v>
      </c>
      <c r="E1177" s="817"/>
      <c r="F1177" s="815">
        <v>0.05</v>
      </c>
      <c r="G1177" s="827">
        <f>+F1177*D1177</f>
        <v>239.25</v>
      </c>
      <c r="H1177" s="826"/>
    </row>
    <row r="1178" spans="1:8" ht="13.5" customHeight="1">
      <c r="A1178" s="2020"/>
      <c r="B1178" s="1611"/>
      <c r="C1178" s="813"/>
      <c r="D1178" s="817"/>
      <c r="E1178" s="817"/>
      <c r="F1178" s="815"/>
      <c r="G1178" s="861"/>
      <c r="H1178" s="802"/>
    </row>
    <row r="1179" spans="1:8" ht="13.5" customHeight="1">
      <c r="A1179" s="824"/>
      <c r="B1179" s="804"/>
      <c r="C1179" s="805"/>
      <c r="D1179" s="806"/>
      <c r="E1179" s="806"/>
      <c r="F1179" s="800"/>
      <c r="G1179" s="828" t="s">
        <v>1560</v>
      </c>
      <c r="H1179" s="823">
        <f>SUM(G1176:G1178)</f>
        <v>3254</v>
      </c>
    </row>
    <row r="1180" spans="1:8" ht="13.5" customHeight="1">
      <c r="A1180" s="803"/>
      <c r="B1180" s="804"/>
      <c r="C1180" s="805"/>
      <c r="D1180" s="806"/>
      <c r="E1180" s="806"/>
      <c r="F1180" s="800"/>
      <c r="G1180" s="825"/>
      <c r="H1180" s="802"/>
    </row>
    <row r="1181" spans="1:8" ht="13.5" customHeight="1">
      <c r="A1181" s="803"/>
      <c r="B1181" s="804"/>
      <c r="C1181" s="805"/>
      <c r="D1181" s="806"/>
      <c r="E1181" s="806"/>
      <c r="F1181" s="800"/>
      <c r="G1181" s="804"/>
      <c r="H1181" s="826"/>
    </row>
    <row r="1182" spans="1:8" ht="13.5" customHeight="1">
      <c r="A1182" s="803" t="s">
        <v>1564</v>
      </c>
      <c r="B1182" s="804"/>
      <c r="C1182" s="805"/>
      <c r="D1182" s="806"/>
      <c r="E1182" s="806"/>
      <c r="F1182" s="800"/>
      <c r="G1182" s="806"/>
      <c r="H1182" s="829"/>
    </row>
    <row r="1183" spans="1:8" ht="13.5" customHeight="1">
      <c r="A1183" s="830" t="s">
        <v>1853</v>
      </c>
      <c r="B1183" s="831" t="s">
        <v>1854</v>
      </c>
      <c r="C1183" s="808" t="s">
        <v>1855</v>
      </c>
      <c r="D1183" s="832" t="s">
        <v>1244</v>
      </c>
      <c r="E1183" s="809" t="s">
        <v>1856</v>
      </c>
      <c r="F1183" s="810" t="s">
        <v>1843</v>
      </c>
      <c r="G1183" s="833" t="s">
        <v>1845</v>
      </c>
      <c r="H1183" s="834"/>
    </row>
    <row r="1184" spans="1:8" ht="13.5" customHeight="1">
      <c r="A1184" s="835"/>
      <c r="B1184" s="836" t="s">
        <v>1857</v>
      </c>
      <c r="C1184" s="837">
        <v>30000</v>
      </c>
      <c r="D1184" s="837">
        <v>2</v>
      </c>
      <c r="E1184" s="837">
        <f t="shared" ref="E1184:E1185" si="99">+D1184*C1184</f>
        <v>60000</v>
      </c>
      <c r="F1184" s="838">
        <v>0.06</v>
      </c>
      <c r="G1184" s="837">
        <f t="shared" ref="G1184:G1185" si="100">+ROUND((F1184*E1184)/8,0)</f>
        <v>450</v>
      </c>
      <c r="H1184" s="839"/>
    </row>
    <row r="1185" spans="1:8" ht="13.5" customHeight="1">
      <c r="A1185" s="835"/>
      <c r="B1185" s="836" t="s">
        <v>1858</v>
      </c>
      <c r="C1185" s="837">
        <v>40000</v>
      </c>
      <c r="D1185" s="837">
        <v>1</v>
      </c>
      <c r="E1185" s="837">
        <f t="shared" si="99"/>
        <v>40000</v>
      </c>
      <c r="F1185" s="838">
        <f>+F1184</f>
        <v>0.06</v>
      </c>
      <c r="G1185" s="837">
        <f t="shared" si="100"/>
        <v>300</v>
      </c>
      <c r="H1185" s="840"/>
    </row>
    <row r="1186" spans="1:8" ht="13.5" customHeight="1">
      <c r="A1186" s="824"/>
      <c r="B1186" s="804"/>
      <c r="C1186" s="805"/>
      <c r="D1186" s="806"/>
      <c r="E1186" s="806"/>
      <c r="F1186" s="800"/>
      <c r="G1186" s="841" t="s">
        <v>1560</v>
      </c>
      <c r="H1186" s="823">
        <f>SUM(G1184:G1185)</f>
        <v>750</v>
      </c>
    </row>
    <row r="1187" spans="1:8" ht="13.5" customHeight="1">
      <c r="A1187" s="824"/>
      <c r="B1187" s="804"/>
      <c r="C1187" s="805"/>
      <c r="D1187" s="806"/>
      <c r="E1187" s="806"/>
      <c r="F1187" s="800"/>
      <c r="G1187" s="806"/>
      <c r="H1187" s="829"/>
    </row>
    <row r="1188" spans="1:8" ht="13.5" customHeight="1">
      <c r="A1188" s="824"/>
      <c r="B1188" s="804"/>
      <c r="C1188" s="805"/>
      <c r="D1188" s="806"/>
      <c r="E1188" s="806"/>
      <c r="F1188" s="842" t="s">
        <v>142</v>
      </c>
      <c r="G1188" s="806"/>
      <c r="H1188" s="843">
        <f>+H1186+H1179+H1172</f>
        <v>4004</v>
      </c>
    </row>
    <row r="1189" spans="1:8" ht="13.5" customHeight="1">
      <c r="A1189" s="824"/>
      <c r="B1189" s="804"/>
      <c r="C1189" s="805"/>
      <c r="D1189" s="806"/>
      <c r="E1189" s="806"/>
      <c r="F1189" s="842"/>
      <c r="G1189" s="806"/>
      <c r="H1189" s="829"/>
    </row>
    <row r="1190" spans="1:8" ht="13.5" customHeight="1">
      <c r="A1190" s="824"/>
      <c r="B1190" s="801"/>
      <c r="C1190" s="805"/>
      <c r="D1190" s="806"/>
      <c r="E1190" s="806"/>
      <c r="F1190" s="800"/>
      <c r="G1190" s="825"/>
      <c r="H1190" s="802"/>
    </row>
    <row r="1191" spans="1:8" ht="13.5" customHeight="1">
      <c r="A1191" s="847"/>
      <c r="B1191" s="848"/>
      <c r="C1191" s="849"/>
      <c r="D1191" s="806"/>
      <c r="E1191" s="806"/>
      <c r="F1191" s="800"/>
      <c r="G1191" s="804"/>
      <c r="H1191" s="826"/>
    </row>
    <row r="1192" spans="1:8" ht="13.5" customHeight="1">
      <c r="A1192" s="824" t="s">
        <v>1835</v>
      </c>
      <c r="B1192" s="801"/>
      <c r="C1192" s="805"/>
      <c r="D1192" s="806"/>
      <c r="E1192" s="806"/>
      <c r="F1192" s="2021"/>
      <c r="G1192" s="1825"/>
      <c r="H1192" s="826"/>
    </row>
    <row r="1193" spans="1:8" ht="13.5" customHeight="1">
      <c r="A1193" s="824" t="s">
        <v>1859</v>
      </c>
      <c r="B1193" s="801"/>
      <c r="C1193" s="805"/>
      <c r="D1193" s="806"/>
      <c r="E1193" s="806"/>
      <c r="F1193" s="800"/>
      <c r="G1193" s="804"/>
      <c r="H1193" s="826"/>
    </row>
    <row r="1194" spans="1:8" ht="13.5" customHeight="1">
      <c r="A1194" s="824"/>
      <c r="B1194" s="804"/>
      <c r="C1194" s="804"/>
      <c r="D1194" s="804"/>
      <c r="E1194" s="804"/>
      <c r="F1194" s="804"/>
      <c r="G1194" s="804"/>
      <c r="H1194" s="826"/>
    </row>
    <row r="1195" spans="1:8" ht="13.5" customHeight="1">
      <c r="A1195" s="844"/>
      <c r="B1195" s="845"/>
      <c r="C1195" s="845"/>
      <c r="D1195" s="845"/>
      <c r="E1195" s="845"/>
      <c r="F1195" s="845"/>
      <c r="G1195" s="845"/>
      <c r="H1195" s="846"/>
    </row>
    <row r="1196" spans="1:8" ht="13.5" customHeight="1">
      <c r="A1196" s="2046" t="s">
        <v>1834</v>
      </c>
      <c r="B1196" s="1811"/>
      <c r="C1196" s="1811"/>
      <c r="D1196" s="1811"/>
      <c r="E1196" s="1811"/>
      <c r="F1196" s="1811"/>
      <c r="G1196" s="1811"/>
      <c r="H1196" s="1812"/>
    </row>
    <row r="1197" spans="1:8" ht="13.5" customHeight="1">
      <c r="A1197" s="2035" t="s">
        <v>559</v>
      </c>
      <c r="B1197" s="2036"/>
      <c r="C1197" s="2036"/>
      <c r="D1197" s="2037"/>
      <c r="E1197" s="2042" t="s">
        <v>1835</v>
      </c>
      <c r="F1197" s="2036"/>
      <c r="G1197" s="2036"/>
      <c r="H1197" s="2043"/>
    </row>
    <row r="1198" spans="1:8" ht="13.5" customHeight="1">
      <c r="A1198" s="2038"/>
      <c r="B1198" s="1605"/>
      <c r="C1198" s="1605"/>
      <c r="D1198" s="2039"/>
      <c r="E1198" s="2044"/>
      <c r="F1198" s="1605"/>
      <c r="G1198" s="1605"/>
      <c r="H1198" s="1606"/>
    </row>
    <row r="1199" spans="1:8" ht="13.5" customHeight="1">
      <c r="A1199" s="2040"/>
      <c r="B1199" s="1608"/>
      <c r="C1199" s="1608"/>
      <c r="D1199" s="2041"/>
      <c r="E1199" s="2045"/>
      <c r="F1199" s="1608"/>
      <c r="G1199" s="1608"/>
      <c r="H1199" s="1919"/>
    </row>
    <row r="1200" spans="1:8" ht="13.5" customHeight="1">
      <c r="A1200" s="2027" t="s">
        <v>1906</v>
      </c>
      <c r="B1200" s="2028"/>
      <c r="C1200" s="2028"/>
      <c r="D1200" s="2028"/>
      <c r="E1200" s="2028"/>
      <c r="F1200" s="2028"/>
      <c r="G1200" s="2028"/>
      <c r="H1200" s="2029"/>
    </row>
    <row r="1202" spans="1:8" ht="13.5" customHeight="1">
      <c r="A1202" s="2030"/>
      <c r="B1202" s="1824"/>
      <c r="C1202" s="1824"/>
      <c r="D1202" s="1824"/>
      <c r="E1202" s="1825"/>
      <c r="F1202" s="794"/>
      <c r="G1202" s="794"/>
      <c r="H1202" s="795"/>
    </row>
    <row r="1203" spans="1:8" ht="13.5" customHeight="1">
      <c r="A1203" s="793"/>
      <c r="B1203" s="794"/>
      <c r="C1203" s="794"/>
      <c r="D1203" s="794"/>
      <c r="E1203" s="794"/>
      <c r="F1203" s="794"/>
      <c r="G1203" s="794"/>
      <c r="H1203" s="795"/>
    </row>
    <row r="1204" spans="1:8" ht="13.5" customHeight="1">
      <c r="A1204" s="2030" t="s">
        <v>1837</v>
      </c>
      <c r="B1204" s="1825"/>
      <c r="C1204" s="794"/>
      <c r="D1204" s="794"/>
      <c r="E1204" s="794"/>
      <c r="F1204" s="794"/>
      <c r="G1204" s="794"/>
      <c r="H1204" s="795"/>
    </row>
    <row r="1205" spans="1:8" ht="13.5" customHeight="1">
      <c r="A1205" s="2031" t="s">
        <v>492</v>
      </c>
      <c r="B1205" s="1824"/>
      <c r="C1205" s="1824"/>
      <c r="D1205" s="1824"/>
      <c r="E1205" s="1824"/>
      <c r="F1205" s="1824"/>
      <c r="G1205" s="1824"/>
      <c r="H1205" s="2032"/>
    </row>
    <row r="1206" spans="1:8" ht="13.5" customHeight="1">
      <c r="A1206" s="796"/>
      <c r="B1206" s="797"/>
      <c r="C1206" s="798"/>
      <c r="D1206" s="799"/>
      <c r="E1206" s="799"/>
      <c r="F1206" s="800"/>
      <c r="G1206" s="801" t="s">
        <v>1954</v>
      </c>
      <c r="H1206" s="802"/>
    </row>
    <row r="1207" spans="1:8" ht="13.5" customHeight="1">
      <c r="A1207" s="803" t="s">
        <v>1839</v>
      </c>
      <c r="B1207" s="804"/>
      <c r="C1207" s="805"/>
      <c r="D1207" s="806"/>
      <c r="E1207" s="806"/>
      <c r="F1207" s="800"/>
      <c r="G1207" s="807" t="s">
        <v>1955</v>
      </c>
      <c r="H1207" s="802"/>
    </row>
    <row r="1208" spans="1:8" ht="13.5" customHeight="1">
      <c r="A1208" s="2022" t="s">
        <v>376</v>
      </c>
      <c r="B1208" s="1611"/>
      <c r="C1208" s="808" t="s">
        <v>1219</v>
      </c>
      <c r="D1208" s="809" t="s">
        <v>1841</v>
      </c>
      <c r="E1208" s="809" t="s">
        <v>1842</v>
      </c>
      <c r="F1208" s="810" t="s">
        <v>1843</v>
      </c>
      <c r="G1208" s="811" t="s">
        <v>1844</v>
      </c>
      <c r="H1208" s="812"/>
    </row>
    <row r="1209" spans="1:8" ht="13.5" customHeight="1">
      <c r="A1209" s="2020" t="s">
        <v>1568</v>
      </c>
      <c r="B1209" s="1611"/>
      <c r="C1209" s="813" t="s">
        <v>1614</v>
      </c>
      <c r="D1209" s="877">
        <v>1500</v>
      </c>
      <c r="E1209" s="814"/>
      <c r="F1209" s="815">
        <v>0.2</v>
      </c>
      <c r="G1209" s="816">
        <f t="shared" ref="G1209:G1210" si="101">+D1209*F1209</f>
        <v>300</v>
      </c>
      <c r="H1209" s="812"/>
    </row>
    <row r="1210" spans="1:8" ht="13.5" customHeight="1">
      <c r="A1210" s="2023" t="s">
        <v>1956</v>
      </c>
      <c r="B1210" s="1611"/>
      <c r="C1210" s="818" t="s">
        <v>1957</v>
      </c>
      <c r="D1210" s="819">
        <v>1267</v>
      </c>
      <c r="E1210" s="819"/>
      <c r="F1210" s="819">
        <v>0.2</v>
      </c>
      <c r="G1210" s="816">
        <f t="shared" si="101"/>
        <v>253.4</v>
      </c>
      <c r="H1210" s="812"/>
    </row>
    <row r="1211" spans="1:8" ht="13.5" customHeight="1">
      <c r="A1211" s="2023"/>
      <c r="B1211" s="1611"/>
      <c r="C1211" s="818"/>
      <c r="D1211" s="819"/>
      <c r="E1211" s="819"/>
      <c r="F1211" s="819"/>
      <c r="G1211" s="820"/>
      <c r="H1211" s="821"/>
    </row>
    <row r="1212" spans="1:8" ht="13.5" customHeight="1">
      <c r="A1212" s="2033"/>
      <c r="B1212" s="1825"/>
      <c r="C1212" s="805"/>
      <c r="D1212" s="806"/>
      <c r="E1212" s="806"/>
      <c r="F1212" s="800"/>
      <c r="G1212" s="822" t="s">
        <v>1560</v>
      </c>
      <c r="H1212" s="823">
        <f>SUM(G1209:G1211)</f>
        <v>553.4</v>
      </c>
    </row>
    <row r="1213" spans="1:8" ht="13.5" customHeight="1">
      <c r="A1213" s="824"/>
      <c r="B1213" s="804"/>
      <c r="C1213" s="805"/>
      <c r="D1213" s="806"/>
      <c r="E1213" s="806"/>
      <c r="F1213" s="800"/>
      <c r="G1213" s="825"/>
      <c r="H1213" s="802"/>
    </row>
    <row r="1214" spans="1:8" ht="13.5" customHeight="1">
      <c r="A1214" s="803" t="s">
        <v>1561</v>
      </c>
      <c r="B1214" s="804"/>
      <c r="C1214" s="805"/>
      <c r="D1214" s="806"/>
      <c r="E1214" s="806"/>
      <c r="F1214" s="800"/>
      <c r="G1214" s="825"/>
      <c r="H1214" s="802"/>
    </row>
    <row r="1215" spans="1:8" ht="13.5" customHeight="1">
      <c r="A1215" s="2022" t="s">
        <v>376</v>
      </c>
      <c r="B1215" s="1611"/>
      <c r="C1215" s="808" t="s">
        <v>1219</v>
      </c>
      <c r="D1215" s="809" t="s">
        <v>1845</v>
      </c>
      <c r="E1215" s="809" t="s">
        <v>1842</v>
      </c>
      <c r="F1215" s="810" t="s">
        <v>673</v>
      </c>
      <c r="G1215" s="811" t="s">
        <v>1845</v>
      </c>
      <c r="H1215" s="826"/>
    </row>
    <row r="1216" spans="1:8" ht="13.5" customHeight="1">
      <c r="A1216" s="2020" t="s">
        <v>1958</v>
      </c>
      <c r="B1216" s="1611"/>
      <c r="C1216" s="813" t="s">
        <v>116</v>
      </c>
      <c r="D1216" s="817">
        <v>308035</v>
      </c>
      <c r="E1216" s="817"/>
      <c r="F1216" s="815">
        <f>0.03*1.05</f>
        <v>3.15E-2</v>
      </c>
      <c r="G1216" s="827">
        <f t="shared" ref="G1216:G1217" si="102">+F1216*D1216</f>
        <v>9703.1025000000009</v>
      </c>
      <c r="H1216" s="826"/>
    </row>
    <row r="1217" spans="1:8" ht="13.5" customHeight="1">
      <c r="A1217" s="2020" t="s">
        <v>1959</v>
      </c>
      <c r="B1217" s="1611"/>
      <c r="C1217" s="813" t="s">
        <v>171</v>
      </c>
      <c r="D1217" s="817">
        <v>7645</v>
      </c>
      <c r="E1217" s="817"/>
      <c r="F1217" s="815">
        <v>0.75</v>
      </c>
      <c r="G1217" s="827">
        <f t="shared" si="102"/>
        <v>5733.75</v>
      </c>
      <c r="H1217" s="826"/>
    </row>
    <row r="1218" spans="1:8" ht="13.5" customHeight="1">
      <c r="A1218" s="2020"/>
      <c r="B1218" s="1611"/>
      <c r="C1218" s="813"/>
      <c r="D1218" s="817"/>
      <c r="E1218" s="817"/>
      <c r="F1218" s="815"/>
      <c r="G1218" s="861"/>
      <c r="H1218" s="802"/>
    </row>
    <row r="1219" spans="1:8" ht="13.5" customHeight="1">
      <c r="A1219" s="824"/>
      <c r="B1219" s="804"/>
      <c r="C1219" s="805"/>
      <c r="D1219" s="806"/>
      <c r="E1219" s="806"/>
      <c r="F1219" s="800"/>
      <c r="G1219" s="828" t="s">
        <v>1560</v>
      </c>
      <c r="H1219" s="823">
        <f>SUM(G1216:G1218)</f>
        <v>15436.852500000001</v>
      </c>
    </row>
    <row r="1220" spans="1:8" ht="13.5" customHeight="1">
      <c r="A1220" s="803"/>
      <c r="B1220" s="804"/>
      <c r="C1220" s="805"/>
      <c r="D1220" s="806"/>
      <c r="E1220" s="806"/>
      <c r="F1220" s="800"/>
      <c r="G1220" s="825"/>
      <c r="H1220" s="802"/>
    </row>
    <row r="1221" spans="1:8" ht="13.5" customHeight="1">
      <c r="A1221" s="803"/>
      <c r="B1221" s="804"/>
      <c r="C1221" s="805"/>
      <c r="D1221" s="806"/>
      <c r="E1221" s="806"/>
      <c r="F1221" s="800"/>
      <c r="G1221" s="804"/>
      <c r="H1221" s="826"/>
    </row>
    <row r="1222" spans="1:8" ht="13.5" customHeight="1">
      <c r="A1222" s="803" t="s">
        <v>1564</v>
      </c>
      <c r="B1222" s="804"/>
      <c r="C1222" s="805"/>
      <c r="D1222" s="806"/>
      <c r="E1222" s="806"/>
      <c r="F1222" s="800"/>
      <c r="G1222" s="806"/>
      <c r="H1222" s="829"/>
    </row>
    <row r="1223" spans="1:8" ht="13.5" customHeight="1">
      <c r="A1223" s="830" t="s">
        <v>1853</v>
      </c>
      <c r="B1223" s="831" t="s">
        <v>1854</v>
      </c>
      <c r="C1223" s="808" t="s">
        <v>1855</v>
      </c>
      <c r="D1223" s="832" t="s">
        <v>1244</v>
      </c>
      <c r="E1223" s="809" t="s">
        <v>1856</v>
      </c>
      <c r="F1223" s="810" t="s">
        <v>1843</v>
      </c>
      <c r="G1223" s="833" t="s">
        <v>1845</v>
      </c>
      <c r="H1223" s="834"/>
    </row>
    <row r="1224" spans="1:8" ht="13.5" customHeight="1">
      <c r="A1224" s="835"/>
      <c r="B1224" s="836" t="s">
        <v>1857</v>
      </c>
      <c r="C1224" s="837">
        <v>30000</v>
      </c>
      <c r="D1224" s="837">
        <v>2</v>
      </c>
      <c r="E1224" s="837">
        <f t="shared" ref="E1224:E1225" si="103">+D1224*C1224</f>
        <v>60000</v>
      </c>
      <c r="F1224" s="838">
        <v>0.96</v>
      </c>
      <c r="G1224" s="837">
        <f t="shared" ref="G1224:G1225" si="104">+ROUND((F1224*E1224)/8,0)</f>
        <v>7200</v>
      </c>
      <c r="H1224" s="839"/>
    </row>
    <row r="1225" spans="1:8" ht="13.5" customHeight="1">
      <c r="A1225" s="835"/>
      <c r="B1225" s="836" t="s">
        <v>1858</v>
      </c>
      <c r="C1225" s="837">
        <v>40000</v>
      </c>
      <c r="D1225" s="837">
        <v>1</v>
      </c>
      <c r="E1225" s="837">
        <f t="shared" si="103"/>
        <v>40000</v>
      </c>
      <c r="F1225" s="838">
        <f>+F1224</f>
        <v>0.96</v>
      </c>
      <c r="G1225" s="837">
        <f t="shared" si="104"/>
        <v>4800</v>
      </c>
      <c r="H1225" s="840"/>
    </row>
    <row r="1226" spans="1:8" ht="13.5" customHeight="1">
      <c r="A1226" s="824"/>
      <c r="B1226" s="804"/>
      <c r="C1226" s="805"/>
      <c r="D1226" s="806"/>
      <c r="E1226" s="806"/>
      <c r="F1226" s="800"/>
      <c r="G1226" s="841" t="s">
        <v>1560</v>
      </c>
      <c r="H1226" s="823">
        <f>SUM(G1224:G1225)</f>
        <v>12000</v>
      </c>
    </row>
    <row r="1227" spans="1:8" ht="13.5" customHeight="1">
      <c r="A1227" s="824"/>
      <c r="B1227" s="804"/>
      <c r="C1227" s="805"/>
      <c r="D1227" s="806"/>
      <c r="E1227" s="806"/>
      <c r="F1227" s="800"/>
      <c r="G1227" s="806"/>
      <c r="H1227" s="829"/>
    </row>
    <row r="1228" spans="1:8" ht="13.5" customHeight="1">
      <c r="A1228" s="824"/>
      <c r="B1228" s="804"/>
      <c r="C1228" s="805"/>
      <c r="D1228" s="806"/>
      <c r="E1228" s="806"/>
      <c r="F1228" s="842" t="s">
        <v>142</v>
      </c>
      <c r="G1228" s="806"/>
      <c r="H1228" s="843">
        <f>+H1226+H1219+H1212</f>
        <v>27990.252500000002</v>
      </c>
    </row>
    <row r="1229" spans="1:8" ht="13.5" customHeight="1">
      <c r="A1229" s="824"/>
      <c r="B1229" s="804"/>
      <c r="C1229" s="805"/>
      <c r="D1229" s="806"/>
      <c r="E1229" s="806"/>
      <c r="F1229" s="842"/>
      <c r="G1229" s="806"/>
      <c r="H1229" s="829"/>
    </row>
    <row r="1230" spans="1:8" ht="13.5" customHeight="1">
      <c r="A1230" s="824"/>
      <c r="B1230" s="801"/>
      <c r="C1230" s="805"/>
      <c r="D1230" s="806"/>
      <c r="E1230" s="806"/>
      <c r="F1230" s="800"/>
      <c r="G1230" s="825"/>
      <c r="H1230" s="802"/>
    </row>
    <row r="1231" spans="1:8" ht="13.5" customHeight="1">
      <c r="A1231" s="847"/>
      <c r="B1231" s="848"/>
      <c r="C1231" s="849"/>
      <c r="D1231" s="806"/>
      <c r="E1231" s="806"/>
      <c r="F1231" s="800"/>
      <c r="G1231" s="804"/>
      <c r="H1231" s="826"/>
    </row>
    <row r="1232" spans="1:8" ht="13.5" customHeight="1">
      <c r="A1232" s="824" t="s">
        <v>1835</v>
      </c>
      <c r="B1232" s="801"/>
      <c r="C1232" s="805"/>
      <c r="D1232" s="806"/>
      <c r="E1232" s="806"/>
      <c r="F1232" s="2021"/>
      <c r="G1232" s="1825"/>
      <c r="H1232" s="826"/>
    </row>
    <row r="1233" spans="1:8" ht="13.5" customHeight="1">
      <c r="A1233" s="824" t="s">
        <v>1859</v>
      </c>
      <c r="B1233" s="801"/>
      <c r="C1233" s="805"/>
      <c r="D1233" s="806"/>
      <c r="E1233" s="806"/>
      <c r="F1233" s="800"/>
      <c r="G1233" s="804"/>
      <c r="H1233" s="826"/>
    </row>
    <row r="1234" spans="1:8" ht="13.5" customHeight="1">
      <c r="A1234" s="862"/>
      <c r="B1234" s="792"/>
      <c r="C1234" s="792"/>
      <c r="D1234" s="792"/>
      <c r="E1234" s="792"/>
      <c r="F1234" s="792"/>
      <c r="G1234" s="792"/>
      <c r="H1234" s="863"/>
    </row>
    <row r="1235" spans="1:8" ht="13.5" customHeight="1">
      <c r="A1235" s="844"/>
      <c r="B1235" s="845"/>
      <c r="C1235" s="845"/>
      <c r="D1235" s="845"/>
      <c r="E1235" s="845"/>
      <c r="F1235" s="845"/>
      <c r="G1235" s="845"/>
      <c r="H1235" s="846"/>
    </row>
    <row r="1236" spans="1:8" ht="13.5" customHeight="1">
      <c r="A1236" s="2046" t="s">
        <v>1834</v>
      </c>
      <c r="B1236" s="1811"/>
      <c r="C1236" s="1811"/>
      <c r="D1236" s="1811"/>
      <c r="E1236" s="1811"/>
      <c r="F1236" s="1811"/>
      <c r="G1236" s="1811"/>
      <c r="H1236" s="1812"/>
    </row>
    <row r="1237" spans="1:8" ht="13.5" customHeight="1">
      <c r="A1237" s="2035" t="s">
        <v>559</v>
      </c>
      <c r="B1237" s="2036"/>
      <c r="C1237" s="2036"/>
      <c r="D1237" s="2037"/>
      <c r="E1237" s="2042" t="s">
        <v>1835</v>
      </c>
      <c r="F1237" s="2036"/>
      <c r="G1237" s="2036"/>
      <c r="H1237" s="2043"/>
    </row>
    <row r="1238" spans="1:8" ht="13.5" customHeight="1">
      <c r="A1238" s="2038"/>
      <c r="B1238" s="1605"/>
      <c r="C1238" s="1605"/>
      <c r="D1238" s="2039"/>
      <c r="E1238" s="2044"/>
      <c r="F1238" s="1605"/>
      <c r="G1238" s="1605"/>
      <c r="H1238" s="1606"/>
    </row>
    <row r="1239" spans="1:8" ht="13.5" customHeight="1">
      <c r="A1239" s="2040"/>
      <c r="B1239" s="1608"/>
      <c r="C1239" s="1608"/>
      <c r="D1239" s="2041"/>
      <c r="E1239" s="2045"/>
      <c r="F1239" s="1608"/>
      <c r="G1239" s="1608"/>
      <c r="H1239" s="1919"/>
    </row>
    <row r="1240" spans="1:8" ht="13.5" customHeight="1">
      <c r="A1240" s="2027" t="s">
        <v>1906</v>
      </c>
      <c r="B1240" s="2028"/>
      <c r="C1240" s="2028"/>
      <c r="D1240" s="2028"/>
      <c r="E1240" s="2028"/>
      <c r="F1240" s="2028"/>
      <c r="G1240" s="2028"/>
      <c r="H1240" s="2029"/>
    </row>
    <row r="1241" spans="1:8" ht="13.5" customHeight="1">
      <c r="A1241" s="793"/>
      <c r="B1241" s="794"/>
      <c r="C1241" s="794"/>
      <c r="D1241" s="794"/>
      <c r="E1241" s="794"/>
      <c r="F1241" s="794"/>
      <c r="G1241" s="794"/>
      <c r="H1241" s="795"/>
    </row>
    <row r="1242" spans="1:8" ht="13.5" customHeight="1">
      <c r="A1242" s="2030"/>
      <c r="B1242" s="1824"/>
      <c r="C1242" s="1824"/>
      <c r="D1242" s="1824"/>
      <c r="E1242" s="1825"/>
      <c r="F1242" s="794"/>
      <c r="G1242" s="794"/>
      <c r="H1242" s="795"/>
    </row>
    <row r="1243" spans="1:8" ht="13.5" customHeight="1">
      <c r="A1243" s="793"/>
      <c r="B1243" s="794"/>
      <c r="C1243" s="794"/>
      <c r="D1243" s="794"/>
      <c r="E1243" s="794"/>
      <c r="F1243" s="794"/>
      <c r="G1243" s="794"/>
      <c r="H1243" s="795"/>
    </row>
    <row r="1244" spans="1:8" ht="13.5" customHeight="1">
      <c r="A1244" s="2030" t="s">
        <v>1837</v>
      </c>
      <c r="B1244" s="1825"/>
      <c r="C1244" s="794"/>
      <c r="D1244" s="794"/>
      <c r="E1244" s="794"/>
      <c r="F1244" s="794"/>
      <c r="G1244" s="794"/>
      <c r="H1244" s="795"/>
    </row>
    <row r="1245" spans="1:8" ht="13.5" customHeight="1">
      <c r="A1245" s="2031" t="s">
        <v>494</v>
      </c>
      <c r="B1245" s="1824"/>
      <c r="C1245" s="1824"/>
      <c r="D1245" s="1824"/>
      <c r="E1245" s="1824"/>
      <c r="F1245" s="1824"/>
      <c r="G1245" s="1824"/>
      <c r="H1245" s="2032"/>
    </row>
    <row r="1246" spans="1:8" ht="13.5" customHeight="1">
      <c r="A1246" s="796"/>
      <c r="B1246" s="797"/>
      <c r="C1246" s="798"/>
      <c r="D1246" s="799"/>
      <c r="E1246" s="799"/>
      <c r="F1246" s="800"/>
      <c r="G1246" s="801" t="s">
        <v>1960</v>
      </c>
      <c r="H1246" s="802"/>
    </row>
    <row r="1247" spans="1:8" ht="13.5" customHeight="1">
      <c r="A1247" s="803" t="s">
        <v>1839</v>
      </c>
      <c r="B1247" s="804"/>
      <c r="C1247" s="805"/>
      <c r="D1247" s="806"/>
      <c r="E1247" s="806"/>
      <c r="F1247" s="800"/>
      <c r="G1247" s="807" t="s">
        <v>1955</v>
      </c>
      <c r="H1247" s="802"/>
    </row>
    <row r="1248" spans="1:8" ht="13.5" customHeight="1">
      <c r="A1248" s="2022" t="s">
        <v>376</v>
      </c>
      <c r="B1248" s="1611"/>
      <c r="C1248" s="808" t="s">
        <v>1219</v>
      </c>
      <c r="D1248" s="809" t="s">
        <v>1841</v>
      </c>
      <c r="E1248" s="809" t="s">
        <v>1842</v>
      </c>
      <c r="F1248" s="810" t="s">
        <v>1843</v>
      </c>
      <c r="G1248" s="811" t="s">
        <v>1844</v>
      </c>
      <c r="H1248" s="812"/>
    </row>
    <row r="1249" spans="1:8" ht="13.5" customHeight="1">
      <c r="A1249" s="2020" t="s">
        <v>1568</v>
      </c>
      <c r="B1249" s="1611"/>
      <c r="C1249" s="813" t="s">
        <v>1614</v>
      </c>
      <c r="D1249" s="877">
        <v>1500</v>
      </c>
      <c r="E1249" s="814"/>
      <c r="F1249" s="815">
        <v>0.2</v>
      </c>
      <c r="G1249" s="816">
        <f t="shared" ref="G1249:G1250" si="105">+D1249*F1249</f>
        <v>300</v>
      </c>
      <c r="H1249" s="812"/>
    </row>
    <row r="1250" spans="1:8" ht="13.5" customHeight="1">
      <c r="A1250" s="2023" t="s">
        <v>1956</v>
      </c>
      <c r="B1250" s="1611"/>
      <c r="C1250" s="818" t="s">
        <v>1957</v>
      </c>
      <c r="D1250" s="878">
        <v>1267</v>
      </c>
      <c r="E1250" s="819"/>
      <c r="F1250" s="819">
        <v>0.2</v>
      </c>
      <c r="G1250" s="816">
        <f t="shared" si="105"/>
        <v>253.4</v>
      </c>
      <c r="H1250" s="812"/>
    </row>
    <row r="1251" spans="1:8" ht="13.5" customHeight="1">
      <c r="A1251" s="2023"/>
      <c r="B1251" s="1611"/>
      <c r="C1251" s="818"/>
      <c r="D1251" s="819"/>
      <c r="E1251" s="819"/>
      <c r="F1251" s="819"/>
      <c r="G1251" s="820"/>
      <c r="H1251" s="821"/>
    </row>
    <row r="1252" spans="1:8" ht="13.5" customHeight="1">
      <c r="A1252" s="2033"/>
      <c r="B1252" s="1825"/>
      <c r="C1252" s="805"/>
      <c r="D1252" s="806"/>
      <c r="E1252" s="806"/>
      <c r="F1252" s="800"/>
      <c r="G1252" s="822" t="s">
        <v>1560</v>
      </c>
      <c r="H1252" s="823">
        <f>SUM(G1249:G1251)</f>
        <v>553.4</v>
      </c>
    </row>
    <row r="1253" spans="1:8" ht="13.5" customHeight="1">
      <c r="A1253" s="824"/>
      <c r="B1253" s="804"/>
      <c r="C1253" s="805"/>
      <c r="D1253" s="806"/>
      <c r="E1253" s="806"/>
      <c r="F1253" s="800"/>
      <c r="G1253" s="825"/>
      <c r="H1253" s="802"/>
    </row>
    <row r="1254" spans="1:8" ht="13.5" customHeight="1">
      <c r="A1254" s="803" t="s">
        <v>1561</v>
      </c>
      <c r="B1254" s="804"/>
      <c r="C1254" s="805"/>
      <c r="D1254" s="806"/>
      <c r="E1254" s="806"/>
      <c r="F1254" s="800"/>
      <c r="G1254" s="825"/>
      <c r="H1254" s="802"/>
    </row>
    <row r="1255" spans="1:8" ht="13.5" customHeight="1">
      <c r="A1255" s="2022" t="s">
        <v>376</v>
      </c>
      <c r="B1255" s="1611"/>
      <c r="C1255" s="808" t="s">
        <v>1219</v>
      </c>
      <c r="D1255" s="809" t="s">
        <v>1845</v>
      </c>
      <c r="E1255" s="809" t="s">
        <v>1842</v>
      </c>
      <c r="F1255" s="810" t="s">
        <v>673</v>
      </c>
      <c r="G1255" s="811" t="s">
        <v>1845</v>
      </c>
      <c r="H1255" s="826"/>
    </row>
    <row r="1256" spans="1:8" ht="13.5" customHeight="1">
      <c r="A1256" s="2020" t="s">
        <v>1961</v>
      </c>
      <c r="B1256" s="1611"/>
      <c r="C1256" s="813" t="s">
        <v>171</v>
      </c>
      <c r="D1256" s="817">
        <v>3836</v>
      </c>
      <c r="E1256" s="817"/>
      <c r="F1256" s="815">
        <v>3</v>
      </c>
      <c r="G1256" s="827">
        <f>F1256*D1256</f>
        <v>11508</v>
      </c>
      <c r="H1256" s="826"/>
    </row>
    <row r="1257" spans="1:8" ht="13.5" customHeight="1">
      <c r="A1257" s="2020"/>
      <c r="B1257" s="1611"/>
      <c r="C1257" s="813"/>
      <c r="D1257" s="817"/>
      <c r="E1257" s="817"/>
      <c r="F1257" s="815"/>
      <c r="G1257" s="827">
        <f>+F1257*D1257</f>
        <v>0</v>
      </c>
      <c r="H1257" s="826"/>
    </row>
    <row r="1258" spans="1:8" ht="13.5" customHeight="1">
      <c r="A1258" s="2020"/>
      <c r="B1258" s="1611"/>
      <c r="C1258" s="813"/>
      <c r="D1258" s="817"/>
      <c r="E1258" s="817"/>
      <c r="F1258" s="815"/>
      <c r="G1258" s="861"/>
      <c r="H1258" s="802"/>
    </row>
    <row r="1259" spans="1:8" ht="13.5" customHeight="1">
      <c r="A1259" s="824"/>
      <c r="B1259" s="804"/>
      <c r="C1259" s="805"/>
      <c r="D1259" s="806"/>
      <c r="E1259" s="806"/>
      <c r="F1259" s="800"/>
      <c r="G1259" s="828" t="s">
        <v>1560</v>
      </c>
      <c r="H1259" s="823">
        <f>SUM(G1256:G1258)</f>
        <v>11508</v>
      </c>
    </row>
    <row r="1260" spans="1:8" ht="13.5" customHeight="1">
      <c r="A1260" s="803"/>
      <c r="B1260" s="804"/>
      <c r="C1260" s="805"/>
      <c r="D1260" s="806"/>
      <c r="E1260" s="806"/>
      <c r="F1260" s="800"/>
      <c r="G1260" s="825"/>
      <c r="H1260" s="802"/>
    </row>
    <row r="1261" spans="1:8" ht="13.5" customHeight="1">
      <c r="A1261" s="803"/>
      <c r="B1261" s="804"/>
      <c r="C1261" s="805"/>
      <c r="D1261" s="806"/>
      <c r="E1261" s="806"/>
      <c r="F1261" s="800"/>
      <c r="G1261" s="804"/>
      <c r="H1261" s="826"/>
    </row>
    <row r="1262" spans="1:8" ht="13.5" customHeight="1">
      <c r="A1262" s="803" t="s">
        <v>1564</v>
      </c>
      <c r="B1262" s="804"/>
      <c r="C1262" s="805"/>
      <c r="D1262" s="806"/>
      <c r="E1262" s="806"/>
      <c r="F1262" s="800"/>
      <c r="G1262" s="806"/>
      <c r="H1262" s="829"/>
    </row>
    <row r="1263" spans="1:8" ht="13.5" customHeight="1">
      <c r="A1263" s="830" t="s">
        <v>1853</v>
      </c>
      <c r="B1263" s="831" t="s">
        <v>1854</v>
      </c>
      <c r="C1263" s="808" t="s">
        <v>1855</v>
      </c>
      <c r="D1263" s="832" t="s">
        <v>1244</v>
      </c>
      <c r="E1263" s="809" t="s">
        <v>1856</v>
      </c>
      <c r="F1263" s="810" t="s">
        <v>1843</v>
      </c>
      <c r="G1263" s="833" t="s">
        <v>1845</v>
      </c>
      <c r="H1263" s="834"/>
    </row>
    <row r="1264" spans="1:8" ht="13.5" customHeight="1">
      <c r="A1264" s="835"/>
      <c r="B1264" s="836" t="s">
        <v>1857</v>
      </c>
      <c r="C1264" s="837">
        <v>30000</v>
      </c>
      <c r="D1264" s="837">
        <v>2</v>
      </c>
      <c r="E1264" s="837">
        <f t="shared" ref="E1264:E1265" si="106">+D1264*C1264</f>
        <v>60000</v>
      </c>
      <c r="F1264" s="838">
        <v>1</v>
      </c>
      <c r="G1264" s="837">
        <f t="shared" ref="G1264:G1265" si="107">+ROUND((F1264*E1264)/8,0)</f>
        <v>7500</v>
      </c>
      <c r="H1264" s="839"/>
    </row>
    <row r="1265" spans="1:8" ht="13.5" customHeight="1">
      <c r="A1265" s="835"/>
      <c r="B1265" s="836" t="s">
        <v>1858</v>
      </c>
      <c r="C1265" s="837">
        <v>40000</v>
      </c>
      <c r="D1265" s="837">
        <v>1</v>
      </c>
      <c r="E1265" s="837">
        <f t="shared" si="106"/>
        <v>40000</v>
      </c>
      <c r="F1265" s="838">
        <v>1</v>
      </c>
      <c r="G1265" s="837">
        <f t="shared" si="107"/>
        <v>5000</v>
      </c>
      <c r="H1265" s="840"/>
    </row>
    <row r="1266" spans="1:8" ht="13.5" customHeight="1">
      <c r="A1266" s="824"/>
      <c r="B1266" s="804"/>
      <c r="C1266" s="805"/>
      <c r="D1266" s="806"/>
      <c r="E1266" s="806"/>
      <c r="F1266" s="800"/>
      <c r="G1266" s="841" t="s">
        <v>1560</v>
      </c>
      <c r="H1266" s="823">
        <f>SUM(G1264:G1265)</f>
        <v>12500</v>
      </c>
    </row>
    <row r="1267" spans="1:8" ht="13.5" customHeight="1">
      <c r="A1267" s="824"/>
      <c r="B1267" s="804"/>
      <c r="C1267" s="805"/>
      <c r="D1267" s="806"/>
      <c r="E1267" s="806"/>
      <c r="F1267" s="800"/>
      <c r="G1267" s="806"/>
      <c r="H1267" s="829"/>
    </row>
    <row r="1268" spans="1:8" ht="13.5" customHeight="1">
      <c r="A1268" s="824"/>
      <c r="B1268" s="804"/>
      <c r="C1268" s="805"/>
      <c r="D1268" s="806"/>
      <c r="E1268" s="806"/>
      <c r="F1268" s="842" t="s">
        <v>142</v>
      </c>
      <c r="G1268" s="806"/>
      <c r="H1268" s="843">
        <f>+H1266+H1259+H1252</f>
        <v>24561.4</v>
      </c>
    </row>
    <row r="1269" spans="1:8" ht="13.5" customHeight="1">
      <c r="A1269" s="824"/>
      <c r="B1269" s="804"/>
      <c r="C1269" s="805"/>
      <c r="D1269" s="806"/>
      <c r="E1269" s="806"/>
      <c r="F1269" s="842"/>
      <c r="G1269" s="806"/>
      <c r="H1269" s="829"/>
    </row>
    <row r="1270" spans="1:8" ht="13.5" customHeight="1">
      <c r="A1270" s="824"/>
      <c r="B1270" s="801"/>
      <c r="C1270" s="805"/>
      <c r="D1270" s="806"/>
      <c r="E1270" s="806"/>
      <c r="F1270" s="800"/>
      <c r="G1270" s="825"/>
      <c r="H1270" s="802"/>
    </row>
    <row r="1271" spans="1:8" ht="13.5" customHeight="1">
      <c r="A1271" s="847"/>
      <c r="B1271" s="848"/>
      <c r="C1271" s="849"/>
      <c r="D1271" s="806"/>
      <c r="E1271" s="806"/>
      <c r="F1271" s="800"/>
      <c r="G1271" s="804"/>
      <c r="H1271" s="826"/>
    </row>
    <row r="1272" spans="1:8" ht="13.5" customHeight="1">
      <c r="A1272" s="824" t="s">
        <v>1835</v>
      </c>
      <c r="B1272" s="801"/>
      <c r="C1272" s="805"/>
      <c r="D1272" s="806"/>
      <c r="E1272" s="806"/>
      <c r="F1272" s="2021"/>
      <c r="G1272" s="1825"/>
      <c r="H1272" s="826"/>
    </row>
    <row r="1273" spans="1:8" ht="13.5" customHeight="1">
      <c r="A1273" s="824" t="s">
        <v>1859</v>
      </c>
      <c r="B1273" s="801"/>
      <c r="C1273" s="805"/>
      <c r="D1273" s="806"/>
      <c r="E1273" s="806"/>
      <c r="F1273" s="800"/>
      <c r="G1273" s="804"/>
      <c r="H1273" s="826"/>
    </row>
    <row r="1274" spans="1:8" ht="13.5" customHeight="1">
      <c r="A1274" s="844"/>
      <c r="B1274" s="845"/>
      <c r="C1274" s="845"/>
      <c r="D1274" s="845"/>
      <c r="E1274" s="845"/>
      <c r="F1274" s="845"/>
      <c r="G1274" s="845"/>
      <c r="H1274" s="846"/>
    </row>
    <row r="1275" spans="1:8" ht="13.5" customHeight="1">
      <c r="A1275" s="2046" t="s">
        <v>1834</v>
      </c>
      <c r="B1275" s="1811"/>
      <c r="C1275" s="1811"/>
      <c r="D1275" s="1811"/>
      <c r="E1275" s="1811"/>
      <c r="F1275" s="1811"/>
      <c r="G1275" s="1811"/>
      <c r="H1275" s="1812"/>
    </row>
    <row r="1276" spans="1:8" ht="13.5" customHeight="1">
      <c r="A1276" s="2035" t="s">
        <v>559</v>
      </c>
      <c r="B1276" s="2036"/>
      <c r="C1276" s="2036"/>
      <c r="D1276" s="2037"/>
      <c r="E1276" s="2042" t="s">
        <v>1835</v>
      </c>
      <c r="F1276" s="2036"/>
      <c r="G1276" s="2036"/>
      <c r="H1276" s="2043"/>
    </row>
    <row r="1277" spans="1:8" ht="13.5" customHeight="1">
      <c r="A1277" s="2038"/>
      <c r="B1277" s="1605"/>
      <c r="C1277" s="1605"/>
      <c r="D1277" s="2039"/>
      <c r="E1277" s="2044"/>
      <c r="F1277" s="1605"/>
      <c r="G1277" s="1605"/>
      <c r="H1277" s="1606"/>
    </row>
    <row r="1278" spans="1:8" ht="13.5" customHeight="1">
      <c r="A1278" s="2040"/>
      <c r="B1278" s="1608"/>
      <c r="C1278" s="1608"/>
      <c r="D1278" s="2041"/>
      <c r="E1278" s="2045"/>
      <c r="F1278" s="1608"/>
      <c r="G1278" s="1608"/>
      <c r="H1278" s="1919"/>
    </row>
    <row r="1279" spans="1:8" ht="13.5" customHeight="1">
      <c r="A1279" s="2027" t="s">
        <v>1906</v>
      </c>
      <c r="B1279" s="2028"/>
      <c r="C1279" s="2028"/>
      <c r="D1279" s="2028"/>
      <c r="E1279" s="2028"/>
      <c r="F1279" s="2028"/>
      <c r="G1279" s="2028"/>
      <c r="H1279" s="2029"/>
    </row>
    <row r="1281" spans="1:8" ht="13.5" customHeight="1">
      <c r="A1281" s="2030"/>
      <c r="B1281" s="1824"/>
      <c r="C1281" s="1824"/>
      <c r="D1281" s="1824"/>
      <c r="E1281" s="1825"/>
      <c r="F1281" s="794"/>
      <c r="G1281" s="794"/>
      <c r="H1281" s="795"/>
    </row>
    <row r="1282" spans="1:8" ht="13.5" customHeight="1">
      <c r="A1282" s="793"/>
      <c r="B1282" s="794"/>
      <c r="C1282" s="794"/>
      <c r="D1282" s="794"/>
      <c r="E1282" s="794"/>
      <c r="F1282" s="794"/>
      <c r="G1282" s="794"/>
      <c r="H1282" s="795"/>
    </row>
    <row r="1283" spans="1:8" ht="13.5" customHeight="1">
      <c r="A1283" s="2030" t="s">
        <v>1837</v>
      </c>
      <c r="B1283" s="1825"/>
      <c r="C1283" s="794"/>
      <c r="D1283" s="794"/>
      <c r="E1283" s="794"/>
      <c r="F1283" s="794"/>
      <c r="G1283" s="794"/>
      <c r="H1283" s="795"/>
    </row>
    <row r="1284" spans="1:8" ht="13.5" customHeight="1">
      <c r="A1284" s="2031" t="s">
        <v>464</v>
      </c>
      <c r="B1284" s="1824"/>
      <c r="C1284" s="1824"/>
      <c r="D1284" s="1824"/>
      <c r="E1284" s="1824"/>
      <c r="F1284" s="1824"/>
      <c r="G1284" s="1824"/>
      <c r="H1284" s="2032"/>
    </row>
    <row r="1285" spans="1:8" ht="13.5" customHeight="1">
      <c r="A1285" s="796"/>
      <c r="B1285" s="797"/>
      <c r="C1285" s="798"/>
      <c r="D1285" s="799"/>
      <c r="E1285" s="799"/>
      <c r="F1285" s="800"/>
      <c r="G1285" s="801" t="s">
        <v>1962</v>
      </c>
      <c r="H1285" s="802"/>
    </row>
    <row r="1286" spans="1:8" ht="13.5" customHeight="1">
      <c r="A1286" s="803" t="s">
        <v>1839</v>
      </c>
      <c r="B1286" s="804"/>
      <c r="C1286" s="805"/>
      <c r="D1286" s="806"/>
      <c r="E1286" s="806"/>
      <c r="F1286" s="800"/>
      <c r="G1286" s="807" t="s">
        <v>1840</v>
      </c>
      <c r="H1286" s="802"/>
    </row>
    <row r="1287" spans="1:8" ht="13.5" customHeight="1">
      <c r="A1287" s="2022" t="s">
        <v>376</v>
      </c>
      <c r="B1287" s="1611"/>
      <c r="C1287" s="808" t="s">
        <v>1219</v>
      </c>
      <c r="D1287" s="809" t="s">
        <v>1841</v>
      </c>
      <c r="E1287" s="809" t="s">
        <v>1842</v>
      </c>
      <c r="F1287" s="810" t="s">
        <v>1843</v>
      </c>
      <c r="G1287" s="811" t="s">
        <v>1844</v>
      </c>
      <c r="H1287" s="812"/>
    </row>
    <row r="1288" spans="1:8" ht="13.5" customHeight="1">
      <c r="A1288" s="2020" t="s">
        <v>1568</v>
      </c>
      <c r="B1288" s="1611"/>
      <c r="C1288" s="813" t="s">
        <v>1614</v>
      </c>
      <c r="D1288" s="814">
        <v>1500</v>
      </c>
      <c r="E1288" s="814"/>
      <c r="F1288" s="815">
        <v>0.2</v>
      </c>
      <c r="G1288" s="816">
        <f t="shared" ref="G1288:G1289" si="108">+D1288*F1288</f>
        <v>300</v>
      </c>
      <c r="H1288" s="812"/>
    </row>
    <row r="1289" spans="1:8" ht="13.5" customHeight="1">
      <c r="A1289" s="2020"/>
      <c r="B1289" s="1611"/>
      <c r="C1289" s="813"/>
      <c r="D1289" s="817"/>
      <c r="E1289" s="817"/>
      <c r="F1289" s="815"/>
      <c r="G1289" s="816">
        <f t="shared" si="108"/>
        <v>0</v>
      </c>
      <c r="H1289" s="812"/>
    </row>
    <row r="1290" spans="1:8" ht="13.5" customHeight="1">
      <c r="A1290" s="2023"/>
      <c r="B1290" s="1611"/>
      <c r="C1290" s="818"/>
      <c r="D1290" s="819"/>
      <c r="E1290" s="819"/>
      <c r="F1290" s="819"/>
      <c r="G1290" s="820"/>
      <c r="H1290" s="821"/>
    </row>
    <row r="1291" spans="1:8" ht="13.5" customHeight="1">
      <c r="A1291" s="2033"/>
      <c r="B1291" s="1825"/>
      <c r="C1291" s="805"/>
      <c r="D1291" s="806"/>
      <c r="E1291" s="806"/>
      <c r="F1291" s="800"/>
      <c r="G1291" s="822" t="s">
        <v>1560</v>
      </c>
      <c r="H1291" s="823">
        <f>SUM(G1288:G1290)</f>
        <v>300</v>
      </c>
    </row>
    <row r="1292" spans="1:8" ht="13.5" customHeight="1">
      <c r="A1292" s="824"/>
      <c r="B1292" s="804"/>
      <c r="C1292" s="805"/>
      <c r="D1292" s="806"/>
      <c r="E1292" s="806"/>
      <c r="F1292" s="800"/>
      <c r="G1292" s="825"/>
      <c r="H1292" s="802"/>
    </row>
    <row r="1293" spans="1:8" ht="13.5" customHeight="1">
      <c r="A1293" s="803" t="s">
        <v>1561</v>
      </c>
      <c r="B1293" s="804"/>
      <c r="C1293" s="805"/>
      <c r="D1293" s="806"/>
      <c r="E1293" s="806"/>
      <c r="F1293" s="800"/>
      <c r="G1293" s="825"/>
      <c r="H1293" s="802"/>
    </row>
    <row r="1294" spans="1:8" ht="13.5" customHeight="1">
      <c r="A1294" s="2022" t="s">
        <v>376</v>
      </c>
      <c r="B1294" s="1611"/>
      <c r="C1294" s="808" t="s">
        <v>1219</v>
      </c>
      <c r="D1294" s="809" t="s">
        <v>1845</v>
      </c>
      <c r="E1294" s="809" t="s">
        <v>1842</v>
      </c>
      <c r="F1294" s="810" t="s">
        <v>673</v>
      </c>
      <c r="G1294" s="811" t="s">
        <v>1845</v>
      </c>
      <c r="H1294" s="826"/>
    </row>
    <row r="1295" spans="1:8" ht="13.5" customHeight="1">
      <c r="A1295" s="2026" t="s">
        <v>1963</v>
      </c>
      <c r="B1295" s="1611"/>
      <c r="C1295" s="813" t="s">
        <v>127</v>
      </c>
      <c r="D1295" s="817">
        <v>9900</v>
      </c>
      <c r="E1295" s="817"/>
      <c r="F1295" s="815">
        <v>1</v>
      </c>
      <c r="G1295" s="827">
        <f t="shared" ref="G1295:G1296" si="109">+F1295*D1295</f>
        <v>9900</v>
      </c>
      <c r="H1295" s="826"/>
    </row>
    <row r="1296" spans="1:8" ht="13.5" customHeight="1">
      <c r="A1296" s="2020"/>
      <c r="B1296" s="1611"/>
      <c r="C1296" s="808"/>
      <c r="D1296" s="809"/>
      <c r="E1296" s="809"/>
      <c r="F1296" s="810"/>
      <c r="G1296" s="811">
        <f t="shared" si="109"/>
        <v>0</v>
      </c>
      <c r="H1296" s="826"/>
    </row>
    <row r="1297" spans="1:8" ht="13.5" customHeight="1">
      <c r="A1297" s="2020"/>
      <c r="B1297" s="1611"/>
      <c r="C1297" s="813"/>
      <c r="D1297" s="817"/>
      <c r="E1297" s="817"/>
      <c r="F1297" s="815"/>
      <c r="G1297" s="861"/>
      <c r="H1297" s="802"/>
    </row>
    <row r="1298" spans="1:8" ht="13.5" customHeight="1">
      <c r="A1298" s="824"/>
      <c r="B1298" s="804"/>
      <c r="C1298" s="805"/>
      <c r="D1298" s="806"/>
      <c r="E1298" s="806"/>
      <c r="F1298" s="800"/>
      <c r="G1298" s="828" t="s">
        <v>1560</v>
      </c>
      <c r="H1298" s="823">
        <f>SUM(G1295:G1297)</f>
        <v>9900</v>
      </c>
    </row>
    <row r="1299" spans="1:8" ht="13.5" customHeight="1">
      <c r="A1299" s="803"/>
      <c r="B1299" s="804"/>
      <c r="C1299" s="805"/>
      <c r="D1299" s="806"/>
      <c r="E1299" s="806"/>
      <c r="F1299" s="800"/>
      <c r="G1299" s="825"/>
      <c r="H1299" s="802"/>
    </row>
    <row r="1300" spans="1:8" ht="13.5" customHeight="1">
      <c r="A1300" s="803"/>
      <c r="B1300" s="804"/>
      <c r="C1300" s="805"/>
      <c r="D1300" s="806"/>
      <c r="E1300" s="806"/>
      <c r="F1300" s="800"/>
      <c r="G1300" s="804"/>
      <c r="H1300" s="826"/>
    </row>
    <row r="1301" spans="1:8" ht="13.5" customHeight="1">
      <c r="A1301" s="803" t="s">
        <v>1564</v>
      </c>
      <c r="B1301" s="804"/>
      <c r="C1301" s="805"/>
      <c r="D1301" s="806"/>
      <c r="E1301" s="806"/>
      <c r="F1301" s="800"/>
      <c r="G1301" s="806"/>
      <c r="H1301" s="829"/>
    </row>
    <row r="1302" spans="1:8" ht="13.5" customHeight="1">
      <c r="A1302" s="830" t="s">
        <v>1853</v>
      </c>
      <c r="B1302" s="831" t="s">
        <v>1854</v>
      </c>
      <c r="C1302" s="808" t="s">
        <v>1855</v>
      </c>
      <c r="D1302" s="832" t="s">
        <v>1244</v>
      </c>
      <c r="E1302" s="809" t="s">
        <v>1856</v>
      </c>
      <c r="F1302" s="810" t="s">
        <v>1843</v>
      </c>
      <c r="G1302" s="833" t="s">
        <v>1845</v>
      </c>
      <c r="H1302" s="834"/>
    </row>
    <row r="1303" spans="1:8" ht="13.5" customHeight="1">
      <c r="A1303" s="835"/>
      <c r="B1303" s="836" t="s">
        <v>1857</v>
      </c>
      <c r="C1303" s="837">
        <v>30000</v>
      </c>
      <c r="D1303" s="837">
        <v>2</v>
      </c>
      <c r="E1303" s="837">
        <f t="shared" ref="E1303:E1304" si="110">+D1303*C1303</f>
        <v>60000</v>
      </c>
      <c r="F1303" s="838">
        <v>0.48</v>
      </c>
      <c r="G1303" s="837">
        <f t="shared" ref="G1303:G1304" si="111">+ROUND((F1303*E1303)/8,0)</f>
        <v>3600</v>
      </c>
      <c r="H1303" s="839"/>
    </row>
    <row r="1304" spans="1:8" ht="13.5" customHeight="1">
      <c r="A1304" s="835"/>
      <c r="B1304" s="836" t="s">
        <v>1858</v>
      </c>
      <c r="C1304" s="837">
        <v>40000</v>
      </c>
      <c r="D1304" s="837">
        <v>1</v>
      </c>
      <c r="E1304" s="837">
        <f t="shared" si="110"/>
        <v>40000</v>
      </c>
      <c r="F1304" s="838">
        <f>+F1303</f>
        <v>0.48</v>
      </c>
      <c r="G1304" s="837">
        <f t="shared" si="111"/>
        <v>2400</v>
      </c>
      <c r="H1304" s="840"/>
    </row>
    <row r="1305" spans="1:8" ht="13.5" customHeight="1">
      <c r="A1305" s="824"/>
      <c r="B1305" s="804"/>
      <c r="C1305" s="805"/>
      <c r="D1305" s="806"/>
      <c r="E1305" s="806"/>
      <c r="F1305" s="800"/>
      <c r="G1305" s="841" t="s">
        <v>1560</v>
      </c>
      <c r="H1305" s="823">
        <f>SUM(G1303:G1304)</f>
        <v>6000</v>
      </c>
    </row>
    <row r="1306" spans="1:8" ht="13.5" customHeight="1">
      <c r="A1306" s="824"/>
      <c r="B1306" s="804"/>
      <c r="C1306" s="805"/>
      <c r="D1306" s="806"/>
      <c r="E1306" s="806"/>
      <c r="F1306" s="800"/>
      <c r="G1306" s="806"/>
      <c r="H1306" s="829"/>
    </row>
    <row r="1307" spans="1:8" ht="13.5" customHeight="1">
      <c r="A1307" s="824"/>
      <c r="B1307" s="804"/>
      <c r="C1307" s="805"/>
      <c r="D1307" s="806"/>
      <c r="E1307" s="806"/>
      <c r="F1307" s="842" t="s">
        <v>142</v>
      </c>
      <c r="G1307" s="806"/>
      <c r="H1307" s="843">
        <f>+H1305+H1298+H1291</f>
        <v>16200</v>
      </c>
    </row>
    <row r="1308" spans="1:8" ht="13.5" customHeight="1">
      <c r="A1308" s="824"/>
      <c r="B1308" s="804"/>
      <c r="C1308" s="805"/>
      <c r="D1308" s="806"/>
      <c r="E1308" s="806"/>
      <c r="F1308" s="842"/>
      <c r="G1308" s="806"/>
      <c r="H1308" s="829"/>
    </row>
    <row r="1309" spans="1:8" ht="13.5" customHeight="1">
      <c r="A1309" s="824"/>
      <c r="B1309" s="801"/>
      <c r="C1309" s="805"/>
      <c r="D1309" s="806"/>
      <c r="E1309" s="806"/>
      <c r="F1309" s="800"/>
      <c r="G1309" s="825"/>
      <c r="H1309" s="802"/>
    </row>
    <row r="1310" spans="1:8" ht="13.5" customHeight="1">
      <c r="A1310" s="847"/>
      <c r="B1310" s="848"/>
      <c r="C1310" s="849"/>
      <c r="D1310" s="806"/>
      <c r="E1310" s="806"/>
      <c r="F1310" s="800"/>
      <c r="G1310" s="804"/>
      <c r="H1310" s="826"/>
    </row>
    <row r="1311" spans="1:8" ht="13.5" customHeight="1">
      <c r="A1311" s="824" t="s">
        <v>1835</v>
      </c>
      <c r="B1311" s="801"/>
      <c r="C1311" s="805"/>
      <c r="D1311" s="806"/>
      <c r="E1311" s="806"/>
      <c r="F1311" s="2021"/>
      <c r="G1311" s="1825"/>
      <c r="H1311" s="826"/>
    </row>
    <row r="1312" spans="1:8" ht="13.5" customHeight="1">
      <c r="A1312" s="824" t="s">
        <v>1859</v>
      </c>
      <c r="B1312" s="801"/>
      <c r="C1312" s="805"/>
      <c r="D1312" s="806"/>
      <c r="E1312" s="806"/>
      <c r="F1312" s="800"/>
      <c r="G1312" s="804"/>
      <c r="H1312" s="826"/>
    </row>
    <row r="1315" spans="1:8" ht="13.5" customHeight="1">
      <c r="A1315" s="2046" t="s">
        <v>1834</v>
      </c>
      <c r="B1315" s="1811"/>
      <c r="C1315" s="1811"/>
      <c r="D1315" s="1811"/>
      <c r="E1315" s="1811"/>
      <c r="F1315" s="1811"/>
      <c r="G1315" s="1811"/>
      <c r="H1315" s="1812"/>
    </row>
    <row r="1316" spans="1:8" ht="13.5" customHeight="1">
      <c r="A1316" s="2035" t="s">
        <v>559</v>
      </c>
      <c r="B1316" s="2036"/>
      <c r="C1316" s="2036"/>
      <c r="D1316" s="2037"/>
      <c r="E1316" s="2042" t="s">
        <v>1835</v>
      </c>
      <c r="F1316" s="2036"/>
      <c r="G1316" s="2036"/>
      <c r="H1316" s="2043"/>
    </row>
    <row r="1317" spans="1:8" ht="13.5" customHeight="1">
      <c r="A1317" s="2038"/>
      <c r="B1317" s="1605"/>
      <c r="C1317" s="1605"/>
      <c r="D1317" s="2039"/>
      <c r="E1317" s="2044"/>
      <c r="F1317" s="1605"/>
      <c r="G1317" s="1605"/>
      <c r="H1317" s="1606"/>
    </row>
    <row r="1318" spans="1:8" ht="13.5" customHeight="1">
      <c r="A1318" s="2040"/>
      <c r="B1318" s="1608"/>
      <c r="C1318" s="1608"/>
      <c r="D1318" s="2041"/>
      <c r="E1318" s="2045"/>
      <c r="F1318" s="1608"/>
      <c r="G1318" s="1608"/>
      <c r="H1318" s="1919"/>
    </row>
    <row r="1319" spans="1:8" ht="13.5" customHeight="1">
      <c r="A1319" s="2027" t="s">
        <v>1906</v>
      </c>
      <c r="B1319" s="2028"/>
      <c r="C1319" s="2028"/>
      <c r="D1319" s="2028"/>
      <c r="E1319" s="2028"/>
      <c r="F1319" s="2028"/>
      <c r="G1319" s="2028"/>
      <c r="H1319" s="2029"/>
    </row>
    <row r="1320" spans="1:8" ht="13.5" customHeight="1">
      <c r="A1320" s="793"/>
      <c r="B1320" s="794"/>
      <c r="C1320" s="794"/>
      <c r="D1320" s="794"/>
      <c r="E1320" s="794"/>
      <c r="F1320" s="794"/>
      <c r="G1320" s="794"/>
      <c r="H1320" s="795"/>
    </row>
    <row r="1321" spans="1:8" ht="13.5" customHeight="1">
      <c r="A1321" s="2030"/>
      <c r="B1321" s="1824"/>
      <c r="C1321" s="1824"/>
      <c r="D1321" s="1824"/>
      <c r="E1321" s="1825"/>
      <c r="F1321" s="794"/>
      <c r="G1321" s="794"/>
      <c r="H1321" s="795"/>
    </row>
    <row r="1322" spans="1:8" ht="13.5" customHeight="1">
      <c r="A1322" s="793"/>
      <c r="B1322" s="794"/>
      <c r="C1322" s="794"/>
      <c r="D1322" s="794"/>
      <c r="E1322" s="794"/>
      <c r="F1322" s="794"/>
      <c r="G1322" s="794"/>
      <c r="H1322" s="795"/>
    </row>
    <row r="1323" spans="1:8" ht="13.5" customHeight="1">
      <c r="A1323" s="2030" t="s">
        <v>1837</v>
      </c>
      <c r="B1323" s="1825"/>
      <c r="C1323" s="794"/>
      <c r="D1323" s="794"/>
      <c r="E1323" s="794"/>
      <c r="F1323" s="794"/>
      <c r="G1323" s="794"/>
      <c r="H1323" s="795"/>
    </row>
    <row r="1324" spans="1:8" ht="13.5" customHeight="1">
      <c r="A1324" s="2031" t="s">
        <v>465</v>
      </c>
      <c r="B1324" s="1824"/>
      <c r="C1324" s="1824"/>
      <c r="D1324" s="1824"/>
      <c r="E1324" s="1824"/>
      <c r="F1324" s="1824"/>
      <c r="G1324" s="1824"/>
      <c r="H1324" s="2032"/>
    </row>
    <row r="1325" spans="1:8" ht="13.5" customHeight="1">
      <c r="A1325" s="796"/>
      <c r="B1325" s="797"/>
      <c r="C1325" s="798"/>
      <c r="D1325" s="799"/>
      <c r="E1325" s="799"/>
      <c r="F1325" s="800"/>
      <c r="G1325" s="801" t="s">
        <v>1964</v>
      </c>
      <c r="H1325" s="802"/>
    </row>
    <row r="1326" spans="1:8" ht="13.5" customHeight="1">
      <c r="A1326" s="803" t="s">
        <v>1839</v>
      </c>
      <c r="B1326" s="804"/>
      <c r="C1326" s="805"/>
      <c r="D1326" s="806"/>
      <c r="E1326" s="806"/>
      <c r="F1326" s="800"/>
      <c r="G1326" s="807" t="s">
        <v>1840</v>
      </c>
      <c r="H1326" s="802"/>
    </row>
    <row r="1327" spans="1:8" ht="13.5" customHeight="1">
      <c r="A1327" s="2022" t="s">
        <v>376</v>
      </c>
      <c r="B1327" s="1611"/>
      <c r="C1327" s="808" t="s">
        <v>1219</v>
      </c>
      <c r="D1327" s="809" t="s">
        <v>1841</v>
      </c>
      <c r="E1327" s="809" t="s">
        <v>1842</v>
      </c>
      <c r="F1327" s="810" t="s">
        <v>1843</v>
      </c>
      <c r="G1327" s="811" t="s">
        <v>1844</v>
      </c>
      <c r="H1327" s="812"/>
    </row>
    <row r="1328" spans="1:8" ht="13.5" customHeight="1">
      <c r="A1328" s="2020" t="s">
        <v>1568</v>
      </c>
      <c r="B1328" s="1611"/>
      <c r="C1328" s="813" t="s">
        <v>1614</v>
      </c>
      <c r="D1328" s="814">
        <v>1500</v>
      </c>
      <c r="E1328" s="814"/>
      <c r="F1328" s="815">
        <v>0.2</v>
      </c>
      <c r="G1328" s="816">
        <f t="shared" ref="G1328:G1329" si="112">+D1328*F1328</f>
        <v>300</v>
      </c>
      <c r="H1328" s="812"/>
    </row>
    <row r="1329" spans="1:8" ht="13.5" customHeight="1">
      <c r="A1329" s="2020"/>
      <c r="B1329" s="1611"/>
      <c r="C1329" s="813"/>
      <c r="D1329" s="817"/>
      <c r="E1329" s="817"/>
      <c r="F1329" s="815"/>
      <c r="G1329" s="816">
        <f t="shared" si="112"/>
        <v>0</v>
      </c>
      <c r="H1329" s="812"/>
    </row>
    <row r="1330" spans="1:8" ht="13.5" customHeight="1">
      <c r="A1330" s="2023"/>
      <c r="B1330" s="1611"/>
      <c r="C1330" s="818"/>
      <c r="D1330" s="819"/>
      <c r="E1330" s="819"/>
      <c r="F1330" s="819"/>
      <c r="G1330" s="820"/>
      <c r="H1330" s="821"/>
    </row>
    <row r="1331" spans="1:8" ht="13.5" customHeight="1">
      <c r="A1331" s="2024"/>
      <c r="B1331" s="2025"/>
      <c r="C1331" s="805"/>
      <c r="D1331" s="806"/>
      <c r="E1331" s="806"/>
      <c r="F1331" s="800"/>
      <c r="G1331" s="822" t="s">
        <v>1560</v>
      </c>
      <c r="H1331" s="823">
        <f>SUM(G1328:G1330)</f>
        <v>300</v>
      </c>
    </row>
    <row r="1332" spans="1:8" ht="13.5" customHeight="1">
      <c r="A1332" s="824"/>
      <c r="B1332" s="804"/>
      <c r="C1332" s="805"/>
      <c r="D1332" s="806"/>
      <c r="E1332" s="806"/>
      <c r="F1332" s="800"/>
      <c r="G1332" s="825"/>
      <c r="H1332" s="802"/>
    </row>
    <row r="1333" spans="1:8" ht="13.5" customHeight="1">
      <c r="A1333" s="803" t="s">
        <v>1561</v>
      </c>
      <c r="B1333" s="804"/>
      <c r="C1333" s="805"/>
      <c r="D1333" s="806"/>
      <c r="E1333" s="806"/>
      <c r="F1333" s="800"/>
      <c r="G1333" s="825"/>
      <c r="H1333" s="802"/>
    </row>
    <row r="1334" spans="1:8" ht="13.5" customHeight="1">
      <c r="A1334" s="2022" t="s">
        <v>376</v>
      </c>
      <c r="B1334" s="1611"/>
      <c r="C1334" s="808" t="s">
        <v>1219</v>
      </c>
      <c r="D1334" s="809" t="s">
        <v>1845</v>
      </c>
      <c r="E1334" s="809" t="s">
        <v>1842</v>
      </c>
      <c r="F1334" s="810" t="s">
        <v>673</v>
      </c>
      <c r="G1334" s="811" t="s">
        <v>1845</v>
      </c>
      <c r="H1334" s="826"/>
    </row>
    <row r="1335" spans="1:8" ht="13.5" customHeight="1">
      <c r="A1335" s="2026" t="s">
        <v>1965</v>
      </c>
      <c r="B1335" s="1611"/>
      <c r="C1335" s="813" t="s">
        <v>127</v>
      </c>
      <c r="D1335" s="817">
        <v>17000</v>
      </c>
      <c r="E1335" s="817"/>
      <c r="F1335" s="815">
        <v>1</v>
      </c>
      <c r="G1335" s="827">
        <f t="shared" ref="G1335:G1336" si="113">+F1335*D1335</f>
        <v>17000</v>
      </c>
      <c r="H1335" s="826"/>
    </row>
    <row r="1336" spans="1:8" ht="13.5" customHeight="1">
      <c r="A1336" s="2020"/>
      <c r="B1336" s="1611"/>
      <c r="C1336" s="808"/>
      <c r="D1336" s="809"/>
      <c r="E1336" s="809"/>
      <c r="F1336" s="810"/>
      <c r="G1336" s="811">
        <f t="shared" si="113"/>
        <v>0</v>
      </c>
      <c r="H1336" s="826"/>
    </row>
    <row r="1337" spans="1:8" ht="13.5" customHeight="1">
      <c r="A1337" s="2020"/>
      <c r="B1337" s="1611"/>
      <c r="C1337" s="813"/>
      <c r="D1337" s="817"/>
      <c r="E1337" s="817"/>
      <c r="F1337" s="815"/>
      <c r="G1337" s="861"/>
      <c r="H1337" s="802"/>
    </row>
    <row r="1338" spans="1:8" ht="13.5" customHeight="1">
      <c r="A1338" s="824"/>
      <c r="B1338" s="804"/>
      <c r="C1338" s="805"/>
      <c r="D1338" s="806"/>
      <c r="E1338" s="806"/>
      <c r="F1338" s="800"/>
      <c r="G1338" s="828" t="s">
        <v>1560</v>
      </c>
      <c r="H1338" s="823">
        <f>SUM(G1335:G1337)</f>
        <v>17000</v>
      </c>
    </row>
    <row r="1339" spans="1:8" ht="13.5" customHeight="1">
      <c r="A1339" s="803"/>
      <c r="B1339" s="804"/>
      <c r="C1339" s="805"/>
      <c r="D1339" s="806"/>
      <c r="E1339" s="806"/>
      <c r="F1339" s="800"/>
      <c r="G1339" s="825"/>
      <c r="H1339" s="802"/>
    </row>
    <row r="1340" spans="1:8" ht="13.5" customHeight="1">
      <c r="A1340" s="803"/>
      <c r="B1340" s="804"/>
      <c r="C1340" s="805"/>
      <c r="D1340" s="806"/>
      <c r="E1340" s="806"/>
      <c r="F1340" s="800"/>
      <c r="G1340" s="804"/>
      <c r="H1340" s="826"/>
    </row>
    <row r="1341" spans="1:8" ht="13.5" customHeight="1">
      <c r="A1341" s="803" t="s">
        <v>1564</v>
      </c>
      <c r="B1341" s="804"/>
      <c r="C1341" s="805"/>
      <c r="D1341" s="806"/>
      <c r="E1341" s="806"/>
      <c r="F1341" s="800"/>
      <c r="G1341" s="806"/>
      <c r="H1341" s="829"/>
    </row>
    <row r="1342" spans="1:8" ht="13.5" customHeight="1">
      <c r="A1342" s="830" t="s">
        <v>1853</v>
      </c>
      <c r="B1342" s="831" t="s">
        <v>1854</v>
      </c>
      <c r="C1342" s="808" t="s">
        <v>1855</v>
      </c>
      <c r="D1342" s="832" t="s">
        <v>1244</v>
      </c>
      <c r="E1342" s="809" t="s">
        <v>1856</v>
      </c>
      <c r="F1342" s="810" t="s">
        <v>1843</v>
      </c>
      <c r="G1342" s="833" t="s">
        <v>1845</v>
      </c>
      <c r="H1342" s="834"/>
    </row>
    <row r="1343" spans="1:8" ht="13.5" customHeight="1">
      <c r="A1343" s="835"/>
      <c r="B1343" s="836" t="s">
        <v>1857</v>
      </c>
      <c r="C1343" s="837">
        <v>30000</v>
      </c>
      <c r="D1343" s="837">
        <v>2</v>
      </c>
      <c r="E1343" s="837">
        <f t="shared" ref="E1343:E1344" si="114">+D1343*C1343</f>
        <v>60000</v>
      </c>
      <c r="F1343" s="838">
        <v>0.4</v>
      </c>
      <c r="G1343" s="837">
        <f t="shared" ref="G1343:G1344" si="115">+ROUND((F1343*E1343)/8,0)</f>
        <v>3000</v>
      </c>
      <c r="H1343" s="839"/>
    </row>
    <row r="1344" spans="1:8" ht="13.5" customHeight="1">
      <c r="A1344" s="835"/>
      <c r="B1344" s="836" t="s">
        <v>1858</v>
      </c>
      <c r="C1344" s="837">
        <v>40000</v>
      </c>
      <c r="D1344" s="837">
        <v>1</v>
      </c>
      <c r="E1344" s="837">
        <f t="shared" si="114"/>
        <v>40000</v>
      </c>
      <c r="F1344" s="838">
        <f>+F1343</f>
        <v>0.4</v>
      </c>
      <c r="G1344" s="837">
        <f t="shared" si="115"/>
        <v>2000</v>
      </c>
      <c r="H1344" s="840"/>
    </row>
    <row r="1345" spans="1:8" ht="13.5" customHeight="1">
      <c r="A1345" s="824"/>
      <c r="B1345" s="804"/>
      <c r="C1345" s="805"/>
      <c r="D1345" s="806"/>
      <c r="E1345" s="806"/>
      <c r="F1345" s="800"/>
      <c r="G1345" s="841" t="s">
        <v>1560</v>
      </c>
      <c r="H1345" s="823">
        <f>SUM(G1343:G1344)</f>
        <v>5000</v>
      </c>
    </row>
    <row r="1346" spans="1:8" ht="13.5" customHeight="1">
      <c r="A1346" s="824"/>
      <c r="B1346" s="804"/>
      <c r="C1346" s="805"/>
      <c r="D1346" s="806"/>
      <c r="E1346" s="806"/>
      <c r="F1346" s="800"/>
      <c r="G1346" s="806"/>
      <c r="H1346" s="829"/>
    </row>
    <row r="1347" spans="1:8" ht="13.5" customHeight="1">
      <c r="A1347" s="824"/>
      <c r="B1347" s="804"/>
      <c r="C1347" s="805"/>
      <c r="D1347" s="806"/>
      <c r="E1347" s="806"/>
      <c r="F1347" s="842" t="s">
        <v>142</v>
      </c>
      <c r="G1347" s="806"/>
      <c r="H1347" s="843">
        <f>+H1345+H1338+H1331</f>
        <v>22300</v>
      </c>
    </row>
    <row r="1348" spans="1:8" ht="13.5" customHeight="1">
      <c r="A1348" s="824"/>
      <c r="B1348" s="804"/>
      <c r="C1348" s="805"/>
      <c r="D1348" s="806"/>
      <c r="E1348" s="806"/>
      <c r="F1348" s="842"/>
      <c r="G1348" s="806"/>
      <c r="H1348" s="829"/>
    </row>
    <row r="1349" spans="1:8" ht="13.5" customHeight="1">
      <c r="A1349" s="824"/>
      <c r="B1349" s="801"/>
      <c r="C1349" s="805"/>
      <c r="D1349" s="806"/>
      <c r="E1349" s="806"/>
      <c r="F1349" s="800"/>
      <c r="G1349" s="825"/>
      <c r="H1349" s="802"/>
    </row>
    <row r="1350" spans="1:8" ht="13.5" customHeight="1">
      <c r="A1350" s="847"/>
      <c r="B1350" s="848"/>
      <c r="C1350" s="849"/>
      <c r="D1350" s="806"/>
      <c r="E1350" s="806"/>
      <c r="F1350" s="800"/>
      <c r="G1350" s="804"/>
      <c r="H1350" s="826"/>
    </row>
    <row r="1351" spans="1:8" ht="13.5" customHeight="1">
      <c r="A1351" s="824" t="s">
        <v>1835</v>
      </c>
      <c r="B1351" s="801"/>
      <c r="C1351" s="805"/>
      <c r="D1351" s="806"/>
      <c r="E1351" s="806"/>
      <c r="F1351" s="2021"/>
      <c r="G1351" s="1825"/>
      <c r="H1351" s="826"/>
    </row>
    <row r="1352" spans="1:8" ht="13.5" customHeight="1">
      <c r="A1352" s="847" t="s">
        <v>1859</v>
      </c>
      <c r="B1352" s="848"/>
      <c r="C1352" s="849"/>
      <c r="D1352" s="850"/>
      <c r="E1352" s="850"/>
      <c r="F1352" s="851"/>
      <c r="G1352" s="852"/>
      <c r="H1352" s="853"/>
    </row>
    <row r="1353" spans="1:8" ht="13.5" customHeight="1">
      <c r="A1353" s="2046" t="s">
        <v>1834</v>
      </c>
      <c r="B1353" s="1811"/>
      <c r="C1353" s="1811"/>
      <c r="D1353" s="1811"/>
      <c r="E1353" s="1811"/>
      <c r="F1353" s="1811"/>
      <c r="G1353" s="1811"/>
      <c r="H1353" s="1812"/>
    </row>
    <row r="1354" spans="1:8" ht="13.5" customHeight="1">
      <c r="A1354" s="2035" t="s">
        <v>559</v>
      </c>
      <c r="B1354" s="2036"/>
      <c r="C1354" s="2036"/>
      <c r="D1354" s="2037"/>
      <c r="E1354" s="2042" t="s">
        <v>1835</v>
      </c>
      <c r="F1354" s="2036"/>
      <c r="G1354" s="2036"/>
      <c r="H1354" s="2043"/>
    </row>
    <row r="1355" spans="1:8" ht="13.5" customHeight="1">
      <c r="A1355" s="2038"/>
      <c r="B1355" s="1605"/>
      <c r="C1355" s="1605"/>
      <c r="D1355" s="2039"/>
      <c r="E1355" s="2044"/>
      <c r="F1355" s="1605"/>
      <c r="G1355" s="1605"/>
      <c r="H1355" s="1606"/>
    </row>
    <row r="1356" spans="1:8" ht="13.5" customHeight="1">
      <c r="A1356" s="2040"/>
      <c r="B1356" s="1608"/>
      <c r="C1356" s="1608"/>
      <c r="D1356" s="2041"/>
      <c r="E1356" s="2045"/>
      <c r="F1356" s="1608"/>
      <c r="G1356" s="1608"/>
      <c r="H1356" s="1919"/>
    </row>
    <row r="1357" spans="1:8" ht="13.5" customHeight="1">
      <c r="A1357" s="2027" t="s">
        <v>1906</v>
      </c>
      <c r="B1357" s="2028"/>
      <c r="C1357" s="2028"/>
      <c r="D1357" s="2028"/>
      <c r="E1357" s="2028"/>
      <c r="F1357" s="2028"/>
      <c r="G1357" s="2028"/>
      <c r="H1357" s="2029"/>
    </row>
    <row r="1358" spans="1:8" ht="13.5" customHeight="1">
      <c r="A1358" s="793"/>
      <c r="B1358" s="794"/>
      <c r="C1358" s="794"/>
      <c r="D1358" s="794"/>
      <c r="E1358" s="794"/>
      <c r="F1358" s="794"/>
      <c r="G1358" s="794"/>
      <c r="H1358" s="795"/>
    </row>
    <row r="1359" spans="1:8" ht="13.5" customHeight="1">
      <c r="A1359" s="2030"/>
      <c r="B1359" s="1824"/>
      <c r="C1359" s="1824"/>
      <c r="D1359" s="1824"/>
      <c r="E1359" s="1825"/>
      <c r="F1359" s="794"/>
      <c r="G1359" s="794"/>
      <c r="H1359" s="795"/>
    </row>
    <row r="1361" spans="1:8" ht="13.5" customHeight="1">
      <c r="A1361" s="2030" t="s">
        <v>1837</v>
      </c>
      <c r="B1361" s="1825"/>
      <c r="C1361" s="794"/>
      <c r="D1361" s="794"/>
      <c r="E1361" s="794"/>
      <c r="F1361" s="794"/>
      <c r="G1361" s="794"/>
      <c r="H1361" s="795"/>
    </row>
    <row r="1362" spans="1:8" ht="13.5" customHeight="1">
      <c r="A1362" s="2031" t="s">
        <v>487</v>
      </c>
      <c r="B1362" s="1824"/>
      <c r="C1362" s="1824"/>
      <c r="D1362" s="1824"/>
      <c r="E1362" s="1824"/>
      <c r="F1362" s="1824"/>
      <c r="G1362" s="1824"/>
      <c r="H1362" s="2032"/>
    </row>
    <row r="1363" spans="1:8" ht="13.5" customHeight="1">
      <c r="A1363" s="796"/>
      <c r="B1363" s="797"/>
      <c r="C1363" s="798"/>
      <c r="D1363" s="799"/>
      <c r="E1363" s="799"/>
      <c r="F1363" s="800"/>
      <c r="G1363" s="801" t="s">
        <v>1966</v>
      </c>
      <c r="H1363" s="802"/>
    </row>
    <row r="1364" spans="1:8" ht="13.5" customHeight="1">
      <c r="A1364" s="803" t="s">
        <v>1839</v>
      </c>
      <c r="B1364" s="804"/>
      <c r="C1364" s="805"/>
      <c r="D1364" s="806"/>
      <c r="E1364" s="806"/>
      <c r="F1364" s="800"/>
      <c r="G1364" s="807" t="s">
        <v>1840</v>
      </c>
      <c r="H1364" s="802"/>
    </row>
    <row r="1365" spans="1:8" ht="13.5" customHeight="1">
      <c r="A1365" s="2022" t="s">
        <v>376</v>
      </c>
      <c r="B1365" s="1611"/>
      <c r="C1365" s="808" t="s">
        <v>1219</v>
      </c>
      <c r="D1365" s="809" t="s">
        <v>1841</v>
      </c>
      <c r="E1365" s="809" t="s">
        <v>1842</v>
      </c>
      <c r="F1365" s="810" t="s">
        <v>1843</v>
      </c>
      <c r="G1365" s="811" t="s">
        <v>1844</v>
      </c>
      <c r="H1365" s="812"/>
    </row>
    <row r="1366" spans="1:8" ht="13.5" customHeight="1">
      <c r="A1366" s="2020" t="s">
        <v>1568</v>
      </c>
      <c r="B1366" s="1611"/>
      <c r="C1366" s="813" t="s">
        <v>1614</v>
      </c>
      <c r="D1366" s="814">
        <v>1500</v>
      </c>
      <c r="E1366" s="814"/>
      <c r="F1366" s="815">
        <v>0.2</v>
      </c>
      <c r="G1366" s="816">
        <f t="shared" ref="G1366:G1367" si="116">+D1366*F1366</f>
        <v>300</v>
      </c>
      <c r="H1366" s="812"/>
    </row>
    <row r="1367" spans="1:8" ht="13.5" customHeight="1">
      <c r="A1367" s="2020"/>
      <c r="B1367" s="1611"/>
      <c r="C1367" s="813"/>
      <c r="D1367" s="817"/>
      <c r="E1367" s="817"/>
      <c r="F1367" s="815"/>
      <c r="G1367" s="816">
        <f t="shared" si="116"/>
        <v>0</v>
      </c>
      <c r="H1367" s="812"/>
    </row>
    <row r="1368" spans="1:8" ht="13.5" customHeight="1">
      <c r="A1368" s="2023"/>
      <c r="B1368" s="1611"/>
      <c r="C1368" s="818"/>
      <c r="D1368" s="819"/>
      <c r="E1368" s="819"/>
      <c r="F1368" s="819"/>
      <c r="G1368" s="820"/>
      <c r="H1368" s="821"/>
    </row>
    <row r="1369" spans="1:8" ht="13.5" customHeight="1">
      <c r="A1369" s="2024"/>
      <c r="B1369" s="2025"/>
      <c r="C1369" s="805"/>
      <c r="D1369" s="806"/>
      <c r="E1369" s="806"/>
      <c r="F1369" s="800"/>
      <c r="G1369" s="822" t="s">
        <v>1560</v>
      </c>
      <c r="H1369" s="823">
        <f>SUM(G1366:G1368)</f>
        <v>300</v>
      </c>
    </row>
    <row r="1370" spans="1:8" ht="13.5" customHeight="1">
      <c r="A1370" s="824"/>
      <c r="B1370" s="804"/>
      <c r="C1370" s="805"/>
      <c r="D1370" s="806"/>
      <c r="E1370" s="806"/>
      <c r="F1370" s="800"/>
      <c r="G1370" s="825"/>
      <c r="H1370" s="802"/>
    </row>
    <row r="1371" spans="1:8" ht="13.5" customHeight="1">
      <c r="A1371" s="803" t="s">
        <v>1561</v>
      </c>
      <c r="B1371" s="804"/>
      <c r="C1371" s="805"/>
      <c r="D1371" s="806"/>
      <c r="E1371" s="806"/>
      <c r="F1371" s="800"/>
      <c r="G1371" s="825"/>
      <c r="H1371" s="802"/>
    </row>
    <row r="1372" spans="1:8" ht="13.5" customHeight="1">
      <c r="A1372" s="2022" t="s">
        <v>376</v>
      </c>
      <c r="B1372" s="1611"/>
      <c r="C1372" s="808" t="s">
        <v>1219</v>
      </c>
      <c r="D1372" s="809" t="s">
        <v>1845</v>
      </c>
      <c r="E1372" s="809" t="s">
        <v>1842</v>
      </c>
      <c r="F1372" s="810" t="s">
        <v>673</v>
      </c>
      <c r="G1372" s="811" t="s">
        <v>1845</v>
      </c>
      <c r="H1372" s="826"/>
    </row>
    <row r="1373" spans="1:8" ht="13.5" customHeight="1">
      <c r="A1373" s="2026" t="s">
        <v>1967</v>
      </c>
      <c r="B1373" s="1611"/>
      <c r="C1373" s="813" t="s">
        <v>127</v>
      </c>
      <c r="D1373" s="817">
        <v>227323</v>
      </c>
      <c r="E1373" s="817"/>
      <c r="F1373" s="815">
        <v>0.05</v>
      </c>
      <c r="G1373" s="827">
        <f>F1373*D1373</f>
        <v>11366.150000000001</v>
      </c>
      <c r="H1373" s="826"/>
    </row>
    <row r="1374" spans="1:8" ht="13.5" customHeight="1">
      <c r="A1374" s="2020" t="s">
        <v>1968</v>
      </c>
      <c r="B1374" s="1611"/>
      <c r="C1374" s="813" t="s">
        <v>127</v>
      </c>
      <c r="D1374" s="817">
        <v>27132</v>
      </c>
      <c r="E1374" s="817"/>
      <c r="F1374" s="815">
        <v>2</v>
      </c>
      <c r="G1374" s="827">
        <f t="shared" ref="G1374:G1375" si="117">+F1374*D1374</f>
        <v>54264</v>
      </c>
      <c r="H1374" s="826"/>
    </row>
    <row r="1375" spans="1:8" ht="13.5" customHeight="1">
      <c r="A1375" s="2020" t="s">
        <v>1969</v>
      </c>
      <c r="B1375" s="1611"/>
      <c r="C1375" s="813" t="s">
        <v>127</v>
      </c>
      <c r="D1375" s="817">
        <v>18000</v>
      </c>
      <c r="E1375" s="817"/>
      <c r="F1375" s="815">
        <v>1</v>
      </c>
      <c r="G1375" s="827">
        <f t="shared" si="117"/>
        <v>18000</v>
      </c>
      <c r="H1375" s="802"/>
    </row>
    <row r="1376" spans="1:8" ht="13.5" customHeight="1">
      <c r="A1376" s="824"/>
      <c r="B1376" s="804"/>
      <c r="C1376" s="805"/>
      <c r="D1376" s="806"/>
      <c r="E1376" s="806"/>
      <c r="F1376" s="800"/>
      <c r="G1376" s="828" t="s">
        <v>1560</v>
      </c>
      <c r="H1376" s="823">
        <f>SUM(G1373:G1375)</f>
        <v>83630.149999999994</v>
      </c>
    </row>
    <row r="1379" spans="1:8" ht="13.5" customHeight="1">
      <c r="A1379" s="803" t="s">
        <v>1564</v>
      </c>
      <c r="B1379" s="804"/>
      <c r="C1379" s="805"/>
      <c r="D1379" s="806"/>
      <c r="E1379" s="806"/>
      <c r="F1379" s="800"/>
      <c r="G1379" s="806"/>
      <c r="H1379" s="829"/>
    </row>
    <row r="1380" spans="1:8" ht="13.5" customHeight="1">
      <c r="A1380" s="830" t="s">
        <v>1853</v>
      </c>
      <c r="B1380" s="831" t="s">
        <v>1854</v>
      </c>
      <c r="C1380" s="808" t="s">
        <v>1855</v>
      </c>
      <c r="D1380" s="832" t="s">
        <v>1244</v>
      </c>
      <c r="E1380" s="809" t="s">
        <v>1856</v>
      </c>
      <c r="F1380" s="810" t="s">
        <v>1843</v>
      </c>
      <c r="G1380" s="833" t="s">
        <v>1845</v>
      </c>
      <c r="H1380" s="834"/>
    </row>
    <row r="1381" spans="1:8" ht="13.5" customHeight="1">
      <c r="A1381" s="835"/>
      <c r="B1381" s="836" t="s">
        <v>1857</v>
      </c>
      <c r="C1381" s="837">
        <v>30000</v>
      </c>
      <c r="D1381" s="837">
        <v>2</v>
      </c>
      <c r="E1381" s="837">
        <f t="shared" ref="E1381:E1382" si="118">+D1381*C1381</f>
        <v>60000</v>
      </c>
      <c r="F1381" s="838">
        <v>1.5311164479068626</v>
      </c>
      <c r="G1381" s="837">
        <f t="shared" ref="G1381:G1382" si="119">+ROUND((F1381*E1381)/8,0)</f>
        <v>11483</v>
      </c>
      <c r="H1381" s="839"/>
    </row>
    <row r="1382" spans="1:8" ht="13.5" customHeight="1">
      <c r="A1382" s="835"/>
      <c r="B1382" s="836" t="s">
        <v>1858</v>
      </c>
      <c r="C1382" s="837">
        <v>40000</v>
      </c>
      <c r="D1382" s="837">
        <v>1</v>
      </c>
      <c r="E1382" s="837">
        <f t="shared" si="118"/>
        <v>40000</v>
      </c>
      <c r="F1382" s="838">
        <f>+F1381</f>
        <v>1.5311164479068626</v>
      </c>
      <c r="G1382" s="837">
        <f t="shared" si="119"/>
        <v>7656</v>
      </c>
      <c r="H1382" s="840"/>
    </row>
    <row r="1383" spans="1:8" ht="13.5" customHeight="1">
      <c r="A1383" s="824"/>
      <c r="B1383" s="804"/>
      <c r="C1383" s="805"/>
      <c r="D1383" s="806"/>
      <c r="E1383" s="806"/>
      <c r="F1383" s="800"/>
      <c r="G1383" s="841" t="s">
        <v>1560</v>
      </c>
      <c r="H1383" s="823">
        <f>SUM(G1381:G1382)</f>
        <v>19139</v>
      </c>
    </row>
    <row r="1384" spans="1:8" ht="13.5" customHeight="1">
      <c r="A1384" s="824"/>
      <c r="B1384" s="804"/>
      <c r="C1384" s="805"/>
      <c r="D1384" s="806"/>
      <c r="E1384" s="806"/>
      <c r="F1384" s="800"/>
      <c r="G1384" s="806"/>
      <c r="H1384" s="829"/>
    </row>
    <row r="1385" spans="1:8" ht="13.5" customHeight="1">
      <c r="A1385" s="824"/>
      <c r="B1385" s="804"/>
      <c r="C1385" s="805"/>
      <c r="D1385" s="806"/>
      <c r="E1385" s="806"/>
      <c r="F1385" s="842" t="s">
        <v>142</v>
      </c>
      <c r="G1385" s="806"/>
      <c r="H1385" s="843">
        <f>+H1383+H1376+H1369</f>
        <v>103069.15</v>
      </c>
    </row>
    <row r="1386" spans="1:8" ht="13.5" customHeight="1">
      <c r="A1386" s="824"/>
      <c r="B1386" s="804"/>
      <c r="C1386" s="805"/>
      <c r="D1386" s="806"/>
      <c r="E1386" s="806"/>
      <c r="F1386" s="842"/>
      <c r="G1386" s="806"/>
      <c r="H1386" s="829"/>
    </row>
    <row r="1387" spans="1:8" ht="13.5" customHeight="1">
      <c r="A1387" s="824"/>
      <c r="B1387" s="801"/>
      <c r="C1387" s="805"/>
      <c r="D1387" s="806"/>
      <c r="E1387" s="806"/>
      <c r="F1387" s="800"/>
      <c r="G1387" s="825"/>
      <c r="H1387" s="802"/>
    </row>
    <row r="1388" spans="1:8" ht="13.5" customHeight="1">
      <c r="A1388" s="847"/>
      <c r="B1388" s="848"/>
      <c r="C1388" s="849"/>
      <c r="D1388" s="806"/>
      <c r="E1388" s="806"/>
      <c r="F1388" s="800"/>
      <c r="G1388" s="804"/>
      <c r="H1388" s="826"/>
    </row>
    <row r="1389" spans="1:8" ht="13.5" customHeight="1">
      <c r="A1389" s="824" t="s">
        <v>1835</v>
      </c>
      <c r="B1389" s="801"/>
      <c r="C1389" s="805"/>
      <c r="D1389" s="806"/>
      <c r="E1389" s="806"/>
      <c r="F1389" s="2021"/>
      <c r="G1389" s="1825"/>
      <c r="H1389" s="826"/>
    </row>
    <row r="1390" spans="1:8" ht="13.5" customHeight="1">
      <c r="A1390" s="847" t="s">
        <v>1859</v>
      </c>
      <c r="B1390" s="848"/>
      <c r="C1390" s="849"/>
      <c r="D1390" s="850"/>
      <c r="E1390" s="850"/>
      <c r="F1390" s="851"/>
      <c r="G1390" s="852"/>
      <c r="H1390" s="853"/>
    </row>
    <row r="1391" spans="1:8" ht="13.5" customHeight="1">
      <c r="A1391" s="2046" t="s">
        <v>1834</v>
      </c>
      <c r="B1391" s="1811"/>
      <c r="C1391" s="1811"/>
      <c r="D1391" s="1811"/>
      <c r="E1391" s="1811"/>
      <c r="F1391" s="1811"/>
      <c r="G1391" s="1811"/>
      <c r="H1391" s="1812"/>
    </row>
    <row r="1392" spans="1:8" ht="13.5" customHeight="1">
      <c r="A1392" s="2035" t="s">
        <v>559</v>
      </c>
      <c r="B1392" s="2036"/>
      <c r="C1392" s="2036"/>
      <c r="D1392" s="2037"/>
      <c r="E1392" s="2042" t="s">
        <v>1835</v>
      </c>
      <c r="F1392" s="2036"/>
      <c r="G1392" s="2036"/>
      <c r="H1392" s="2043"/>
    </row>
    <row r="1393" spans="1:8" ht="13.5" customHeight="1">
      <c r="A1393" s="2038"/>
      <c r="B1393" s="1605"/>
      <c r="C1393" s="1605"/>
      <c r="D1393" s="2039"/>
      <c r="E1393" s="2044"/>
      <c r="F1393" s="1605"/>
      <c r="G1393" s="1605"/>
      <c r="H1393" s="1606"/>
    </row>
    <row r="1394" spans="1:8" ht="13.5" customHeight="1">
      <c r="A1394" s="2040"/>
      <c r="B1394" s="1608"/>
      <c r="C1394" s="1608"/>
      <c r="D1394" s="2041"/>
      <c r="E1394" s="2045"/>
      <c r="F1394" s="1608"/>
      <c r="G1394" s="1608"/>
      <c r="H1394" s="1919"/>
    </row>
    <row r="1395" spans="1:8" ht="13.5" customHeight="1">
      <c r="A1395" s="2027" t="s">
        <v>1906</v>
      </c>
      <c r="B1395" s="2028"/>
      <c r="C1395" s="2028"/>
      <c r="D1395" s="2028"/>
      <c r="E1395" s="2028"/>
      <c r="F1395" s="2028"/>
      <c r="G1395" s="2028"/>
      <c r="H1395" s="2029"/>
    </row>
    <row r="1396" spans="1:8" ht="13.5" customHeight="1">
      <c r="A1396" s="793"/>
      <c r="B1396" s="794"/>
      <c r="C1396" s="794"/>
      <c r="D1396" s="794"/>
      <c r="E1396" s="794"/>
      <c r="F1396" s="794"/>
      <c r="G1396" s="794"/>
      <c r="H1396" s="795"/>
    </row>
    <row r="1397" spans="1:8" ht="13.5" customHeight="1">
      <c r="A1397" s="2030"/>
      <c r="B1397" s="1824"/>
      <c r="C1397" s="1824"/>
      <c r="D1397" s="1824"/>
      <c r="E1397" s="1825"/>
      <c r="F1397" s="794"/>
      <c r="G1397" s="794"/>
      <c r="H1397" s="795"/>
    </row>
    <row r="1398" spans="1:8" ht="13.5" customHeight="1">
      <c r="A1398" s="793"/>
      <c r="B1398" s="794"/>
      <c r="C1398" s="794"/>
      <c r="D1398" s="794"/>
      <c r="E1398" s="794"/>
      <c r="F1398" s="794"/>
      <c r="G1398" s="794"/>
      <c r="H1398" s="795"/>
    </row>
    <row r="1399" spans="1:8" ht="13.5" customHeight="1">
      <c r="A1399" s="2030" t="s">
        <v>1837</v>
      </c>
      <c r="B1399" s="1825"/>
      <c r="C1399" s="794"/>
      <c r="D1399" s="794"/>
      <c r="E1399" s="794"/>
      <c r="F1399" s="794"/>
      <c r="G1399" s="794"/>
      <c r="H1399" s="795"/>
    </row>
    <row r="1400" spans="1:8" ht="13.5" customHeight="1">
      <c r="A1400" s="2031" t="s">
        <v>489</v>
      </c>
      <c r="B1400" s="1824"/>
      <c r="C1400" s="1824"/>
      <c r="D1400" s="1824"/>
      <c r="E1400" s="1824"/>
      <c r="F1400" s="1824"/>
      <c r="G1400" s="1824"/>
      <c r="H1400" s="2032"/>
    </row>
    <row r="1401" spans="1:8" ht="13.5" customHeight="1">
      <c r="A1401" s="796"/>
      <c r="B1401" s="797"/>
      <c r="C1401" s="798"/>
      <c r="D1401" s="799"/>
      <c r="E1401" s="799"/>
      <c r="F1401" s="800"/>
      <c r="G1401" s="801" t="s">
        <v>1970</v>
      </c>
      <c r="H1401" s="802"/>
    </row>
    <row r="1402" spans="1:8" ht="13.5" customHeight="1">
      <c r="A1402" s="803" t="s">
        <v>1839</v>
      </c>
      <c r="B1402" s="804"/>
      <c r="C1402" s="805"/>
      <c r="D1402" s="806"/>
      <c r="E1402" s="806"/>
      <c r="F1402" s="800"/>
      <c r="G1402" s="807" t="s">
        <v>1840</v>
      </c>
      <c r="H1402" s="802"/>
    </row>
    <row r="1403" spans="1:8" ht="13.5" customHeight="1">
      <c r="A1403" s="2022" t="s">
        <v>376</v>
      </c>
      <c r="B1403" s="1611"/>
      <c r="C1403" s="808" t="s">
        <v>1219</v>
      </c>
      <c r="D1403" s="809" t="s">
        <v>1841</v>
      </c>
      <c r="E1403" s="809" t="s">
        <v>1842</v>
      </c>
      <c r="F1403" s="810" t="s">
        <v>1843</v>
      </c>
      <c r="G1403" s="811" t="s">
        <v>1844</v>
      </c>
      <c r="H1403" s="812"/>
    </row>
    <row r="1404" spans="1:8" ht="13.5" customHeight="1">
      <c r="A1404" s="2020"/>
      <c r="B1404" s="1611"/>
      <c r="C1404" s="813"/>
      <c r="D1404" s="814"/>
      <c r="E1404" s="814"/>
      <c r="F1404" s="815"/>
      <c r="G1404" s="816">
        <f t="shared" ref="G1404:G1405" si="120">+D1404*F1404</f>
        <v>0</v>
      </c>
      <c r="H1404" s="812"/>
    </row>
    <row r="1405" spans="1:8" ht="13.5" customHeight="1">
      <c r="A1405" s="2020"/>
      <c r="B1405" s="1611"/>
      <c r="C1405" s="813"/>
      <c r="D1405" s="817"/>
      <c r="E1405" s="817"/>
      <c r="F1405" s="815"/>
      <c r="G1405" s="816">
        <f t="shared" si="120"/>
        <v>0</v>
      </c>
      <c r="H1405" s="812"/>
    </row>
    <row r="1406" spans="1:8" ht="13.5" customHeight="1">
      <c r="A1406" s="2023"/>
      <c r="B1406" s="1611"/>
      <c r="C1406" s="818"/>
      <c r="D1406" s="819"/>
      <c r="E1406" s="819"/>
      <c r="F1406" s="819"/>
      <c r="G1406" s="820"/>
      <c r="H1406" s="821"/>
    </row>
    <row r="1407" spans="1:8" ht="13.5" customHeight="1">
      <c r="A1407" s="2024"/>
      <c r="B1407" s="2025"/>
      <c r="C1407" s="805"/>
      <c r="D1407" s="806"/>
      <c r="E1407" s="806"/>
      <c r="F1407" s="800"/>
      <c r="G1407" s="822" t="s">
        <v>1560</v>
      </c>
      <c r="H1407" s="823">
        <f>SUM(G1404:G1406)</f>
        <v>0</v>
      </c>
    </row>
    <row r="1409" spans="1:8" ht="13.5" customHeight="1">
      <c r="A1409" s="803" t="s">
        <v>1561</v>
      </c>
      <c r="B1409" s="804"/>
      <c r="C1409" s="805"/>
      <c r="D1409" s="806"/>
      <c r="E1409" s="806"/>
      <c r="F1409" s="800"/>
      <c r="G1409" s="825"/>
      <c r="H1409" s="802"/>
    </row>
    <row r="1410" spans="1:8" ht="13.5" customHeight="1">
      <c r="A1410" s="2022" t="s">
        <v>376</v>
      </c>
      <c r="B1410" s="1611"/>
      <c r="C1410" s="808" t="s">
        <v>1219</v>
      </c>
      <c r="D1410" s="809" t="s">
        <v>1845</v>
      </c>
      <c r="E1410" s="809" t="s">
        <v>1842</v>
      </c>
      <c r="F1410" s="810" t="s">
        <v>673</v>
      </c>
      <c r="G1410" s="811" t="s">
        <v>1845</v>
      </c>
      <c r="H1410" s="826"/>
    </row>
    <row r="1411" spans="1:8" ht="13.5" customHeight="1">
      <c r="A1411" s="2026" t="s">
        <v>1971</v>
      </c>
      <c r="B1411" s="1611"/>
      <c r="C1411" s="813" t="s">
        <v>127</v>
      </c>
      <c r="D1411" s="817">
        <v>350000</v>
      </c>
      <c r="E1411" s="817"/>
      <c r="F1411" s="815">
        <v>1</v>
      </c>
      <c r="G1411" s="827">
        <f>F1411*D1411</f>
        <v>350000</v>
      </c>
      <c r="H1411" s="826"/>
    </row>
    <row r="1412" spans="1:8" ht="13.5" customHeight="1">
      <c r="A1412" s="2020"/>
      <c r="B1412" s="1611"/>
      <c r="C1412" s="813"/>
      <c r="D1412" s="817"/>
      <c r="E1412" s="817"/>
      <c r="F1412" s="815"/>
      <c r="G1412" s="827">
        <f t="shared" ref="G1412:G1413" si="121">+F1412*D1412</f>
        <v>0</v>
      </c>
      <c r="H1412" s="826"/>
    </row>
    <row r="1413" spans="1:8" ht="13.5" customHeight="1">
      <c r="A1413" s="2020"/>
      <c r="B1413" s="1611"/>
      <c r="C1413" s="813"/>
      <c r="D1413" s="817"/>
      <c r="E1413" s="817"/>
      <c r="F1413" s="815"/>
      <c r="G1413" s="827">
        <f t="shared" si="121"/>
        <v>0</v>
      </c>
      <c r="H1413" s="802"/>
    </row>
    <row r="1414" spans="1:8" ht="13.5" customHeight="1">
      <c r="A1414" s="824"/>
      <c r="B1414" s="804"/>
      <c r="C1414" s="805"/>
      <c r="D1414" s="806"/>
      <c r="E1414" s="806"/>
      <c r="F1414" s="800"/>
      <c r="G1414" s="828" t="s">
        <v>1560</v>
      </c>
      <c r="H1414" s="823">
        <f>SUM(G1411:G1413)</f>
        <v>350000</v>
      </c>
    </row>
    <row r="1415" spans="1:8" ht="13.5" customHeight="1">
      <c r="A1415" s="803"/>
      <c r="B1415" s="804"/>
      <c r="C1415" s="805"/>
      <c r="D1415" s="806"/>
      <c r="E1415" s="806"/>
      <c r="F1415" s="800"/>
      <c r="G1415" s="825"/>
      <c r="H1415" s="802"/>
    </row>
    <row r="1416" spans="1:8" ht="13.5" customHeight="1">
      <c r="A1416" s="803"/>
      <c r="B1416" s="804"/>
      <c r="C1416" s="805"/>
      <c r="D1416" s="806"/>
      <c r="E1416" s="806"/>
      <c r="F1416" s="800"/>
      <c r="G1416" s="804"/>
      <c r="H1416" s="826"/>
    </row>
    <row r="1417" spans="1:8" ht="13.5" customHeight="1">
      <c r="A1417" s="803" t="s">
        <v>1564</v>
      </c>
      <c r="B1417" s="804"/>
      <c r="C1417" s="805"/>
      <c r="D1417" s="806"/>
      <c r="E1417" s="806"/>
      <c r="F1417" s="800"/>
      <c r="G1417" s="806"/>
      <c r="H1417" s="829"/>
    </row>
    <row r="1418" spans="1:8" ht="13.5" customHeight="1">
      <c r="A1418" s="830" t="s">
        <v>1853</v>
      </c>
      <c r="B1418" s="831" t="s">
        <v>1854</v>
      </c>
      <c r="C1418" s="808" t="s">
        <v>1855</v>
      </c>
      <c r="D1418" s="832" t="s">
        <v>1244</v>
      </c>
      <c r="E1418" s="809" t="s">
        <v>1856</v>
      </c>
      <c r="F1418" s="810" t="s">
        <v>1843</v>
      </c>
      <c r="G1418" s="833" t="s">
        <v>1845</v>
      </c>
      <c r="H1418" s="834"/>
    </row>
    <row r="1419" spans="1:8" ht="13.5" customHeight="1">
      <c r="A1419" s="835"/>
      <c r="B1419" s="836" t="s">
        <v>1857</v>
      </c>
      <c r="C1419" s="837">
        <v>30000</v>
      </c>
      <c r="D1419" s="837">
        <v>2</v>
      </c>
      <c r="E1419" s="837">
        <f t="shared" ref="E1419:E1420" si="122">+D1419*C1419</f>
        <v>60000</v>
      </c>
      <c r="F1419" s="838">
        <v>8</v>
      </c>
      <c r="G1419" s="837">
        <f t="shared" ref="G1419:G1420" si="123">+ROUND((F1419*E1419)/8,0)</f>
        <v>60000</v>
      </c>
      <c r="H1419" s="839"/>
    </row>
    <row r="1420" spans="1:8" ht="13.5" customHeight="1">
      <c r="A1420" s="835"/>
      <c r="B1420" s="836" t="s">
        <v>1858</v>
      </c>
      <c r="C1420" s="837">
        <v>40000</v>
      </c>
      <c r="D1420" s="837">
        <v>1</v>
      </c>
      <c r="E1420" s="837">
        <f t="shared" si="122"/>
        <v>40000</v>
      </c>
      <c r="F1420" s="838">
        <f>+F1419</f>
        <v>8</v>
      </c>
      <c r="G1420" s="837">
        <f t="shared" si="123"/>
        <v>40000</v>
      </c>
      <c r="H1420" s="840"/>
    </row>
    <row r="1421" spans="1:8" ht="13.5" customHeight="1">
      <c r="A1421" s="824"/>
      <c r="B1421" s="804"/>
      <c r="C1421" s="805"/>
      <c r="D1421" s="806"/>
      <c r="E1421" s="806"/>
      <c r="F1421" s="800"/>
      <c r="G1421" s="841" t="s">
        <v>1560</v>
      </c>
      <c r="H1421" s="823">
        <f>SUM(G1419:G1420)</f>
        <v>100000</v>
      </c>
    </row>
    <row r="1422" spans="1:8" ht="13.5" customHeight="1">
      <c r="A1422" s="824"/>
      <c r="B1422" s="804"/>
      <c r="C1422" s="805"/>
      <c r="D1422" s="806"/>
      <c r="E1422" s="806"/>
      <c r="F1422" s="800"/>
      <c r="G1422" s="806"/>
      <c r="H1422" s="829"/>
    </row>
    <row r="1423" spans="1:8" ht="13.5" customHeight="1">
      <c r="A1423" s="824"/>
      <c r="B1423" s="804"/>
      <c r="C1423" s="805"/>
      <c r="D1423" s="806"/>
      <c r="E1423" s="806"/>
      <c r="F1423" s="842" t="s">
        <v>142</v>
      </c>
      <c r="G1423" s="806"/>
      <c r="H1423" s="843">
        <f>+H1421+H1414+H1407</f>
        <v>450000</v>
      </c>
    </row>
    <row r="1427" spans="1:7" ht="13.5" customHeight="1">
      <c r="A1427" s="824" t="s">
        <v>1835</v>
      </c>
      <c r="B1427" s="801"/>
      <c r="C1427" s="805"/>
      <c r="D1427" s="806"/>
      <c r="E1427" s="806"/>
      <c r="F1427" s="2021"/>
      <c r="G1427" s="1825"/>
    </row>
    <row r="1428" spans="1:7" ht="13.5" customHeight="1">
      <c r="A1428" s="847" t="s">
        <v>1859</v>
      </c>
      <c r="B1428" s="848"/>
      <c r="C1428" s="849"/>
      <c r="D1428" s="850"/>
      <c r="E1428" s="850"/>
      <c r="F1428" s="851"/>
      <c r="G1428" s="852"/>
    </row>
  </sheetData>
  <mergeCells count="619">
    <mergeCell ref="A389:B389"/>
    <mergeCell ref="A391:B391"/>
    <mergeCell ref="A392:B392"/>
    <mergeCell ref="A393:B393"/>
    <mergeCell ref="A396:B396"/>
    <mergeCell ref="A397:B397"/>
    <mergeCell ref="A398:B398"/>
    <mergeCell ref="A399:B399"/>
    <mergeCell ref="A400:B400"/>
    <mergeCell ref="A401:B401"/>
    <mergeCell ref="F415:G415"/>
    <mergeCell ref="A418:H418"/>
    <mergeCell ref="A419:D421"/>
    <mergeCell ref="E419:H421"/>
    <mergeCell ref="A422:H422"/>
    <mergeCell ref="A424:E424"/>
    <mergeCell ref="A426:B426"/>
    <mergeCell ref="A427:H427"/>
    <mergeCell ref="A430:B430"/>
    <mergeCell ref="A432:B432"/>
    <mergeCell ref="A433:B433"/>
    <mergeCell ref="A434:B434"/>
    <mergeCell ref="A437:B437"/>
    <mergeCell ref="A438:B438"/>
    <mergeCell ref="A439:B439"/>
    <mergeCell ref="A440:B440"/>
    <mergeCell ref="A441:B441"/>
    <mergeCell ref="A442:B442"/>
    <mergeCell ref="F456:G456"/>
    <mergeCell ref="A459:H459"/>
    <mergeCell ref="A460:D462"/>
    <mergeCell ref="E460:H462"/>
    <mergeCell ref="A463:H463"/>
    <mergeCell ref="A465:E465"/>
    <mergeCell ref="A467:B467"/>
    <mergeCell ref="A468:H468"/>
    <mergeCell ref="A471:B471"/>
    <mergeCell ref="A473:B473"/>
    <mergeCell ref="A474:B474"/>
    <mergeCell ref="A475:B475"/>
    <mergeCell ref="A478:B478"/>
    <mergeCell ref="A514:B514"/>
    <mergeCell ref="A515:B515"/>
    <mergeCell ref="A516:B516"/>
    <mergeCell ref="A479:B479"/>
    <mergeCell ref="A480:B480"/>
    <mergeCell ref="A481:B481"/>
    <mergeCell ref="A482:B482"/>
    <mergeCell ref="A483:B483"/>
    <mergeCell ref="F497:G497"/>
    <mergeCell ref="A500:H500"/>
    <mergeCell ref="A501:D503"/>
    <mergeCell ref="E501:H503"/>
    <mergeCell ref="A504:H504"/>
    <mergeCell ref="A506:E506"/>
    <mergeCell ref="A508:B508"/>
    <mergeCell ref="A509:H509"/>
    <mergeCell ref="A512:B512"/>
    <mergeCell ref="A519:B519"/>
    <mergeCell ref="A520:B520"/>
    <mergeCell ref="A521:B521"/>
    <mergeCell ref="A522:B522"/>
    <mergeCell ref="A523:B523"/>
    <mergeCell ref="A524:B524"/>
    <mergeCell ref="F538:G538"/>
    <mergeCell ref="A541:H541"/>
    <mergeCell ref="A542:D544"/>
    <mergeCell ref="E542:H544"/>
    <mergeCell ref="A545:H545"/>
    <mergeCell ref="A547:E547"/>
    <mergeCell ref="A549:B549"/>
    <mergeCell ref="A550:H550"/>
    <mergeCell ref="A553:B553"/>
    <mergeCell ref="A555:B555"/>
    <mergeCell ref="A556:B556"/>
    <mergeCell ref="A557:B557"/>
    <mergeCell ref="A560:B560"/>
    <mergeCell ref="A561:B561"/>
    <mergeCell ref="A562:B562"/>
    <mergeCell ref="A563:B563"/>
    <mergeCell ref="A564:B564"/>
    <mergeCell ref="A565:B565"/>
    <mergeCell ref="F579:G579"/>
    <mergeCell ref="A582:H582"/>
    <mergeCell ref="A583:D585"/>
    <mergeCell ref="E583:H585"/>
    <mergeCell ref="A586:H586"/>
    <mergeCell ref="A588:E588"/>
    <mergeCell ref="A590:B590"/>
    <mergeCell ref="A591:H591"/>
    <mergeCell ref="A594:B594"/>
    <mergeCell ref="A596:B596"/>
    <mergeCell ref="A597:B597"/>
    <mergeCell ref="A598:B598"/>
    <mergeCell ref="A601:B601"/>
    <mergeCell ref="A602:B602"/>
    <mergeCell ref="A603:B603"/>
    <mergeCell ref="A604:B604"/>
    <mergeCell ref="A605:B605"/>
    <mergeCell ref="A606:B606"/>
    <mergeCell ref="A607:B607"/>
    <mergeCell ref="A608:B608"/>
    <mergeCell ref="F622:G622"/>
    <mergeCell ref="A625:H625"/>
    <mergeCell ref="A626:D628"/>
    <mergeCell ref="E626:H628"/>
    <mergeCell ref="A629:H629"/>
    <mergeCell ref="A631:E631"/>
    <mergeCell ref="A633:B633"/>
    <mergeCell ref="A634:H634"/>
    <mergeCell ref="A637:B637"/>
    <mergeCell ref="A639:B639"/>
    <mergeCell ref="A640:B640"/>
    <mergeCell ref="A641:B641"/>
    <mergeCell ref="A644:B644"/>
    <mergeCell ref="A645:B645"/>
    <mergeCell ref="A646:B646"/>
    <mergeCell ref="A647:B647"/>
    <mergeCell ref="A648:B648"/>
    <mergeCell ref="A649:B649"/>
    <mergeCell ref="A650:B650"/>
    <mergeCell ref="A651:B651"/>
    <mergeCell ref="F665:G665"/>
    <mergeCell ref="A669:H669"/>
    <mergeCell ref="A670:D672"/>
    <mergeCell ref="E670:H672"/>
    <mergeCell ref="A673:H673"/>
    <mergeCell ref="A675:E675"/>
    <mergeCell ref="A677:B677"/>
    <mergeCell ref="A678:H678"/>
    <mergeCell ref="A681:B681"/>
    <mergeCell ref="A683:B683"/>
    <mergeCell ref="A684:B684"/>
    <mergeCell ref="A685:B685"/>
    <mergeCell ref="A688:B688"/>
    <mergeCell ref="A689:B689"/>
    <mergeCell ref="A690:B690"/>
    <mergeCell ref="A691:B691"/>
    <mergeCell ref="A692:B692"/>
    <mergeCell ref="A693:B693"/>
    <mergeCell ref="A694:B694"/>
    <mergeCell ref="A695:B695"/>
    <mergeCell ref="F709:G709"/>
    <mergeCell ref="A712:H712"/>
    <mergeCell ref="A713:D715"/>
    <mergeCell ref="E713:H715"/>
    <mergeCell ref="A716:H716"/>
    <mergeCell ref="A718:E718"/>
    <mergeCell ref="A720:B720"/>
    <mergeCell ref="A721:H721"/>
    <mergeCell ref="A724:B724"/>
    <mergeCell ref="A726:B726"/>
    <mergeCell ref="A727:B727"/>
    <mergeCell ref="A728:B728"/>
    <mergeCell ref="A731:B731"/>
    <mergeCell ref="A732:B732"/>
    <mergeCell ref="A733:B733"/>
    <mergeCell ref="A734:B734"/>
    <mergeCell ref="A735:B735"/>
    <mergeCell ref="A736:B736"/>
    <mergeCell ref="A737:B737"/>
    <mergeCell ref="A738:B738"/>
    <mergeCell ref="F752:G752"/>
    <mergeCell ref="A755:H755"/>
    <mergeCell ref="A756:D758"/>
    <mergeCell ref="E756:H758"/>
    <mergeCell ref="A759:H759"/>
    <mergeCell ref="A761:E761"/>
    <mergeCell ref="A763:B763"/>
    <mergeCell ref="A764:H764"/>
    <mergeCell ref="A767:B767"/>
    <mergeCell ref="A769:B769"/>
    <mergeCell ref="A770:B770"/>
    <mergeCell ref="A771:B771"/>
    <mergeCell ref="A774:B774"/>
    <mergeCell ref="A775:B775"/>
    <mergeCell ref="A776:B776"/>
    <mergeCell ref="A777:B777"/>
    <mergeCell ref="A778:B778"/>
    <mergeCell ref="A779:B779"/>
    <mergeCell ref="A780:B780"/>
    <mergeCell ref="F794:G794"/>
    <mergeCell ref="A799:H799"/>
    <mergeCell ref="A800:D802"/>
    <mergeCell ref="E800:H802"/>
    <mergeCell ref="A803:H803"/>
    <mergeCell ref="A805:E805"/>
    <mergeCell ref="A808:H808"/>
    <mergeCell ref="A807:B807"/>
    <mergeCell ref="A811:B811"/>
    <mergeCell ref="A813:B813"/>
    <mergeCell ref="A814:B814"/>
    <mergeCell ref="A815:B815"/>
    <mergeCell ref="A818:B818"/>
    <mergeCell ref="A819:B819"/>
    <mergeCell ref="A820:B820"/>
    <mergeCell ref="A821:B821"/>
    <mergeCell ref="F835:G835"/>
    <mergeCell ref="A838:H838"/>
    <mergeCell ref="A839:D841"/>
    <mergeCell ref="E839:H841"/>
    <mergeCell ref="A842:H842"/>
    <mergeCell ref="A844:E844"/>
    <mergeCell ref="A846:B846"/>
    <mergeCell ref="A847:H847"/>
    <mergeCell ref="A850:B850"/>
    <mergeCell ref="A852:B852"/>
    <mergeCell ref="A853:B853"/>
    <mergeCell ref="A854:B854"/>
    <mergeCell ref="A967:B967"/>
    <mergeCell ref="A968:H968"/>
    <mergeCell ref="A971:B971"/>
    <mergeCell ref="F916:G916"/>
    <mergeCell ref="A921:H921"/>
    <mergeCell ref="A922:D924"/>
    <mergeCell ref="E922:H924"/>
    <mergeCell ref="A925:H925"/>
    <mergeCell ref="A927:E927"/>
    <mergeCell ref="A929:B929"/>
    <mergeCell ref="A930:H930"/>
    <mergeCell ref="A933:B933"/>
    <mergeCell ref="A935:B935"/>
    <mergeCell ref="A936:B936"/>
    <mergeCell ref="A937:B937"/>
    <mergeCell ref="A940:B940"/>
    <mergeCell ref="A941:B941"/>
    <mergeCell ref="F955:G955"/>
    <mergeCell ref="A899:B899"/>
    <mergeCell ref="A900:B900"/>
    <mergeCell ref="A901:B901"/>
    <mergeCell ref="A902:B902"/>
    <mergeCell ref="A973:B973"/>
    <mergeCell ref="A974:B974"/>
    <mergeCell ref="A975:B975"/>
    <mergeCell ref="A978:B978"/>
    <mergeCell ref="A979:B979"/>
    <mergeCell ref="A959:H959"/>
    <mergeCell ref="A960:D962"/>
    <mergeCell ref="E960:H962"/>
    <mergeCell ref="A963:H963"/>
    <mergeCell ref="A965:E965"/>
    <mergeCell ref="A884:E884"/>
    <mergeCell ref="A886:B886"/>
    <mergeCell ref="A887:H887"/>
    <mergeCell ref="A890:B890"/>
    <mergeCell ref="A892:B892"/>
    <mergeCell ref="A893:B893"/>
    <mergeCell ref="A894:B894"/>
    <mergeCell ref="A897:B897"/>
    <mergeCell ref="A898:B898"/>
    <mergeCell ref="A857:B857"/>
    <mergeCell ref="A858:B858"/>
    <mergeCell ref="A859:B859"/>
    <mergeCell ref="A860:B860"/>
    <mergeCell ref="F874:G874"/>
    <mergeCell ref="A878:H878"/>
    <mergeCell ref="A879:D881"/>
    <mergeCell ref="E879:H881"/>
    <mergeCell ref="A882:H882"/>
    <mergeCell ref="A1005:B1005"/>
    <mergeCell ref="A1006:H1006"/>
    <mergeCell ref="A1009:B1009"/>
    <mergeCell ref="A1011:B1011"/>
    <mergeCell ref="A1001:H1001"/>
    <mergeCell ref="A1003:E1003"/>
    <mergeCell ref="F993:G993"/>
    <mergeCell ref="A997:H997"/>
    <mergeCell ref="A998:D1000"/>
    <mergeCell ref="E998:H1000"/>
    <mergeCell ref="A1012:B1012"/>
    <mergeCell ref="A1013:B1013"/>
    <mergeCell ref="A1016:B1016"/>
    <mergeCell ref="A1017:B1017"/>
    <mergeCell ref="A1018:B1018"/>
    <mergeCell ref="A1019:B1019"/>
    <mergeCell ref="F1033:G1033"/>
    <mergeCell ref="A1036:H1036"/>
    <mergeCell ref="A1037:D1039"/>
    <mergeCell ref="E1037:H1039"/>
    <mergeCell ref="A1040:H1040"/>
    <mergeCell ref="A1042:E1042"/>
    <mergeCell ref="A1044:B1044"/>
    <mergeCell ref="A1045:H1045"/>
    <mergeCell ref="A1048:B1048"/>
    <mergeCell ref="A1050:B1050"/>
    <mergeCell ref="A1051:B1051"/>
    <mergeCell ref="A1052:B1052"/>
    <mergeCell ref="A1055:B1055"/>
    <mergeCell ref="A1056:B1056"/>
    <mergeCell ref="A1057:B1057"/>
    <mergeCell ref="A1058:B1058"/>
    <mergeCell ref="F1072:G1072"/>
    <mergeCell ref="A1076:H1076"/>
    <mergeCell ref="A1077:D1079"/>
    <mergeCell ref="E1077:H1079"/>
    <mergeCell ref="A1080:H1080"/>
    <mergeCell ref="A1082:E1082"/>
    <mergeCell ref="A1084:B1084"/>
    <mergeCell ref="A1085:H1085"/>
    <mergeCell ref="A1088:B1088"/>
    <mergeCell ref="A1090:B1090"/>
    <mergeCell ref="A1091:B1091"/>
    <mergeCell ref="A1092:B1092"/>
    <mergeCell ref="A1095:B1095"/>
    <mergeCell ref="A1096:B1096"/>
    <mergeCell ref="A1097:B1097"/>
    <mergeCell ref="A1098:B1098"/>
    <mergeCell ref="F1112:G1112"/>
    <mergeCell ref="A1116:H1116"/>
    <mergeCell ref="A1117:D1119"/>
    <mergeCell ref="E1117:H1119"/>
    <mergeCell ref="A1120:H1120"/>
    <mergeCell ref="A1122:E1122"/>
    <mergeCell ref="A1125:H1125"/>
    <mergeCell ref="A1124:B1124"/>
    <mergeCell ref="A1128:B1128"/>
    <mergeCell ref="A1129:B1129"/>
    <mergeCell ref="A1130:B1130"/>
    <mergeCell ref="A1131:B1131"/>
    <mergeCell ref="A1132:B1132"/>
    <mergeCell ref="A1135:B1135"/>
    <mergeCell ref="A1136:B1136"/>
    <mergeCell ref="A1137:B1137"/>
    <mergeCell ref="A1138:B1138"/>
    <mergeCell ref="F1152:G1152"/>
    <mergeCell ref="A1156:H1156"/>
    <mergeCell ref="A1157:D1159"/>
    <mergeCell ref="E1157:H1159"/>
    <mergeCell ref="A1160:H1160"/>
    <mergeCell ref="A1162:E1162"/>
    <mergeCell ref="A1164:B1164"/>
    <mergeCell ref="A1165:H1165"/>
    <mergeCell ref="A1168:B1168"/>
    <mergeCell ref="A1170:B1170"/>
    <mergeCell ref="A1171:B1171"/>
    <mergeCell ref="A1172:B1172"/>
    <mergeCell ref="A1175:B1175"/>
    <mergeCell ref="A1176:B1176"/>
    <mergeCell ref="A1177:B1177"/>
    <mergeCell ref="A1178:B1178"/>
    <mergeCell ref="F1192:G1192"/>
    <mergeCell ref="A1196:H1196"/>
    <mergeCell ref="A1197:D1199"/>
    <mergeCell ref="E1197:H1199"/>
    <mergeCell ref="A1200:H1200"/>
    <mergeCell ref="A1202:E1202"/>
    <mergeCell ref="A1204:B1204"/>
    <mergeCell ref="A1205:H1205"/>
    <mergeCell ref="A1208:B1208"/>
    <mergeCell ref="A1209:B1209"/>
    <mergeCell ref="A1210:B1210"/>
    <mergeCell ref="A1211:B1211"/>
    <mergeCell ref="A1212:B1212"/>
    <mergeCell ref="A1215:B1215"/>
    <mergeCell ref="A1216:B1216"/>
    <mergeCell ref="A1217:B1217"/>
    <mergeCell ref="A1218:B1218"/>
    <mergeCell ref="F1232:G1232"/>
    <mergeCell ref="A1236:H1236"/>
    <mergeCell ref="A1237:D1239"/>
    <mergeCell ref="E1237:H1239"/>
    <mergeCell ref="A1240:H1240"/>
    <mergeCell ref="A1242:E1242"/>
    <mergeCell ref="A1244:B1244"/>
    <mergeCell ref="A1245:H1245"/>
    <mergeCell ref="A1248:B1248"/>
    <mergeCell ref="A1249:B1249"/>
    <mergeCell ref="A1250:B1250"/>
    <mergeCell ref="A1251:B1251"/>
    <mergeCell ref="A1252:B1252"/>
    <mergeCell ref="A1295:B1295"/>
    <mergeCell ref="A1357:H1357"/>
    <mergeCell ref="A1359:E1359"/>
    <mergeCell ref="A1361:B1361"/>
    <mergeCell ref="A1362:H1362"/>
    <mergeCell ref="A1365:B1365"/>
    <mergeCell ref="A1366:B1366"/>
    <mergeCell ref="A1367:B1367"/>
    <mergeCell ref="A1368:B1368"/>
    <mergeCell ref="A1296:B1296"/>
    <mergeCell ref="A1297:B1297"/>
    <mergeCell ref="F1311:G1311"/>
    <mergeCell ref="A1315:H1315"/>
    <mergeCell ref="A1316:D1318"/>
    <mergeCell ref="E1316:H1318"/>
    <mergeCell ref="A1319:H1319"/>
    <mergeCell ref="A1321:E1321"/>
    <mergeCell ref="A1324:H1324"/>
    <mergeCell ref="A1323:B1323"/>
    <mergeCell ref="A1327:B1327"/>
    <mergeCell ref="A1328:B1328"/>
    <mergeCell ref="A1329:B1329"/>
    <mergeCell ref="A1330:B1330"/>
    <mergeCell ref="A1331:B1331"/>
    <mergeCell ref="A1281:E1281"/>
    <mergeCell ref="A1283:B1283"/>
    <mergeCell ref="A1284:H1284"/>
    <mergeCell ref="A1287:B1287"/>
    <mergeCell ref="A1288:B1288"/>
    <mergeCell ref="A1289:B1289"/>
    <mergeCell ref="A1290:B1290"/>
    <mergeCell ref="A1291:B1291"/>
    <mergeCell ref="A1294:B1294"/>
    <mergeCell ref="A1255:B1255"/>
    <mergeCell ref="A1256:B1256"/>
    <mergeCell ref="A1257:B1257"/>
    <mergeCell ref="A1258:B1258"/>
    <mergeCell ref="F1272:G1272"/>
    <mergeCell ref="A1275:H1275"/>
    <mergeCell ref="A1276:D1278"/>
    <mergeCell ref="E1276:H1278"/>
    <mergeCell ref="A1279:H1279"/>
    <mergeCell ref="A1334:B1334"/>
    <mergeCell ref="A1335:B1335"/>
    <mergeCell ref="A1336:B1336"/>
    <mergeCell ref="A1337:B1337"/>
    <mergeCell ref="F1351:G1351"/>
    <mergeCell ref="A1353:H1353"/>
    <mergeCell ref="A1354:D1356"/>
    <mergeCell ref="E1354:H1356"/>
    <mergeCell ref="A1391:H1391"/>
    <mergeCell ref="A1369:B1369"/>
    <mergeCell ref="A1392:D1394"/>
    <mergeCell ref="E1392:H1394"/>
    <mergeCell ref="A1395:H1395"/>
    <mergeCell ref="A1397:E1397"/>
    <mergeCell ref="A1372:B1372"/>
    <mergeCell ref="A1373:B1373"/>
    <mergeCell ref="A1374:B1374"/>
    <mergeCell ref="A1375:B1375"/>
    <mergeCell ref="F1389:G1389"/>
    <mergeCell ref="A1399:B1399"/>
    <mergeCell ref="A1400:H1400"/>
    <mergeCell ref="A3:H3"/>
    <mergeCell ref="A4:D6"/>
    <mergeCell ref="E4:H6"/>
    <mergeCell ref="A7:H7"/>
    <mergeCell ref="A9:E9"/>
    <mergeCell ref="A11:B11"/>
    <mergeCell ref="A12:H12"/>
    <mergeCell ref="A15:B15"/>
    <mergeCell ref="A16:B16"/>
    <mergeCell ref="A17:B17"/>
    <mergeCell ref="A18:B18"/>
    <mergeCell ref="A19:B19"/>
    <mergeCell ref="A22:B22"/>
    <mergeCell ref="A23:B23"/>
    <mergeCell ref="A24:B24"/>
    <mergeCell ref="A25:B25"/>
    <mergeCell ref="A26:B26"/>
    <mergeCell ref="A27:B27"/>
    <mergeCell ref="A28:B28"/>
    <mergeCell ref="A29:B29"/>
    <mergeCell ref="A42:C42"/>
    <mergeCell ref="F43:G43"/>
    <mergeCell ref="A46:H46"/>
    <mergeCell ref="A47:D49"/>
    <mergeCell ref="E47:H49"/>
    <mergeCell ref="A50:H50"/>
    <mergeCell ref="A52:E52"/>
    <mergeCell ref="A55:H55"/>
    <mergeCell ref="A54:B54"/>
    <mergeCell ref="A58:B58"/>
    <mergeCell ref="A59:B59"/>
    <mergeCell ref="A60:B60"/>
    <mergeCell ref="A61:B61"/>
    <mergeCell ref="A62:B62"/>
    <mergeCell ref="A65:B65"/>
    <mergeCell ref="A66:B66"/>
    <mergeCell ref="A67:B67"/>
    <mergeCell ref="A68:B68"/>
    <mergeCell ref="A69:B69"/>
    <mergeCell ref="A70:B70"/>
    <mergeCell ref="A71:B71"/>
    <mergeCell ref="F85:G85"/>
    <mergeCell ref="A88:H88"/>
    <mergeCell ref="A89:D91"/>
    <mergeCell ref="E89:H91"/>
    <mergeCell ref="A92:H92"/>
    <mergeCell ref="A94:E94"/>
    <mergeCell ref="A96:B96"/>
    <mergeCell ref="A97:H97"/>
    <mergeCell ref="A140:H140"/>
    <mergeCell ref="A192:B192"/>
    <mergeCell ref="A193:B193"/>
    <mergeCell ref="A194:B194"/>
    <mergeCell ref="A195:B195"/>
    <mergeCell ref="A196:B196"/>
    <mergeCell ref="F210:G210"/>
    <mergeCell ref="A213:H213"/>
    <mergeCell ref="A214:D216"/>
    <mergeCell ref="E214:H216"/>
    <mergeCell ref="A143:B143"/>
    <mergeCell ref="A145:B145"/>
    <mergeCell ref="A146:B146"/>
    <mergeCell ref="A147:B147"/>
    <mergeCell ref="A150:B150"/>
    <mergeCell ref="A151:B151"/>
    <mergeCell ref="A152:B152"/>
    <mergeCell ref="A153:B153"/>
    <mergeCell ref="A154:B154"/>
    <mergeCell ref="A155:B155"/>
    <mergeCell ref="F169:G169"/>
    <mergeCell ref="A172:H172"/>
    <mergeCell ref="A173:D175"/>
    <mergeCell ref="E173:H175"/>
    <mergeCell ref="A112:B112"/>
    <mergeCell ref="A113:B113"/>
    <mergeCell ref="F127:G127"/>
    <mergeCell ref="A131:H131"/>
    <mergeCell ref="A132:D134"/>
    <mergeCell ref="E132:H134"/>
    <mergeCell ref="A135:H135"/>
    <mergeCell ref="A137:E137"/>
    <mergeCell ref="A139:B139"/>
    <mergeCell ref="A100:B100"/>
    <mergeCell ref="A102:B102"/>
    <mergeCell ref="A103:B103"/>
    <mergeCell ref="A104:B104"/>
    <mergeCell ref="A107:B107"/>
    <mergeCell ref="A108:B108"/>
    <mergeCell ref="A109:B109"/>
    <mergeCell ref="A110:B110"/>
    <mergeCell ref="A111:B111"/>
    <mergeCell ref="A176:H176"/>
    <mergeCell ref="A178:E178"/>
    <mergeCell ref="A180:B180"/>
    <mergeCell ref="A181:H181"/>
    <mergeCell ref="A303:B303"/>
    <mergeCell ref="A304:H304"/>
    <mergeCell ref="A307:B307"/>
    <mergeCell ref="A309:B309"/>
    <mergeCell ref="A310:B310"/>
    <mergeCell ref="A184:B184"/>
    <mergeCell ref="A186:B186"/>
    <mergeCell ref="A187:B187"/>
    <mergeCell ref="A188:B188"/>
    <mergeCell ref="A191:B191"/>
    <mergeCell ref="A227:B227"/>
    <mergeCell ref="A228:B228"/>
    <mergeCell ref="A229:B229"/>
    <mergeCell ref="A232:B232"/>
    <mergeCell ref="A217:H217"/>
    <mergeCell ref="A219:E219"/>
    <mergeCell ref="A221:B221"/>
    <mergeCell ref="A222:H222"/>
    <mergeCell ref="A225:B225"/>
    <mergeCell ref="A276:B276"/>
    <mergeCell ref="A233:B233"/>
    <mergeCell ref="A234:B234"/>
    <mergeCell ref="A235:B235"/>
    <mergeCell ref="A236:B236"/>
    <mergeCell ref="A237:B237"/>
    <mergeCell ref="A254:H254"/>
    <mergeCell ref="A255:D257"/>
    <mergeCell ref="E255:H257"/>
    <mergeCell ref="A258:H258"/>
    <mergeCell ref="A260:E260"/>
    <mergeCell ref="A262:B262"/>
    <mergeCell ref="A263:H263"/>
    <mergeCell ref="F251:G251"/>
    <mergeCell ref="A311:B311"/>
    <mergeCell ref="A314:B314"/>
    <mergeCell ref="A315:B315"/>
    <mergeCell ref="A316:B316"/>
    <mergeCell ref="A317:B317"/>
    <mergeCell ref="A277:B277"/>
    <mergeCell ref="A278:B278"/>
    <mergeCell ref="F292:G292"/>
    <mergeCell ref="A295:H295"/>
    <mergeCell ref="A296:D298"/>
    <mergeCell ref="E296:H298"/>
    <mergeCell ref="A299:H299"/>
    <mergeCell ref="A301:E301"/>
    <mergeCell ref="A266:B266"/>
    <mergeCell ref="A268:B268"/>
    <mergeCell ref="A269:B269"/>
    <mergeCell ref="A270:B270"/>
    <mergeCell ref="A273:B273"/>
    <mergeCell ref="A274:B274"/>
    <mergeCell ref="A275:B275"/>
    <mergeCell ref="A318:B318"/>
    <mergeCell ref="A319:B319"/>
    <mergeCell ref="F333:G333"/>
    <mergeCell ref="A336:H336"/>
    <mergeCell ref="A337:D339"/>
    <mergeCell ref="E337:H339"/>
    <mergeCell ref="F374:G374"/>
    <mergeCell ref="A377:H377"/>
    <mergeCell ref="A378:D380"/>
    <mergeCell ref="E378:H380"/>
    <mergeCell ref="A340:H340"/>
    <mergeCell ref="A342:E342"/>
    <mergeCell ref="A344:B344"/>
    <mergeCell ref="A345:H345"/>
    <mergeCell ref="A348:B348"/>
    <mergeCell ref="A350:B350"/>
    <mergeCell ref="A381:H381"/>
    <mergeCell ref="A383:E383"/>
    <mergeCell ref="A386:H386"/>
    <mergeCell ref="A351:B351"/>
    <mergeCell ref="A352:B352"/>
    <mergeCell ref="A355:B355"/>
    <mergeCell ref="A356:B356"/>
    <mergeCell ref="A357:B357"/>
    <mergeCell ref="A358:B358"/>
    <mergeCell ref="A359:B359"/>
    <mergeCell ref="A360:B360"/>
    <mergeCell ref="A385:B385"/>
    <mergeCell ref="A1412:B1412"/>
    <mergeCell ref="A1413:B1413"/>
    <mergeCell ref="F1427:G1427"/>
    <mergeCell ref="A1403:B1403"/>
    <mergeCell ref="A1404:B1404"/>
    <mergeCell ref="A1405:B1405"/>
    <mergeCell ref="A1406:B1406"/>
    <mergeCell ref="A1407:B1407"/>
    <mergeCell ref="A1410:B1410"/>
    <mergeCell ref="A1411:B1411"/>
  </mergeCells>
  <printOptions horizontalCentered="1"/>
  <pageMargins left="0.70866141732283472" right="0.70866141732283472" top="0.74803149606299213" bottom="0.74803149606299213" header="0" footer="0"/>
  <pageSetup orientation="portrait"/>
  <headerFooter>
    <oddFooter>&amp;RVoBo. FEDERICO GARCIA A. Interventor</oddFooter>
  </headerFooter>
  <rowBreaks count="34" manualBreakCount="34">
    <brk id="1153" man="1"/>
    <brk id="130" man="1"/>
    <brk id="836" man="1"/>
    <brk id="580" man="1"/>
    <brk id="710" man="1"/>
    <brk id="1352" man="1"/>
    <brk id="457" man="1"/>
    <brk id="1034" man="1"/>
    <brk id="334" man="1"/>
    <brk id="211" man="1"/>
    <brk id="1235" man="1"/>
    <brk id="917" man="1"/>
    <brk id="86" man="1"/>
    <brk id="1113" man="1"/>
    <brk id="666" man="1"/>
    <brk id="539" man="1"/>
    <brk id="795" man="1"/>
    <brk id="416" man="1"/>
    <brk id="1314" man="1"/>
    <brk id="994" man="1"/>
    <brk id="293" man="1"/>
    <brk id="170" man="1"/>
    <brk id="1195" man="1"/>
    <brk id="875" man="1"/>
    <brk id="45" man="1"/>
    <brk id="1390" man="1"/>
    <brk id="623" man="1"/>
    <brk id="753" man="1"/>
    <brk id="498" man="1"/>
    <brk id="1075" man="1"/>
    <brk id="376" man="1"/>
    <brk id="1274" man="1"/>
    <brk id="252" man="1"/>
    <brk id="956"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2:S1419"/>
  <sheetViews>
    <sheetView topLeftCell="A504" workbookViewId="0"/>
  </sheetViews>
  <sheetFormatPr baseColWidth="10" defaultColWidth="14.44140625" defaultRowHeight="15" customHeight="1"/>
  <cols>
    <col min="1" max="1" width="21.6640625" customWidth="1"/>
    <col min="2" max="2" width="14.33203125" customWidth="1"/>
    <col min="3" max="3" width="12.6640625" customWidth="1"/>
    <col min="4" max="4" width="12.33203125" customWidth="1"/>
    <col min="5" max="5" width="10" customWidth="1"/>
    <col min="6" max="6" width="12.109375" customWidth="1"/>
    <col min="7" max="7" width="12.6640625" customWidth="1"/>
    <col min="8" max="10" width="11.44140625" customWidth="1"/>
    <col min="11" max="11" width="12.5546875" customWidth="1"/>
    <col min="12" max="12" width="11.44140625" customWidth="1"/>
    <col min="13" max="13" width="30.88671875" customWidth="1"/>
    <col min="14" max="19" width="11.44140625" customWidth="1"/>
  </cols>
  <sheetData>
    <row r="2" spans="1:19" ht="21" hidden="1" customHeight="1">
      <c r="A2" s="2054" t="s">
        <v>1604</v>
      </c>
      <c r="B2" s="1616"/>
      <c r="C2" s="1624"/>
      <c r="D2" s="879"/>
      <c r="E2" s="879"/>
      <c r="F2" s="879"/>
      <c r="G2" s="880"/>
      <c r="H2" s="468"/>
      <c r="I2" s="468"/>
      <c r="J2" s="468"/>
      <c r="K2" s="468"/>
      <c r="L2" s="468"/>
      <c r="M2" s="468"/>
      <c r="N2" s="468"/>
      <c r="O2" s="468"/>
      <c r="P2" s="468"/>
      <c r="Q2" s="468"/>
      <c r="R2" s="468"/>
      <c r="S2" s="468"/>
    </row>
    <row r="3" spans="1:19" ht="29.25" hidden="1" customHeight="1">
      <c r="A3" s="1971"/>
      <c r="B3" s="1817"/>
      <c r="C3" s="1972"/>
      <c r="D3" s="881"/>
      <c r="E3" s="881"/>
      <c r="F3" s="881"/>
      <c r="G3" s="882"/>
      <c r="H3" s="468"/>
      <c r="I3" s="468"/>
      <c r="J3" s="468"/>
      <c r="K3" s="468"/>
      <c r="L3" s="468"/>
      <c r="M3" s="468"/>
      <c r="N3" s="468"/>
      <c r="O3" s="468"/>
      <c r="P3" s="468"/>
      <c r="Q3" s="468"/>
      <c r="R3" s="468"/>
      <c r="S3" s="468"/>
    </row>
    <row r="4" spans="1:19" ht="14.25" hidden="1" customHeight="1">
      <c r="A4" s="469"/>
      <c r="B4" s="469"/>
      <c r="C4" s="469"/>
      <c r="D4" s="469"/>
      <c r="E4" s="469"/>
      <c r="F4" s="469"/>
      <c r="G4" s="469"/>
      <c r="H4" s="468"/>
      <c r="I4" s="468"/>
      <c r="J4" s="468"/>
      <c r="K4" s="468"/>
      <c r="L4" s="468"/>
      <c r="M4" s="468"/>
      <c r="N4" s="468"/>
      <c r="O4" s="468"/>
      <c r="P4" s="468"/>
      <c r="Q4" s="468"/>
      <c r="R4" s="468"/>
      <c r="S4" s="468"/>
    </row>
    <row r="5" spans="1:19" ht="37.5" hidden="1" customHeight="1">
      <c r="A5" s="2061" t="s">
        <v>1646</v>
      </c>
      <c r="B5" s="1601"/>
      <c r="C5" s="1602"/>
      <c r="D5" s="2062" t="s">
        <v>1972</v>
      </c>
      <c r="E5" s="1601"/>
      <c r="F5" s="1601"/>
      <c r="G5" s="1602"/>
      <c r="H5" s="468"/>
      <c r="I5" s="468"/>
      <c r="J5" s="468"/>
      <c r="K5" s="468"/>
      <c r="L5" s="468"/>
      <c r="M5" s="468"/>
      <c r="N5" s="468"/>
      <c r="O5" s="468"/>
      <c r="P5" s="468"/>
      <c r="Q5" s="468"/>
      <c r="R5" s="468"/>
      <c r="S5" s="468"/>
    </row>
    <row r="6" spans="1:19" ht="14.25" hidden="1" customHeight="1">
      <c r="A6" s="470"/>
      <c r="B6" s="470"/>
      <c r="C6" s="470"/>
      <c r="D6" s="470"/>
      <c r="E6" s="470"/>
      <c r="F6" s="470"/>
      <c r="G6" s="470"/>
      <c r="H6" s="468"/>
      <c r="I6" s="468"/>
      <c r="J6" s="468"/>
      <c r="K6" s="468"/>
      <c r="L6" s="468"/>
      <c r="M6" s="468"/>
      <c r="N6" s="468"/>
      <c r="O6" s="468"/>
      <c r="P6" s="468"/>
      <c r="Q6" s="468"/>
      <c r="R6" s="468"/>
      <c r="S6" s="468"/>
    </row>
    <row r="7" spans="1:19" ht="14.25" hidden="1" customHeight="1">
      <c r="A7" s="471"/>
      <c r="B7" s="469"/>
      <c r="C7" s="469"/>
      <c r="D7" s="472" t="s">
        <v>1553</v>
      </c>
      <c r="E7" s="473" t="s">
        <v>228</v>
      </c>
      <c r="F7" s="883"/>
      <c r="G7" s="883"/>
      <c r="H7" s="468"/>
      <c r="I7" s="468"/>
      <c r="J7" s="468"/>
      <c r="K7" s="468"/>
      <c r="L7" s="468"/>
      <c r="M7" s="468"/>
      <c r="N7" s="468"/>
      <c r="O7" s="468"/>
      <c r="P7" s="468"/>
      <c r="Q7" s="468"/>
      <c r="R7" s="468"/>
      <c r="S7" s="468"/>
    </row>
    <row r="8" spans="1:19" ht="14.25" hidden="1" customHeight="1">
      <c r="A8" s="471" t="s">
        <v>1555</v>
      </c>
      <c r="B8" s="469"/>
      <c r="C8" s="469"/>
      <c r="D8" s="469"/>
      <c r="E8" s="469"/>
      <c r="F8" s="469"/>
      <c r="G8" s="469"/>
      <c r="H8" s="468"/>
      <c r="I8" s="468"/>
      <c r="J8" s="468"/>
      <c r="K8" s="468"/>
      <c r="L8" s="468"/>
      <c r="M8" s="468"/>
      <c r="N8" s="468"/>
      <c r="O8" s="468"/>
      <c r="P8" s="468"/>
      <c r="Q8" s="468"/>
      <c r="R8" s="468"/>
      <c r="S8" s="468"/>
    </row>
    <row r="9" spans="1:19" ht="14.25" hidden="1" customHeight="1">
      <c r="A9" s="2011" t="s">
        <v>1556</v>
      </c>
      <c r="B9" s="1601"/>
      <c r="C9" s="1801"/>
      <c r="D9" s="474" t="s">
        <v>208</v>
      </c>
      <c r="E9" s="474" t="s">
        <v>1558</v>
      </c>
      <c r="F9" s="474" t="s">
        <v>1559</v>
      </c>
      <c r="G9" s="475"/>
      <c r="H9" s="468"/>
      <c r="I9" s="468"/>
      <c r="J9" s="468"/>
      <c r="K9" s="468"/>
      <c r="L9" s="468"/>
      <c r="M9" s="468"/>
      <c r="N9" s="468"/>
      <c r="O9" s="468"/>
      <c r="P9" s="468"/>
      <c r="Q9" s="2083"/>
      <c r="R9" s="1605"/>
      <c r="S9" s="1887"/>
    </row>
    <row r="10" spans="1:19" ht="14.25" hidden="1" customHeight="1">
      <c r="A10" s="2060" t="s">
        <v>209</v>
      </c>
      <c r="B10" s="1811"/>
      <c r="C10" s="1967"/>
      <c r="D10" s="478"/>
      <c r="E10" s="477"/>
      <c r="F10" s="478">
        <v>25000</v>
      </c>
      <c r="G10" s="479"/>
      <c r="H10" s="468"/>
      <c r="I10" s="468"/>
      <c r="J10" s="468"/>
      <c r="K10" s="468"/>
      <c r="L10" s="468"/>
      <c r="M10" s="468"/>
      <c r="N10" s="468"/>
      <c r="O10" s="468"/>
      <c r="P10" s="468"/>
      <c r="Q10" s="468"/>
      <c r="R10" s="884"/>
      <c r="S10" s="884"/>
    </row>
    <row r="11" spans="1:19" ht="14.25" hidden="1" customHeight="1">
      <c r="A11" s="2063"/>
      <c r="B11" s="1610"/>
      <c r="C11" s="1611"/>
      <c r="D11" s="482"/>
      <c r="E11" s="481"/>
      <c r="F11" s="482"/>
      <c r="G11" s="483"/>
      <c r="H11" s="468"/>
      <c r="I11" s="468"/>
      <c r="J11" s="468"/>
      <c r="K11" s="468"/>
      <c r="L11" s="468"/>
      <c r="M11" s="468"/>
      <c r="N11" s="468"/>
      <c r="O11" s="468"/>
      <c r="P11" s="468"/>
      <c r="Q11" s="468"/>
      <c r="R11" s="468"/>
      <c r="S11" s="468"/>
    </row>
    <row r="12" spans="1:19" ht="14.25" hidden="1" customHeight="1">
      <c r="A12" s="2064"/>
      <c r="B12" s="1807"/>
      <c r="C12" s="1819"/>
      <c r="D12" s="486"/>
      <c r="E12" s="485"/>
      <c r="F12" s="486"/>
      <c r="G12" s="487"/>
      <c r="H12" s="468"/>
      <c r="I12" s="468"/>
      <c r="J12" s="468"/>
      <c r="K12" s="468"/>
      <c r="L12" s="468"/>
      <c r="M12" s="468"/>
      <c r="N12" s="468"/>
      <c r="O12" s="468"/>
      <c r="P12" s="468"/>
      <c r="Q12" s="468"/>
      <c r="R12" s="468"/>
      <c r="S12" s="468"/>
    </row>
    <row r="13" spans="1:19" ht="14.25" hidden="1" customHeight="1">
      <c r="A13" s="2053" t="s">
        <v>1560</v>
      </c>
      <c r="B13" s="1601"/>
      <c r="C13" s="1601"/>
      <c r="D13" s="1601"/>
      <c r="E13" s="1601"/>
      <c r="F13" s="1801"/>
      <c r="G13" s="488">
        <f>SUM(F10:F12)</f>
        <v>25000</v>
      </c>
      <c r="H13" s="468"/>
      <c r="I13" s="468"/>
      <c r="J13" s="468"/>
      <c r="K13" s="468"/>
      <c r="L13" s="468"/>
      <c r="M13" s="468"/>
      <c r="N13" s="468"/>
      <c r="O13" s="468"/>
      <c r="P13" s="468"/>
      <c r="Q13" s="468"/>
      <c r="R13" s="468"/>
      <c r="S13" s="468"/>
    </row>
    <row r="14" spans="1:19" ht="14.25" hidden="1" customHeight="1">
      <c r="A14" s="471" t="s">
        <v>1561</v>
      </c>
      <c r="B14" s="469"/>
      <c r="C14" s="469"/>
      <c r="D14" s="469"/>
      <c r="E14" s="469"/>
      <c r="F14" s="469"/>
      <c r="G14" s="469"/>
      <c r="H14" s="468"/>
      <c r="I14" s="468"/>
      <c r="J14" s="468"/>
      <c r="K14" s="468"/>
      <c r="L14" s="468"/>
      <c r="M14" s="468"/>
      <c r="N14" s="468"/>
      <c r="O14" s="468"/>
      <c r="P14" s="468"/>
      <c r="Q14" s="468"/>
      <c r="R14" s="884"/>
      <c r="S14" s="884"/>
    </row>
    <row r="15" spans="1:19" ht="14.25" hidden="1" customHeight="1">
      <c r="A15" s="2011" t="s">
        <v>1556</v>
      </c>
      <c r="B15" s="1801"/>
      <c r="C15" s="509" t="s">
        <v>6</v>
      </c>
      <c r="D15" s="474" t="s">
        <v>1562</v>
      </c>
      <c r="E15" s="885" t="s">
        <v>7</v>
      </c>
      <c r="F15" s="886" t="s">
        <v>1559</v>
      </c>
      <c r="G15" s="880"/>
      <c r="H15" s="468"/>
      <c r="I15" s="468"/>
      <c r="J15" s="468"/>
      <c r="K15" s="887"/>
      <c r="L15" s="468"/>
      <c r="M15" s="468"/>
      <c r="N15" s="468"/>
      <c r="O15" s="468"/>
      <c r="P15" s="468"/>
      <c r="Q15" s="468"/>
      <c r="R15" s="884"/>
      <c r="S15" s="884"/>
    </row>
    <row r="16" spans="1:19" ht="14.25" hidden="1" customHeight="1">
      <c r="A16" s="2075" t="s">
        <v>1973</v>
      </c>
      <c r="B16" s="1967"/>
      <c r="C16" s="888" t="s">
        <v>120</v>
      </c>
      <c r="D16" s="889">
        <v>11200</v>
      </c>
      <c r="E16" s="890">
        <v>2</v>
      </c>
      <c r="F16" s="478">
        <f t="shared" ref="F16:F25" si="0">+E16*D16</f>
        <v>22400</v>
      </c>
      <c r="G16" s="479"/>
      <c r="H16" s="468"/>
      <c r="I16" s="468"/>
      <c r="J16" s="468"/>
      <c r="K16" s="887"/>
      <c r="L16" s="468"/>
      <c r="M16" s="468"/>
      <c r="N16" s="468"/>
      <c r="O16" s="468"/>
      <c r="P16" s="468"/>
      <c r="Q16" s="468"/>
      <c r="R16" s="884"/>
      <c r="S16" s="884"/>
    </row>
    <row r="17" spans="1:7" ht="14.25" hidden="1" customHeight="1">
      <c r="A17" s="2079" t="s">
        <v>1974</v>
      </c>
      <c r="B17" s="1814"/>
      <c r="C17" s="891" t="s">
        <v>120</v>
      </c>
      <c r="D17" s="892">
        <v>10600</v>
      </c>
      <c r="E17" s="893">
        <v>4</v>
      </c>
      <c r="F17" s="482">
        <f t="shared" si="0"/>
        <v>42400</v>
      </c>
      <c r="G17" s="483"/>
    </row>
    <row r="18" spans="1:7" ht="14.25" hidden="1" customHeight="1">
      <c r="A18" s="2067" t="s">
        <v>1975</v>
      </c>
      <c r="B18" s="1611"/>
      <c r="C18" s="891" t="s">
        <v>120</v>
      </c>
      <c r="D18" s="892">
        <v>4283</v>
      </c>
      <c r="E18" s="894">
        <v>1</v>
      </c>
      <c r="F18" s="482">
        <f t="shared" si="0"/>
        <v>4283</v>
      </c>
      <c r="G18" s="483"/>
    </row>
    <row r="19" spans="1:7" ht="14.25" hidden="1" customHeight="1">
      <c r="A19" s="2067" t="s">
        <v>1976</v>
      </c>
      <c r="B19" s="1611"/>
      <c r="C19" s="891" t="s">
        <v>120</v>
      </c>
      <c r="D19" s="892">
        <v>5867</v>
      </c>
      <c r="E19" s="894">
        <v>1</v>
      </c>
      <c r="F19" s="482">
        <f t="shared" si="0"/>
        <v>5867</v>
      </c>
      <c r="G19" s="483"/>
    </row>
    <row r="20" spans="1:7" ht="14.25" hidden="1" customHeight="1">
      <c r="A20" s="2084" t="s">
        <v>1977</v>
      </c>
      <c r="B20" s="1611"/>
      <c r="C20" s="891" t="s">
        <v>120</v>
      </c>
      <c r="D20" s="892">
        <v>5983</v>
      </c>
      <c r="E20" s="894">
        <v>1</v>
      </c>
      <c r="F20" s="482">
        <f t="shared" si="0"/>
        <v>5983</v>
      </c>
      <c r="G20" s="483"/>
    </row>
    <row r="21" spans="1:7" ht="14.25" hidden="1" customHeight="1">
      <c r="A21" s="2057" t="s">
        <v>1978</v>
      </c>
      <c r="B21" s="1611"/>
      <c r="C21" s="891" t="s">
        <v>120</v>
      </c>
      <c r="D21" s="892">
        <v>5350</v>
      </c>
      <c r="E21" s="893">
        <v>1</v>
      </c>
      <c r="F21" s="482">
        <f t="shared" si="0"/>
        <v>5350</v>
      </c>
      <c r="G21" s="483"/>
    </row>
    <row r="22" spans="1:7" ht="14.25" hidden="1" customHeight="1">
      <c r="A22" s="2057" t="s">
        <v>1979</v>
      </c>
      <c r="B22" s="1611"/>
      <c r="C22" s="891" t="s">
        <v>120</v>
      </c>
      <c r="D22" s="895">
        <v>5400</v>
      </c>
      <c r="E22" s="893">
        <v>2</v>
      </c>
      <c r="F22" s="482">
        <f t="shared" si="0"/>
        <v>10800</v>
      </c>
      <c r="G22" s="483"/>
    </row>
    <row r="23" spans="1:7" ht="14.25" hidden="1" customHeight="1">
      <c r="A23" s="2057" t="s">
        <v>1980</v>
      </c>
      <c r="B23" s="1611"/>
      <c r="C23" s="891" t="s">
        <v>120</v>
      </c>
      <c r="D23" s="895">
        <v>2817</v>
      </c>
      <c r="E23" s="893">
        <v>1</v>
      </c>
      <c r="F23" s="482">
        <f t="shared" si="0"/>
        <v>2817</v>
      </c>
      <c r="G23" s="483"/>
    </row>
    <row r="24" spans="1:7" ht="14.25" hidden="1" customHeight="1">
      <c r="A24" s="2084" t="s">
        <v>1981</v>
      </c>
      <c r="B24" s="1611"/>
      <c r="C24" s="891" t="s">
        <v>899</v>
      </c>
      <c r="D24" s="895">
        <v>6000</v>
      </c>
      <c r="E24" s="893">
        <v>1</v>
      </c>
      <c r="F24" s="482">
        <f t="shared" si="0"/>
        <v>6000</v>
      </c>
      <c r="G24" s="483"/>
    </row>
    <row r="25" spans="1:7" ht="14.25" hidden="1" customHeight="1">
      <c r="A25" s="2065" t="str">
        <f>'LISTADO MATERIALES'!C401</f>
        <v>VIDRIO 4mm</v>
      </c>
      <c r="B25" s="1819"/>
      <c r="C25" s="896" t="s">
        <v>228</v>
      </c>
      <c r="D25" s="897">
        <f>'LISTADO MATERIALES'!$E$401</f>
        <v>22050</v>
      </c>
      <c r="E25" s="898">
        <v>1</v>
      </c>
      <c r="F25" s="506">
        <f t="shared" si="0"/>
        <v>22050</v>
      </c>
      <c r="G25" s="501"/>
    </row>
    <row r="26" spans="1:7" ht="14.25" hidden="1" customHeight="1">
      <c r="A26" s="2056" t="s">
        <v>1560</v>
      </c>
      <c r="B26" s="1817"/>
      <c r="C26" s="1817"/>
      <c r="D26" s="1817"/>
      <c r="E26" s="1817"/>
      <c r="F26" s="2000"/>
      <c r="G26" s="502">
        <f>SUM(F16:F25)</f>
        <v>127950</v>
      </c>
    </row>
    <row r="27" spans="1:7" ht="14.25" hidden="1" customHeight="1">
      <c r="A27" s="471" t="s">
        <v>1563</v>
      </c>
      <c r="B27" s="469"/>
      <c r="C27" s="469"/>
      <c r="D27" s="469"/>
      <c r="E27" s="469"/>
      <c r="F27" s="469"/>
      <c r="G27" s="469"/>
    </row>
    <row r="28" spans="1:7" ht="14.25" hidden="1" customHeight="1">
      <c r="A28" s="2011" t="s">
        <v>1556</v>
      </c>
      <c r="B28" s="1801"/>
      <c r="C28" s="474" t="s">
        <v>6</v>
      </c>
      <c r="D28" s="474" t="s">
        <v>1562</v>
      </c>
      <c r="E28" s="474" t="s">
        <v>7</v>
      </c>
      <c r="F28" s="474" t="s">
        <v>1559</v>
      </c>
      <c r="G28" s="503"/>
    </row>
    <row r="29" spans="1:7" ht="14.25" hidden="1" customHeight="1">
      <c r="A29" s="2060"/>
      <c r="B29" s="1967"/>
      <c r="C29" s="504"/>
      <c r="D29" s="478"/>
      <c r="E29" s="505"/>
      <c r="F29" s="482"/>
      <c r="G29" s="479"/>
    </row>
    <row r="30" spans="1:7" ht="14.25" hidden="1" customHeight="1">
      <c r="A30" s="2052"/>
      <c r="B30" s="1819"/>
      <c r="C30" s="504"/>
      <c r="D30" s="506"/>
      <c r="E30" s="507"/>
      <c r="F30" s="506"/>
      <c r="G30" s="508"/>
    </row>
    <row r="31" spans="1:7" ht="14.25" hidden="1" customHeight="1">
      <c r="A31" s="2053" t="s">
        <v>1560</v>
      </c>
      <c r="B31" s="1601"/>
      <c r="C31" s="1601"/>
      <c r="D31" s="1601"/>
      <c r="E31" s="1601"/>
      <c r="F31" s="1801"/>
      <c r="G31" s="488"/>
    </row>
    <row r="32" spans="1:7" ht="14.25" hidden="1" customHeight="1">
      <c r="A32" s="471" t="s">
        <v>1564</v>
      </c>
      <c r="B32" s="469"/>
      <c r="C32" s="469"/>
      <c r="D32" s="469"/>
      <c r="E32" s="469"/>
      <c r="F32" s="469"/>
      <c r="G32" s="469"/>
    </row>
    <row r="33" spans="1:7" ht="14.25" hidden="1" customHeight="1">
      <c r="A33" s="2011" t="s">
        <v>1565</v>
      </c>
      <c r="B33" s="1801"/>
      <c r="C33" s="474" t="s">
        <v>1566</v>
      </c>
      <c r="D33" s="474" t="s">
        <v>7</v>
      </c>
      <c r="E33" s="474" t="s">
        <v>1571</v>
      </c>
      <c r="F33" s="474" t="s">
        <v>1559</v>
      </c>
      <c r="G33" s="899"/>
    </row>
    <row r="34" spans="1:7" ht="14.25" hidden="1" customHeight="1">
      <c r="A34" s="2080" t="s">
        <v>1716</v>
      </c>
      <c r="B34" s="1888"/>
      <c r="C34" s="900">
        <v>14142.890951641079</v>
      </c>
      <c r="D34" s="901">
        <v>3</v>
      </c>
      <c r="E34" s="901">
        <v>0.5</v>
      </c>
      <c r="F34" s="902">
        <f>(C34*D34)/E34</f>
        <v>84857.345709846471</v>
      </c>
      <c r="G34" s="479"/>
    </row>
    <row r="35" spans="1:7" ht="14.25" hidden="1" customHeight="1">
      <c r="A35" s="2072"/>
      <c r="B35" s="1819"/>
      <c r="C35" s="903"/>
      <c r="D35" s="904"/>
      <c r="E35" s="904"/>
      <c r="F35" s="905"/>
      <c r="G35" s="501"/>
    </row>
    <row r="36" spans="1:7" ht="14.25" hidden="1" customHeight="1">
      <c r="A36" s="2053" t="str">
        <f>+A31</f>
        <v>SUB-TOTAL</v>
      </c>
      <c r="B36" s="1601"/>
      <c r="C36" s="1601"/>
      <c r="D36" s="1601"/>
      <c r="E36" s="1601"/>
      <c r="F36" s="1801"/>
      <c r="G36" s="488">
        <f>SUM(F34:F35)</f>
        <v>84857.345709846471</v>
      </c>
    </row>
    <row r="37" spans="1:7" ht="14.25" hidden="1" customHeight="1">
      <c r="A37" s="469"/>
      <c r="B37" s="469"/>
      <c r="C37" s="469"/>
      <c r="D37" s="469"/>
      <c r="E37" s="469"/>
      <c r="F37" s="519"/>
      <c r="G37" s="469"/>
    </row>
    <row r="38" spans="1:7" ht="14.25" hidden="1" customHeight="1">
      <c r="A38" s="2053" t="s">
        <v>1567</v>
      </c>
      <c r="B38" s="1601"/>
      <c r="C38" s="1601"/>
      <c r="D38" s="1601"/>
      <c r="E38" s="1601"/>
      <c r="F38" s="1801"/>
      <c r="G38" s="906">
        <f>ROUND(G13+G26+G31+G36,0)</f>
        <v>237807</v>
      </c>
    </row>
    <row r="39" spans="1:7" ht="14.25" hidden="1" customHeight="1">
      <c r="A39" s="468"/>
      <c r="B39" s="468"/>
      <c r="C39" s="468"/>
      <c r="D39" s="468"/>
      <c r="E39" s="468"/>
      <c r="F39" s="468"/>
      <c r="G39" s="468"/>
    </row>
    <row r="40" spans="1:7" ht="14.25" hidden="1" customHeight="1">
      <c r="A40" s="468"/>
      <c r="B40" s="468"/>
      <c r="C40" s="468"/>
      <c r="D40" s="468"/>
      <c r="E40" s="468"/>
      <c r="F40" s="468"/>
      <c r="G40" s="468"/>
    </row>
    <row r="41" spans="1:7" ht="24" hidden="1" customHeight="1">
      <c r="A41" s="2054" t="s">
        <v>1604</v>
      </c>
      <c r="B41" s="1616"/>
      <c r="C41" s="1624"/>
      <c r="D41" s="879"/>
      <c r="E41" s="879"/>
      <c r="F41" s="879"/>
      <c r="G41" s="880"/>
    </row>
    <row r="42" spans="1:7" ht="26.25" hidden="1" customHeight="1">
      <c r="A42" s="1971"/>
      <c r="B42" s="1817"/>
      <c r="C42" s="1972"/>
      <c r="D42" s="881"/>
      <c r="E42" s="881"/>
      <c r="F42" s="881"/>
      <c r="G42" s="882"/>
    </row>
    <row r="43" spans="1:7" ht="14.25" hidden="1" customHeight="1">
      <c r="A43" s="469"/>
      <c r="B43" s="469"/>
      <c r="C43" s="469"/>
      <c r="D43" s="469"/>
      <c r="E43" s="469"/>
      <c r="F43" s="469"/>
      <c r="G43" s="469"/>
    </row>
    <row r="44" spans="1:7" ht="24.75" hidden="1" customHeight="1">
      <c r="A44" s="2061" t="str">
        <f>A5</f>
        <v>PRECIOS UNITARIOS OFICIALES 2014</v>
      </c>
      <c r="B44" s="1601"/>
      <c r="C44" s="1602"/>
      <c r="D44" s="2011" t="s">
        <v>1982</v>
      </c>
      <c r="E44" s="1601"/>
      <c r="F44" s="1601"/>
      <c r="G44" s="1602"/>
    </row>
    <row r="45" spans="1:7" ht="14.25" hidden="1" customHeight="1">
      <c r="A45" s="470"/>
      <c r="B45" s="470"/>
      <c r="C45" s="470"/>
      <c r="D45" s="470"/>
      <c r="E45" s="470"/>
      <c r="F45" s="470"/>
      <c r="G45" s="470"/>
    </row>
    <row r="46" spans="1:7" ht="14.25" hidden="1" customHeight="1">
      <c r="A46" s="471"/>
      <c r="B46" s="469"/>
      <c r="C46" s="469"/>
      <c r="D46" s="472" t="s">
        <v>1553</v>
      </c>
      <c r="E46" s="473" t="s">
        <v>127</v>
      </c>
      <c r="F46" s="883"/>
      <c r="G46" s="883"/>
    </row>
    <row r="47" spans="1:7" ht="14.25" hidden="1" customHeight="1">
      <c r="A47" s="471" t="s">
        <v>1555</v>
      </c>
      <c r="B47" s="469"/>
      <c r="C47" s="469"/>
      <c r="D47" s="469"/>
      <c r="E47" s="469"/>
      <c r="F47" s="469"/>
      <c r="G47" s="469"/>
    </row>
    <row r="48" spans="1:7" ht="14.25" hidden="1" customHeight="1">
      <c r="A48" s="2011" t="s">
        <v>1556</v>
      </c>
      <c r="B48" s="1601"/>
      <c r="C48" s="1801"/>
      <c r="D48" s="474" t="s">
        <v>1983</v>
      </c>
      <c r="E48" s="474" t="s">
        <v>1558</v>
      </c>
      <c r="F48" s="474" t="s">
        <v>1559</v>
      </c>
      <c r="G48" s="475"/>
    </row>
    <row r="49" spans="1:7" ht="14.25" hidden="1" customHeight="1">
      <c r="A49" s="2060" t="s">
        <v>1984</v>
      </c>
      <c r="B49" s="1811"/>
      <c r="C49" s="1967"/>
      <c r="D49" s="478">
        <f>+'LISTADO EQUIPOS'!$E$22/8</f>
        <v>2850</v>
      </c>
      <c r="E49" s="477">
        <v>0.44</v>
      </c>
      <c r="F49" s="478">
        <f>D49*E49</f>
        <v>1254</v>
      </c>
      <c r="G49" s="479"/>
    </row>
    <row r="50" spans="1:7" ht="14.25" hidden="1" customHeight="1">
      <c r="A50" s="2063"/>
      <c r="B50" s="1610"/>
      <c r="C50" s="1611"/>
      <c r="D50" s="482"/>
      <c r="E50" s="481"/>
      <c r="F50" s="482"/>
      <c r="G50" s="483"/>
    </row>
    <row r="51" spans="1:7" ht="14.25" hidden="1" customHeight="1">
      <c r="A51" s="2064"/>
      <c r="B51" s="1807"/>
      <c r="C51" s="1819"/>
      <c r="D51" s="486"/>
      <c r="E51" s="485"/>
      <c r="F51" s="486"/>
      <c r="G51" s="487"/>
    </row>
    <row r="52" spans="1:7" ht="14.25" hidden="1" customHeight="1">
      <c r="A52" s="2053" t="s">
        <v>1560</v>
      </c>
      <c r="B52" s="1601"/>
      <c r="C52" s="1601"/>
      <c r="D52" s="1601"/>
      <c r="E52" s="1601"/>
      <c r="F52" s="1801"/>
      <c r="G52" s="488">
        <f>SUM(F49:F51)</f>
        <v>1254</v>
      </c>
    </row>
    <row r="53" spans="1:7" ht="14.25" hidden="1" customHeight="1">
      <c r="A53" s="471" t="s">
        <v>1561</v>
      </c>
      <c r="B53" s="469"/>
      <c r="C53" s="469"/>
      <c r="D53" s="469"/>
      <c r="E53" s="469"/>
      <c r="F53" s="469"/>
      <c r="G53" s="469"/>
    </row>
    <row r="54" spans="1:7" ht="14.25" hidden="1" customHeight="1">
      <c r="A54" s="2011" t="s">
        <v>1556</v>
      </c>
      <c r="B54" s="1801"/>
      <c r="C54" s="509" t="s">
        <v>6</v>
      </c>
      <c r="D54" s="474" t="s">
        <v>1562</v>
      </c>
      <c r="E54" s="885" t="s">
        <v>7</v>
      </c>
      <c r="F54" s="886" t="s">
        <v>1559</v>
      </c>
      <c r="G54" s="880"/>
    </row>
    <row r="55" spans="1:7" ht="14.25" hidden="1" customHeight="1">
      <c r="A55" s="2075" t="s">
        <v>1985</v>
      </c>
      <c r="B55" s="1967"/>
      <c r="C55" s="888" t="s">
        <v>1707</v>
      </c>
      <c r="D55" s="889">
        <f>'LISTADO MATERIALES'!E498</f>
        <v>29400</v>
      </c>
      <c r="E55" s="907">
        <v>2.5000000000000001E-2</v>
      </c>
      <c r="F55" s="478">
        <f t="shared" ref="F55:F58" si="1">+E55*D55</f>
        <v>735</v>
      </c>
      <c r="G55" s="908">
        <f t="shared" ref="G55:G58" si="2">E55*F55</f>
        <v>18.375</v>
      </c>
    </row>
    <row r="56" spans="1:7" ht="14.25" hidden="1" customHeight="1">
      <c r="A56" s="2079" t="s">
        <v>1986</v>
      </c>
      <c r="B56" s="1814"/>
      <c r="C56" s="891" t="s">
        <v>127</v>
      </c>
      <c r="D56" s="892">
        <v>2500</v>
      </c>
      <c r="E56" s="909">
        <v>7.4999999999999997E-2</v>
      </c>
      <c r="F56" s="482">
        <f t="shared" si="1"/>
        <v>187.5</v>
      </c>
      <c r="G56" s="910">
        <f t="shared" si="2"/>
        <v>14.0625</v>
      </c>
    </row>
    <row r="57" spans="1:7" ht="14.25" hidden="1" customHeight="1">
      <c r="A57" s="2067" t="s">
        <v>1987</v>
      </c>
      <c r="B57" s="1611"/>
      <c r="C57" s="891" t="s">
        <v>127</v>
      </c>
      <c r="D57" s="892">
        <f>'LISTADO MATERIALES'!E518</f>
        <v>74117</v>
      </c>
      <c r="E57" s="911">
        <v>1.4999999999999999E-2</v>
      </c>
      <c r="F57" s="482">
        <f t="shared" si="1"/>
        <v>1111.7549999999999</v>
      </c>
      <c r="G57" s="910">
        <f t="shared" si="2"/>
        <v>16.676324999999999</v>
      </c>
    </row>
    <row r="58" spans="1:7" ht="14.25" hidden="1" customHeight="1">
      <c r="A58" s="2067" t="s">
        <v>1988</v>
      </c>
      <c r="B58" s="1611"/>
      <c r="C58" s="891" t="s">
        <v>127</v>
      </c>
      <c r="D58" s="892">
        <f>'LISTADO MATERIALES'!E333</f>
        <v>94500</v>
      </c>
      <c r="E58" s="912">
        <v>1</v>
      </c>
      <c r="F58" s="482">
        <f t="shared" si="1"/>
        <v>94500</v>
      </c>
      <c r="G58" s="913">
        <f t="shared" si="2"/>
        <v>94500</v>
      </c>
    </row>
    <row r="59" spans="1:7" ht="14.25" hidden="1" customHeight="1">
      <c r="A59" s="2065"/>
      <c r="B59" s="1819"/>
      <c r="C59" s="896"/>
      <c r="D59" s="914"/>
      <c r="E59" s="898"/>
      <c r="F59" s="506"/>
      <c r="G59" s="501"/>
    </row>
    <row r="60" spans="1:7" ht="14.25" hidden="1" customHeight="1">
      <c r="A60" s="2056" t="s">
        <v>1560</v>
      </c>
      <c r="B60" s="1817"/>
      <c r="C60" s="1817"/>
      <c r="D60" s="1817"/>
      <c r="E60" s="1817"/>
      <c r="F60" s="2000"/>
      <c r="G60" s="502">
        <f>SUM(F55:F59)</f>
        <v>96534.255000000005</v>
      </c>
    </row>
    <row r="61" spans="1:7" ht="14.25" hidden="1" customHeight="1">
      <c r="A61" s="471" t="s">
        <v>1563</v>
      </c>
      <c r="B61" s="469"/>
      <c r="C61" s="469"/>
      <c r="D61" s="469"/>
      <c r="E61" s="469"/>
      <c r="F61" s="469"/>
      <c r="G61" s="469"/>
    </row>
    <row r="62" spans="1:7" ht="14.25" hidden="1" customHeight="1">
      <c r="A62" s="2011" t="s">
        <v>1556</v>
      </c>
      <c r="B62" s="1801"/>
      <c r="C62" s="474" t="s">
        <v>6</v>
      </c>
      <c r="D62" s="474" t="s">
        <v>1562</v>
      </c>
      <c r="E62" s="474" t="s">
        <v>7</v>
      </c>
      <c r="F62" s="474" t="s">
        <v>1559</v>
      </c>
      <c r="G62" s="503"/>
    </row>
    <row r="63" spans="1:7" ht="14.25" hidden="1" customHeight="1">
      <c r="A63" s="2060"/>
      <c r="B63" s="1967"/>
      <c r="C63" s="504"/>
      <c r="D63" s="478"/>
      <c r="E63" s="505"/>
      <c r="F63" s="482"/>
      <c r="G63" s="479"/>
    </row>
    <row r="64" spans="1:7" ht="14.25" hidden="1" customHeight="1">
      <c r="A64" s="2052"/>
      <c r="B64" s="1819"/>
      <c r="C64" s="504"/>
      <c r="D64" s="506"/>
      <c r="E64" s="507"/>
      <c r="F64" s="506"/>
      <c r="G64" s="508"/>
    </row>
    <row r="65" spans="1:7" ht="14.25" hidden="1" customHeight="1">
      <c r="A65" s="2053" t="s">
        <v>1560</v>
      </c>
      <c r="B65" s="1601"/>
      <c r="C65" s="1601"/>
      <c r="D65" s="1601"/>
      <c r="E65" s="1601"/>
      <c r="F65" s="1801"/>
      <c r="G65" s="488"/>
    </row>
    <row r="66" spans="1:7" ht="14.25" hidden="1" customHeight="1">
      <c r="A66" s="471" t="s">
        <v>1564</v>
      </c>
      <c r="B66" s="469"/>
      <c r="C66" s="469"/>
      <c r="D66" s="469"/>
      <c r="E66" s="469"/>
      <c r="F66" s="469"/>
      <c r="G66" s="469"/>
    </row>
    <row r="67" spans="1:7" ht="14.25" hidden="1" customHeight="1">
      <c r="A67" s="2011" t="s">
        <v>1565</v>
      </c>
      <c r="B67" s="1801"/>
      <c r="C67" s="474" t="s">
        <v>1566</v>
      </c>
      <c r="D67" s="474" t="s">
        <v>6</v>
      </c>
      <c r="E67" s="474" t="s">
        <v>7</v>
      </c>
      <c r="F67" s="474" t="s">
        <v>1559</v>
      </c>
      <c r="G67" s="899"/>
    </row>
    <row r="68" spans="1:7" ht="14.25" hidden="1" customHeight="1">
      <c r="A68" s="2080" t="str">
        <f>'MANO DE OBRA'!$A$85</f>
        <v>Oficial (Incl. Prestaciones)</v>
      </c>
      <c r="B68" s="1888"/>
      <c r="C68" s="900">
        <v>7410.96</v>
      </c>
      <c r="D68" s="901">
        <v>1</v>
      </c>
      <c r="E68" s="915">
        <v>1.1000000000000001</v>
      </c>
      <c r="F68" s="902">
        <f t="shared" ref="F68:F69" si="3">C68*E68</f>
        <v>8152.0560000000005</v>
      </c>
      <c r="G68" s="479"/>
    </row>
    <row r="69" spans="1:7" ht="14.25" hidden="1" customHeight="1">
      <c r="A69" s="2072" t="str">
        <f>'MANO DE OBRA'!$A$86</f>
        <v>Ayudante (Incl. Prestaciones)</v>
      </c>
      <c r="B69" s="1819"/>
      <c r="C69" s="903">
        <v>4550.79</v>
      </c>
      <c r="D69" s="904">
        <v>11</v>
      </c>
      <c r="E69" s="916">
        <v>1.1000000000000001</v>
      </c>
      <c r="F69" s="905">
        <f t="shared" si="3"/>
        <v>5005.8690000000006</v>
      </c>
      <c r="G69" s="501"/>
    </row>
    <row r="70" spans="1:7" ht="14.25" hidden="1" customHeight="1">
      <c r="A70" s="2053" t="str">
        <f>+A65</f>
        <v>SUB-TOTAL</v>
      </c>
      <c r="B70" s="1601"/>
      <c r="C70" s="1601"/>
      <c r="D70" s="1601"/>
      <c r="E70" s="1601"/>
      <c r="F70" s="1801"/>
      <c r="G70" s="488">
        <f>SUM(F68:F69)</f>
        <v>13157.925000000001</v>
      </c>
    </row>
    <row r="71" spans="1:7" ht="14.25" hidden="1" customHeight="1">
      <c r="A71" s="469"/>
      <c r="B71" s="469"/>
      <c r="C71" s="469"/>
      <c r="D71" s="469"/>
      <c r="E71" s="469"/>
      <c r="F71" s="519"/>
      <c r="G71" s="469"/>
    </row>
    <row r="72" spans="1:7" ht="14.25" hidden="1" customHeight="1">
      <c r="A72" s="2053" t="s">
        <v>1567</v>
      </c>
      <c r="B72" s="1601"/>
      <c r="C72" s="1601"/>
      <c r="D72" s="1601"/>
      <c r="E72" s="1601"/>
      <c r="F72" s="1801"/>
      <c r="G72" s="906">
        <f>ROUND(G52+G60+G65+G70,0)</f>
        <v>110946</v>
      </c>
    </row>
    <row r="73" spans="1:7" ht="14.25" hidden="1" customHeight="1">
      <c r="A73" s="468"/>
      <c r="B73" s="468"/>
      <c r="C73" s="468"/>
      <c r="D73" s="468"/>
      <c r="E73" s="468"/>
      <c r="F73" s="468"/>
      <c r="G73" s="468"/>
    </row>
    <row r="74" spans="1:7" ht="14.25" hidden="1" customHeight="1">
      <c r="A74" s="468"/>
      <c r="B74" s="468"/>
      <c r="C74" s="468"/>
      <c r="D74" s="468"/>
      <c r="E74" s="468"/>
      <c r="F74" s="468"/>
      <c r="G74" s="468"/>
    </row>
    <row r="75" spans="1:7" ht="21" hidden="1" customHeight="1">
      <c r="A75" s="2054" t="s">
        <v>1604</v>
      </c>
      <c r="B75" s="1616"/>
      <c r="C75" s="1624"/>
      <c r="D75" s="879"/>
      <c r="E75" s="879"/>
      <c r="F75" s="879"/>
      <c r="G75" s="880"/>
    </row>
    <row r="76" spans="1:7" ht="21" hidden="1" customHeight="1">
      <c r="A76" s="1971"/>
      <c r="B76" s="1817"/>
      <c r="C76" s="1972"/>
      <c r="D76" s="881"/>
      <c r="E76" s="881"/>
      <c r="F76" s="881"/>
      <c r="G76" s="882"/>
    </row>
    <row r="77" spans="1:7" ht="14.25" hidden="1" customHeight="1">
      <c r="A77" s="469"/>
      <c r="B77" s="469"/>
      <c r="C77" s="469"/>
      <c r="D77" s="469"/>
      <c r="E77" s="469"/>
      <c r="F77" s="469"/>
      <c r="G77" s="469"/>
    </row>
    <row r="78" spans="1:7" ht="36" hidden="1" customHeight="1">
      <c r="A78" s="2061" t="str">
        <f>A5</f>
        <v>PRECIOS UNITARIOS OFICIALES 2014</v>
      </c>
      <c r="B78" s="1601"/>
      <c r="C78" s="1602"/>
      <c r="D78" s="2062" t="s">
        <v>1989</v>
      </c>
      <c r="E78" s="1601"/>
      <c r="F78" s="1601"/>
      <c r="G78" s="1602"/>
    </row>
    <row r="79" spans="1:7" ht="14.25" hidden="1" customHeight="1">
      <c r="A79" s="470"/>
      <c r="B79" s="470"/>
      <c r="C79" s="470"/>
      <c r="D79" s="470"/>
      <c r="E79" s="470"/>
      <c r="F79" s="470"/>
      <c r="G79" s="470"/>
    </row>
    <row r="80" spans="1:7" ht="14.25" hidden="1" customHeight="1">
      <c r="A80" s="471"/>
      <c r="B80" s="469"/>
      <c r="C80" s="469"/>
      <c r="D80" s="472" t="s">
        <v>1553</v>
      </c>
      <c r="E80" s="473" t="s">
        <v>127</v>
      </c>
      <c r="F80" s="883"/>
      <c r="G80" s="883"/>
    </row>
    <row r="81" spans="1:7" ht="14.25" hidden="1" customHeight="1">
      <c r="A81" s="471" t="s">
        <v>1555</v>
      </c>
      <c r="B81" s="469"/>
      <c r="C81" s="469"/>
      <c r="D81" s="469"/>
      <c r="E81" s="469"/>
      <c r="F81" s="469"/>
      <c r="G81" s="469"/>
    </row>
    <row r="82" spans="1:7" ht="14.25" hidden="1" customHeight="1">
      <c r="A82" s="2011" t="s">
        <v>1556</v>
      </c>
      <c r="B82" s="1601"/>
      <c r="C82" s="1801"/>
      <c r="D82" s="474" t="s">
        <v>1557</v>
      </c>
      <c r="E82" s="474" t="s">
        <v>1558</v>
      </c>
      <c r="F82" s="474" t="s">
        <v>1559</v>
      </c>
      <c r="G82" s="475"/>
    </row>
    <row r="83" spans="1:7" ht="14.25" hidden="1" customHeight="1">
      <c r="A83" s="2060" t="s">
        <v>209</v>
      </c>
      <c r="B83" s="1811"/>
      <c r="C83" s="1967"/>
      <c r="D83" s="476" t="s">
        <v>899</v>
      </c>
      <c r="E83" s="477">
        <v>1</v>
      </c>
      <c r="F83" s="478">
        <f>+'LISTADO EQUIPOS'!$E$22/8</f>
        <v>2850</v>
      </c>
      <c r="G83" s="479"/>
    </row>
    <row r="84" spans="1:7" ht="14.25" hidden="1" customHeight="1">
      <c r="A84" s="2063" t="s">
        <v>1714</v>
      </c>
      <c r="B84" s="1610"/>
      <c r="C84" s="1611"/>
      <c r="D84" s="480">
        <v>38400</v>
      </c>
      <c r="E84" s="481">
        <v>0.05</v>
      </c>
      <c r="F84" s="482">
        <f t="shared" ref="F84:F85" si="4">D84*E84</f>
        <v>1920</v>
      </c>
      <c r="G84" s="483"/>
    </row>
    <row r="85" spans="1:7" ht="14.25" hidden="1" customHeight="1">
      <c r="A85" s="2064" t="s">
        <v>1990</v>
      </c>
      <c r="B85" s="1807"/>
      <c r="C85" s="1819"/>
      <c r="D85" s="484">
        <v>71500</v>
      </c>
      <c r="E85" s="485">
        <v>0.12</v>
      </c>
      <c r="F85" s="486">
        <f t="shared" si="4"/>
        <v>8580</v>
      </c>
      <c r="G85" s="487"/>
    </row>
    <row r="86" spans="1:7" ht="14.25" hidden="1" customHeight="1">
      <c r="A86" s="2053" t="s">
        <v>1560</v>
      </c>
      <c r="B86" s="1601"/>
      <c r="C86" s="1601"/>
      <c r="D86" s="1601"/>
      <c r="E86" s="1601"/>
      <c r="F86" s="1801"/>
      <c r="G86" s="488">
        <f>SUM(F83:F85)</f>
        <v>13350</v>
      </c>
    </row>
    <row r="87" spans="1:7" ht="14.25" hidden="1" customHeight="1">
      <c r="A87" s="471" t="s">
        <v>1561</v>
      </c>
      <c r="B87" s="469"/>
      <c r="C87" s="469"/>
      <c r="D87" s="469"/>
      <c r="E87" s="469"/>
      <c r="F87" s="469"/>
      <c r="G87" s="469"/>
    </row>
    <row r="88" spans="1:7" ht="14.25" hidden="1" customHeight="1">
      <c r="A88" s="2054" t="s">
        <v>1556</v>
      </c>
      <c r="B88" s="1624"/>
      <c r="C88" s="886" t="s">
        <v>6</v>
      </c>
      <c r="D88" s="917" t="s">
        <v>1562</v>
      </c>
      <c r="E88" s="886" t="s">
        <v>7</v>
      </c>
      <c r="F88" s="886" t="s">
        <v>1559</v>
      </c>
      <c r="G88" s="880"/>
    </row>
    <row r="89" spans="1:7" ht="14.25" hidden="1" customHeight="1">
      <c r="A89" s="2068" t="s">
        <v>1991</v>
      </c>
      <c r="B89" s="1967"/>
      <c r="C89" s="918" t="s">
        <v>1992</v>
      </c>
      <c r="D89" s="919">
        <f>'LISTADO MATERIALES'!E394</f>
        <v>1260</v>
      </c>
      <c r="E89" s="920">
        <v>2.5</v>
      </c>
      <c r="F89" s="478">
        <f t="shared" ref="F89:F98" si="5">(D89*E89)</f>
        <v>3150</v>
      </c>
      <c r="G89" s="479"/>
    </row>
    <row r="90" spans="1:7" ht="14.25" hidden="1" customHeight="1">
      <c r="A90" s="2058" t="s">
        <v>1993</v>
      </c>
      <c r="B90" s="1611"/>
      <c r="C90" s="921" t="s">
        <v>1219</v>
      </c>
      <c r="D90" s="922">
        <f>'LISTADO MATERIALES'!$E$773</f>
        <v>1943</v>
      </c>
      <c r="E90" s="923">
        <v>3</v>
      </c>
      <c r="F90" s="482">
        <f t="shared" si="5"/>
        <v>5829</v>
      </c>
      <c r="G90" s="483"/>
    </row>
    <row r="91" spans="1:7" ht="14.25" hidden="1" customHeight="1">
      <c r="A91" s="2058" t="str">
        <f>'LISTADO MATERIALES'!$C$772</f>
        <v>MASILLA PARA METAL</v>
      </c>
      <c r="B91" s="1611"/>
      <c r="C91" s="921" t="str">
        <f>'LISTADO MATERIALES'!D772</f>
        <v>CTE</v>
      </c>
      <c r="D91" s="922">
        <f>'LISTADO MATERIALES'!$E$407</f>
        <v>39755</v>
      </c>
      <c r="E91" s="923">
        <f>0.01+0.1</f>
        <v>0.11</v>
      </c>
      <c r="F91" s="482">
        <f t="shared" si="5"/>
        <v>4373.05</v>
      </c>
      <c r="G91" s="483"/>
    </row>
    <row r="92" spans="1:7" ht="14.25" hidden="1" customHeight="1">
      <c r="A92" s="2058" t="s">
        <v>1994</v>
      </c>
      <c r="B92" s="1611"/>
      <c r="C92" s="921" t="s">
        <v>1995</v>
      </c>
      <c r="D92" s="922">
        <f>'LISTADO MATERIALES'!$E$379</f>
        <v>16275</v>
      </c>
      <c r="E92" s="923">
        <v>2.5000000000000001E-2</v>
      </c>
      <c r="F92" s="482">
        <f t="shared" si="5"/>
        <v>406.875</v>
      </c>
      <c r="G92" s="483"/>
    </row>
    <row r="93" spans="1:7" ht="14.25" hidden="1" customHeight="1">
      <c r="A93" s="2058" t="s">
        <v>1996</v>
      </c>
      <c r="B93" s="1611"/>
      <c r="C93" s="921" t="s">
        <v>1995</v>
      </c>
      <c r="D93" s="922">
        <f>'LISTADO MATERIALES'!$E$380</f>
        <v>51450</v>
      </c>
      <c r="E93" s="923">
        <v>0.22</v>
      </c>
      <c r="F93" s="482">
        <f t="shared" si="5"/>
        <v>11319</v>
      </c>
      <c r="G93" s="483"/>
    </row>
    <row r="94" spans="1:7" ht="14.25" hidden="1" customHeight="1">
      <c r="A94" s="924" t="s">
        <v>1997</v>
      </c>
      <c r="B94" s="925"/>
      <c r="C94" s="921" t="s">
        <v>1219</v>
      </c>
      <c r="D94" s="922">
        <f>'LISTADO MATERIALES'!$E$389</f>
        <v>89838</v>
      </c>
      <c r="E94" s="923">
        <v>2</v>
      </c>
      <c r="F94" s="482">
        <f t="shared" si="5"/>
        <v>179676</v>
      </c>
      <c r="G94" s="483"/>
    </row>
    <row r="95" spans="1:7" ht="14.25" hidden="1" customHeight="1">
      <c r="A95" s="2058" t="s">
        <v>1998</v>
      </c>
      <c r="B95" s="1611"/>
      <c r="C95" s="921" t="s">
        <v>1762</v>
      </c>
      <c r="D95" s="922">
        <f>'LISTADO MATERIALES'!$E$368</f>
        <v>33600</v>
      </c>
      <c r="E95" s="923">
        <v>0.1</v>
      </c>
      <c r="F95" s="482">
        <f t="shared" si="5"/>
        <v>3360</v>
      </c>
      <c r="G95" s="483"/>
    </row>
    <row r="96" spans="1:7" ht="14.25" hidden="1" customHeight="1">
      <c r="A96" s="924" t="s">
        <v>1999</v>
      </c>
      <c r="B96" s="925"/>
      <c r="C96" s="921" t="s">
        <v>2000</v>
      </c>
      <c r="D96" s="922">
        <f>'LISTADO MATERIALES'!$E$510</f>
        <v>9975</v>
      </c>
      <c r="E96" s="923">
        <v>0.5</v>
      </c>
      <c r="F96" s="482">
        <f t="shared" si="5"/>
        <v>4987.5</v>
      </c>
      <c r="G96" s="483"/>
    </row>
    <row r="97" spans="1:7" ht="14.25" hidden="1" customHeight="1">
      <c r="A97" s="2058" t="s">
        <v>2001</v>
      </c>
      <c r="B97" s="1611"/>
      <c r="C97" s="921" t="s">
        <v>1219</v>
      </c>
      <c r="D97" s="922">
        <f>'LISTADO MATERIALES'!$E$771</f>
        <v>6300</v>
      </c>
      <c r="E97" s="923">
        <v>1</v>
      </c>
      <c r="F97" s="482">
        <f t="shared" si="5"/>
        <v>6300</v>
      </c>
      <c r="G97" s="483"/>
    </row>
    <row r="98" spans="1:7" ht="14.25" hidden="1" customHeight="1">
      <c r="A98" s="924" t="s">
        <v>2002</v>
      </c>
      <c r="B98" s="925"/>
      <c r="C98" s="921" t="s">
        <v>116</v>
      </c>
      <c r="D98" s="922">
        <f>'ANALISIS BASICOS'!$G$164</f>
        <v>434608</v>
      </c>
      <c r="E98" s="923">
        <v>0.01</v>
      </c>
      <c r="F98" s="482">
        <f t="shared" si="5"/>
        <v>4346.08</v>
      </c>
      <c r="G98" s="483"/>
    </row>
    <row r="99" spans="1:7" ht="14.25" hidden="1" customHeight="1">
      <c r="A99" s="2065" t="s">
        <v>2003</v>
      </c>
      <c r="B99" s="1819"/>
      <c r="C99" s="926" t="s">
        <v>127</v>
      </c>
      <c r="D99" s="927">
        <f>'LISTADO MATERIALES'!$E$375</f>
        <v>68250</v>
      </c>
      <c r="E99" s="928">
        <v>1</v>
      </c>
      <c r="F99" s="506">
        <f>D99*E99</f>
        <v>68250</v>
      </c>
      <c r="G99" s="501"/>
    </row>
    <row r="100" spans="1:7" ht="14.25" hidden="1" customHeight="1">
      <c r="A100" s="2056" t="s">
        <v>1560</v>
      </c>
      <c r="B100" s="1817"/>
      <c r="C100" s="1817"/>
      <c r="D100" s="1817"/>
      <c r="E100" s="1817"/>
      <c r="F100" s="2000"/>
      <c r="G100" s="502">
        <f>SUM(F89:F99)</f>
        <v>291997.505</v>
      </c>
    </row>
    <row r="101" spans="1:7" ht="14.25" hidden="1" customHeight="1">
      <c r="A101" s="471" t="s">
        <v>1563</v>
      </c>
      <c r="B101" s="469"/>
      <c r="C101" s="469"/>
      <c r="D101" s="469"/>
      <c r="E101" s="469"/>
      <c r="F101" s="469"/>
      <c r="G101" s="469"/>
    </row>
    <row r="102" spans="1:7" ht="14.25" hidden="1" customHeight="1">
      <c r="A102" s="2011" t="s">
        <v>1556</v>
      </c>
      <c r="B102" s="1801"/>
      <c r="C102" s="474" t="s">
        <v>6</v>
      </c>
      <c r="D102" s="474" t="s">
        <v>1562</v>
      </c>
      <c r="E102" s="474" t="s">
        <v>7</v>
      </c>
      <c r="F102" s="474" t="s">
        <v>1559</v>
      </c>
      <c r="G102" s="503"/>
    </row>
    <row r="103" spans="1:7" ht="14.25" hidden="1" customHeight="1">
      <c r="A103" s="2060"/>
      <c r="B103" s="1967"/>
      <c r="C103" s="504"/>
      <c r="D103" s="478"/>
      <c r="E103" s="505"/>
      <c r="F103" s="482"/>
      <c r="G103" s="479"/>
    </row>
    <row r="104" spans="1:7" ht="14.25" hidden="1" customHeight="1">
      <c r="A104" s="2052"/>
      <c r="B104" s="1819"/>
      <c r="C104" s="504"/>
      <c r="D104" s="506"/>
      <c r="E104" s="507"/>
      <c r="F104" s="506"/>
      <c r="G104" s="508"/>
    </row>
    <row r="105" spans="1:7" ht="14.25" hidden="1" customHeight="1">
      <c r="A105" s="2053" t="s">
        <v>1560</v>
      </c>
      <c r="B105" s="1601"/>
      <c r="C105" s="1601"/>
      <c r="D105" s="1601"/>
      <c r="E105" s="1601"/>
      <c r="F105" s="1801"/>
      <c r="G105" s="488"/>
    </row>
    <row r="106" spans="1:7" ht="14.25" hidden="1" customHeight="1">
      <c r="A106" s="471" t="s">
        <v>1564</v>
      </c>
      <c r="B106" s="469"/>
      <c r="C106" s="469"/>
      <c r="D106" s="469"/>
      <c r="E106" s="469"/>
      <c r="F106" s="469"/>
      <c r="G106" s="469"/>
    </row>
    <row r="107" spans="1:7" ht="14.25" hidden="1" customHeight="1">
      <c r="A107" s="2054" t="s">
        <v>1565</v>
      </c>
      <c r="B107" s="1932"/>
      <c r="C107" s="509" t="s">
        <v>1566</v>
      </c>
      <c r="D107" s="509" t="s">
        <v>673</v>
      </c>
      <c r="E107" s="509" t="s">
        <v>1571</v>
      </c>
      <c r="F107" s="509" t="s">
        <v>1559</v>
      </c>
      <c r="G107" s="503"/>
    </row>
    <row r="108" spans="1:7" ht="17.25" hidden="1" customHeight="1">
      <c r="A108" s="2055" t="s">
        <v>1574</v>
      </c>
      <c r="B108" s="1967"/>
      <c r="C108" s="510">
        <v>7410.96</v>
      </c>
      <c r="D108" s="511">
        <v>1</v>
      </c>
      <c r="E108" s="929">
        <v>0.3</v>
      </c>
      <c r="F108" s="930">
        <f t="shared" ref="F108:F109" si="6">(C108*D108)/E108</f>
        <v>24703.200000000001</v>
      </c>
      <c r="G108" s="479"/>
    </row>
    <row r="109" spans="1:7" ht="17.25" hidden="1" customHeight="1">
      <c r="A109" s="513" t="s">
        <v>1576</v>
      </c>
      <c r="B109" s="514"/>
      <c r="C109" s="515">
        <v>4550.79</v>
      </c>
      <c r="D109" s="516">
        <v>2</v>
      </c>
      <c r="E109" s="931">
        <f>E108</f>
        <v>0.3</v>
      </c>
      <c r="F109" s="930">
        <f t="shared" si="6"/>
        <v>30338.600000000002</v>
      </c>
      <c r="G109" s="501"/>
    </row>
    <row r="110" spans="1:7" ht="14.25" hidden="1" customHeight="1">
      <c r="A110" s="2056" t="str">
        <f>+A105</f>
        <v>SUB-TOTAL</v>
      </c>
      <c r="B110" s="1817"/>
      <c r="C110" s="1817"/>
      <c r="D110" s="1817"/>
      <c r="E110" s="1817"/>
      <c r="F110" s="2000"/>
      <c r="G110" s="502">
        <f>SUM(F108:F109)</f>
        <v>55041.8</v>
      </c>
    </row>
    <row r="111" spans="1:7" ht="14.25" hidden="1" customHeight="1">
      <c r="A111" s="469"/>
      <c r="B111" s="469"/>
      <c r="C111" s="469"/>
      <c r="D111" s="469"/>
      <c r="E111" s="469"/>
      <c r="F111" s="519"/>
      <c r="G111" s="469"/>
    </row>
    <row r="112" spans="1:7" ht="14.25" hidden="1" customHeight="1">
      <c r="A112" s="2053" t="s">
        <v>1567</v>
      </c>
      <c r="B112" s="1601"/>
      <c r="C112" s="1601"/>
      <c r="D112" s="1601"/>
      <c r="E112" s="1601"/>
      <c r="F112" s="1801"/>
      <c r="G112" s="520">
        <f>ROUND(G86+G100+G105+G110,0)</f>
        <v>360389</v>
      </c>
    </row>
    <row r="115" spans="1:7" ht="27.75" hidden="1" customHeight="1">
      <c r="A115" s="2054" t="s">
        <v>1604</v>
      </c>
      <c r="B115" s="1616"/>
      <c r="C115" s="1624"/>
      <c r="D115" s="879"/>
      <c r="E115" s="879"/>
      <c r="F115" s="879"/>
      <c r="G115" s="880"/>
    </row>
    <row r="116" spans="1:7" ht="24.75" hidden="1" customHeight="1">
      <c r="A116" s="1971"/>
      <c r="B116" s="1817"/>
      <c r="C116" s="1972"/>
      <c r="D116" s="881"/>
      <c r="E116" s="881"/>
      <c r="F116" s="881"/>
      <c r="G116" s="882"/>
    </row>
    <row r="117" spans="1:7" ht="14.25" hidden="1" customHeight="1">
      <c r="A117" s="469"/>
      <c r="B117" s="469"/>
      <c r="C117" s="469"/>
      <c r="D117" s="469"/>
      <c r="E117" s="469"/>
      <c r="F117" s="469"/>
      <c r="G117" s="469"/>
    </row>
    <row r="118" spans="1:7" ht="25.5" hidden="1" customHeight="1">
      <c r="A118" s="2061" t="str">
        <f>A5</f>
        <v>PRECIOS UNITARIOS OFICIALES 2014</v>
      </c>
      <c r="B118" s="1601"/>
      <c r="C118" s="1602"/>
      <c r="D118" s="2062" t="s">
        <v>2004</v>
      </c>
      <c r="E118" s="1601"/>
      <c r="F118" s="1601"/>
      <c r="G118" s="1602"/>
    </row>
    <row r="119" spans="1:7" ht="14.25" hidden="1" customHeight="1">
      <c r="A119" s="470"/>
      <c r="B119" s="470"/>
      <c r="C119" s="470"/>
      <c r="D119" s="470"/>
      <c r="E119" s="470"/>
      <c r="F119" s="470"/>
      <c r="G119" s="470"/>
    </row>
    <row r="120" spans="1:7" ht="14.25" hidden="1" customHeight="1">
      <c r="A120" s="471"/>
      <c r="B120" s="469"/>
      <c r="C120" s="469"/>
      <c r="D120" s="472" t="s">
        <v>1553</v>
      </c>
      <c r="E120" s="473" t="s">
        <v>127</v>
      </c>
      <c r="F120" s="883"/>
      <c r="G120" s="883"/>
    </row>
    <row r="121" spans="1:7" ht="14.25" hidden="1" customHeight="1">
      <c r="A121" s="471" t="s">
        <v>1555</v>
      </c>
      <c r="B121" s="469"/>
      <c r="C121" s="469"/>
      <c r="D121" s="469"/>
      <c r="E121" s="469"/>
      <c r="F121" s="469"/>
      <c r="G121" s="469"/>
    </row>
    <row r="122" spans="1:7" ht="14.25" hidden="1" customHeight="1">
      <c r="A122" s="2011" t="s">
        <v>1556</v>
      </c>
      <c r="B122" s="1601"/>
      <c r="C122" s="1801"/>
      <c r="D122" s="474" t="s">
        <v>1983</v>
      </c>
      <c r="E122" s="474" t="s">
        <v>1558</v>
      </c>
      <c r="F122" s="474" t="s">
        <v>1559</v>
      </c>
      <c r="G122" s="475"/>
    </row>
    <row r="123" spans="1:7" ht="14.25" hidden="1" customHeight="1">
      <c r="A123" s="2060" t="s">
        <v>2005</v>
      </c>
      <c r="B123" s="1811"/>
      <c r="C123" s="1967"/>
      <c r="D123" s="478">
        <f>+'LISTADO EQUIPOS'!$E$22/8</f>
        <v>2850</v>
      </c>
      <c r="E123" s="477">
        <v>0.44</v>
      </c>
      <c r="F123" s="478">
        <f>D123*E123</f>
        <v>1254</v>
      </c>
      <c r="G123" s="479"/>
    </row>
    <row r="124" spans="1:7" ht="14.25" hidden="1" customHeight="1">
      <c r="A124" s="2063"/>
      <c r="B124" s="1610"/>
      <c r="C124" s="1611"/>
      <c r="D124" s="482"/>
      <c r="E124" s="481"/>
      <c r="F124" s="482"/>
      <c r="G124" s="483"/>
    </row>
    <row r="125" spans="1:7" ht="14.25" hidden="1" customHeight="1">
      <c r="A125" s="2064"/>
      <c r="B125" s="1807"/>
      <c r="C125" s="1819"/>
      <c r="D125" s="486"/>
      <c r="E125" s="485"/>
      <c r="F125" s="486"/>
      <c r="G125" s="487"/>
    </row>
    <row r="126" spans="1:7" ht="14.25" hidden="1" customHeight="1">
      <c r="A126" s="2053" t="s">
        <v>1560</v>
      </c>
      <c r="B126" s="1601"/>
      <c r="C126" s="1601"/>
      <c r="D126" s="1601"/>
      <c r="E126" s="1601"/>
      <c r="F126" s="1801"/>
      <c r="G126" s="488">
        <f>SUM(F123:F125)</f>
        <v>1254</v>
      </c>
    </row>
    <row r="127" spans="1:7" ht="14.25" hidden="1" customHeight="1">
      <c r="A127" s="471" t="s">
        <v>1561</v>
      </c>
      <c r="B127" s="469"/>
      <c r="C127" s="469"/>
      <c r="D127" s="469"/>
      <c r="E127" s="469"/>
      <c r="F127" s="469"/>
      <c r="G127" s="469"/>
    </row>
    <row r="128" spans="1:7" ht="14.25" hidden="1" customHeight="1">
      <c r="A128" s="2054" t="s">
        <v>1556</v>
      </c>
      <c r="B128" s="1932"/>
      <c r="C128" s="509" t="s">
        <v>6</v>
      </c>
      <c r="D128" s="509" t="s">
        <v>1562</v>
      </c>
      <c r="E128" s="885" t="s">
        <v>7</v>
      </c>
      <c r="F128" s="886" t="s">
        <v>1559</v>
      </c>
      <c r="G128" s="880"/>
    </row>
    <row r="129" spans="1:7" ht="14.25" hidden="1" customHeight="1">
      <c r="A129" s="2075" t="s">
        <v>2006</v>
      </c>
      <c r="B129" s="1967"/>
      <c r="C129" s="932" t="s">
        <v>120</v>
      </c>
      <c r="D129" s="478">
        <f>'LISTADO MATERIALES'!E13</f>
        <v>4410</v>
      </c>
      <c r="E129" s="933">
        <v>0.2</v>
      </c>
      <c r="F129" s="478">
        <f t="shared" ref="F129:F130" si="7">+E129*D129</f>
        <v>882</v>
      </c>
      <c r="G129" s="934">
        <f t="shared" ref="G129:G130" si="8">E129*F129</f>
        <v>176.4</v>
      </c>
    </row>
    <row r="130" spans="1:7" ht="14.25" hidden="1" customHeight="1">
      <c r="A130" s="2079" t="s">
        <v>2007</v>
      </c>
      <c r="B130" s="1611"/>
      <c r="C130" s="935" t="s">
        <v>127</v>
      </c>
      <c r="D130" s="482">
        <f>'LISTADO MATERIALES'!E263</f>
        <v>42000</v>
      </c>
      <c r="E130" s="936">
        <v>1</v>
      </c>
      <c r="F130" s="482">
        <f t="shared" si="7"/>
        <v>42000</v>
      </c>
      <c r="G130" s="937">
        <f t="shared" si="8"/>
        <v>42000</v>
      </c>
    </row>
    <row r="131" spans="1:7" ht="14.25" hidden="1" customHeight="1">
      <c r="A131" s="2067"/>
      <c r="B131" s="1611"/>
      <c r="C131" s="935"/>
      <c r="D131" s="482"/>
      <c r="E131" s="938"/>
      <c r="F131" s="482"/>
      <c r="G131" s="910"/>
    </row>
    <row r="132" spans="1:7" ht="14.25" hidden="1" customHeight="1">
      <c r="A132" s="2067"/>
      <c r="B132" s="1611"/>
      <c r="C132" s="935"/>
      <c r="D132" s="482"/>
      <c r="E132" s="939"/>
      <c r="F132" s="482"/>
      <c r="G132" s="913"/>
    </row>
    <row r="133" spans="1:7" ht="14.25" hidden="1" customHeight="1">
      <c r="A133" s="2065"/>
      <c r="B133" s="1819"/>
      <c r="C133" s="940"/>
      <c r="D133" s="506"/>
      <c r="E133" s="928"/>
      <c r="F133" s="506"/>
      <c r="G133" s="501"/>
    </row>
    <row r="134" spans="1:7" ht="14.25" hidden="1" customHeight="1">
      <c r="A134" s="2056" t="s">
        <v>1560</v>
      </c>
      <c r="B134" s="1817"/>
      <c r="C134" s="1817"/>
      <c r="D134" s="1817"/>
      <c r="E134" s="1817"/>
      <c r="F134" s="2000"/>
      <c r="G134" s="502">
        <f>SUM(F129:F133)</f>
        <v>42882</v>
      </c>
    </row>
    <row r="135" spans="1:7" ht="14.25" hidden="1" customHeight="1">
      <c r="A135" s="471" t="s">
        <v>1563</v>
      </c>
      <c r="B135" s="469"/>
      <c r="C135" s="469"/>
      <c r="D135" s="469"/>
      <c r="E135" s="469"/>
      <c r="F135" s="469"/>
      <c r="G135" s="469"/>
    </row>
    <row r="136" spans="1:7" ht="14.25" hidden="1" customHeight="1">
      <c r="A136" s="2011" t="s">
        <v>1556</v>
      </c>
      <c r="B136" s="1801"/>
      <c r="C136" s="474" t="s">
        <v>6</v>
      </c>
      <c r="D136" s="474" t="s">
        <v>1562</v>
      </c>
      <c r="E136" s="474" t="s">
        <v>7</v>
      </c>
      <c r="F136" s="474" t="s">
        <v>1559</v>
      </c>
      <c r="G136" s="503"/>
    </row>
    <row r="137" spans="1:7" ht="14.25" hidden="1" customHeight="1">
      <c r="A137" s="2060"/>
      <c r="B137" s="1967"/>
      <c r="C137" s="504"/>
      <c r="D137" s="478"/>
      <c r="E137" s="505"/>
      <c r="F137" s="482"/>
      <c r="G137" s="479"/>
    </row>
    <row r="138" spans="1:7" ht="14.25" hidden="1" customHeight="1">
      <c r="A138" s="2052"/>
      <c r="B138" s="1819"/>
      <c r="C138" s="504"/>
      <c r="D138" s="506"/>
      <c r="E138" s="507"/>
      <c r="F138" s="506"/>
      <c r="G138" s="508"/>
    </row>
    <row r="139" spans="1:7" ht="14.25" hidden="1" customHeight="1">
      <c r="A139" s="2053" t="s">
        <v>1560</v>
      </c>
      <c r="B139" s="1601"/>
      <c r="C139" s="1601"/>
      <c r="D139" s="1601"/>
      <c r="E139" s="1601"/>
      <c r="F139" s="1801"/>
      <c r="G139" s="488"/>
    </row>
    <row r="140" spans="1:7" ht="14.25" hidden="1" customHeight="1">
      <c r="A140" s="471" t="s">
        <v>1564</v>
      </c>
      <c r="B140" s="469"/>
      <c r="C140" s="469"/>
      <c r="D140" s="469"/>
      <c r="E140" s="469"/>
      <c r="F140" s="469"/>
      <c r="G140" s="469"/>
    </row>
    <row r="141" spans="1:7" ht="14.25" hidden="1" customHeight="1">
      <c r="A141" s="2011" t="s">
        <v>1565</v>
      </c>
      <c r="B141" s="1801"/>
      <c r="C141" s="474" t="s">
        <v>1566</v>
      </c>
      <c r="D141" s="474" t="s">
        <v>6</v>
      </c>
      <c r="E141" s="474" t="s">
        <v>7</v>
      </c>
      <c r="F141" s="474" t="s">
        <v>1559</v>
      </c>
      <c r="G141" s="899"/>
    </row>
    <row r="142" spans="1:7" ht="14.25" hidden="1" customHeight="1">
      <c r="A142" s="2081" t="s">
        <v>2008</v>
      </c>
      <c r="B142" s="1967"/>
      <c r="C142" s="900">
        <v>7410.96</v>
      </c>
      <c r="D142" s="901" t="s">
        <v>1575</v>
      </c>
      <c r="E142" s="915">
        <v>1.5</v>
      </c>
      <c r="F142" s="902">
        <f t="shared" ref="F142:F143" si="9">C142*E142</f>
        <v>11116.44</v>
      </c>
      <c r="G142" s="479"/>
    </row>
    <row r="143" spans="1:7" ht="14.25" hidden="1" customHeight="1">
      <c r="A143" s="513" t="s">
        <v>1576</v>
      </c>
      <c r="B143" s="514"/>
      <c r="C143" s="903">
        <v>4550.79</v>
      </c>
      <c r="D143" s="904" t="s">
        <v>1575</v>
      </c>
      <c r="E143" s="916">
        <v>1.1000000000000001</v>
      </c>
      <c r="F143" s="905">
        <f t="shared" si="9"/>
        <v>5005.8690000000006</v>
      </c>
      <c r="G143" s="501"/>
    </row>
    <row r="144" spans="1:7" ht="14.25" hidden="1" customHeight="1">
      <c r="A144" s="2053" t="str">
        <f>+A139</f>
        <v>SUB-TOTAL</v>
      </c>
      <c r="B144" s="1601"/>
      <c r="C144" s="1601"/>
      <c r="D144" s="1601"/>
      <c r="E144" s="1601"/>
      <c r="F144" s="1801"/>
      <c r="G144" s="488">
        <f>SUM(F142:F143)</f>
        <v>16122.309000000001</v>
      </c>
    </row>
    <row r="146" spans="1:7" ht="14.25" hidden="1" customHeight="1">
      <c r="A146" s="2053" t="s">
        <v>1567</v>
      </c>
      <c r="B146" s="1601"/>
      <c r="C146" s="1601"/>
      <c r="D146" s="1601"/>
      <c r="E146" s="1601"/>
      <c r="F146" s="1801"/>
      <c r="G146" s="906">
        <f>ROUND(G126+G134+G139+G144,0)</f>
        <v>60258</v>
      </c>
    </row>
    <row r="147" spans="1:7" ht="14.25" hidden="1" customHeight="1">
      <c r="A147" s="468"/>
      <c r="B147" s="468"/>
      <c r="C147" s="468"/>
      <c r="D147" s="468"/>
      <c r="E147" s="468"/>
      <c r="F147" s="468"/>
      <c r="G147" s="468"/>
    </row>
    <row r="148" spans="1:7" ht="14.25" hidden="1" customHeight="1">
      <c r="A148" s="468"/>
      <c r="B148" s="468"/>
      <c r="C148" s="468"/>
      <c r="D148" s="468"/>
      <c r="E148" s="468"/>
      <c r="F148" s="468"/>
      <c r="G148" s="468"/>
    </row>
    <row r="149" spans="1:7" ht="29.25" hidden="1" customHeight="1">
      <c r="A149" s="1994" t="e">
        <f>+'ANALISIS BASICOS'!$A$7</f>
        <v>#REF!</v>
      </c>
      <c r="B149" s="1616"/>
      <c r="C149" s="1624"/>
      <c r="D149" s="2069"/>
      <c r="E149" s="1616"/>
      <c r="F149" s="1616"/>
      <c r="G149" s="1624"/>
    </row>
    <row r="150" spans="1:7" ht="24.75" hidden="1" customHeight="1">
      <c r="A150" s="1971"/>
      <c r="B150" s="1817"/>
      <c r="C150" s="1972"/>
      <c r="D150" s="1971"/>
      <c r="E150" s="1817"/>
      <c r="F150" s="1817"/>
      <c r="G150" s="1972"/>
    </row>
    <row r="151" spans="1:7" ht="14.25" hidden="1" customHeight="1">
      <c r="A151" s="469"/>
      <c r="B151" s="469"/>
      <c r="C151" s="469"/>
      <c r="D151" s="469"/>
      <c r="E151" s="469"/>
      <c r="F151" s="469"/>
      <c r="G151" s="469"/>
    </row>
    <row r="152" spans="1:7" ht="48.75" hidden="1" customHeight="1">
      <c r="A152" s="2070" t="e">
        <f ca="1">+'10-ACABADOS'!A37:C37</f>
        <v>#NAME?</v>
      </c>
      <c r="B152" s="1601"/>
      <c r="C152" s="1602"/>
      <c r="D152" s="2062" t="s">
        <v>2009</v>
      </c>
      <c r="E152" s="1601"/>
      <c r="F152" s="1601"/>
      <c r="G152" s="1602"/>
    </row>
    <row r="153" spans="1:7" ht="14.25" hidden="1" customHeight="1">
      <c r="A153" s="470"/>
      <c r="B153" s="470"/>
      <c r="C153" s="470"/>
      <c r="D153" s="470"/>
      <c r="E153" s="470"/>
      <c r="F153" s="470"/>
      <c r="G153" s="470"/>
    </row>
    <row r="154" spans="1:7" ht="14.25" hidden="1" customHeight="1">
      <c r="A154" s="471"/>
      <c r="B154" s="469"/>
      <c r="C154" s="469"/>
      <c r="D154" s="472" t="s">
        <v>1553</v>
      </c>
      <c r="E154" s="473" t="s">
        <v>127</v>
      </c>
      <c r="F154" s="421" t="s">
        <v>1554</v>
      </c>
      <c r="G154" s="422" t="s">
        <v>106</v>
      </c>
    </row>
    <row r="155" spans="1:7" ht="14.25" hidden="1" customHeight="1">
      <c r="A155" s="471" t="s">
        <v>1555</v>
      </c>
      <c r="B155" s="469"/>
      <c r="C155" s="469"/>
      <c r="D155" s="469"/>
      <c r="E155" s="469"/>
      <c r="F155" s="469"/>
      <c r="G155" s="469"/>
    </row>
    <row r="156" spans="1:7" ht="14.25" hidden="1" customHeight="1">
      <c r="A156" s="2011" t="s">
        <v>1556</v>
      </c>
      <c r="B156" s="1601"/>
      <c r="C156" s="1801"/>
      <c r="D156" s="474" t="s">
        <v>1983</v>
      </c>
      <c r="E156" s="474" t="s">
        <v>1558</v>
      </c>
      <c r="F156" s="474" t="s">
        <v>1559</v>
      </c>
      <c r="G156" s="475"/>
    </row>
    <row r="157" spans="1:7" ht="14.25" hidden="1" customHeight="1">
      <c r="A157" s="2060" t="s">
        <v>2010</v>
      </c>
      <c r="B157" s="1811"/>
      <c r="C157" s="1967"/>
      <c r="D157" s="478">
        <f>+'LISTADO EQUIPOS'!$E$22/8</f>
        <v>2850</v>
      </c>
      <c r="E157" s="477">
        <v>0.25</v>
      </c>
      <c r="F157" s="478">
        <f>D157*E157</f>
        <v>712.5</v>
      </c>
      <c r="G157" s="479"/>
    </row>
    <row r="158" spans="1:7" ht="14.25" hidden="1" customHeight="1">
      <c r="A158" s="2063"/>
      <c r="B158" s="1610"/>
      <c r="C158" s="1611"/>
      <c r="D158" s="482"/>
      <c r="E158" s="481"/>
      <c r="F158" s="482"/>
      <c r="G158" s="483"/>
    </row>
    <row r="159" spans="1:7" ht="14.25" hidden="1" customHeight="1">
      <c r="A159" s="2064"/>
      <c r="B159" s="1807"/>
      <c r="C159" s="1819"/>
      <c r="D159" s="486"/>
      <c r="E159" s="485"/>
      <c r="F159" s="486"/>
      <c r="G159" s="487"/>
    </row>
    <row r="160" spans="1:7" ht="14.25" hidden="1" customHeight="1">
      <c r="A160" s="2053" t="s">
        <v>1560</v>
      </c>
      <c r="B160" s="1601"/>
      <c r="C160" s="1601"/>
      <c r="D160" s="1601"/>
      <c r="E160" s="1601"/>
      <c r="F160" s="1801"/>
      <c r="G160" s="488">
        <f>SUM(F157:F159)</f>
        <v>712.5</v>
      </c>
    </row>
    <row r="161" spans="1:7" ht="14.25" hidden="1" customHeight="1">
      <c r="A161" s="471" t="s">
        <v>1561</v>
      </c>
      <c r="B161" s="469"/>
      <c r="C161" s="469"/>
      <c r="D161" s="469"/>
      <c r="E161" s="469"/>
      <c r="F161" s="469"/>
      <c r="G161" s="469"/>
    </row>
    <row r="162" spans="1:7" ht="14.25" hidden="1" customHeight="1">
      <c r="A162" s="2011" t="s">
        <v>1556</v>
      </c>
      <c r="B162" s="1801"/>
      <c r="C162" s="474" t="s">
        <v>6</v>
      </c>
      <c r="D162" s="474" t="s">
        <v>1562</v>
      </c>
      <c r="E162" s="474" t="s">
        <v>7</v>
      </c>
      <c r="F162" s="474" t="s">
        <v>1559</v>
      </c>
      <c r="G162" s="475"/>
    </row>
    <row r="163" spans="1:7" ht="14.25" hidden="1" customHeight="1">
      <c r="A163" s="2082" t="s">
        <v>2011</v>
      </c>
      <c r="B163" s="1888"/>
      <c r="C163" s="941" t="s">
        <v>103</v>
      </c>
      <c r="D163" s="942">
        <v>26359</v>
      </c>
      <c r="E163" s="943">
        <v>1</v>
      </c>
      <c r="F163" s="942">
        <f>+E163*D163</f>
        <v>26359</v>
      </c>
      <c r="G163" s="944">
        <f>E163*F163</f>
        <v>26359</v>
      </c>
    </row>
    <row r="164" spans="1:7" ht="14.25" hidden="1" customHeight="1">
      <c r="A164" s="2079"/>
      <c r="B164" s="1611"/>
      <c r="C164" s="935"/>
      <c r="D164" s="482"/>
      <c r="E164" s="945"/>
      <c r="F164" s="482"/>
      <c r="G164" s="910"/>
    </row>
    <row r="165" spans="1:7" ht="14.25" hidden="1" customHeight="1">
      <c r="A165" s="2067"/>
      <c r="B165" s="1611"/>
      <c r="C165" s="935"/>
      <c r="D165" s="482"/>
      <c r="E165" s="938"/>
      <c r="F165" s="482"/>
      <c r="G165" s="910"/>
    </row>
    <row r="166" spans="1:7" ht="14.25" hidden="1" customHeight="1">
      <c r="A166" s="2067"/>
      <c r="B166" s="1611"/>
      <c r="C166" s="935"/>
      <c r="D166" s="482"/>
      <c r="E166" s="939"/>
      <c r="F166" s="482"/>
      <c r="G166" s="913"/>
    </row>
    <row r="167" spans="1:7" ht="14.25" hidden="1" customHeight="1">
      <c r="A167" s="2065"/>
      <c r="B167" s="1819"/>
      <c r="C167" s="940"/>
      <c r="D167" s="506"/>
      <c r="E167" s="928"/>
      <c r="F167" s="506"/>
      <c r="G167" s="501"/>
    </row>
    <row r="168" spans="1:7" ht="14.25" hidden="1" customHeight="1">
      <c r="A168" s="2056" t="s">
        <v>1560</v>
      </c>
      <c r="B168" s="1817"/>
      <c r="C168" s="1817"/>
      <c r="D168" s="1817"/>
      <c r="E168" s="1817"/>
      <c r="F168" s="2000"/>
      <c r="G168" s="502">
        <f>SUM(F163:F167)</f>
        <v>26359</v>
      </c>
    </row>
    <row r="169" spans="1:7" ht="14.25" hidden="1" customHeight="1">
      <c r="A169" s="471" t="s">
        <v>1563</v>
      </c>
      <c r="B169" s="469"/>
      <c r="C169" s="469"/>
      <c r="D169" s="469"/>
      <c r="E169" s="469"/>
      <c r="F169" s="469"/>
      <c r="G169" s="469"/>
    </row>
    <row r="170" spans="1:7" ht="14.25" hidden="1" customHeight="1">
      <c r="A170" s="2011" t="s">
        <v>1556</v>
      </c>
      <c r="B170" s="1801"/>
      <c r="C170" s="474" t="s">
        <v>6</v>
      </c>
      <c r="D170" s="474" t="s">
        <v>1562</v>
      </c>
      <c r="E170" s="474" t="s">
        <v>7</v>
      </c>
      <c r="F170" s="474" t="s">
        <v>1559</v>
      </c>
      <c r="G170" s="503"/>
    </row>
    <row r="171" spans="1:7" ht="14.25" hidden="1" customHeight="1">
      <c r="A171" s="2060"/>
      <c r="B171" s="1967"/>
      <c r="C171" s="504"/>
      <c r="D171" s="478"/>
      <c r="E171" s="505"/>
      <c r="F171" s="482"/>
      <c r="G171" s="479"/>
    </row>
    <row r="172" spans="1:7" ht="14.25" hidden="1" customHeight="1">
      <c r="A172" s="2052"/>
      <c r="B172" s="1819"/>
      <c r="C172" s="504"/>
      <c r="D172" s="506"/>
      <c r="E172" s="507"/>
      <c r="F172" s="506"/>
      <c r="G172" s="508"/>
    </row>
    <row r="173" spans="1:7" ht="14.25" hidden="1" customHeight="1">
      <c r="A173" s="2053" t="s">
        <v>1560</v>
      </c>
      <c r="B173" s="1601"/>
      <c r="C173" s="1601"/>
      <c r="D173" s="1601"/>
      <c r="E173" s="1601"/>
      <c r="F173" s="1801"/>
      <c r="G173" s="488"/>
    </row>
    <row r="174" spans="1:7" ht="14.25" hidden="1" customHeight="1">
      <c r="A174" s="471" t="s">
        <v>1564</v>
      </c>
      <c r="B174" s="469"/>
      <c r="C174" s="469"/>
      <c r="D174" s="469"/>
      <c r="E174" s="469"/>
      <c r="F174" s="469"/>
      <c r="G174" s="469"/>
    </row>
    <row r="175" spans="1:7" ht="14.25" hidden="1" customHeight="1">
      <c r="A175" s="2011" t="s">
        <v>1565</v>
      </c>
      <c r="B175" s="1801"/>
      <c r="C175" s="474" t="s">
        <v>1566</v>
      </c>
      <c r="D175" s="474" t="s">
        <v>6</v>
      </c>
      <c r="E175" s="474" t="s">
        <v>7</v>
      </c>
      <c r="F175" s="474" t="s">
        <v>1559</v>
      </c>
      <c r="G175" s="899"/>
    </row>
    <row r="176" spans="1:7" ht="14.25" hidden="1" customHeight="1">
      <c r="A176" s="2004" t="str">
        <f>+'MANO DE OBRA'!$A$64</f>
        <v>Oficial (Incl. Prestaciones)</v>
      </c>
      <c r="B176" s="1888"/>
      <c r="C176" s="946">
        <f>+'MANO DE OBRA'!$E$64</f>
        <v>15031.25</v>
      </c>
      <c r="D176" s="511" t="s">
        <v>1575</v>
      </c>
      <c r="E176" s="511">
        <v>16.408733333333338</v>
      </c>
      <c r="F176" s="512">
        <f t="shared" ref="F176:F177" si="10">C176/E176</f>
        <v>916.05181793435179</v>
      </c>
      <c r="G176" s="479"/>
    </row>
    <row r="177" spans="1:7" ht="14.25" hidden="1" customHeight="1">
      <c r="A177" s="1984" t="str">
        <f>+'MANO DE OBRA'!$A$65</f>
        <v>Ayudante (Incl. Prestaciones)</v>
      </c>
      <c r="B177" s="1819"/>
      <c r="C177" s="515">
        <f>+'MANO DE OBRA'!$E$65</f>
        <v>10972.8125</v>
      </c>
      <c r="D177" s="516" t="s">
        <v>1575</v>
      </c>
      <c r="E177" s="516">
        <f>E176</f>
        <v>16.408733333333338</v>
      </c>
      <c r="F177" s="905">
        <f t="shared" si="10"/>
        <v>668.71782709207685</v>
      </c>
      <c r="G177" s="501"/>
    </row>
    <row r="178" spans="1:7" ht="14.25" hidden="1" customHeight="1">
      <c r="A178" s="2056" t="s">
        <v>1560</v>
      </c>
      <c r="B178" s="1817"/>
      <c r="C178" s="1817"/>
      <c r="D178" s="1817"/>
      <c r="E178" s="1817"/>
      <c r="F178" s="2000"/>
      <c r="G178" s="502">
        <f>SUM(F176:F177)</f>
        <v>1584.7696450264286</v>
      </c>
    </row>
    <row r="179" spans="1:7" ht="14.25" hidden="1" customHeight="1">
      <c r="A179" s="469"/>
      <c r="B179" s="469"/>
      <c r="C179" s="469"/>
      <c r="D179" s="469"/>
      <c r="E179" s="469"/>
      <c r="F179" s="519"/>
      <c r="G179" s="469"/>
    </row>
    <row r="180" spans="1:7" ht="14.25" hidden="1" customHeight="1">
      <c r="A180" s="2053" t="s">
        <v>1567</v>
      </c>
      <c r="B180" s="1601"/>
      <c r="C180" s="1601"/>
      <c r="D180" s="1601"/>
      <c r="E180" s="1601"/>
      <c r="F180" s="1801"/>
      <c r="G180" s="906">
        <f>ROUND(G160+G168+G173+G178,0)</f>
        <v>28656</v>
      </c>
    </row>
    <row r="181" spans="1:7" ht="14.25" hidden="1" customHeight="1"/>
    <row r="182" spans="1:7" ht="14.25" hidden="1" customHeight="1">
      <c r="A182" s="468"/>
      <c r="B182" s="468"/>
      <c r="C182" s="468"/>
      <c r="D182" s="468"/>
      <c r="E182" s="468"/>
      <c r="F182" s="468"/>
      <c r="G182" s="468"/>
    </row>
    <row r="183" spans="1:7" ht="30" hidden="1" customHeight="1">
      <c r="A183" s="1994" t="e">
        <f>+'ANALISIS BASICOS'!$A$7</f>
        <v>#REF!</v>
      </c>
      <c r="B183" s="1616"/>
      <c r="C183" s="1624"/>
      <c r="D183" s="2069"/>
      <c r="E183" s="1616"/>
      <c r="F183" s="1616"/>
      <c r="G183" s="1624"/>
    </row>
    <row r="184" spans="1:7" ht="29.25" hidden="1" customHeight="1">
      <c r="A184" s="1971"/>
      <c r="B184" s="1817"/>
      <c r="C184" s="1972"/>
      <c r="D184" s="1971"/>
      <c r="E184" s="1817"/>
      <c r="F184" s="1817"/>
      <c r="G184" s="1972"/>
    </row>
    <row r="185" spans="1:7" ht="14.25" hidden="1" customHeight="1">
      <c r="A185" s="469"/>
      <c r="B185" s="469"/>
      <c r="C185" s="469"/>
      <c r="D185" s="469"/>
      <c r="E185" s="469"/>
      <c r="F185" s="469"/>
      <c r="G185" s="469"/>
    </row>
    <row r="186" spans="1:7" ht="39" hidden="1" customHeight="1">
      <c r="A186" s="2070" t="e">
        <f ca="1">+A152</f>
        <v>#NAME?</v>
      </c>
      <c r="B186" s="1601"/>
      <c r="C186" s="1602"/>
      <c r="D186" s="2062" t="s">
        <v>2012</v>
      </c>
      <c r="E186" s="1601"/>
      <c r="F186" s="1601"/>
      <c r="G186" s="1602"/>
    </row>
    <row r="187" spans="1:7" ht="14.25" hidden="1" customHeight="1">
      <c r="A187" s="470"/>
      <c r="B187" s="470"/>
      <c r="C187" s="470"/>
      <c r="D187" s="470"/>
      <c r="E187" s="470"/>
      <c r="F187" s="470"/>
      <c r="G187" s="470"/>
    </row>
    <row r="188" spans="1:7" ht="14.25" hidden="1" customHeight="1">
      <c r="A188" s="471"/>
      <c r="B188" s="469"/>
      <c r="C188" s="469"/>
      <c r="D188" s="472" t="s">
        <v>1553</v>
      </c>
      <c r="E188" s="473" t="s">
        <v>127</v>
      </c>
      <c r="F188" s="421" t="s">
        <v>1554</v>
      </c>
      <c r="G188" s="422" t="s">
        <v>91</v>
      </c>
    </row>
    <row r="189" spans="1:7" ht="14.25" hidden="1" customHeight="1">
      <c r="A189" s="471" t="s">
        <v>1555</v>
      </c>
      <c r="B189" s="469"/>
      <c r="C189" s="469"/>
      <c r="D189" s="469"/>
      <c r="E189" s="469"/>
      <c r="F189" s="469"/>
      <c r="G189" s="469"/>
    </row>
    <row r="190" spans="1:7" ht="14.25" hidden="1" customHeight="1">
      <c r="A190" s="2011" t="s">
        <v>1556</v>
      </c>
      <c r="B190" s="1601"/>
      <c r="C190" s="1801"/>
      <c r="D190" s="474" t="s">
        <v>1983</v>
      </c>
      <c r="E190" s="474" t="s">
        <v>1558</v>
      </c>
      <c r="F190" s="474" t="s">
        <v>1559</v>
      </c>
      <c r="G190" s="475"/>
    </row>
    <row r="191" spans="1:7" ht="14.25" hidden="1" customHeight="1">
      <c r="A191" s="2060" t="s">
        <v>2010</v>
      </c>
      <c r="B191" s="1811"/>
      <c r="C191" s="1967"/>
      <c r="D191" s="478">
        <f>+'LISTADO EQUIPOS'!$E$22/8</f>
        <v>2850</v>
      </c>
      <c r="E191" s="477">
        <v>0.1</v>
      </c>
      <c r="F191" s="478">
        <f>D191*E191</f>
        <v>285</v>
      </c>
      <c r="G191" s="479"/>
    </row>
    <row r="192" spans="1:7" ht="14.25" hidden="1" customHeight="1">
      <c r="A192" s="2063"/>
      <c r="B192" s="1610"/>
      <c r="C192" s="1611"/>
      <c r="D192" s="482"/>
      <c r="E192" s="481"/>
      <c r="F192" s="482"/>
      <c r="G192" s="483"/>
    </row>
    <row r="193" spans="1:7" ht="14.25" hidden="1" customHeight="1">
      <c r="A193" s="2064"/>
      <c r="B193" s="1807"/>
      <c r="C193" s="1819"/>
      <c r="D193" s="486"/>
      <c r="E193" s="485"/>
      <c r="F193" s="486"/>
      <c r="G193" s="487"/>
    </row>
    <row r="194" spans="1:7" ht="14.25" hidden="1" customHeight="1">
      <c r="A194" s="2053" t="s">
        <v>1560</v>
      </c>
      <c r="B194" s="1601"/>
      <c r="C194" s="1601"/>
      <c r="D194" s="1601"/>
      <c r="E194" s="1601"/>
      <c r="F194" s="1801"/>
      <c r="G194" s="488">
        <f>SUM(F191:F193)</f>
        <v>285</v>
      </c>
    </row>
    <row r="195" spans="1:7" ht="14.25" hidden="1" customHeight="1">
      <c r="A195" s="471" t="s">
        <v>1561</v>
      </c>
      <c r="B195" s="469"/>
      <c r="C195" s="469"/>
      <c r="D195" s="469"/>
      <c r="E195" s="469"/>
      <c r="F195" s="469"/>
      <c r="G195" s="469"/>
    </row>
    <row r="196" spans="1:7" ht="14.25" hidden="1" customHeight="1">
      <c r="A196" s="2011" t="s">
        <v>1556</v>
      </c>
      <c r="B196" s="1801"/>
      <c r="C196" s="474" t="s">
        <v>6</v>
      </c>
      <c r="D196" s="474" t="s">
        <v>1562</v>
      </c>
      <c r="E196" s="474" t="s">
        <v>7</v>
      </c>
      <c r="F196" s="474" t="s">
        <v>1559</v>
      </c>
      <c r="G196" s="475"/>
    </row>
    <row r="197" spans="1:7" ht="14.25" hidden="1" customHeight="1">
      <c r="A197" s="2075" t="str">
        <f>+'LISTADO MATERIALES'!C577</f>
        <v xml:space="preserve">YEE  PVC DE 4 * 6" </v>
      </c>
      <c r="B197" s="1967"/>
      <c r="C197" s="932" t="s">
        <v>127</v>
      </c>
      <c r="D197" s="478">
        <f>+'LISTADO MATERIALES'!E577</f>
        <v>34125</v>
      </c>
      <c r="E197" s="947">
        <v>1</v>
      </c>
      <c r="F197" s="478">
        <f>+E197*D197</f>
        <v>34125</v>
      </c>
      <c r="G197" s="948">
        <f>E197*F197</f>
        <v>34125</v>
      </c>
    </row>
    <row r="198" spans="1:7" ht="14.25" hidden="1" customHeight="1">
      <c r="A198" s="2079"/>
      <c r="B198" s="1611"/>
      <c r="C198" s="935"/>
      <c r="D198" s="482"/>
      <c r="E198" s="945"/>
      <c r="F198" s="482"/>
      <c r="G198" s="910"/>
    </row>
    <row r="199" spans="1:7" ht="14.25" hidden="1" customHeight="1">
      <c r="A199" s="2067"/>
      <c r="B199" s="1611"/>
      <c r="C199" s="935"/>
      <c r="D199" s="482"/>
      <c r="E199" s="938"/>
      <c r="F199" s="482"/>
      <c r="G199" s="910"/>
    </row>
    <row r="200" spans="1:7" ht="14.25" hidden="1" customHeight="1">
      <c r="A200" s="2067"/>
      <c r="B200" s="1611"/>
      <c r="C200" s="935"/>
      <c r="D200" s="482"/>
      <c r="E200" s="939"/>
      <c r="F200" s="482"/>
      <c r="G200" s="913"/>
    </row>
    <row r="201" spans="1:7" ht="14.25" hidden="1" customHeight="1">
      <c r="A201" s="2065"/>
      <c r="B201" s="1819"/>
      <c r="C201" s="940"/>
      <c r="D201" s="506"/>
      <c r="E201" s="928"/>
      <c r="F201" s="506"/>
      <c r="G201" s="501"/>
    </row>
    <row r="202" spans="1:7" ht="14.25" hidden="1" customHeight="1">
      <c r="A202" s="2056" t="s">
        <v>1560</v>
      </c>
      <c r="B202" s="1817"/>
      <c r="C202" s="1817"/>
      <c r="D202" s="1817"/>
      <c r="E202" s="1817"/>
      <c r="F202" s="2000"/>
      <c r="G202" s="502">
        <f>SUM(F197:F201)</f>
        <v>34125</v>
      </c>
    </row>
    <row r="203" spans="1:7" ht="14.25" hidden="1" customHeight="1">
      <c r="A203" s="471" t="s">
        <v>1563</v>
      </c>
      <c r="B203" s="469"/>
      <c r="C203" s="469"/>
      <c r="D203" s="469"/>
      <c r="E203" s="469"/>
      <c r="F203" s="469"/>
      <c r="G203" s="469"/>
    </row>
    <row r="204" spans="1:7" ht="14.25" hidden="1" customHeight="1">
      <c r="A204" s="2011" t="s">
        <v>1556</v>
      </c>
      <c r="B204" s="1801"/>
      <c r="C204" s="474" t="s">
        <v>6</v>
      </c>
      <c r="D204" s="474" t="s">
        <v>1562</v>
      </c>
      <c r="E204" s="474" t="s">
        <v>7</v>
      </c>
      <c r="F204" s="474" t="s">
        <v>1559</v>
      </c>
      <c r="G204" s="503"/>
    </row>
    <row r="205" spans="1:7" ht="14.25" hidden="1" customHeight="1">
      <c r="A205" s="2060"/>
      <c r="B205" s="1967"/>
      <c r="C205" s="504"/>
      <c r="D205" s="478"/>
      <c r="E205" s="505"/>
      <c r="F205" s="482"/>
      <c r="G205" s="479"/>
    </row>
    <row r="206" spans="1:7" ht="14.25" hidden="1" customHeight="1">
      <c r="A206" s="2052"/>
      <c r="B206" s="1819"/>
      <c r="C206" s="504"/>
      <c r="D206" s="506"/>
      <c r="E206" s="507"/>
      <c r="F206" s="506"/>
      <c r="G206" s="508"/>
    </row>
    <row r="207" spans="1:7" ht="14.25" hidden="1" customHeight="1">
      <c r="A207" s="2053" t="s">
        <v>1560</v>
      </c>
      <c r="B207" s="1601"/>
      <c r="C207" s="1601"/>
      <c r="D207" s="1601"/>
      <c r="E207" s="1601"/>
      <c r="F207" s="1801"/>
      <c r="G207" s="488"/>
    </row>
    <row r="208" spans="1:7" ht="14.25" hidden="1" customHeight="1">
      <c r="A208" s="471" t="s">
        <v>1564</v>
      </c>
      <c r="B208" s="469"/>
      <c r="C208" s="469"/>
      <c r="D208" s="469"/>
      <c r="E208" s="469"/>
      <c r="F208" s="469"/>
      <c r="G208" s="469"/>
    </row>
    <row r="209" spans="1:7" ht="14.25" hidden="1" customHeight="1">
      <c r="A209" s="2011" t="s">
        <v>1565</v>
      </c>
      <c r="B209" s="1801"/>
      <c r="C209" s="474" t="s">
        <v>1566</v>
      </c>
      <c r="D209" s="474" t="s">
        <v>6</v>
      </c>
      <c r="E209" s="474" t="s">
        <v>7</v>
      </c>
      <c r="F209" s="474" t="s">
        <v>1559</v>
      </c>
      <c r="G209" s="899"/>
    </row>
    <row r="210" spans="1:7" ht="14.25" hidden="1" customHeight="1">
      <c r="A210" s="2004" t="str">
        <f>+'MANO DE OBRA'!$A$64</f>
        <v>Oficial (Incl. Prestaciones)</v>
      </c>
      <c r="B210" s="1888"/>
      <c r="C210" s="946">
        <f>+'MANO DE OBRA'!$E$64</f>
        <v>15031.25</v>
      </c>
      <c r="D210" s="511" t="s">
        <v>1575</v>
      </c>
      <c r="E210" s="511">
        <v>20.953846153846154</v>
      </c>
      <c r="F210" s="512">
        <f t="shared" ref="F210:F211" si="11">C210/E210</f>
        <v>717.35040381791487</v>
      </c>
      <c r="G210" s="479"/>
    </row>
    <row r="211" spans="1:7" ht="14.25" hidden="1" customHeight="1">
      <c r="A211" s="1984" t="str">
        <f>+'MANO DE OBRA'!$A$65</f>
        <v>Ayudante (Incl. Prestaciones)</v>
      </c>
      <c r="B211" s="1819"/>
      <c r="C211" s="515">
        <f>+'MANO DE OBRA'!$E$65</f>
        <v>10972.8125</v>
      </c>
      <c r="D211" s="516" t="s">
        <v>1575</v>
      </c>
      <c r="E211" s="516">
        <f>E210</f>
        <v>20.953846153846154</v>
      </c>
      <c r="F211" s="905">
        <f t="shared" si="11"/>
        <v>523.66579478707786</v>
      </c>
      <c r="G211" s="501"/>
    </row>
    <row r="212" spans="1:7" ht="14.25" hidden="1" customHeight="1">
      <c r="A212" s="2056" t="s">
        <v>1560</v>
      </c>
      <c r="B212" s="1817"/>
      <c r="C212" s="1817"/>
      <c r="D212" s="1817"/>
      <c r="E212" s="1817"/>
      <c r="F212" s="2000"/>
      <c r="G212" s="502">
        <f>SUM(F210:F211)</f>
        <v>1241.0161986049927</v>
      </c>
    </row>
    <row r="213" spans="1:7" ht="14.25" hidden="1" customHeight="1">
      <c r="A213" s="469"/>
      <c r="B213" s="469"/>
      <c r="C213" s="469"/>
      <c r="D213" s="469"/>
      <c r="E213" s="469"/>
      <c r="F213" s="519"/>
      <c r="G213" s="469"/>
    </row>
    <row r="214" spans="1:7" ht="14.25" hidden="1" customHeight="1">
      <c r="A214" s="2053" t="s">
        <v>1567</v>
      </c>
      <c r="B214" s="1601"/>
      <c r="C214" s="1601"/>
      <c r="D214" s="1601"/>
      <c r="E214" s="1601"/>
      <c r="F214" s="1801"/>
      <c r="G214" s="906">
        <f>ROUND(G194+G202+G207+G212,0)</f>
        <v>35651</v>
      </c>
    </row>
    <row r="215" spans="1:7" ht="14.25" hidden="1" customHeight="1"/>
    <row r="216" spans="1:7" ht="14.25" hidden="1" customHeight="1">
      <c r="A216" s="468"/>
      <c r="B216" s="468"/>
      <c r="C216" s="468"/>
      <c r="D216" s="468"/>
      <c r="E216" s="468"/>
      <c r="F216" s="468"/>
      <c r="G216" s="468"/>
    </row>
    <row r="217" spans="1:7" ht="14.25" hidden="1" customHeight="1">
      <c r="A217" s="468"/>
      <c r="B217" s="468"/>
      <c r="C217" s="468"/>
      <c r="D217" s="468"/>
      <c r="E217" s="468"/>
      <c r="F217" s="468"/>
      <c r="G217" s="468"/>
    </row>
    <row r="218" spans="1:7" ht="25.5" hidden="1" customHeight="1">
      <c r="A218" s="2054" t="s">
        <v>1604</v>
      </c>
      <c r="B218" s="1616"/>
      <c r="C218" s="1624"/>
      <c r="D218" s="879"/>
      <c r="E218" s="879"/>
      <c r="F218" s="879"/>
      <c r="G218" s="880"/>
    </row>
    <row r="219" spans="1:7" ht="21.75" hidden="1" customHeight="1">
      <c r="A219" s="1971"/>
      <c r="B219" s="1817"/>
      <c r="C219" s="1972"/>
      <c r="D219" s="881"/>
      <c r="E219" s="881"/>
      <c r="F219" s="881"/>
      <c r="G219" s="882"/>
    </row>
    <row r="220" spans="1:7" ht="14.25" hidden="1" customHeight="1">
      <c r="A220" s="469"/>
      <c r="B220" s="469"/>
      <c r="C220" s="469"/>
      <c r="D220" s="469"/>
      <c r="E220" s="469"/>
      <c r="F220" s="469"/>
      <c r="G220" s="469"/>
    </row>
    <row r="221" spans="1:7" ht="14.25" hidden="1" customHeight="1">
      <c r="A221" s="2061" t="str">
        <f>A5</f>
        <v>PRECIOS UNITARIOS OFICIALES 2014</v>
      </c>
      <c r="B221" s="1601"/>
      <c r="C221" s="1602"/>
      <c r="D221" s="2011" t="s">
        <v>2013</v>
      </c>
      <c r="E221" s="1601"/>
      <c r="F221" s="1601"/>
      <c r="G221" s="1602"/>
    </row>
    <row r="222" spans="1:7" ht="14.25" hidden="1" customHeight="1">
      <c r="A222" s="470"/>
      <c r="B222" s="470"/>
      <c r="C222" s="470"/>
      <c r="D222" s="470"/>
      <c r="E222" s="470"/>
      <c r="F222" s="470"/>
      <c r="G222" s="470"/>
    </row>
    <row r="223" spans="1:7" ht="14.25" hidden="1" customHeight="1">
      <c r="A223" s="471"/>
      <c r="B223" s="469"/>
      <c r="C223" s="469"/>
      <c r="D223" s="472" t="s">
        <v>1553</v>
      </c>
      <c r="E223" s="473" t="s">
        <v>127</v>
      </c>
      <c r="F223" s="883"/>
      <c r="G223" s="883"/>
    </row>
    <row r="224" spans="1:7" ht="14.25" hidden="1" customHeight="1">
      <c r="A224" s="471" t="s">
        <v>1555</v>
      </c>
      <c r="B224" s="469"/>
      <c r="C224" s="469"/>
      <c r="D224" s="469"/>
      <c r="E224" s="469"/>
      <c r="F224" s="469"/>
      <c r="G224" s="469"/>
    </row>
    <row r="225" spans="1:7" ht="14.25" hidden="1" customHeight="1">
      <c r="A225" s="2011" t="s">
        <v>1556</v>
      </c>
      <c r="B225" s="1601"/>
      <c r="C225" s="1801"/>
      <c r="D225" s="474" t="s">
        <v>1983</v>
      </c>
      <c r="E225" s="474" t="s">
        <v>1558</v>
      </c>
      <c r="F225" s="474" t="s">
        <v>1559</v>
      </c>
      <c r="G225" s="475"/>
    </row>
    <row r="226" spans="1:7" ht="14.25" hidden="1" customHeight="1">
      <c r="A226" s="2060"/>
      <c r="B226" s="1811"/>
      <c r="C226" s="1967"/>
      <c r="D226" s="478"/>
      <c r="E226" s="477"/>
      <c r="F226" s="478"/>
      <c r="G226" s="479"/>
    </row>
    <row r="227" spans="1:7" ht="14.25" hidden="1" customHeight="1">
      <c r="A227" s="2063"/>
      <c r="B227" s="1610"/>
      <c r="C227" s="1611"/>
      <c r="D227" s="482"/>
      <c r="E227" s="481"/>
      <c r="F227" s="482"/>
      <c r="G227" s="483"/>
    </row>
    <row r="228" spans="1:7" ht="14.25" hidden="1" customHeight="1">
      <c r="A228" s="2064"/>
      <c r="B228" s="1807"/>
      <c r="C228" s="1819"/>
      <c r="D228" s="486"/>
      <c r="E228" s="485"/>
      <c r="F228" s="486"/>
      <c r="G228" s="487"/>
    </row>
    <row r="229" spans="1:7" ht="14.25" hidden="1" customHeight="1">
      <c r="A229" s="2053" t="s">
        <v>1560</v>
      </c>
      <c r="B229" s="1601"/>
      <c r="C229" s="1601"/>
      <c r="D229" s="1601"/>
      <c r="E229" s="1601"/>
      <c r="F229" s="1801"/>
      <c r="G229" s="488">
        <f>SUM(F226:F228)</f>
        <v>0</v>
      </c>
    </row>
    <row r="230" spans="1:7" ht="14.25" hidden="1" customHeight="1">
      <c r="A230" s="471" t="s">
        <v>1561</v>
      </c>
      <c r="B230" s="469"/>
      <c r="C230" s="469"/>
      <c r="D230" s="469"/>
      <c r="E230" s="469"/>
      <c r="F230" s="469"/>
      <c r="G230" s="469"/>
    </row>
    <row r="231" spans="1:7" ht="14.25" hidden="1" customHeight="1">
      <c r="A231" s="2011" t="s">
        <v>1556</v>
      </c>
      <c r="B231" s="1801"/>
      <c r="C231" s="509" t="s">
        <v>6</v>
      </c>
      <c r="D231" s="474" t="s">
        <v>1562</v>
      </c>
      <c r="E231" s="885" t="s">
        <v>7</v>
      </c>
      <c r="F231" s="886" t="s">
        <v>1559</v>
      </c>
      <c r="G231" s="880"/>
    </row>
    <row r="232" spans="1:7" ht="14.25" hidden="1" customHeight="1">
      <c r="A232" s="2075" t="s">
        <v>2014</v>
      </c>
      <c r="B232" s="1967"/>
      <c r="C232" s="888" t="s">
        <v>20</v>
      </c>
      <c r="D232" s="889">
        <v>53600</v>
      </c>
      <c r="E232" s="949">
        <v>1</v>
      </c>
      <c r="F232" s="478">
        <f>+E232*D232</f>
        <v>53600</v>
      </c>
      <c r="G232" s="948">
        <f>E232*F232</f>
        <v>53600</v>
      </c>
    </row>
    <row r="233" spans="1:7" ht="14.25" hidden="1" customHeight="1">
      <c r="A233" s="2079"/>
      <c r="B233" s="1814"/>
      <c r="C233" s="891"/>
      <c r="D233" s="892"/>
      <c r="E233" s="909"/>
      <c r="F233" s="482"/>
      <c r="G233" s="910"/>
    </row>
    <row r="234" spans="1:7" ht="14.25" hidden="1" customHeight="1">
      <c r="A234" s="2067"/>
      <c r="B234" s="1611"/>
      <c r="C234" s="891"/>
      <c r="D234" s="892"/>
      <c r="E234" s="911"/>
      <c r="F234" s="482"/>
      <c r="G234" s="910"/>
    </row>
    <row r="235" spans="1:7" ht="14.25" hidden="1" customHeight="1">
      <c r="A235" s="2067"/>
      <c r="B235" s="1611"/>
      <c r="C235" s="891"/>
      <c r="D235" s="892"/>
      <c r="E235" s="912"/>
      <c r="F235" s="482"/>
      <c r="G235" s="913"/>
    </row>
    <row r="236" spans="1:7" ht="14.25" hidden="1" customHeight="1">
      <c r="A236" s="2065"/>
      <c r="B236" s="1819"/>
      <c r="C236" s="896"/>
      <c r="D236" s="914"/>
      <c r="E236" s="898"/>
      <c r="F236" s="506"/>
      <c r="G236" s="501"/>
    </row>
    <row r="237" spans="1:7" ht="14.25" hidden="1" customHeight="1">
      <c r="A237" s="2056" t="s">
        <v>1560</v>
      </c>
      <c r="B237" s="1817"/>
      <c r="C237" s="1817"/>
      <c r="D237" s="1817"/>
      <c r="E237" s="1817"/>
      <c r="F237" s="2000"/>
      <c r="G237" s="502">
        <f>SUM(F232:F236)</f>
        <v>53600</v>
      </c>
    </row>
    <row r="238" spans="1:7" ht="14.25" hidden="1" customHeight="1">
      <c r="A238" s="471" t="s">
        <v>1563</v>
      </c>
      <c r="B238" s="469"/>
      <c r="C238" s="469"/>
      <c r="D238" s="469"/>
      <c r="E238" s="469"/>
      <c r="F238" s="469"/>
      <c r="G238" s="469"/>
    </row>
    <row r="239" spans="1:7" ht="14.25" hidden="1" customHeight="1">
      <c r="A239" s="2011" t="s">
        <v>1556</v>
      </c>
      <c r="B239" s="1801"/>
      <c r="C239" s="474" t="s">
        <v>6</v>
      </c>
      <c r="D239" s="474" t="s">
        <v>1562</v>
      </c>
      <c r="E239" s="474" t="s">
        <v>7</v>
      </c>
      <c r="F239" s="474" t="s">
        <v>1559</v>
      </c>
      <c r="G239" s="503"/>
    </row>
    <row r="240" spans="1:7" ht="14.25" hidden="1" customHeight="1">
      <c r="A240" s="2060" t="str">
        <f>+'LISTADO EQUIPOS'!$C$124</f>
        <v>VOLQUETA   (4.2 - 5)M3.</v>
      </c>
      <c r="B240" s="1967"/>
      <c r="C240" s="950"/>
      <c r="D240" s="951">
        <f>+'LISTADO EQUIPOS'!$E$124</f>
        <v>80000</v>
      </c>
      <c r="E240" s="952">
        <v>0.1</v>
      </c>
      <c r="F240" s="482">
        <f>D240*E240</f>
        <v>8000</v>
      </c>
      <c r="G240" s="479"/>
    </row>
    <row r="241" spans="1:7" ht="14.25" hidden="1" customHeight="1">
      <c r="A241" s="2052"/>
      <c r="B241" s="1819"/>
      <c r="C241" s="504"/>
      <c r="D241" s="506"/>
      <c r="E241" s="507"/>
      <c r="F241" s="506"/>
      <c r="G241" s="508"/>
    </row>
    <row r="242" spans="1:7" ht="14.25" hidden="1" customHeight="1">
      <c r="A242" s="2053" t="s">
        <v>1560</v>
      </c>
      <c r="B242" s="1601"/>
      <c r="C242" s="1601"/>
      <c r="D242" s="1601"/>
      <c r="E242" s="1601"/>
      <c r="F242" s="1801"/>
      <c r="G242" s="488">
        <f>F240</f>
        <v>8000</v>
      </c>
    </row>
    <row r="243" spans="1:7" ht="14.25" hidden="1" customHeight="1">
      <c r="A243" s="471" t="s">
        <v>1564</v>
      </c>
      <c r="B243" s="469"/>
      <c r="C243" s="469"/>
      <c r="D243" s="469"/>
      <c r="E243" s="469"/>
      <c r="F243" s="469"/>
      <c r="G243" s="469"/>
    </row>
    <row r="244" spans="1:7" ht="14.25" hidden="1" customHeight="1">
      <c r="A244" s="2011" t="s">
        <v>1565</v>
      </c>
      <c r="B244" s="1801"/>
      <c r="C244" s="474" t="s">
        <v>1566</v>
      </c>
      <c r="D244" s="474" t="s">
        <v>6</v>
      </c>
      <c r="E244" s="474" t="s">
        <v>7</v>
      </c>
      <c r="F244" s="474" t="s">
        <v>1559</v>
      </c>
      <c r="G244" s="899"/>
    </row>
    <row r="245" spans="1:7" ht="14.25" hidden="1" customHeight="1">
      <c r="A245" s="2080"/>
      <c r="B245" s="1888"/>
      <c r="C245" s="900"/>
      <c r="D245" s="901"/>
      <c r="E245" s="915"/>
      <c r="F245" s="902"/>
      <c r="G245" s="479"/>
    </row>
    <row r="246" spans="1:7" ht="14.25" hidden="1" customHeight="1">
      <c r="A246" s="2072"/>
      <c r="B246" s="1819"/>
      <c r="C246" s="903"/>
      <c r="D246" s="904"/>
      <c r="E246" s="916"/>
      <c r="F246" s="905"/>
      <c r="G246" s="501"/>
    </row>
    <row r="247" spans="1:7" ht="14.25" hidden="1" customHeight="1">
      <c r="A247" s="2053"/>
      <c r="B247" s="1601"/>
      <c r="C247" s="1601"/>
      <c r="D247" s="1601"/>
      <c r="E247" s="1601"/>
      <c r="F247" s="1801"/>
      <c r="G247" s="488"/>
    </row>
    <row r="248" spans="1:7" ht="14.25" hidden="1" customHeight="1">
      <c r="A248" s="469"/>
      <c r="B248" s="469"/>
      <c r="C248" s="469"/>
      <c r="D248" s="469"/>
      <c r="E248" s="469"/>
      <c r="F248" s="519"/>
      <c r="G248" s="469"/>
    </row>
    <row r="249" spans="1:7" ht="14.25" hidden="1" customHeight="1">
      <c r="A249" s="2053" t="s">
        <v>1567</v>
      </c>
      <c r="B249" s="1601"/>
      <c r="C249" s="1601"/>
      <c r="D249" s="1601"/>
      <c r="E249" s="1601"/>
      <c r="F249" s="1801"/>
      <c r="G249" s="906">
        <f>ROUND(G229+G237+G242+G247,0)</f>
        <v>61600</v>
      </c>
    </row>
    <row r="250" spans="1:7" ht="14.25" hidden="1" customHeight="1">
      <c r="A250" s="468"/>
      <c r="B250" s="468"/>
      <c r="C250" s="468"/>
      <c r="D250" s="468"/>
      <c r="E250" s="468"/>
      <c r="F250" s="468"/>
      <c r="G250" s="468"/>
    </row>
    <row r="251" spans="1:7" ht="14.25" hidden="1" customHeight="1">
      <c r="A251" s="468"/>
      <c r="B251" s="468"/>
      <c r="C251" s="468"/>
      <c r="D251" s="468"/>
      <c r="E251" s="468"/>
      <c r="F251" s="468"/>
      <c r="G251" s="468"/>
    </row>
    <row r="252" spans="1:7" ht="14.25" hidden="1" customHeight="1">
      <c r="A252" s="468"/>
      <c r="B252" s="468"/>
      <c r="C252" s="468"/>
      <c r="D252" s="468"/>
      <c r="E252" s="468"/>
      <c r="F252" s="468"/>
      <c r="G252" s="468"/>
    </row>
    <row r="253" spans="1:7" ht="30.75" hidden="1" customHeight="1">
      <c r="A253" s="2054" t="s">
        <v>1604</v>
      </c>
      <c r="B253" s="1616"/>
      <c r="C253" s="1624"/>
      <c r="D253" s="879"/>
      <c r="E253" s="879"/>
      <c r="F253" s="879"/>
      <c r="G253" s="880"/>
    </row>
    <row r="254" spans="1:7" ht="33.75" hidden="1" customHeight="1">
      <c r="A254" s="1971"/>
      <c r="B254" s="1817"/>
      <c r="C254" s="1972"/>
      <c r="D254" s="881"/>
      <c r="E254" s="881"/>
      <c r="F254" s="881"/>
      <c r="G254" s="882"/>
    </row>
    <row r="255" spans="1:7" ht="14.25" hidden="1" customHeight="1">
      <c r="A255" s="469"/>
      <c r="B255" s="469"/>
      <c r="C255" s="469"/>
      <c r="D255" s="469"/>
      <c r="E255" s="469"/>
      <c r="F255" s="469"/>
      <c r="G255" s="469"/>
    </row>
    <row r="256" spans="1:7" ht="36.75" hidden="1" customHeight="1">
      <c r="A256" s="2061" t="str">
        <f>A5</f>
        <v>PRECIOS UNITARIOS OFICIALES 2014</v>
      </c>
      <c r="B256" s="1601"/>
      <c r="C256" s="1602"/>
      <c r="D256" s="2062" t="s">
        <v>2015</v>
      </c>
      <c r="E256" s="1601"/>
      <c r="F256" s="1601"/>
      <c r="G256" s="1602"/>
    </row>
    <row r="258" spans="1:7" ht="14.25" hidden="1" customHeight="1">
      <c r="A258" s="471"/>
      <c r="B258" s="469"/>
      <c r="C258" s="469"/>
      <c r="D258" s="472" t="s">
        <v>1553</v>
      </c>
      <c r="E258" s="473" t="s">
        <v>228</v>
      </c>
      <c r="F258" s="883"/>
      <c r="G258" s="883"/>
    </row>
    <row r="259" spans="1:7" ht="14.25" hidden="1" customHeight="1">
      <c r="A259" s="471" t="s">
        <v>1555</v>
      </c>
      <c r="B259" s="469"/>
      <c r="C259" s="469"/>
      <c r="D259" s="469"/>
      <c r="E259" s="469"/>
      <c r="F259" s="469"/>
      <c r="G259" s="469"/>
    </row>
    <row r="260" spans="1:7" ht="14.25" hidden="1" customHeight="1">
      <c r="A260" s="2011" t="s">
        <v>1556</v>
      </c>
      <c r="B260" s="1601"/>
      <c r="C260" s="1801"/>
      <c r="D260" s="474" t="s">
        <v>1557</v>
      </c>
      <c r="E260" s="474" t="s">
        <v>1558</v>
      </c>
      <c r="F260" s="474" t="s">
        <v>1559</v>
      </c>
      <c r="G260" s="475"/>
    </row>
    <row r="261" spans="1:7" ht="14.25" hidden="1" customHeight="1">
      <c r="A261" s="2060" t="s">
        <v>209</v>
      </c>
      <c r="B261" s="1811"/>
      <c r="C261" s="1967"/>
      <c r="D261" s="476" t="s">
        <v>899</v>
      </c>
      <c r="E261" s="477">
        <v>1</v>
      </c>
      <c r="F261" s="478">
        <v>1574</v>
      </c>
      <c r="G261" s="479"/>
    </row>
    <row r="262" spans="1:7" ht="14.25" hidden="1" customHeight="1">
      <c r="A262" s="2063" t="s">
        <v>1714</v>
      </c>
      <c r="B262" s="1610"/>
      <c r="C262" s="1611"/>
      <c r="D262" s="480">
        <v>38400</v>
      </c>
      <c r="E262" s="481">
        <v>0.1</v>
      </c>
      <c r="F262" s="482">
        <f t="shared" ref="F262:F263" si="12">D262*E262</f>
        <v>3840</v>
      </c>
      <c r="G262" s="483"/>
    </row>
    <row r="263" spans="1:7" ht="18" hidden="1" customHeight="1">
      <c r="A263" s="2064" t="s">
        <v>1990</v>
      </c>
      <c r="B263" s="1807"/>
      <c r="C263" s="1819"/>
      <c r="D263" s="484">
        <f>'LISTADO EQUIPOS'!E18</f>
        <v>78000</v>
      </c>
      <c r="E263" s="485">
        <v>0.1</v>
      </c>
      <c r="F263" s="486">
        <f t="shared" si="12"/>
        <v>7800</v>
      </c>
      <c r="G263" s="487"/>
    </row>
    <row r="264" spans="1:7" ht="14.25" hidden="1" customHeight="1">
      <c r="A264" s="2053" t="s">
        <v>1560</v>
      </c>
      <c r="B264" s="1601"/>
      <c r="C264" s="1601"/>
      <c r="D264" s="1601"/>
      <c r="E264" s="1601"/>
      <c r="F264" s="1801"/>
      <c r="G264" s="488">
        <f>SUM(F261:F263)</f>
        <v>13214</v>
      </c>
    </row>
    <row r="265" spans="1:7" ht="14.25" hidden="1" customHeight="1">
      <c r="A265" s="471" t="s">
        <v>1561</v>
      </c>
      <c r="B265" s="469"/>
      <c r="C265" s="469"/>
      <c r="D265" s="469"/>
      <c r="E265" s="469"/>
      <c r="F265" s="469"/>
      <c r="G265" s="469"/>
    </row>
    <row r="266" spans="1:7" ht="14.25" hidden="1" customHeight="1">
      <c r="A266" s="2054" t="s">
        <v>1556</v>
      </c>
      <c r="B266" s="1624"/>
      <c r="C266" s="886" t="s">
        <v>6</v>
      </c>
      <c r="D266" s="917" t="s">
        <v>1562</v>
      </c>
      <c r="E266" s="886" t="s">
        <v>7</v>
      </c>
      <c r="F266" s="886" t="s">
        <v>1559</v>
      </c>
      <c r="G266" s="880"/>
    </row>
    <row r="267" spans="1:7" ht="14.25" hidden="1" customHeight="1">
      <c r="A267" s="2068" t="s">
        <v>1991</v>
      </c>
      <c r="B267" s="1967"/>
      <c r="C267" s="918" t="s">
        <v>1992</v>
      </c>
      <c r="D267" s="919">
        <f>'LISTADO MATERIALES'!$E$394</f>
        <v>1260</v>
      </c>
      <c r="E267" s="920">
        <v>1.5</v>
      </c>
      <c r="F267" s="478">
        <f t="shared" ref="F267:F275" si="13">(D267*E267)</f>
        <v>1890</v>
      </c>
      <c r="G267" s="479"/>
    </row>
    <row r="268" spans="1:7" ht="14.25" hidden="1" customHeight="1">
      <c r="A268" s="2058" t="s">
        <v>2016</v>
      </c>
      <c r="B268" s="1611"/>
      <c r="C268" s="921" t="s">
        <v>2017</v>
      </c>
      <c r="D268" s="922">
        <f>'LISTADO MATERIALES'!$E$632</f>
        <v>5005</v>
      </c>
      <c r="E268" s="923">
        <f>0.01+0.1</f>
        <v>0.11</v>
      </c>
      <c r="F268" s="482">
        <f t="shared" si="13"/>
        <v>550.54999999999995</v>
      </c>
      <c r="G268" s="483"/>
    </row>
    <row r="269" spans="1:7" ht="14.25" hidden="1" customHeight="1">
      <c r="A269" s="2058" t="s">
        <v>1994</v>
      </c>
      <c r="B269" s="1611"/>
      <c r="C269" s="921" t="s">
        <v>1995</v>
      </c>
      <c r="D269" s="922">
        <f>'LISTADO MATERIALES'!$E$379</f>
        <v>16275</v>
      </c>
      <c r="E269" s="923">
        <v>2.5000000000000001E-2</v>
      </c>
      <c r="F269" s="482">
        <f t="shared" si="13"/>
        <v>406.875</v>
      </c>
      <c r="G269" s="483"/>
    </row>
    <row r="270" spans="1:7" ht="14.25" hidden="1" customHeight="1">
      <c r="A270" s="2058" t="s">
        <v>1996</v>
      </c>
      <c r="B270" s="1611"/>
      <c r="C270" s="921" t="s">
        <v>1995</v>
      </c>
      <c r="D270" s="922">
        <f>'LISTADO MATERIALES'!$E$380</f>
        <v>51450</v>
      </c>
      <c r="E270" s="953">
        <v>0.1</v>
      </c>
      <c r="F270" s="482">
        <f t="shared" si="13"/>
        <v>5145</v>
      </c>
      <c r="G270" s="483"/>
    </row>
    <row r="271" spans="1:7" ht="14.25" hidden="1" customHeight="1">
      <c r="A271" s="924" t="s">
        <v>2018</v>
      </c>
      <c r="B271" s="925"/>
      <c r="C271" s="921" t="s">
        <v>1219</v>
      </c>
      <c r="D271" s="922">
        <f>'LISTADO MATERIALES'!$E$613</f>
        <v>12390</v>
      </c>
      <c r="E271" s="953">
        <v>2</v>
      </c>
      <c r="F271" s="482">
        <f t="shared" si="13"/>
        <v>24780</v>
      </c>
      <c r="G271" s="483"/>
    </row>
    <row r="272" spans="1:7" ht="14.25" hidden="1" customHeight="1">
      <c r="A272" s="2058" t="s">
        <v>1998</v>
      </c>
      <c r="B272" s="1611"/>
      <c r="C272" s="921" t="s">
        <v>1762</v>
      </c>
      <c r="D272" s="922">
        <f>'LISTADO MATERIALES'!$E$368</f>
        <v>33600</v>
      </c>
      <c r="E272" s="953">
        <v>0.1</v>
      </c>
      <c r="F272" s="482">
        <f t="shared" si="13"/>
        <v>3360</v>
      </c>
      <c r="G272" s="483"/>
    </row>
    <row r="273" spans="1:7" ht="17.25" hidden="1" customHeight="1">
      <c r="A273" s="954" t="s">
        <v>1999</v>
      </c>
      <c r="B273" s="925"/>
      <c r="C273" s="921" t="s">
        <v>2000</v>
      </c>
      <c r="D273" s="955">
        <f>'LISTADO MATERIALES'!$E$86</f>
        <v>9975</v>
      </c>
      <c r="E273" s="953">
        <v>0.4</v>
      </c>
      <c r="F273" s="482">
        <f t="shared" si="13"/>
        <v>3990</v>
      </c>
      <c r="G273" s="483"/>
    </row>
    <row r="274" spans="1:7" ht="15" hidden="1" customHeight="1">
      <c r="A274" s="2057" t="str">
        <f>'ANALISIS BASICOS'!$A$164</f>
        <v xml:space="preserve">MORTERO 1:3 </v>
      </c>
      <c r="B274" s="1611"/>
      <c r="C274" s="921" t="str">
        <f>'ANALISIS BASICOS'!$E$140</f>
        <v>M3</v>
      </c>
      <c r="D274" s="922">
        <f>'ANALISIS BASICOS'!$G$164</f>
        <v>434608</v>
      </c>
      <c r="E274" s="923">
        <f>+ROUND((0.7*0.7*0.06),2)</f>
        <v>0.03</v>
      </c>
      <c r="F274" s="482">
        <f t="shared" si="13"/>
        <v>13038.24</v>
      </c>
      <c r="G274" s="483"/>
    </row>
    <row r="275" spans="1:7" ht="14.25" hidden="1" customHeight="1">
      <c r="A275" s="2065" t="str">
        <f>'LISTADO MATERIALES'!C401</f>
        <v>VIDRIO 4mm</v>
      </c>
      <c r="B275" s="1819"/>
      <c r="C275" s="926" t="s">
        <v>228</v>
      </c>
      <c r="D275" s="927">
        <f>'LISTADO MATERIALES'!$E$401</f>
        <v>22050</v>
      </c>
      <c r="E275" s="956">
        <v>1</v>
      </c>
      <c r="F275" s="506">
        <f t="shared" si="13"/>
        <v>22050</v>
      </c>
      <c r="G275" s="501"/>
    </row>
    <row r="276" spans="1:7" ht="15" hidden="1" customHeight="1">
      <c r="A276" s="2056" t="s">
        <v>1560</v>
      </c>
      <c r="B276" s="1817"/>
      <c r="C276" s="1817"/>
      <c r="D276" s="1817"/>
      <c r="E276" s="1817"/>
      <c r="F276" s="2000"/>
      <c r="G276" s="502">
        <f>SUM(F267:F275)</f>
        <v>75210.665000000008</v>
      </c>
    </row>
    <row r="277" spans="1:7" ht="14.25" hidden="1" customHeight="1">
      <c r="A277" s="471" t="s">
        <v>1563</v>
      </c>
      <c r="B277" s="469"/>
      <c r="C277" s="469"/>
      <c r="D277" s="469"/>
      <c r="E277" s="469"/>
      <c r="F277" s="469"/>
      <c r="G277" s="469"/>
    </row>
    <row r="278" spans="1:7" ht="14.25" hidden="1" customHeight="1">
      <c r="A278" s="2011" t="s">
        <v>1556</v>
      </c>
      <c r="B278" s="1801"/>
      <c r="C278" s="474" t="s">
        <v>6</v>
      </c>
      <c r="D278" s="474" t="s">
        <v>1562</v>
      </c>
      <c r="E278" s="474" t="s">
        <v>7</v>
      </c>
      <c r="F278" s="474" t="s">
        <v>1559</v>
      </c>
      <c r="G278" s="503"/>
    </row>
    <row r="279" spans="1:7" ht="14.25" hidden="1" customHeight="1">
      <c r="A279" s="2060"/>
      <c r="B279" s="1967"/>
      <c r="C279" s="504"/>
      <c r="D279" s="478"/>
      <c r="E279" s="505"/>
      <c r="F279" s="482"/>
      <c r="G279" s="479"/>
    </row>
    <row r="280" spans="1:7" ht="14.25" hidden="1" customHeight="1">
      <c r="A280" s="2052"/>
      <c r="B280" s="1819"/>
      <c r="C280" s="504"/>
      <c r="D280" s="506"/>
      <c r="E280" s="507"/>
      <c r="F280" s="506"/>
      <c r="G280" s="508"/>
    </row>
    <row r="281" spans="1:7" ht="14.25" hidden="1" customHeight="1">
      <c r="A281" s="2053" t="s">
        <v>1560</v>
      </c>
      <c r="B281" s="1601"/>
      <c r="C281" s="1601"/>
      <c r="D281" s="1601"/>
      <c r="E281" s="1601"/>
      <c r="F281" s="1801"/>
      <c r="G281" s="488"/>
    </row>
    <row r="282" spans="1:7" ht="14.25" hidden="1" customHeight="1">
      <c r="A282" s="471" t="s">
        <v>1564</v>
      </c>
      <c r="B282" s="469"/>
      <c r="C282" s="469"/>
      <c r="D282" s="469"/>
      <c r="E282" s="469"/>
      <c r="F282" s="469"/>
      <c r="G282" s="469"/>
    </row>
    <row r="283" spans="1:7" ht="14.25" hidden="1" customHeight="1">
      <c r="A283" s="2054" t="s">
        <v>1565</v>
      </c>
      <c r="B283" s="1932"/>
      <c r="C283" s="509" t="s">
        <v>1566</v>
      </c>
      <c r="D283" s="509" t="s">
        <v>6</v>
      </c>
      <c r="E283" s="509" t="s">
        <v>7</v>
      </c>
      <c r="F283" s="509" t="s">
        <v>1559</v>
      </c>
      <c r="G283" s="503"/>
    </row>
    <row r="284" spans="1:7" ht="18.75" hidden="1" customHeight="1">
      <c r="A284" s="2055" t="s">
        <v>1574</v>
      </c>
      <c r="B284" s="1967"/>
      <c r="C284" s="510">
        <v>7410.96</v>
      </c>
      <c r="D284" s="511" t="s">
        <v>1575</v>
      </c>
      <c r="E284" s="511">
        <v>0.25</v>
      </c>
      <c r="F284" s="512">
        <f t="shared" ref="F284:F285" si="14">C284/E284</f>
        <v>29643.84</v>
      </c>
      <c r="G284" s="479"/>
    </row>
    <row r="285" spans="1:7" ht="19.5" hidden="1" customHeight="1">
      <c r="A285" s="513" t="s">
        <v>1576</v>
      </c>
      <c r="B285" s="514"/>
      <c r="C285" s="515">
        <v>4550.79</v>
      </c>
      <c r="D285" s="516" t="s">
        <v>1575</v>
      </c>
      <c r="E285" s="516">
        <f>E284</f>
        <v>0.25</v>
      </c>
      <c r="F285" s="957">
        <f t="shared" si="14"/>
        <v>18203.16</v>
      </c>
      <c r="G285" s="501"/>
    </row>
    <row r="286" spans="1:7" ht="14.25" hidden="1" customHeight="1">
      <c r="A286" s="2056" t="str">
        <f>+A281</f>
        <v>SUB-TOTAL</v>
      </c>
      <c r="B286" s="1817"/>
      <c r="C286" s="1817"/>
      <c r="D286" s="1817"/>
      <c r="E286" s="1817"/>
      <c r="F286" s="2000"/>
      <c r="G286" s="518">
        <f>SUM(F284:F285)</f>
        <v>47847</v>
      </c>
    </row>
    <row r="287" spans="1:7" ht="14.25" hidden="1" customHeight="1">
      <c r="A287" s="469"/>
      <c r="B287" s="469"/>
      <c r="C287" s="469"/>
      <c r="D287" s="469"/>
      <c r="E287" s="469"/>
      <c r="F287" s="519"/>
      <c r="G287" s="469"/>
    </row>
    <row r="288" spans="1:7" ht="14.25" hidden="1" customHeight="1">
      <c r="A288" s="2053" t="s">
        <v>1567</v>
      </c>
      <c r="B288" s="1601"/>
      <c r="C288" s="1601"/>
      <c r="D288" s="1601"/>
      <c r="E288" s="1601"/>
      <c r="F288" s="1801"/>
      <c r="G288" s="520">
        <f>ROUND(G264+G276+G281+G286,0)</f>
        <v>136272</v>
      </c>
    </row>
    <row r="292" spans="1:7" ht="26.25" hidden="1" customHeight="1">
      <c r="A292" s="2054" t="s">
        <v>1604</v>
      </c>
      <c r="B292" s="1616"/>
      <c r="C292" s="1624"/>
      <c r="D292" s="879"/>
      <c r="E292" s="879"/>
      <c r="F292" s="879"/>
      <c r="G292" s="880"/>
    </row>
    <row r="293" spans="1:7" ht="29.25" hidden="1" customHeight="1">
      <c r="A293" s="1971"/>
      <c r="B293" s="1817"/>
      <c r="C293" s="1972"/>
      <c r="D293" s="881"/>
      <c r="E293" s="881"/>
      <c r="F293" s="881"/>
      <c r="G293" s="882"/>
    </row>
    <row r="294" spans="1:7" ht="14.25" hidden="1" customHeight="1">
      <c r="A294" s="469"/>
      <c r="B294" s="469"/>
      <c r="C294" s="469"/>
      <c r="D294" s="469"/>
      <c r="E294" s="469"/>
      <c r="F294" s="469"/>
      <c r="G294" s="469"/>
    </row>
    <row r="295" spans="1:7" ht="38.25" hidden="1" customHeight="1">
      <c r="A295" s="2061" t="str">
        <f>A5</f>
        <v>PRECIOS UNITARIOS OFICIALES 2014</v>
      </c>
      <c r="B295" s="1601"/>
      <c r="C295" s="1602"/>
      <c r="D295" s="2062" t="s">
        <v>2019</v>
      </c>
      <c r="E295" s="1601"/>
      <c r="F295" s="1601"/>
      <c r="G295" s="1602"/>
    </row>
    <row r="296" spans="1:7" ht="14.25" hidden="1" customHeight="1">
      <c r="A296" s="470"/>
      <c r="B296" s="470"/>
      <c r="C296" s="470"/>
      <c r="D296" s="470"/>
      <c r="E296" s="470"/>
      <c r="F296" s="470"/>
      <c r="G296" s="470"/>
    </row>
    <row r="297" spans="1:7" ht="14.25" hidden="1" customHeight="1">
      <c r="A297" s="471"/>
      <c r="B297" s="469"/>
      <c r="C297" s="469"/>
      <c r="D297" s="472" t="s">
        <v>1553</v>
      </c>
      <c r="E297" s="473" t="s">
        <v>127</v>
      </c>
      <c r="F297" s="883"/>
      <c r="G297" s="883"/>
    </row>
    <row r="298" spans="1:7" ht="14.25" hidden="1" customHeight="1">
      <c r="A298" s="471" t="s">
        <v>1555</v>
      </c>
      <c r="B298" s="469"/>
      <c r="C298" s="469"/>
      <c r="D298" s="469"/>
      <c r="E298" s="469"/>
      <c r="F298" s="469"/>
      <c r="G298" s="469"/>
    </row>
    <row r="299" spans="1:7" ht="14.25" hidden="1" customHeight="1">
      <c r="A299" s="2011" t="s">
        <v>1556</v>
      </c>
      <c r="B299" s="1601"/>
      <c r="C299" s="1801"/>
      <c r="D299" s="474" t="s">
        <v>1557</v>
      </c>
      <c r="E299" s="474" t="s">
        <v>1558</v>
      </c>
      <c r="F299" s="474" t="s">
        <v>1559</v>
      </c>
      <c r="G299" s="475"/>
    </row>
    <row r="300" spans="1:7" ht="14.25" hidden="1" customHeight="1">
      <c r="A300" s="2060" t="s">
        <v>209</v>
      </c>
      <c r="B300" s="1811"/>
      <c r="C300" s="1967"/>
      <c r="D300" s="476" t="s">
        <v>899</v>
      </c>
      <c r="E300" s="477">
        <v>1</v>
      </c>
      <c r="F300" s="478">
        <v>1727</v>
      </c>
      <c r="G300" s="479"/>
    </row>
    <row r="301" spans="1:7" ht="14.25" hidden="1" customHeight="1">
      <c r="A301" s="2063"/>
      <c r="B301" s="1610"/>
      <c r="C301" s="1611"/>
      <c r="D301" s="480"/>
      <c r="E301" s="481"/>
      <c r="F301" s="482"/>
      <c r="G301" s="483"/>
    </row>
    <row r="302" spans="1:7" ht="14.25" hidden="1" customHeight="1">
      <c r="A302" s="2064"/>
      <c r="B302" s="1807"/>
      <c r="C302" s="1819"/>
      <c r="D302" s="484"/>
      <c r="E302" s="485"/>
      <c r="F302" s="486"/>
      <c r="G302" s="487"/>
    </row>
    <row r="303" spans="1:7" ht="14.25" hidden="1" customHeight="1">
      <c r="A303" s="2053" t="s">
        <v>1560</v>
      </c>
      <c r="B303" s="1601"/>
      <c r="C303" s="1601"/>
      <c r="D303" s="1601"/>
      <c r="E303" s="1601"/>
      <c r="F303" s="1801"/>
      <c r="G303" s="488">
        <f>SUM(F300:F302)</f>
        <v>1727</v>
      </c>
    </row>
    <row r="304" spans="1:7" ht="14.25" hidden="1" customHeight="1">
      <c r="A304" s="471" t="s">
        <v>1561</v>
      </c>
      <c r="B304" s="469"/>
      <c r="C304" s="469"/>
      <c r="D304" s="469"/>
      <c r="E304" s="469"/>
      <c r="F304" s="469"/>
      <c r="G304" s="469"/>
    </row>
    <row r="305" spans="1:7" ht="14.25" hidden="1" customHeight="1">
      <c r="A305" s="2054" t="s">
        <v>1556</v>
      </c>
      <c r="B305" s="1624"/>
      <c r="C305" s="886" t="s">
        <v>6</v>
      </c>
      <c r="D305" s="917" t="s">
        <v>1562</v>
      </c>
      <c r="E305" s="886" t="s">
        <v>7</v>
      </c>
      <c r="F305" s="886" t="s">
        <v>1559</v>
      </c>
      <c r="G305" s="880"/>
    </row>
    <row r="306" spans="1:7" ht="17.25" hidden="1" customHeight="1">
      <c r="A306" s="2057" t="str">
        <f>'ANALISIS BASICOS'!$A$164</f>
        <v xml:space="preserve">MORTERO 1:3 </v>
      </c>
      <c r="B306" s="1611"/>
      <c r="C306" s="935" t="str">
        <f>'ANALISIS BASICOS'!$E$140</f>
        <v>M3</v>
      </c>
      <c r="D306" s="955">
        <f>'ANALISIS BASICOS'!$G$164</f>
        <v>434608</v>
      </c>
      <c r="E306" s="958">
        <v>0.05</v>
      </c>
      <c r="F306" s="478">
        <f t="shared" ref="F306:F314" si="15">(D306*E306)</f>
        <v>21730.400000000001</v>
      </c>
      <c r="G306" s="479"/>
    </row>
    <row r="307" spans="1:7" ht="14.25" hidden="1" customHeight="1">
      <c r="A307" s="2058"/>
      <c r="B307" s="1611"/>
      <c r="C307" s="921"/>
      <c r="D307" s="922"/>
      <c r="E307" s="923"/>
      <c r="F307" s="482">
        <f t="shared" si="15"/>
        <v>0</v>
      </c>
      <c r="G307" s="483"/>
    </row>
    <row r="308" spans="1:7" ht="14.25" hidden="1" customHeight="1">
      <c r="A308" s="2058"/>
      <c r="B308" s="1611"/>
      <c r="C308" s="921"/>
      <c r="D308" s="922"/>
      <c r="E308" s="923"/>
      <c r="F308" s="482">
        <f t="shared" si="15"/>
        <v>0</v>
      </c>
      <c r="G308" s="483"/>
    </row>
    <row r="309" spans="1:7" ht="14.25" hidden="1" customHeight="1">
      <c r="A309" s="2058"/>
      <c r="B309" s="1611"/>
      <c r="C309" s="921"/>
      <c r="D309" s="922"/>
      <c r="E309" s="953"/>
      <c r="F309" s="482">
        <f t="shared" si="15"/>
        <v>0</v>
      </c>
      <c r="G309" s="483"/>
    </row>
    <row r="310" spans="1:7" ht="14.25" hidden="1" customHeight="1">
      <c r="A310" s="2058"/>
      <c r="B310" s="1611"/>
      <c r="C310" s="921"/>
      <c r="D310" s="922"/>
      <c r="E310" s="953"/>
      <c r="F310" s="482">
        <f t="shared" si="15"/>
        <v>0</v>
      </c>
      <c r="G310" s="483"/>
    </row>
    <row r="311" spans="1:7" ht="14.25" hidden="1" customHeight="1">
      <c r="A311" s="2058"/>
      <c r="B311" s="1611"/>
      <c r="C311" s="921"/>
      <c r="D311" s="922"/>
      <c r="E311" s="953"/>
      <c r="F311" s="482">
        <f t="shared" si="15"/>
        <v>0</v>
      </c>
      <c r="G311" s="483"/>
    </row>
    <row r="312" spans="1:7" ht="15" hidden="1" customHeight="1">
      <c r="A312" s="2058"/>
      <c r="B312" s="1611"/>
      <c r="C312" s="921"/>
      <c r="D312" s="955"/>
      <c r="E312" s="953"/>
      <c r="F312" s="482">
        <f t="shared" si="15"/>
        <v>0</v>
      </c>
      <c r="G312" s="483"/>
    </row>
    <row r="313" spans="1:7" ht="14.25" hidden="1" customHeight="1">
      <c r="A313" s="2057"/>
      <c r="B313" s="1611"/>
      <c r="C313" s="921"/>
      <c r="D313" s="922"/>
      <c r="E313" s="923"/>
      <c r="F313" s="482">
        <f t="shared" si="15"/>
        <v>0</v>
      </c>
      <c r="G313" s="483"/>
    </row>
    <row r="314" spans="1:7" ht="14.25" hidden="1" customHeight="1">
      <c r="A314" s="2065"/>
      <c r="B314" s="1819"/>
      <c r="C314" s="926"/>
      <c r="D314" s="927"/>
      <c r="E314" s="956"/>
      <c r="F314" s="506">
        <f t="shared" si="15"/>
        <v>0</v>
      </c>
      <c r="G314" s="501"/>
    </row>
    <row r="315" spans="1:7" ht="14.25" hidden="1" customHeight="1">
      <c r="A315" s="2056" t="s">
        <v>1560</v>
      </c>
      <c r="B315" s="1817"/>
      <c r="C315" s="1817"/>
      <c r="D315" s="1817"/>
      <c r="E315" s="1817"/>
      <c r="F315" s="2000"/>
      <c r="G315" s="502">
        <f>SUM(F306:F314)</f>
        <v>21730.400000000001</v>
      </c>
    </row>
    <row r="316" spans="1:7" ht="14.25" hidden="1" customHeight="1">
      <c r="A316" s="471" t="s">
        <v>1563</v>
      </c>
      <c r="B316" s="469"/>
      <c r="C316" s="469"/>
      <c r="D316" s="469"/>
      <c r="E316" s="469"/>
      <c r="F316" s="469"/>
      <c r="G316" s="469"/>
    </row>
    <row r="317" spans="1:7" ht="14.25" hidden="1" customHeight="1">
      <c r="A317" s="2011" t="s">
        <v>1556</v>
      </c>
      <c r="B317" s="1801"/>
      <c r="C317" s="474" t="s">
        <v>6</v>
      </c>
      <c r="D317" s="474" t="s">
        <v>1562</v>
      </c>
      <c r="E317" s="474" t="s">
        <v>7</v>
      </c>
      <c r="F317" s="474" t="s">
        <v>1559</v>
      </c>
      <c r="G317" s="503"/>
    </row>
    <row r="318" spans="1:7" ht="14.25" hidden="1" customHeight="1">
      <c r="A318" s="2060"/>
      <c r="B318" s="1967"/>
      <c r="C318" s="504"/>
      <c r="D318" s="478"/>
      <c r="E318" s="505"/>
      <c r="F318" s="482"/>
      <c r="G318" s="479"/>
    </row>
    <row r="319" spans="1:7" ht="14.25" hidden="1" customHeight="1">
      <c r="A319" s="2052"/>
      <c r="B319" s="1819"/>
      <c r="C319" s="504"/>
      <c r="D319" s="506"/>
      <c r="E319" s="507"/>
      <c r="F319" s="506"/>
      <c r="G319" s="508"/>
    </row>
    <row r="320" spans="1:7" ht="14.25" hidden="1" customHeight="1">
      <c r="A320" s="2053" t="s">
        <v>1560</v>
      </c>
      <c r="B320" s="1601"/>
      <c r="C320" s="1601"/>
      <c r="D320" s="1601"/>
      <c r="E320" s="1601"/>
      <c r="F320" s="1801"/>
      <c r="G320" s="488"/>
    </row>
    <row r="321" spans="1:7" ht="14.25" hidden="1" customHeight="1">
      <c r="A321" s="471" t="s">
        <v>1564</v>
      </c>
      <c r="B321" s="469"/>
      <c r="C321" s="469"/>
      <c r="D321" s="469"/>
      <c r="E321" s="469"/>
      <c r="F321" s="469"/>
      <c r="G321" s="469"/>
    </row>
    <row r="322" spans="1:7" ht="14.25" hidden="1" customHeight="1">
      <c r="A322" s="2054" t="s">
        <v>1565</v>
      </c>
      <c r="B322" s="1932"/>
      <c r="C322" s="509" t="s">
        <v>1566</v>
      </c>
      <c r="D322" s="509" t="s">
        <v>6</v>
      </c>
      <c r="E322" s="509" t="s">
        <v>7</v>
      </c>
      <c r="F322" s="509" t="s">
        <v>1559</v>
      </c>
      <c r="G322" s="503"/>
    </row>
    <row r="323" spans="1:7" ht="15" hidden="1" customHeight="1">
      <c r="A323" s="2055" t="s">
        <v>1574</v>
      </c>
      <c r="B323" s="1967"/>
      <c r="C323" s="510">
        <v>7410.96</v>
      </c>
      <c r="D323" s="511" t="s">
        <v>1575</v>
      </c>
      <c r="E323" s="511">
        <v>0.44</v>
      </c>
      <c r="F323" s="512">
        <f t="shared" ref="F323:F324" si="16">C323/E323</f>
        <v>16843.090909090908</v>
      </c>
      <c r="G323" s="479"/>
    </row>
    <row r="324" spans="1:7" ht="19.5" hidden="1" customHeight="1">
      <c r="A324" s="513" t="s">
        <v>1576</v>
      </c>
      <c r="B324" s="514"/>
      <c r="C324" s="515">
        <v>4550.79</v>
      </c>
      <c r="D324" s="516" t="s">
        <v>1575</v>
      </c>
      <c r="E324" s="516">
        <f>E323</f>
        <v>0.44</v>
      </c>
      <c r="F324" s="957">
        <f t="shared" si="16"/>
        <v>10342.704545454546</v>
      </c>
      <c r="G324" s="501"/>
    </row>
    <row r="325" spans="1:7" ht="14.25" hidden="1" customHeight="1">
      <c r="A325" s="2056" t="str">
        <f>+A320</f>
        <v>SUB-TOTAL</v>
      </c>
      <c r="B325" s="1817"/>
      <c r="C325" s="1817"/>
      <c r="D325" s="1817"/>
      <c r="E325" s="1817"/>
      <c r="F325" s="2000"/>
      <c r="G325" s="518">
        <f>SUM(F323:F324)</f>
        <v>27185.795454545456</v>
      </c>
    </row>
    <row r="326" spans="1:7" ht="14.25" hidden="1" customHeight="1">
      <c r="A326" s="469"/>
      <c r="B326" s="469"/>
      <c r="C326" s="469"/>
      <c r="D326" s="469"/>
      <c r="E326" s="469"/>
      <c r="F326" s="519"/>
      <c r="G326" s="469"/>
    </row>
    <row r="327" spans="1:7" ht="14.25" hidden="1" customHeight="1">
      <c r="A327" s="2053" t="s">
        <v>1567</v>
      </c>
      <c r="B327" s="1601"/>
      <c r="C327" s="1601"/>
      <c r="D327" s="1601"/>
      <c r="E327" s="1601"/>
      <c r="F327" s="1801"/>
      <c r="G327" s="520">
        <f>ROUND(G303+G315+G320+G325,0)</f>
        <v>50643</v>
      </c>
    </row>
    <row r="328" spans="1:7" ht="14.25" hidden="1" customHeight="1">
      <c r="A328" s="468"/>
      <c r="B328" s="468"/>
      <c r="C328" s="468"/>
      <c r="D328" s="468"/>
      <c r="E328" s="468"/>
      <c r="F328" s="468"/>
      <c r="G328" s="468"/>
    </row>
    <row r="329" spans="1:7" ht="14.25" hidden="1" customHeight="1">
      <c r="A329" s="468"/>
      <c r="B329" s="468"/>
      <c r="C329" s="468"/>
      <c r="D329" s="468"/>
      <c r="E329" s="468"/>
      <c r="F329" s="468"/>
      <c r="G329" s="468"/>
    </row>
    <row r="330" spans="1:7" ht="24.75" hidden="1" customHeight="1">
      <c r="A330" s="2054" t="s">
        <v>1604</v>
      </c>
      <c r="B330" s="1616"/>
      <c r="C330" s="1624"/>
      <c r="D330" s="879"/>
      <c r="E330" s="879"/>
      <c r="F330" s="879"/>
      <c r="G330" s="880"/>
    </row>
    <row r="331" spans="1:7" ht="26.25" hidden="1" customHeight="1">
      <c r="A331" s="1971"/>
      <c r="B331" s="1817"/>
      <c r="C331" s="1972"/>
      <c r="D331" s="881"/>
      <c r="E331" s="881"/>
      <c r="F331" s="881"/>
      <c r="G331" s="882"/>
    </row>
    <row r="332" spans="1:7" ht="14.25" hidden="1" customHeight="1">
      <c r="A332" s="469"/>
      <c r="B332" s="469"/>
      <c r="C332" s="469"/>
      <c r="D332" s="469"/>
      <c r="E332" s="469"/>
      <c r="F332" s="469"/>
      <c r="G332" s="469"/>
    </row>
    <row r="333" spans="1:7" ht="33" hidden="1" customHeight="1">
      <c r="A333" s="2061" t="str">
        <f>A5</f>
        <v>PRECIOS UNITARIOS OFICIALES 2014</v>
      </c>
      <c r="B333" s="1601"/>
      <c r="C333" s="1602"/>
      <c r="D333" s="2062" t="s">
        <v>2020</v>
      </c>
      <c r="E333" s="1601"/>
      <c r="F333" s="1601"/>
      <c r="G333" s="1602"/>
    </row>
    <row r="334" spans="1:7" ht="14.25" hidden="1" customHeight="1">
      <c r="A334" s="470"/>
      <c r="B334" s="470"/>
      <c r="C334" s="470"/>
      <c r="D334" s="470"/>
      <c r="E334" s="470"/>
      <c r="F334" s="470"/>
      <c r="G334" s="470"/>
    </row>
    <row r="335" spans="1:7" ht="14.25" hidden="1" customHeight="1">
      <c r="A335" s="471"/>
      <c r="B335" s="469"/>
      <c r="C335" s="469"/>
      <c r="D335" s="472" t="s">
        <v>1553</v>
      </c>
      <c r="E335" s="473" t="s">
        <v>127</v>
      </c>
      <c r="F335" s="883"/>
      <c r="G335" s="883"/>
    </row>
    <row r="336" spans="1:7" ht="14.25" hidden="1" customHeight="1">
      <c r="A336" s="471" t="s">
        <v>1555</v>
      </c>
      <c r="B336" s="469"/>
      <c r="C336" s="469"/>
      <c r="D336" s="469"/>
      <c r="E336" s="469"/>
      <c r="F336" s="469"/>
      <c r="G336" s="469"/>
    </row>
    <row r="337" spans="1:7" ht="14.25" hidden="1" customHeight="1">
      <c r="A337" s="2011" t="s">
        <v>1556</v>
      </c>
      <c r="B337" s="1601"/>
      <c r="C337" s="1801"/>
      <c r="D337" s="474" t="s">
        <v>1557</v>
      </c>
      <c r="E337" s="474" t="s">
        <v>1558</v>
      </c>
      <c r="F337" s="474" t="s">
        <v>1559</v>
      </c>
      <c r="G337" s="475"/>
    </row>
    <row r="338" spans="1:7" ht="14.25" hidden="1" customHeight="1">
      <c r="A338" s="2060" t="s">
        <v>209</v>
      </c>
      <c r="B338" s="1811"/>
      <c r="C338" s="1967"/>
      <c r="D338" s="476" t="s">
        <v>899</v>
      </c>
      <c r="E338" s="477">
        <v>1</v>
      </c>
      <c r="F338" s="478">
        <v>379</v>
      </c>
      <c r="G338" s="479"/>
    </row>
    <row r="339" spans="1:7" ht="14.25" hidden="1" customHeight="1">
      <c r="A339" s="2063"/>
      <c r="B339" s="1610"/>
      <c r="C339" s="1611"/>
      <c r="D339" s="480"/>
      <c r="E339" s="481"/>
      <c r="F339" s="482"/>
      <c r="G339" s="483"/>
    </row>
    <row r="340" spans="1:7" ht="14.25" hidden="1" customHeight="1">
      <c r="A340" s="2064"/>
      <c r="B340" s="1807"/>
      <c r="C340" s="1819"/>
      <c r="D340" s="484"/>
      <c r="E340" s="485"/>
      <c r="F340" s="486"/>
      <c r="G340" s="487"/>
    </row>
    <row r="341" spans="1:7" ht="14.25" hidden="1" customHeight="1">
      <c r="A341" s="2053" t="s">
        <v>1560</v>
      </c>
      <c r="B341" s="1601"/>
      <c r="C341" s="1601"/>
      <c r="D341" s="1601"/>
      <c r="E341" s="1601"/>
      <c r="F341" s="1801"/>
      <c r="G341" s="488">
        <f>SUM(F338:F340)</f>
        <v>379</v>
      </c>
    </row>
    <row r="342" spans="1:7" ht="14.25" hidden="1" customHeight="1">
      <c r="A342" s="471" t="s">
        <v>1561</v>
      </c>
      <c r="B342" s="469"/>
      <c r="C342" s="469"/>
      <c r="D342" s="469"/>
      <c r="E342" s="469"/>
      <c r="F342" s="469"/>
      <c r="G342" s="469"/>
    </row>
    <row r="343" spans="1:7" ht="14.25" hidden="1" customHeight="1">
      <c r="A343" s="2054" t="s">
        <v>1556</v>
      </c>
      <c r="B343" s="1624"/>
      <c r="C343" s="886" t="s">
        <v>6</v>
      </c>
      <c r="D343" s="917" t="s">
        <v>1562</v>
      </c>
      <c r="E343" s="886" t="s">
        <v>7</v>
      </c>
      <c r="F343" s="886" t="s">
        <v>1559</v>
      </c>
      <c r="G343" s="880"/>
    </row>
    <row r="344" spans="1:7" ht="17.25" hidden="1" customHeight="1">
      <c r="A344" s="2057" t="str">
        <f>'ANALISIS BASICOS'!$A$228</f>
        <v>MORTERO 1:4</v>
      </c>
      <c r="B344" s="1611"/>
      <c r="C344" s="935" t="str">
        <f>'ANALISIS BASICOS'!$E$204</f>
        <v>M3</v>
      </c>
      <c r="D344" s="955">
        <f>'ANALISIS BASICOS'!$G$228</f>
        <v>384656</v>
      </c>
      <c r="E344" s="958">
        <v>0.02</v>
      </c>
      <c r="F344" s="478">
        <f t="shared" ref="F344:F347" si="17">(D344*E344)</f>
        <v>7693.12</v>
      </c>
      <c r="G344" s="479"/>
    </row>
    <row r="345" spans="1:7" ht="14.25" hidden="1" customHeight="1">
      <c r="A345" s="2058" t="str">
        <f>'LISTADO MATERIALES'!C387</f>
        <v>LADRILLO TOLETE COMÚN</v>
      </c>
      <c r="B345" s="1611"/>
      <c r="C345" s="921" t="str">
        <f>'LISTADO MATERIALES'!D387</f>
        <v>UND</v>
      </c>
      <c r="D345" s="922">
        <f>'LISTADO MATERIALES'!E387</f>
        <v>368</v>
      </c>
      <c r="E345" s="923">
        <v>99</v>
      </c>
      <c r="F345" s="482">
        <f t="shared" si="17"/>
        <v>36432</v>
      </c>
      <c r="G345" s="483"/>
    </row>
    <row r="346" spans="1:7" ht="14.25" hidden="1" customHeight="1">
      <c r="A346" s="2058"/>
      <c r="B346" s="1611"/>
      <c r="C346" s="921"/>
      <c r="D346" s="922"/>
      <c r="E346" s="923"/>
      <c r="F346" s="482">
        <f t="shared" si="17"/>
        <v>0</v>
      </c>
      <c r="G346" s="483"/>
    </row>
    <row r="347" spans="1:7" ht="14.25" hidden="1" customHeight="1">
      <c r="A347" s="2058"/>
      <c r="B347" s="1611"/>
      <c r="C347" s="921"/>
      <c r="D347" s="922"/>
      <c r="E347" s="953"/>
      <c r="F347" s="482">
        <f t="shared" si="17"/>
        <v>0</v>
      </c>
      <c r="G347" s="483"/>
    </row>
    <row r="348" spans="1:7" ht="14.25" hidden="1" customHeight="1">
      <c r="A348" s="2058"/>
      <c r="B348" s="1611"/>
      <c r="C348" s="921"/>
      <c r="D348" s="922"/>
      <c r="E348" s="953"/>
      <c r="F348" s="482"/>
      <c r="G348" s="483"/>
    </row>
    <row r="349" spans="1:7" ht="14.25" hidden="1" customHeight="1">
      <c r="A349" s="2058"/>
      <c r="B349" s="1611"/>
      <c r="C349" s="921"/>
      <c r="D349" s="922"/>
      <c r="E349" s="953"/>
      <c r="F349" s="482"/>
      <c r="G349" s="483"/>
    </row>
    <row r="350" spans="1:7" ht="14.25" hidden="1" customHeight="1">
      <c r="A350" s="2058"/>
      <c r="B350" s="1611"/>
      <c r="C350" s="921"/>
      <c r="D350" s="955"/>
      <c r="E350" s="953"/>
      <c r="F350" s="482"/>
      <c r="G350" s="483"/>
    </row>
    <row r="351" spans="1:7" ht="14.25" hidden="1" customHeight="1">
      <c r="A351" s="2057"/>
      <c r="B351" s="1611"/>
      <c r="C351" s="921"/>
      <c r="D351" s="922"/>
      <c r="E351" s="923"/>
      <c r="F351" s="482"/>
      <c r="G351" s="483"/>
    </row>
    <row r="352" spans="1:7" ht="14.25" hidden="1" customHeight="1">
      <c r="A352" s="2065"/>
      <c r="B352" s="1819"/>
      <c r="C352" s="926"/>
      <c r="D352" s="927"/>
      <c r="E352" s="956"/>
      <c r="F352" s="506"/>
      <c r="G352" s="501"/>
    </row>
    <row r="353" spans="1:7" ht="14.25" hidden="1" customHeight="1">
      <c r="A353" s="2056" t="s">
        <v>1560</v>
      </c>
      <c r="B353" s="1817"/>
      <c r="C353" s="1817"/>
      <c r="D353" s="1817"/>
      <c r="E353" s="1817"/>
      <c r="F353" s="2000"/>
      <c r="G353" s="502">
        <f>SUM(F344:F352)</f>
        <v>44125.120000000003</v>
      </c>
    </row>
    <row r="354" spans="1:7" ht="14.25" hidden="1" customHeight="1">
      <c r="A354" s="471" t="s">
        <v>1563</v>
      </c>
      <c r="B354" s="469"/>
      <c r="C354" s="469"/>
      <c r="D354" s="469"/>
      <c r="E354" s="469"/>
      <c r="F354" s="469"/>
      <c r="G354" s="469"/>
    </row>
    <row r="355" spans="1:7" ht="14.25" hidden="1" customHeight="1">
      <c r="A355" s="2011" t="s">
        <v>1556</v>
      </c>
      <c r="B355" s="1801"/>
      <c r="C355" s="474" t="s">
        <v>6</v>
      </c>
      <c r="D355" s="474" t="s">
        <v>1562</v>
      </c>
      <c r="E355" s="474" t="s">
        <v>7</v>
      </c>
      <c r="F355" s="474" t="s">
        <v>1559</v>
      </c>
      <c r="G355" s="503"/>
    </row>
    <row r="356" spans="1:7" ht="14.25" hidden="1" customHeight="1">
      <c r="A356" s="2060"/>
      <c r="B356" s="1967"/>
      <c r="C356" s="504"/>
      <c r="D356" s="478"/>
      <c r="E356" s="505"/>
      <c r="F356" s="482"/>
      <c r="G356" s="479"/>
    </row>
    <row r="357" spans="1:7" ht="14.25" hidden="1" customHeight="1">
      <c r="A357" s="2052"/>
      <c r="B357" s="1819"/>
      <c r="C357" s="504"/>
      <c r="D357" s="506"/>
      <c r="E357" s="507"/>
      <c r="F357" s="506"/>
      <c r="G357" s="508"/>
    </row>
    <row r="358" spans="1:7" ht="14.25" hidden="1" customHeight="1">
      <c r="A358" s="2053" t="s">
        <v>1560</v>
      </c>
      <c r="B358" s="1601"/>
      <c r="C358" s="1601"/>
      <c r="D358" s="1601"/>
      <c r="E358" s="1601"/>
      <c r="F358" s="1801"/>
      <c r="G358" s="488"/>
    </row>
    <row r="359" spans="1:7" ht="14.25" hidden="1" customHeight="1">
      <c r="A359" s="471" t="s">
        <v>1564</v>
      </c>
      <c r="B359" s="469"/>
      <c r="C359" s="469"/>
      <c r="D359" s="469"/>
      <c r="E359" s="469"/>
      <c r="F359" s="469"/>
      <c r="G359" s="469"/>
    </row>
    <row r="360" spans="1:7" ht="14.25" hidden="1" customHeight="1">
      <c r="A360" s="2054" t="s">
        <v>1565</v>
      </c>
      <c r="B360" s="1932"/>
      <c r="C360" s="509" t="s">
        <v>1566</v>
      </c>
      <c r="D360" s="509" t="s">
        <v>6</v>
      </c>
      <c r="E360" s="509" t="s">
        <v>7</v>
      </c>
      <c r="F360" s="509" t="s">
        <v>1559</v>
      </c>
      <c r="G360" s="503"/>
    </row>
    <row r="361" spans="1:7" ht="15.75" hidden="1" customHeight="1">
      <c r="A361" s="2055" t="s">
        <v>1574</v>
      </c>
      <c r="B361" s="1967"/>
      <c r="C361" s="510">
        <v>7410.96</v>
      </c>
      <c r="D361" s="511" t="s">
        <v>1575</v>
      </c>
      <c r="E361" s="511">
        <v>1.28</v>
      </c>
      <c r="F361" s="512">
        <f t="shared" ref="F361:F362" si="18">C361/E361</f>
        <v>5789.8125</v>
      </c>
      <c r="G361" s="479"/>
    </row>
    <row r="362" spans="1:7" ht="18" hidden="1" customHeight="1">
      <c r="A362" s="513" t="s">
        <v>1576</v>
      </c>
      <c r="B362" s="514"/>
      <c r="C362" s="515">
        <v>4550.79</v>
      </c>
      <c r="D362" s="516" t="s">
        <v>1575</v>
      </c>
      <c r="E362" s="516">
        <f>E361</f>
        <v>1.28</v>
      </c>
      <c r="F362" s="957">
        <f t="shared" si="18"/>
        <v>3555.3046875</v>
      </c>
      <c r="G362" s="501"/>
    </row>
    <row r="363" spans="1:7" ht="14.25" hidden="1" customHeight="1">
      <c r="A363" s="2056" t="str">
        <f>+A358</f>
        <v>SUB-TOTAL</v>
      </c>
      <c r="B363" s="1817"/>
      <c r="C363" s="1817"/>
      <c r="D363" s="1817"/>
      <c r="E363" s="1817"/>
      <c r="F363" s="2000"/>
      <c r="G363" s="518">
        <f>SUM(F361:F362)</f>
        <v>9345.1171875</v>
      </c>
    </row>
    <row r="364" spans="1:7" ht="14.25" hidden="1" customHeight="1">
      <c r="A364" s="469"/>
      <c r="B364" s="469"/>
      <c r="C364" s="469"/>
      <c r="D364" s="469"/>
      <c r="E364" s="469"/>
      <c r="F364" s="519"/>
      <c r="G364" s="469"/>
    </row>
    <row r="365" spans="1:7" ht="14.25" hidden="1" customHeight="1">
      <c r="A365" s="2053" t="s">
        <v>1567</v>
      </c>
      <c r="B365" s="1601"/>
      <c r="C365" s="1601"/>
      <c r="D365" s="1601"/>
      <c r="E365" s="1601"/>
      <c r="F365" s="1801"/>
      <c r="G365" s="520">
        <f>ROUND(G341+G353+G358+G363,0)</f>
        <v>53849</v>
      </c>
    </row>
    <row r="369" spans="1:7" ht="22.5" hidden="1" customHeight="1">
      <c r="A369" s="1994" t="e">
        <f>+'ANALISIS BASICOS'!$A$7</f>
        <v>#REF!</v>
      </c>
      <c r="B369" s="1616"/>
      <c r="C369" s="1624"/>
      <c r="D369" s="2069"/>
      <c r="E369" s="1616"/>
      <c r="F369" s="1616"/>
      <c r="G369" s="1624"/>
    </row>
    <row r="370" spans="1:7" ht="31.5" hidden="1" customHeight="1">
      <c r="A370" s="1971"/>
      <c r="B370" s="1817"/>
      <c r="C370" s="1972"/>
      <c r="D370" s="1971"/>
      <c r="E370" s="1817"/>
      <c r="F370" s="1817"/>
      <c r="G370" s="1972"/>
    </row>
    <row r="371" spans="1:7" ht="14.25" hidden="1" customHeight="1">
      <c r="A371" s="469"/>
      <c r="B371" s="469"/>
      <c r="C371" s="469"/>
      <c r="D371" s="469"/>
      <c r="E371" s="469"/>
      <c r="F371" s="469"/>
      <c r="G371" s="469"/>
    </row>
    <row r="372" spans="1:7" ht="45.75" hidden="1" customHeight="1">
      <c r="A372" s="2070" t="e">
        <f ca="1">+A186</f>
        <v>#NAME?</v>
      </c>
      <c r="B372" s="1601"/>
      <c r="C372" s="1602"/>
      <c r="D372" s="2062" t="s">
        <v>2021</v>
      </c>
      <c r="E372" s="1601"/>
      <c r="F372" s="1601"/>
      <c r="G372" s="1602"/>
    </row>
    <row r="373" spans="1:7" ht="14.25" hidden="1" customHeight="1">
      <c r="A373" s="470"/>
      <c r="B373" s="470"/>
      <c r="C373" s="470"/>
      <c r="D373" s="470"/>
      <c r="E373" s="470"/>
      <c r="F373" s="470"/>
      <c r="G373" s="470"/>
    </row>
    <row r="374" spans="1:7" ht="14.25" hidden="1" customHeight="1">
      <c r="A374" s="471"/>
      <c r="B374" s="469"/>
      <c r="C374" s="469"/>
      <c r="D374" s="472" t="s">
        <v>1553</v>
      </c>
      <c r="E374" s="473" t="s">
        <v>127</v>
      </c>
      <c r="F374" s="421" t="s">
        <v>1554</v>
      </c>
      <c r="G374" s="422" t="s">
        <v>93</v>
      </c>
    </row>
    <row r="375" spans="1:7" ht="14.25" hidden="1" customHeight="1">
      <c r="A375" s="471" t="s">
        <v>1555</v>
      </c>
      <c r="B375" s="469"/>
      <c r="C375" s="469"/>
      <c r="D375" s="469"/>
      <c r="E375" s="469"/>
      <c r="F375" s="469"/>
      <c r="G375" s="469"/>
    </row>
    <row r="376" spans="1:7" ht="14.25" hidden="1" customHeight="1">
      <c r="A376" s="2011" t="s">
        <v>1556</v>
      </c>
      <c r="B376" s="1601"/>
      <c r="C376" s="1801"/>
      <c r="D376" s="474" t="s">
        <v>1983</v>
      </c>
      <c r="E376" s="474" t="s">
        <v>1558</v>
      </c>
      <c r="F376" s="474" t="s">
        <v>1559</v>
      </c>
      <c r="G376" s="475"/>
    </row>
    <row r="377" spans="1:7" ht="14.25" hidden="1" customHeight="1">
      <c r="A377" s="2060" t="s">
        <v>2010</v>
      </c>
      <c r="B377" s="1811"/>
      <c r="C377" s="1967"/>
      <c r="D377" s="478">
        <f>+'LISTADO EQUIPOS'!$E$22/8</f>
        <v>2850</v>
      </c>
      <c r="E377" s="477">
        <v>0.1</v>
      </c>
      <c r="F377" s="478">
        <f>D377*E377</f>
        <v>285</v>
      </c>
      <c r="G377" s="479"/>
    </row>
    <row r="378" spans="1:7" ht="14.25" hidden="1" customHeight="1">
      <c r="A378" s="2063"/>
      <c r="B378" s="1610"/>
      <c r="C378" s="1611"/>
      <c r="D378" s="482"/>
      <c r="E378" s="481"/>
      <c r="F378" s="482"/>
      <c r="G378" s="483"/>
    </row>
    <row r="379" spans="1:7" ht="14.25" hidden="1" customHeight="1">
      <c r="A379" s="2064"/>
      <c r="B379" s="1807"/>
      <c r="C379" s="1819"/>
      <c r="D379" s="486"/>
      <c r="E379" s="485"/>
      <c r="F379" s="486"/>
      <c r="G379" s="487"/>
    </row>
    <row r="380" spans="1:7" ht="14.25" hidden="1" customHeight="1">
      <c r="A380" s="2053" t="s">
        <v>1560</v>
      </c>
      <c r="B380" s="1601"/>
      <c r="C380" s="1601"/>
      <c r="D380" s="1601"/>
      <c r="E380" s="1601"/>
      <c r="F380" s="1801"/>
      <c r="G380" s="488">
        <f>SUM(F377:F379)</f>
        <v>285</v>
      </c>
    </row>
    <row r="381" spans="1:7" ht="14.25" hidden="1" customHeight="1">
      <c r="A381" s="471" t="s">
        <v>1561</v>
      </c>
      <c r="B381" s="469"/>
      <c r="C381" s="469"/>
      <c r="D381" s="469"/>
      <c r="E381" s="469"/>
      <c r="F381" s="469"/>
      <c r="G381" s="469"/>
    </row>
    <row r="382" spans="1:7" ht="14.25" hidden="1" customHeight="1">
      <c r="A382" s="2011" t="s">
        <v>1556</v>
      </c>
      <c r="B382" s="1801"/>
      <c r="C382" s="474" t="s">
        <v>6</v>
      </c>
      <c r="D382" s="474" t="s">
        <v>1562</v>
      </c>
      <c r="E382" s="474" t="s">
        <v>7</v>
      </c>
      <c r="F382" s="474" t="s">
        <v>1559</v>
      </c>
      <c r="G382" s="475"/>
    </row>
    <row r="383" spans="1:7" ht="14.25" hidden="1" customHeight="1">
      <c r="A383" s="2075" t="str">
        <f>+'LISTADO MATERIALES'!C578</f>
        <v xml:space="preserve">YEE  PVC DE 2 * 6" </v>
      </c>
      <c r="B383" s="1967"/>
      <c r="C383" s="932" t="s">
        <v>103</v>
      </c>
      <c r="D383" s="478">
        <v>19976</v>
      </c>
      <c r="E383" s="947">
        <v>1</v>
      </c>
      <c r="F383" s="478">
        <f>+E383*D383</f>
        <v>19976</v>
      </c>
      <c r="G383" s="948">
        <f>E383*F383</f>
        <v>19976</v>
      </c>
    </row>
    <row r="384" spans="1:7" ht="14.25" hidden="1" customHeight="1">
      <c r="A384" s="2079"/>
      <c r="B384" s="1611"/>
      <c r="C384" s="935"/>
      <c r="D384" s="482"/>
      <c r="E384" s="945"/>
      <c r="F384" s="482"/>
      <c r="G384" s="910"/>
    </row>
    <row r="385" spans="1:7" ht="14.25" hidden="1" customHeight="1">
      <c r="A385" s="2067"/>
      <c r="B385" s="1611"/>
      <c r="C385" s="935"/>
      <c r="D385" s="482"/>
      <c r="E385" s="938"/>
      <c r="F385" s="482"/>
      <c r="G385" s="910"/>
    </row>
    <row r="386" spans="1:7" ht="14.25" hidden="1" customHeight="1">
      <c r="A386" s="2067"/>
      <c r="B386" s="1611"/>
      <c r="C386" s="935"/>
      <c r="D386" s="482"/>
      <c r="E386" s="939"/>
      <c r="F386" s="482"/>
      <c r="G386" s="913"/>
    </row>
    <row r="387" spans="1:7" ht="14.25" hidden="1" customHeight="1">
      <c r="A387" s="2065"/>
      <c r="B387" s="1819"/>
      <c r="C387" s="940"/>
      <c r="D387" s="506"/>
      <c r="E387" s="928"/>
      <c r="F387" s="506"/>
      <c r="G387" s="501"/>
    </row>
    <row r="388" spans="1:7" ht="14.25" hidden="1" customHeight="1">
      <c r="A388" s="2056" t="s">
        <v>1560</v>
      </c>
      <c r="B388" s="1817"/>
      <c r="C388" s="1817"/>
      <c r="D388" s="1817"/>
      <c r="E388" s="1817"/>
      <c r="F388" s="2000"/>
      <c r="G388" s="502">
        <f>SUM(F383:F387)</f>
        <v>19976</v>
      </c>
    </row>
    <row r="389" spans="1:7" ht="14.25" hidden="1" customHeight="1">
      <c r="A389" s="471" t="s">
        <v>1563</v>
      </c>
      <c r="B389" s="469"/>
      <c r="C389" s="469"/>
      <c r="D389" s="469"/>
      <c r="E389" s="469"/>
      <c r="F389" s="469"/>
      <c r="G389" s="469"/>
    </row>
    <row r="390" spans="1:7" ht="14.25" hidden="1" customHeight="1">
      <c r="A390" s="2011" t="s">
        <v>1556</v>
      </c>
      <c r="B390" s="1801"/>
      <c r="C390" s="474" t="s">
        <v>6</v>
      </c>
      <c r="D390" s="474" t="s">
        <v>1562</v>
      </c>
      <c r="E390" s="474" t="s">
        <v>7</v>
      </c>
      <c r="F390" s="474" t="s">
        <v>1559</v>
      </c>
      <c r="G390" s="503"/>
    </row>
    <row r="391" spans="1:7" ht="14.25" hidden="1" customHeight="1">
      <c r="A391" s="2060"/>
      <c r="B391" s="1967"/>
      <c r="C391" s="504"/>
      <c r="D391" s="478"/>
      <c r="E391" s="505"/>
      <c r="F391" s="482"/>
      <c r="G391" s="479"/>
    </row>
    <row r="392" spans="1:7" ht="14.25" hidden="1" customHeight="1">
      <c r="A392" s="2052"/>
      <c r="B392" s="1819"/>
      <c r="C392" s="504"/>
      <c r="D392" s="506"/>
      <c r="E392" s="507"/>
      <c r="F392" s="506"/>
      <c r="G392" s="508"/>
    </row>
    <row r="393" spans="1:7" ht="14.25" hidden="1" customHeight="1">
      <c r="A393" s="2053" t="s">
        <v>1560</v>
      </c>
      <c r="B393" s="1601"/>
      <c r="C393" s="1601"/>
      <c r="D393" s="1601"/>
      <c r="E393" s="1601"/>
      <c r="F393" s="1801"/>
      <c r="G393" s="488"/>
    </row>
    <row r="394" spans="1:7" ht="14.25" hidden="1" customHeight="1">
      <c r="A394" s="471" t="s">
        <v>1564</v>
      </c>
      <c r="B394" s="469"/>
      <c r="C394" s="469"/>
      <c r="D394" s="469"/>
      <c r="E394" s="469"/>
      <c r="F394" s="469"/>
      <c r="G394" s="469"/>
    </row>
    <row r="395" spans="1:7" ht="14.25" hidden="1" customHeight="1">
      <c r="A395" s="2011" t="s">
        <v>1565</v>
      </c>
      <c r="B395" s="1801"/>
      <c r="C395" s="474" t="s">
        <v>1566</v>
      </c>
      <c r="D395" s="474" t="s">
        <v>6</v>
      </c>
      <c r="E395" s="474" t="s">
        <v>7</v>
      </c>
      <c r="F395" s="474" t="s">
        <v>1559</v>
      </c>
      <c r="G395" s="899"/>
    </row>
    <row r="396" spans="1:7" ht="14.25" hidden="1" customHeight="1">
      <c r="A396" s="2004" t="str">
        <f>+'MANO DE OBRA'!$A$64</f>
        <v>Oficial (Incl. Prestaciones)</v>
      </c>
      <c r="B396" s="1888"/>
      <c r="C396" s="946">
        <f>+'MANO DE OBRA'!$E$64</f>
        <v>15031.25</v>
      </c>
      <c r="D396" s="511" t="s">
        <v>1575</v>
      </c>
      <c r="E396" s="511">
        <v>20.953846153846154</v>
      </c>
      <c r="F396" s="512">
        <f t="shared" ref="F396:F397" si="19">C396/E396</f>
        <v>717.35040381791487</v>
      </c>
      <c r="G396" s="479"/>
    </row>
    <row r="397" spans="1:7" ht="14.25" hidden="1" customHeight="1">
      <c r="A397" s="1984" t="str">
        <f>+'MANO DE OBRA'!$A$65</f>
        <v>Ayudante (Incl. Prestaciones)</v>
      </c>
      <c r="B397" s="1819"/>
      <c r="C397" s="515">
        <f>+'MANO DE OBRA'!$E$65</f>
        <v>10972.8125</v>
      </c>
      <c r="D397" s="516" t="s">
        <v>1575</v>
      </c>
      <c r="E397" s="516">
        <f>E396</f>
        <v>20.953846153846154</v>
      </c>
      <c r="F397" s="905">
        <f t="shared" si="19"/>
        <v>523.66579478707786</v>
      </c>
      <c r="G397" s="501"/>
    </row>
    <row r="398" spans="1:7" ht="14.25" hidden="1" customHeight="1">
      <c r="A398" s="2056" t="s">
        <v>1560</v>
      </c>
      <c r="B398" s="1817"/>
      <c r="C398" s="1817"/>
      <c r="D398" s="1817"/>
      <c r="E398" s="1817"/>
      <c r="F398" s="2000"/>
      <c r="G398" s="502">
        <f>SUM(F396:F397)</f>
        <v>1241.0161986049927</v>
      </c>
    </row>
    <row r="399" spans="1:7" ht="14.25" hidden="1" customHeight="1">
      <c r="A399" s="469"/>
      <c r="B399" s="469"/>
      <c r="C399" s="469"/>
      <c r="D399" s="469"/>
      <c r="E399" s="469"/>
      <c r="F399" s="519"/>
      <c r="G399" s="469"/>
    </row>
    <row r="400" spans="1:7" ht="14.25" hidden="1" customHeight="1">
      <c r="A400" s="2053" t="s">
        <v>1567</v>
      </c>
      <c r="B400" s="1601"/>
      <c r="C400" s="1601"/>
      <c r="D400" s="1601"/>
      <c r="E400" s="1601"/>
      <c r="F400" s="1801"/>
      <c r="G400" s="906">
        <f>ROUND(G380+G388+G393+G398,0)</f>
        <v>21502</v>
      </c>
    </row>
    <row r="403" spans="1:7" ht="20.25" hidden="1" customHeight="1">
      <c r="A403" s="1994" t="e">
        <f>+'ANALISIS BASICOS'!$A$7</f>
        <v>#REF!</v>
      </c>
      <c r="B403" s="1616"/>
      <c r="C403" s="1624"/>
      <c r="D403" s="2069"/>
      <c r="E403" s="1616"/>
      <c r="F403" s="1616"/>
      <c r="G403" s="1624"/>
    </row>
    <row r="404" spans="1:7" ht="32.25" hidden="1" customHeight="1">
      <c r="A404" s="1971"/>
      <c r="B404" s="1817"/>
      <c r="C404" s="1972"/>
      <c r="D404" s="1971"/>
      <c r="E404" s="1817"/>
      <c r="F404" s="1817"/>
      <c r="G404" s="1972"/>
    </row>
    <row r="405" spans="1:7" ht="14.25" hidden="1" customHeight="1">
      <c r="A405" s="469"/>
      <c r="B405" s="469"/>
      <c r="C405" s="469"/>
      <c r="D405" s="469"/>
      <c r="E405" s="469"/>
      <c r="F405" s="469"/>
      <c r="G405" s="469"/>
    </row>
    <row r="406" spans="1:7" ht="39" hidden="1" customHeight="1">
      <c r="A406" s="2070" t="e">
        <f ca="1">+A372</f>
        <v>#NAME?</v>
      </c>
      <c r="B406" s="1601"/>
      <c r="C406" s="1602"/>
      <c r="D406" s="2062" t="s">
        <v>2022</v>
      </c>
      <c r="E406" s="1601"/>
      <c r="F406" s="1601"/>
      <c r="G406" s="1602"/>
    </row>
    <row r="407" spans="1:7" ht="14.25" hidden="1" customHeight="1">
      <c r="A407" s="470"/>
      <c r="B407" s="470"/>
      <c r="C407" s="470"/>
      <c r="D407" s="470"/>
      <c r="E407" s="470"/>
      <c r="F407" s="470"/>
      <c r="G407" s="470"/>
    </row>
    <row r="408" spans="1:7" ht="14.25" hidden="1" customHeight="1">
      <c r="A408" s="471"/>
      <c r="B408" s="469"/>
      <c r="C408" s="469"/>
      <c r="D408" s="472" t="s">
        <v>1553</v>
      </c>
      <c r="E408" s="473" t="s">
        <v>127</v>
      </c>
      <c r="F408" s="421" t="s">
        <v>1554</v>
      </c>
      <c r="G408" s="422" t="s">
        <v>96</v>
      </c>
    </row>
    <row r="409" spans="1:7" ht="14.25" hidden="1" customHeight="1">
      <c r="A409" s="471" t="s">
        <v>1555</v>
      </c>
      <c r="B409" s="469"/>
      <c r="C409" s="469"/>
      <c r="D409" s="469"/>
      <c r="E409" s="469"/>
      <c r="F409" s="469"/>
      <c r="G409" s="469"/>
    </row>
    <row r="410" spans="1:7" ht="14.25" hidden="1" customHeight="1">
      <c r="A410" s="2011" t="s">
        <v>1556</v>
      </c>
      <c r="B410" s="1601"/>
      <c r="C410" s="1801"/>
      <c r="D410" s="474" t="s">
        <v>1983</v>
      </c>
      <c r="E410" s="474" t="s">
        <v>1558</v>
      </c>
      <c r="F410" s="474" t="s">
        <v>1559</v>
      </c>
      <c r="G410" s="475"/>
    </row>
    <row r="411" spans="1:7" ht="14.25" hidden="1" customHeight="1">
      <c r="A411" s="2060" t="s">
        <v>2010</v>
      </c>
      <c r="B411" s="1811"/>
      <c r="C411" s="1967"/>
      <c r="D411" s="478">
        <f>+'LISTADO EQUIPOS'!$E$22/8</f>
        <v>2850</v>
      </c>
      <c r="E411" s="477">
        <v>0.1</v>
      </c>
      <c r="F411" s="478">
        <f>D411*E411</f>
        <v>285</v>
      </c>
      <c r="G411" s="479"/>
    </row>
    <row r="412" spans="1:7" ht="14.25" hidden="1" customHeight="1">
      <c r="A412" s="2063"/>
      <c r="B412" s="1610"/>
      <c r="C412" s="1611"/>
      <c r="D412" s="482"/>
      <c r="E412" s="481"/>
      <c r="F412" s="482"/>
      <c r="G412" s="483"/>
    </row>
    <row r="413" spans="1:7" ht="14.25" hidden="1" customHeight="1">
      <c r="A413" s="2064"/>
      <c r="B413" s="1807"/>
      <c r="C413" s="1819"/>
      <c r="D413" s="486"/>
      <c r="E413" s="485"/>
      <c r="F413" s="486"/>
      <c r="G413" s="487"/>
    </row>
    <row r="414" spans="1:7" ht="14.25" hidden="1" customHeight="1">
      <c r="A414" s="2053" t="s">
        <v>1560</v>
      </c>
      <c r="B414" s="1601"/>
      <c r="C414" s="1601"/>
      <c r="D414" s="1601"/>
      <c r="E414" s="1601"/>
      <c r="F414" s="1801"/>
      <c r="G414" s="488">
        <f>SUM(F411:F413)</f>
        <v>285</v>
      </c>
    </row>
    <row r="415" spans="1:7" ht="14.25" hidden="1" customHeight="1">
      <c r="A415" s="471" t="s">
        <v>1561</v>
      </c>
      <c r="B415" s="469"/>
      <c r="C415" s="469"/>
      <c r="D415" s="469"/>
      <c r="E415" s="469"/>
      <c r="F415" s="469"/>
      <c r="G415" s="469"/>
    </row>
    <row r="416" spans="1:7" ht="14.25" hidden="1" customHeight="1">
      <c r="A416" s="2011" t="s">
        <v>1556</v>
      </c>
      <c r="B416" s="1801"/>
      <c r="C416" s="474" t="s">
        <v>6</v>
      </c>
      <c r="D416" s="474" t="s">
        <v>1562</v>
      </c>
      <c r="E416" s="474" t="s">
        <v>7</v>
      </c>
      <c r="F416" s="474" t="s">
        <v>1559</v>
      </c>
      <c r="G416" s="475"/>
    </row>
    <row r="417" spans="1:7" ht="14.25" hidden="1" customHeight="1">
      <c r="A417" s="2075" t="str">
        <f>+'LISTADO MATERIALES'!$C$436</f>
        <v>CODO SANITARIO PVC DE 6"</v>
      </c>
      <c r="B417" s="1967"/>
      <c r="C417" s="932" t="s">
        <v>127</v>
      </c>
      <c r="D417" s="478">
        <f>+'LISTADO MATERIALES'!$E$436</f>
        <v>16825</v>
      </c>
      <c r="E417" s="947">
        <v>1</v>
      </c>
      <c r="F417" s="478">
        <f>+E417*D417</f>
        <v>16825</v>
      </c>
      <c r="G417" s="948">
        <f>E417*F417</f>
        <v>16825</v>
      </c>
    </row>
    <row r="418" spans="1:7" ht="14.25" hidden="1" customHeight="1">
      <c r="A418" s="2079"/>
      <c r="B418" s="1611"/>
      <c r="C418" s="935"/>
      <c r="D418" s="482"/>
      <c r="E418" s="945"/>
      <c r="F418" s="482"/>
      <c r="G418" s="910"/>
    </row>
    <row r="419" spans="1:7" ht="14.25" hidden="1" customHeight="1">
      <c r="A419" s="2067"/>
      <c r="B419" s="1611"/>
      <c r="C419" s="935"/>
      <c r="D419" s="482"/>
      <c r="E419" s="938"/>
      <c r="F419" s="482"/>
      <c r="G419" s="910"/>
    </row>
    <row r="420" spans="1:7" ht="14.25" hidden="1" customHeight="1">
      <c r="A420" s="2067"/>
      <c r="B420" s="1611"/>
      <c r="C420" s="935"/>
      <c r="D420" s="482"/>
      <c r="E420" s="939"/>
      <c r="F420" s="482"/>
      <c r="G420" s="913"/>
    </row>
    <row r="421" spans="1:7" ht="14.25" hidden="1" customHeight="1">
      <c r="A421" s="2065"/>
      <c r="B421" s="1819"/>
      <c r="C421" s="940"/>
      <c r="D421" s="506"/>
      <c r="E421" s="928"/>
      <c r="F421" s="506"/>
      <c r="G421" s="501"/>
    </row>
    <row r="422" spans="1:7" ht="14.25" hidden="1" customHeight="1">
      <c r="A422" s="2056" t="s">
        <v>1560</v>
      </c>
      <c r="B422" s="1817"/>
      <c r="C422" s="1817"/>
      <c r="D422" s="1817"/>
      <c r="E422" s="1817"/>
      <c r="F422" s="2000"/>
      <c r="G422" s="502">
        <f>SUM(F417:F421)</f>
        <v>16825</v>
      </c>
    </row>
    <row r="423" spans="1:7" ht="14.25" hidden="1" customHeight="1">
      <c r="A423" s="471" t="s">
        <v>1563</v>
      </c>
      <c r="B423" s="469"/>
      <c r="C423" s="469"/>
      <c r="D423" s="469"/>
      <c r="E423" s="469"/>
      <c r="F423" s="469"/>
      <c r="G423" s="469"/>
    </row>
    <row r="424" spans="1:7" ht="14.25" hidden="1" customHeight="1">
      <c r="A424" s="2011" t="s">
        <v>1556</v>
      </c>
      <c r="B424" s="1801"/>
      <c r="C424" s="474" t="s">
        <v>6</v>
      </c>
      <c r="D424" s="474" t="s">
        <v>1562</v>
      </c>
      <c r="E424" s="474" t="s">
        <v>7</v>
      </c>
      <c r="F424" s="474" t="s">
        <v>1559</v>
      </c>
      <c r="G424" s="503"/>
    </row>
    <row r="425" spans="1:7" ht="14.25" hidden="1" customHeight="1">
      <c r="A425" s="2060"/>
      <c r="B425" s="1967"/>
      <c r="C425" s="504"/>
      <c r="D425" s="478"/>
      <c r="E425" s="505"/>
      <c r="F425" s="482"/>
      <c r="G425" s="479"/>
    </row>
    <row r="426" spans="1:7" ht="14.25" hidden="1" customHeight="1">
      <c r="A426" s="2052"/>
      <c r="B426" s="1819"/>
      <c r="C426" s="504"/>
      <c r="D426" s="506"/>
      <c r="E426" s="507"/>
      <c r="F426" s="506"/>
      <c r="G426" s="508"/>
    </row>
    <row r="427" spans="1:7" ht="14.25" hidden="1" customHeight="1">
      <c r="A427" s="2053" t="s">
        <v>1560</v>
      </c>
      <c r="B427" s="1601"/>
      <c r="C427" s="1601"/>
      <c r="D427" s="1601"/>
      <c r="E427" s="1601"/>
      <c r="F427" s="1801"/>
      <c r="G427" s="488"/>
    </row>
    <row r="428" spans="1:7" ht="14.25" hidden="1" customHeight="1">
      <c r="A428" s="471" t="s">
        <v>1564</v>
      </c>
      <c r="B428" s="469"/>
      <c r="C428" s="469"/>
      <c r="D428" s="469"/>
      <c r="E428" s="469"/>
      <c r="F428" s="469"/>
      <c r="G428" s="469"/>
    </row>
    <row r="429" spans="1:7" ht="14.25" hidden="1" customHeight="1">
      <c r="A429" s="2011" t="s">
        <v>1565</v>
      </c>
      <c r="B429" s="1801"/>
      <c r="C429" s="474" t="s">
        <v>1566</v>
      </c>
      <c r="D429" s="474" t="s">
        <v>6</v>
      </c>
      <c r="E429" s="474" t="s">
        <v>7</v>
      </c>
      <c r="F429" s="474" t="s">
        <v>1559</v>
      </c>
      <c r="G429" s="899"/>
    </row>
    <row r="430" spans="1:7" ht="14.25" hidden="1" customHeight="1">
      <c r="A430" s="2004" t="str">
        <f>+'MANO DE OBRA'!$A$64</f>
        <v>Oficial (Incl. Prestaciones)</v>
      </c>
      <c r="B430" s="1888"/>
      <c r="C430" s="510">
        <f>+'MANO DE OBRA'!$E$64</f>
        <v>15031.25</v>
      </c>
      <c r="D430" s="511" t="s">
        <v>1575</v>
      </c>
      <c r="E430" s="511">
        <v>20.953846153846154</v>
      </c>
      <c r="F430" s="512">
        <f t="shared" ref="F430:F431" si="20">C430/E430</f>
        <v>717.35040381791487</v>
      </c>
      <c r="G430" s="479"/>
    </row>
    <row r="431" spans="1:7" ht="14.25" hidden="1" customHeight="1">
      <c r="A431" s="1984" t="str">
        <f>+'MANO DE OBRA'!$A$65</f>
        <v>Ayudante (Incl. Prestaciones)</v>
      </c>
      <c r="B431" s="1819"/>
      <c r="C431" s="515">
        <f>+'MANO DE OBRA'!$E$65</f>
        <v>10972.8125</v>
      </c>
      <c r="D431" s="516" t="s">
        <v>1575</v>
      </c>
      <c r="E431" s="516">
        <f>E430</f>
        <v>20.953846153846154</v>
      </c>
      <c r="F431" s="905">
        <f t="shared" si="20"/>
        <v>523.66579478707786</v>
      </c>
      <c r="G431" s="501"/>
    </row>
    <row r="432" spans="1:7" ht="14.25" hidden="1" customHeight="1">
      <c r="A432" s="2056" t="s">
        <v>1560</v>
      </c>
      <c r="B432" s="1817"/>
      <c r="C432" s="1817"/>
      <c r="D432" s="1817"/>
      <c r="E432" s="1817"/>
      <c r="F432" s="2000"/>
      <c r="G432" s="502">
        <f>SUM(F430:F431)</f>
        <v>1241.0161986049927</v>
      </c>
    </row>
    <row r="434" spans="1:7" ht="14.25" hidden="1" customHeight="1">
      <c r="A434" s="2053" t="s">
        <v>1567</v>
      </c>
      <c r="B434" s="1601"/>
      <c r="C434" s="1601"/>
      <c r="D434" s="1601"/>
      <c r="E434" s="1601"/>
      <c r="F434" s="1801"/>
      <c r="G434" s="906">
        <f>ROUND(G414+G422+G427+G432,0)</f>
        <v>18351</v>
      </c>
    </row>
    <row r="435" spans="1:7" ht="14.25" hidden="1" customHeight="1"/>
    <row r="436" spans="1:7" ht="14.25" hidden="1" customHeight="1">
      <c r="A436" s="468"/>
      <c r="B436" s="468"/>
      <c r="C436" s="468"/>
      <c r="D436" s="468"/>
      <c r="E436" s="468"/>
      <c r="F436" s="468"/>
      <c r="G436" s="468"/>
    </row>
    <row r="437" spans="1:7" ht="21.75" hidden="1" customHeight="1">
      <c r="A437" s="1994" t="e">
        <f>+'ANALISIS BASICOS'!$A$7</f>
        <v>#REF!</v>
      </c>
      <c r="B437" s="1616"/>
      <c r="C437" s="1624"/>
      <c r="D437" s="2069"/>
      <c r="E437" s="1616"/>
      <c r="F437" s="1616"/>
      <c r="G437" s="1624"/>
    </row>
    <row r="438" spans="1:7" ht="32.25" hidden="1" customHeight="1">
      <c r="A438" s="1971"/>
      <c r="B438" s="1817"/>
      <c r="C438" s="1972"/>
      <c r="D438" s="1971"/>
      <c r="E438" s="1817"/>
      <c r="F438" s="1817"/>
      <c r="G438" s="1972"/>
    </row>
    <row r="439" spans="1:7" ht="14.25" hidden="1" customHeight="1">
      <c r="A439" s="469"/>
      <c r="B439" s="469"/>
      <c r="C439" s="469"/>
      <c r="D439" s="469"/>
      <c r="E439" s="469"/>
      <c r="F439" s="469"/>
      <c r="G439" s="469"/>
    </row>
    <row r="440" spans="1:7" ht="39" hidden="1" customHeight="1">
      <c r="A440" s="2070" t="e">
        <f ca="1">+A406</f>
        <v>#NAME?</v>
      </c>
      <c r="B440" s="1601"/>
      <c r="C440" s="1602"/>
      <c r="D440" s="2062" t="s">
        <v>2023</v>
      </c>
      <c r="E440" s="1601"/>
      <c r="F440" s="1601"/>
      <c r="G440" s="1602"/>
    </row>
    <row r="441" spans="1:7" ht="14.25" hidden="1" customHeight="1">
      <c r="A441" s="470"/>
      <c r="B441" s="470"/>
      <c r="C441" s="470"/>
      <c r="D441" s="470"/>
      <c r="E441" s="470"/>
      <c r="F441" s="470"/>
      <c r="G441" s="470"/>
    </row>
    <row r="442" spans="1:7" ht="14.25" hidden="1" customHeight="1">
      <c r="A442" s="471"/>
      <c r="B442" s="469"/>
      <c r="C442" s="469"/>
      <c r="D442" s="472" t="s">
        <v>1553</v>
      </c>
      <c r="E442" s="473" t="s">
        <v>127</v>
      </c>
      <c r="F442" s="421" t="s">
        <v>1554</v>
      </c>
      <c r="G442" s="422" t="s">
        <v>98</v>
      </c>
    </row>
    <row r="443" spans="1:7" ht="14.25" hidden="1" customHeight="1">
      <c r="A443" s="471" t="s">
        <v>1555</v>
      </c>
      <c r="B443" s="469"/>
      <c r="C443" s="469"/>
      <c r="D443" s="469"/>
      <c r="E443" s="469"/>
      <c r="F443" s="469"/>
      <c r="G443" s="469"/>
    </row>
    <row r="444" spans="1:7" ht="14.25" hidden="1" customHeight="1">
      <c r="A444" s="2011" t="s">
        <v>1556</v>
      </c>
      <c r="B444" s="1601"/>
      <c r="C444" s="1801"/>
      <c r="D444" s="474" t="s">
        <v>1983</v>
      </c>
      <c r="E444" s="474" t="s">
        <v>1558</v>
      </c>
      <c r="F444" s="474" t="s">
        <v>1559</v>
      </c>
      <c r="G444" s="475"/>
    </row>
    <row r="445" spans="1:7" ht="14.25" hidden="1" customHeight="1">
      <c r="A445" s="2060" t="s">
        <v>2010</v>
      </c>
      <c r="B445" s="1811"/>
      <c r="C445" s="1967"/>
      <c r="D445" s="478">
        <f>+'LISTADO EQUIPOS'!$E$22/8</f>
        <v>2850</v>
      </c>
      <c r="E445" s="477">
        <v>0.1</v>
      </c>
      <c r="F445" s="478">
        <f>D445*E445</f>
        <v>285</v>
      </c>
      <c r="G445" s="479"/>
    </row>
    <row r="446" spans="1:7" ht="14.25" hidden="1" customHeight="1">
      <c r="A446" s="2063"/>
      <c r="B446" s="1610"/>
      <c r="C446" s="1611"/>
      <c r="D446" s="482"/>
      <c r="E446" s="481"/>
      <c r="F446" s="482"/>
      <c r="G446" s="483"/>
    </row>
    <row r="447" spans="1:7" ht="14.25" hidden="1" customHeight="1">
      <c r="A447" s="2064"/>
      <c r="B447" s="1807"/>
      <c r="C447" s="1819"/>
      <c r="D447" s="486"/>
      <c r="E447" s="485"/>
      <c r="F447" s="486"/>
      <c r="G447" s="487"/>
    </row>
    <row r="448" spans="1:7" ht="14.25" hidden="1" customHeight="1">
      <c r="A448" s="2053" t="s">
        <v>1560</v>
      </c>
      <c r="B448" s="1601"/>
      <c r="C448" s="1601"/>
      <c r="D448" s="1601"/>
      <c r="E448" s="1601"/>
      <c r="F448" s="1801"/>
      <c r="G448" s="488">
        <f>SUM(F445:F447)</f>
        <v>285</v>
      </c>
    </row>
    <row r="449" spans="1:7" ht="14.25" hidden="1" customHeight="1">
      <c r="A449" s="471" t="s">
        <v>1561</v>
      </c>
      <c r="B449" s="469"/>
      <c r="C449" s="469"/>
      <c r="D449" s="469"/>
      <c r="E449" s="469"/>
      <c r="F449" s="469"/>
      <c r="G449" s="469"/>
    </row>
    <row r="450" spans="1:7" ht="14.25" hidden="1" customHeight="1">
      <c r="A450" s="2011" t="s">
        <v>1556</v>
      </c>
      <c r="B450" s="1801"/>
      <c r="C450" s="474" t="s">
        <v>6</v>
      </c>
      <c r="D450" s="474" t="s">
        <v>1562</v>
      </c>
      <c r="E450" s="474" t="s">
        <v>7</v>
      </c>
      <c r="F450" s="474" t="s">
        <v>1559</v>
      </c>
      <c r="G450" s="475"/>
    </row>
    <row r="451" spans="1:7" ht="14.25" hidden="1" customHeight="1">
      <c r="A451" s="2075" t="str">
        <f>+'LISTADO MATERIALES'!$C$437</f>
        <v>CODO SANITARIO PVC DE 4"</v>
      </c>
      <c r="B451" s="1967"/>
      <c r="C451" s="932" t="s">
        <v>127</v>
      </c>
      <c r="D451" s="478">
        <f>+'LISTADO MATERIALES'!$E$437</f>
        <v>11150</v>
      </c>
      <c r="E451" s="947">
        <v>1</v>
      </c>
      <c r="F451" s="478">
        <f>+E451*D451</f>
        <v>11150</v>
      </c>
      <c r="G451" s="948">
        <f>E451*F451</f>
        <v>11150</v>
      </c>
    </row>
    <row r="452" spans="1:7" ht="14.25" hidden="1" customHeight="1">
      <c r="A452" s="2079"/>
      <c r="B452" s="1611"/>
      <c r="C452" s="935"/>
      <c r="D452" s="482"/>
      <c r="E452" s="945"/>
      <c r="F452" s="482"/>
      <c r="G452" s="910"/>
    </row>
    <row r="453" spans="1:7" ht="14.25" hidden="1" customHeight="1">
      <c r="A453" s="2067"/>
      <c r="B453" s="1611"/>
      <c r="C453" s="935"/>
      <c r="D453" s="482"/>
      <c r="E453" s="938"/>
      <c r="F453" s="482"/>
      <c r="G453" s="910"/>
    </row>
    <row r="454" spans="1:7" ht="14.25" hidden="1" customHeight="1">
      <c r="A454" s="2067"/>
      <c r="B454" s="1611"/>
      <c r="C454" s="935"/>
      <c r="D454" s="482"/>
      <c r="E454" s="939"/>
      <c r="F454" s="482"/>
      <c r="G454" s="913"/>
    </row>
    <row r="455" spans="1:7" ht="14.25" hidden="1" customHeight="1">
      <c r="A455" s="2065"/>
      <c r="B455" s="1819"/>
      <c r="C455" s="940"/>
      <c r="D455" s="506"/>
      <c r="E455" s="928"/>
      <c r="F455" s="506"/>
      <c r="G455" s="501"/>
    </row>
    <row r="456" spans="1:7" ht="14.25" hidden="1" customHeight="1">
      <c r="A456" s="2056" t="s">
        <v>1560</v>
      </c>
      <c r="B456" s="1817"/>
      <c r="C456" s="1817"/>
      <c r="D456" s="1817"/>
      <c r="E456" s="1817"/>
      <c r="F456" s="2000"/>
      <c r="G456" s="502">
        <f>SUM(F451:F455)</f>
        <v>11150</v>
      </c>
    </row>
    <row r="457" spans="1:7" ht="14.25" hidden="1" customHeight="1">
      <c r="A457" s="471" t="s">
        <v>1563</v>
      </c>
      <c r="B457" s="469"/>
      <c r="C457" s="469"/>
      <c r="D457" s="469"/>
      <c r="E457" s="469"/>
      <c r="F457" s="469"/>
      <c r="G457" s="469"/>
    </row>
    <row r="458" spans="1:7" ht="14.25" hidden="1" customHeight="1">
      <c r="A458" s="2011" t="s">
        <v>1556</v>
      </c>
      <c r="B458" s="1801"/>
      <c r="C458" s="474" t="s">
        <v>6</v>
      </c>
      <c r="D458" s="474" t="s">
        <v>1562</v>
      </c>
      <c r="E458" s="474" t="s">
        <v>7</v>
      </c>
      <c r="F458" s="474" t="s">
        <v>1559</v>
      </c>
      <c r="G458" s="503"/>
    </row>
    <row r="459" spans="1:7" ht="14.25" hidden="1" customHeight="1">
      <c r="A459" s="2060"/>
      <c r="B459" s="1967"/>
      <c r="C459" s="504"/>
      <c r="D459" s="478"/>
      <c r="E459" s="505"/>
      <c r="F459" s="482"/>
      <c r="G459" s="479"/>
    </row>
    <row r="460" spans="1:7" ht="14.25" hidden="1" customHeight="1">
      <c r="A460" s="2052"/>
      <c r="B460" s="1819"/>
      <c r="C460" s="504"/>
      <c r="D460" s="506"/>
      <c r="E460" s="507"/>
      <c r="F460" s="506"/>
      <c r="G460" s="508"/>
    </row>
    <row r="461" spans="1:7" ht="14.25" hidden="1" customHeight="1">
      <c r="A461" s="2053" t="s">
        <v>1560</v>
      </c>
      <c r="B461" s="1601"/>
      <c r="C461" s="1601"/>
      <c r="D461" s="1601"/>
      <c r="E461" s="1601"/>
      <c r="F461" s="1801"/>
      <c r="G461" s="488"/>
    </row>
    <row r="462" spans="1:7" ht="14.25" hidden="1" customHeight="1">
      <c r="A462" s="471" t="s">
        <v>1564</v>
      </c>
      <c r="B462" s="469"/>
      <c r="C462" s="469"/>
      <c r="D462" s="469"/>
      <c r="E462" s="469"/>
      <c r="F462" s="469"/>
      <c r="G462" s="469"/>
    </row>
    <row r="463" spans="1:7" ht="14.25" hidden="1" customHeight="1">
      <c r="A463" s="2011" t="s">
        <v>1565</v>
      </c>
      <c r="B463" s="1801"/>
      <c r="C463" s="474" t="s">
        <v>1566</v>
      </c>
      <c r="D463" s="474" t="s">
        <v>6</v>
      </c>
      <c r="E463" s="474" t="s">
        <v>7</v>
      </c>
      <c r="F463" s="474" t="s">
        <v>1559</v>
      </c>
      <c r="G463" s="899"/>
    </row>
    <row r="464" spans="1:7" ht="14.25" hidden="1" customHeight="1">
      <c r="A464" s="2004" t="str">
        <f>+'MANO DE OBRA'!$A$64</f>
        <v>Oficial (Incl. Prestaciones)</v>
      </c>
      <c r="B464" s="1888"/>
      <c r="C464" s="510">
        <f>+'MANO DE OBRA'!$E$64</f>
        <v>15031.25</v>
      </c>
      <c r="D464" s="511" t="s">
        <v>1575</v>
      </c>
      <c r="E464" s="511">
        <v>20.953846153846154</v>
      </c>
      <c r="F464" s="512">
        <f t="shared" ref="F464:F465" si="21">C464/E464</f>
        <v>717.35040381791487</v>
      </c>
      <c r="G464" s="479"/>
    </row>
    <row r="465" spans="1:7" ht="14.25" hidden="1" customHeight="1">
      <c r="A465" s="1984" t="str">
        <f>+'MANO DE OBRA'!$A$65</f>
        <v>Ayudante (Incl. Prestaciones)</v>
      </c>
      <c r="B465" s="1819"/>
      <c r="C465" s="515">
        <f>+'MANO DE OBRA'!$E$65</f>
        <v>10972.8125</v>
      </c>
      <c r="D465" s="516" t="s">
        <v>1575</v>
      </c>
      <c r="E465" s="516">
        <f>E464</f>
        <v>20.953846153846154</v>
      </c>
      <c r="F465" s="905">
        <f t="shared" si="21"/>
        <v>523.66579478707786</v>
      </c>
      <c r="G465" s="501"/>
    </row>
    <row r="466" spans="1:7" ht="14.25" hidden="1" customHeight="1">
      <c r="A466" s="2056" t="s">
        <v>1560</v>
      </c>
      <c r="B466" s="1817"/>
      <c r="C466" s="1817"/>
      <c r="D466" s="1817"/>
      <c r="E466" s="1817"/>
      <c r="F466" s="2000"/>
      <c r="G466" s="502">
        <f>SUM(F464:F465)</f>
        <v>1241.0161986049927</v>
      </c>
    </row>
    <row r="467" spans="1:7" ht="14.25" hidden="1" customHeight="1">
      <c r="A467" s="469"/>
      <c r="B467" s="469"/>
      <c r="C467" s="469"/>
      <c r="D467" s="469"/>
      <c r="E467" s="469"/>
      <c r="F467" s="519"/>
      <c r="G467" s="469"/>
    </row>
    <row r="468" spans="1:7" ht="14.25" hidden="1" customHeight="1">
      <c r="A468" s="2053" t="s">
        <v>1567</v>
      </c>
      <c r="B468" s="1601"/>
      <c r="C468" s="1601"/>
      <c r="D468" s="1601"/>
      <c r="E468" s="1601"/>
      <c r="F468" s="1801"/>
      <c r="G468" s="906">
        <f>ROUND(G448+G456+G461+G466,0)</f>
        <v>12676</v>
      </c>
    </row>
    <row r="469" spans="1:7" ht="14.25" hidden="1" customHeight="1"/>
    <row r="470" spans="1:7" ht="14.25" hidden="1" customHeight="1">
      <c r="A470" s="468"/>
      <c r="B470" s="468"/>
      <c r="C470" s="468"/>
      <c r="D470" s="468"/>
      <c r="E470" s="468"/>
      <c r="F470" s="468"/>
      <c r="G470" s="468"/>
    </row>
    <row r="471" spans="1:7" ht="35.25" hidden="1" customHeight="1">
      <c r="A471" s="1994" t="e">
        <f>+'ANALISIS BASICOS'!$A$7</f>
        <v>#REF!</v>
      </c>
      <c r="B471" s="1616"/>
      <c r="C471" s="1624"/>
      <c r="D471" s="2069"/>
      <c r="E471" s="1616"/>
      <c r="F471" s="1616"/>
      <c r="G471" s="1624"/>
    </row>
    <row r="472" spans="1:7" ht="21.75" hidden="1" customHeight="1">
      <c r="A472" s="1971"/>
      <c r="B472" s="1817"/>
      <c r="C472" s="1972"/>
      <c r="D472" s="1971"/>
      <c r="E472" s="1817"/>
      <c r="F472" s="1817"/>
      <c r="G472" s="1972"/>
    </row>
    <row r="473" spans="1:7" ht="14.25" hidden="1" customHeight="1">
      <c r="A473" s="469"/>
      <c r="B473" s="469"/>
      <c r="C473" s="469"/>
      <c r="D473" s="469"/>
      <c r="E473" s="469"/>
      <c r="F473" s="469"/>
      <c r="G473" s="469"/>
    </row>
    <row r="474" spans="1:7" ht="39" hidden="1" customHeight="1">
      <c r="A474" s="2070" t="e">
        <f ca="1">+A440</f>
        <v>#NAME?</v>
      </c>
      <c r="B474" s="1601"/>
      <c r="C474" s="1602"/>
      <c r="D474" s="2062" t="s">
        <v>2024</v>
      </c>
      <c r="E474" s="1601"/>
      <c r="F474" s="1601"/>
      <c r="G474" s="1602"/>
    </row>
    <row r="475" spans="1:7" ht="14.25" hidden="1" customHeight="1">
      <c r="A475" s="470"/>
      <c r="B475" s="470"/>
      <c r="C475" s="470"/>
      <c r="D475" s="470"/>
      <c r="E475" s="470"/>
      <c r="F475" s="470"/>
      <c r="G475" s="470"/>
    </row>
    <row r="476" spans="1:7" ht="14.25" hidden="1" customHeight="1">
      <c r="A476" s="471"/>
      <c r="B476" s="469"/>
      <c r="C476" s="469"/>
      <c r="D476" s="472" t="s">
        <v>1553</v>
      </c>
      <c r="E476" s="473" t="s">
        <v>127</v>
      </c>
      <c r="F476" s="421" t="s">
        <v>1554</v>
      </c>
      <c r="G476" s="422" t="s">
        <v>101</v>
      </c>
    </row>
    <row r="477" spans="1:7" ht="14.25" hidden="1" customHeight="1">
      <c r="A477" s="471" t="s">
        <v>1555</v>
      </c>
      <c r="B477" s="469"/>
      <c r="C477" s="469"/>
      <c r="D477" s="469"/>
      <c r="E477" s="469"/>
      <c r="F477" s="469"/>
      <c r="G477" s="469"/>
    </row>
    <row r="478" spans="1:7" ht="14.25" hidden="1" customHeight="1">
      <c r="A478" s="2011" t="s">
        <v>1556</v>
      </c>
      <c r="B478" s="1601"/>
      <c r="C478" s="1801"/>
      <c r="D478" s="474" t="s">
        <v>1983</v>
      </c>
      <c r="E478" s="474" t="s">
        <v>1558</v>
      </c>
      <c r="F478" s="474" t="s">
        <v>1559</v>
      </c>
      <c r="G478" s="475"/>
    </row>
    <row r="479" spans="1:7" ht="14.25" hidden="1" customHeight="1">
      <c r="A479" s="2060" t="s">
        <v>2010</v>
      </c>
      <c r="B479" s="1811"/>
      <c r="C479" s="1967"/>
      <c r="D479" s="478">
        <f>+'LISTADO EQUIPOS'!$E$22/8</f>
        <v>2850</v>
      </c>
      <c r="E479" s="477">
        <v>0.1</v>
      </c>
      <c r="F479" s="478">
        <f>D479*E479</f>
        <v>285</v>
      </c>
      <c r="G479" s="479"/>
    </row>
    <row r="480" spans="1:7" ht="14.25" hidden="1" customHeight="1">
      <c r="A480" s="2063"/>
      <c r="B480" s="1610"/>
      <c r="C480" s="1611"/>
      <c r="D480" s="482"/>
      <c r="E480" s="481"/>
      <c r="F480" s="482"/>
      <c r="G480" s="483"/>
    </row>
    <row r="481" spans="1:7" ht="14.25" hidden="1" customHeight="1">
      <c r="A481" s="2064"/>
      <c r="B481" s="1807"/>
      <c r="C481" s="1819"/>
      <c r="D481" s="486"/>
      <c r="E481" s="485"/>
      <c r="F481" s="486"/>
      <c r="G481" s="487"/>
    </row>
    <row r="482" spans="1:7" ht="14.25" hidden="1" customHeight="1">
      <c r="A482" s="2053" t="s">
        <v>1560</v>
      </c>
      <c r="B482" s="1601"/>
      <c r="C482" s="1601"/>
      <c r="D482" s="1601"/>
      <c r="E482" s="1601"/>
      <c r="F482" s="1801"/>
      <c r="G482" s="488">
        <f>SUM(F479:F481)</f>
        <v>285</v>
      </c>
    </row>
    <row r="483" spans="1:7" ht="14.25" hidden="1" customHeight="1">
      <c r="A483" s="471" t="s">
        <v>1561</v>
      </c>
      <c r="B483" s="469"/>
      <c r="C483" s="469"/>
      <c r="D483" s="469"/>
      <c r="E483" s="469"/>
      <c r="F483" s="469"/>
      <c r="G483" s="469"/>
    </row>
    <row r="484" spans="1:7" ht="14.25" hidden="1" customHeight="1">
      <c r="A484" s="2011" t="s">
        <v>1556</v>
      </c>
      <c r="B484" s="1801"/>
      <c r="C484" s="474" t="s">
        <v>6</v>
      </c>
      <c r="D484" s="474" t="s">
        <v>1562</v>
      </c>
      <c r="E484" s="474" t="s">
        <v>7</v>
      </c>
      <c r="F484" s="474" t="s">
        <v>1559</v>
      </c>
      <c r="G484" s="475"/>
    </row>
    <row r="485" spans="1:7" ht="14.25" hidden="1" customHeight="1">
      <c r="A485" s="2075" t="str">
        <f>+'LISTADO MATERIALES'!$C$438</f>
        <v>CODO SANITARIO PVC DE 2"</v>
      </c>
      <c r="B485" s="1967"/>
      <c r="C485" s="932" t="s">
        <v>127</v>
      </c>
      <c r="D485" s="478">
        <f>+'LISTADO MATERIALES'!$E$438</f>
        <v>8400</v>
      </c>
      <c r="E485" s="947">
        <v>1</v>
      </c>
      <c r="F485" s="478">
        <f>+E485*D485</f>
        <v>8400</v>
      </c>
      <c r="G485" s="948">
        <f>E485*F485</f>
        <v>8400</v>
      </c>
    </row>
    <row r="486" spans="1:7" ht="14.25" hidden="1" customHeight="1">
      <c r="A486" s="2079"/>
      <c r="B486" s="1611"/>
      <c r="C486" s="935"/>
      <c r="D486" s="482"/>
      <c r="E486" s="945"/>
      <c r="F486" s="482"/>
      <c r="G486" s="910"/>
    </row>
    <row r="487" spans="1:7" ht="14.25" hidden="1" customHeight="1">
      <c r="A487" s="2067"/>
      <c r="B487" s="1611"/>
      <c r="C487" s="935"/>
      <c r="D487" s="482"/>
      <c r="E487" s="938"/>
      <c r="F487" s="482"/>
      <c r="G487" s="910"/>
    </row>
    <row r="488" spans="1:7" ht="14.25" hidden="1" customHeight="1">
      <c r="A488" s="2067"/>
      <c r="B488" s="1611"/>
      <c r="C488" s="935"/>
      <c r="D488" s="482"/>
      <c r="E488" s="939"/>
      <c r="F488" s="482"/>
      <c r="G488" s="913"/>
    </row>
    <row r="489" spans="1:7" ht="14.25" hidden="1" customHeight="1">
      <c r="A489" s="2065"/>
      <c r="B489" s="1819"/>
      <c r="C489" s="940"/>
      <c r="D489" s="506"/>
      <c r="E489" s="928"/>
      <c r="F489" s="506"/>
      <c r="G489" s="501"/>
    </row>
    <row r="490" spans="1:7" ht="14.25" hidden="1" customHeight="1">
      <c r="A490" s="2056" t="s">
        <v>1560</v>
      </c>
      <c r="B490" s="1817"/>
      <c r="C490" s="1817"/>
      <c r="D490" s="1817"/>
      <c r="E490" s="1817"/>
      <c r="F490" s="2000"/>
      <c r="G490" s="502">
        <f>SUM(F485:F489)</f>
        <v>8400</v>
      </c>
    </row>
    <row r="491" spans="1:7" ht="14.25" hidden="1" customHeight="1">
      <c r="A491" s="471" t="s">
        <v>1563</v>
      </c>
      <c r="B491" s="469"/>
      <c r="C491" s="469"/>
      <c r="D491" s="469"/>
      <c r="E491" s="469"/>
      <c r="F491" s="469"/>
      <c r="G491" s="469"/>
    </row>
    <row r="492" spans="1:7" ht="14.25" hidden="1" customHeight="1">
      <c r="A492" s="2011" t="s">
        <v>1556</v>
      </c>
      <c r="B492" s="1801"/>
      <c r="C492" s="474" t="s">
        <v>6</v>
      </c>
      <c r="D492" s="474" t="s">
        <v>1562</v>
      </c>
      <c r="E492" s="474" t="s">
        <v>7</v>
      </c>
      <c r="F492" s="474" t="s">
        <v>1559</v>
      </c>
      <c r="G492" s="503"/>
    </row>
    <row r="493" spans="1:7" ht="14.25" hidden="1" customHeight="1">
      <c r="A493" s="2060"/>
      <c r="B493" s="1967"/>
      <c r="C493" s="504"/>
      <c r="D493" s="478"/>
      <c r="E493" s="505"/>
      <c r="F493" s="482"/>
      <c r="G493" s="479"/>
    </row>
    <row r="494" spans="1:7" ht="14.25" hidden="1" customHeight="1">
      <c r="A494" s="2052"/>
      <c r="B494" s="1819"/>
      <c r="C494" s="504"/>
      <c r="D494" s="506"/>
      <c r="E494" s="507"/>
      <c r="F494" s="506"/>
      <c r="G494" s="508"/>
    </row>
    <row r="495" spans="1:7" ht="14.25" hidden="1" customHeight="1">
      <c r="A495" s="2053" t="s">
        <v>1560</v>
      </c>
      <c r="B495" s="1601"/>
      <c r="C495" s="1601"/>
      <c r="D495" s="1601"/>
      <c r="E495" s="1601"/>
      <c r="F495" s="1801"/>
      <c r="G495" s="488"/>
    </row>
    <row r="496" spans="1:7" ht="14.25" hidden="1" customHeight="1">
      <c r="A496" s="471" t="s">
        <v>1564</v>
      </c>
      <c r="B496" s="469"/>
      <c r="C496" s="469"/>
      <c r="D496" s="469"/>
      <c r="E496" s="469"/>
      <c r="F496" s="469"/>
      <c r="G496" s="469"/>
    </row>
    <row r="497" spans="1:7" ht="14.25" hidden="1" customHeight="1">
      <c r="A497" s="2011" t="s">
        <v>1565</v>
      </c>
      <c r="B497" s="1801"/>
      <c r="C497" s="474" t="s">
        <v>1566</v>
      </c>
      <c r="D497" s="474" t="s">
        <v>6</v>
      </c>
      <c r="E497" s="474" t="s">
        <v>7</v>
      </c>
      <c r="F497" s="474" t="s">
        <v>1559</v>
      </c>
      <c r="G497" s="899"/>
    </row>
    <row r="498" spans="1:7" ht="14.25" hidden="1" customHeight="1">
      <c r="A498" s="2004" t="str">
        <f>+'MANO DE OBRA'!$A$64</f>
        <v>Oficial (Incl. Prestaciones)</v>
      </c>
      <c r="B498" s="1888"/>
      <c r="C498" s="510">
        <f>+'MANO DE OBRA'!$E$64</f>
        <v>15031.25</v>
      </c>
      <c r="D498" s="511" t="s">
        <v>1575</v>
      </c>
      <c r="E498" s="511">
        <v>20.953846153846154</v>
      </c>
      <c r="F498" s="512">
        <f t="shared" ref="F498:F499" si="22">C498/E498</f>
        <v>717.35040381791487</v>
      </c>
      <c r="G498" s="479"/>
    </row>
    <row r="499" spans="1:7" ht="14.25" hidden="1" customHeight="1">
      <c r="A499" s="1984" t="str">
        <f>+'MANO DE OBRA'!$A$65</f>
        <v>Ayudante (Incl. Prestaciones)</v>
      </c>
      <c r="B499" s="1819"/>
      <c r="C499" s="515">
        <f>+'MANO DE OBRA'!$E$65</f>
        <v>10972.8125</v>
      </c>
      <c r="D499" s="516" t="s">
        <v>1575</v>
      </c>
      <c r="E499" s="516">
        <f>E498</f>
        <v>20.953846153846154</v>
      </c>
      <c r="F499" s="905">
        <f t="shared" si="22"/>
        <v>523.66579478707786</v>
      </c>
      <c r="G499" s="501"/>
    </row>
    <row r="500" spans="1:7" ht="14.25" hidden="1" customHeight="1">
      <c r="A500" s="2056" t="s">
        <v>1560</v>
      </c>
      <c r="B500" s="1817"/>
      <c r="C500" s="1817"/>
      <c r="D500" s="1817"/>
      <c r="E500" s="1817"/>
      <c r="F500" s="2000"/>
      <c r="G500" s="502">
        <f>SUM(F498:F499)</f>
        <v>1241.0161986049927</v>
      </c>
    </row>
    <row r="501" spans="1:7" ht="14.25" hidden="1" customHeight="1">
      <c r="A501" s="469"/>
      <c r="B501" s="469"/>
      <c r="C501" s="469"/>
      <c r="D501" s="469"/>
      <c r="E501" s="469"/>
      <c r="F501" s="519"/>
      <c r="G501" s="469"/>
    </row>
    <row r="502" spans="1:7" ht="14.25" hidden="1" customHeight="1">
      <c r="A502" s="2053" t="s">
        <v>1567</v>
      </c>
      <c r="B502" s="1601"/>
      <c r="C502" s="1601"/>
      <c r="D502" s="1601"/>
      <c r="E502" s="1601"/>
      <c r="F502" s="1801"/>
      <c r="G502" s="906">
        <f>ROUND(G482+G490+G495+G500,0)</f>
        <v>9926</v>
      </c>
    </row>
    <row r="503" spans="1:7" ht="14.25" hidden="1" customHeight="1"/>
    <row r="504" spans="1:7" ht="16.5" customHeight="1">
      <c r="A504" s="468"/>
      <c r="B504" s="468"/>
      <c r="C504" s="468"/>
      <c r="D504" s="468"/>
      <c r="E504" s="468"/>
      <c r="F504" s="468"/>
      <c r="G504" s="468"/>
    </row>
    <row r="505" spans="1:7" ht="34.5" customHeight="1">
      <c r="A505" s="1994" t="e">
        <f>+'ANALISIS BASICOS'!$A$7</f>
        <v>#REF!</v>
      </c>
      <c r="B505" s="1616"/>
      <c r="C505" s="1624"/>
      <c r="D505" s="2069"/>
      <c r="E505" s="1616"/>
      <c r="F505" s="1616"/>
      <c r="G505" s="1624"/>
    </row>
    <row r="506" spans="1:7" ht="17.25" customHeight="1">
      <c r="A506" s="1971"/>
      <c r="B506" s="1817"/>
      <c r="C506" s="1972"/>
      <c r="D506" s="1971"/>
      <c r="E506" s="1817"/>
      <c r="F506" s="1817"/>
      <c r="G506" s="1972"/>
    </row>
    <row r="507" spans="1:7" ht="12" customHeight="1">
      <c r="A507" s="469"/>
      <c r="B507" s="469"/>
      <c r="C507" s="469"/>
      <c r="D507" s="469"/>
      <c r="E507" s="469"/>
      <c r="F507" s="469"/>
      <c r="G507" s="469"/>
    </row>
    <row r="508" spans="1:7" ht="55.5" customHeight="1">
      <c r="A508" s="2070" t="e">
        <f ca="1">+A186</f>
        <v>#NAME?</v>
      </c>
      <c r="B508" s="1601"/>
      <c r="C508" s="1602"/>
      <c r="D508" s="2062" t="s">
        <v>2025</v>
      </c>
      <c r="E508" s="1601"/>
      <c r="F508" s="1601"/>
      <c r="G508" s="1602"/>
    </row>
    <row r="509" spans="1:7" ht="13.5" customHeight="1">
      <c r="A509" s="470"/>
      <c r="B509" s="470"/>
      <c r="C509" s="470"/>
      <c r="D509" s="470"/>
      <c r="E509" s="470"/>
      <c r="F509" s="470"/>
      <c r="G509" s="470"/>
    </row>
    <row r="510" spans="1:7" ht="15" customHeight="1">
      <c r="A510" s="471"/>
      <c r="B510" s="469"/>
      <c r="C510" s="469"/>
      <c r="D510" s="472" t="s">
        <v>1553</v>
      </c>
      <c r="E510" s="473" t="s">
        <v>127</v>
      </c>
      <c r="F510" s="421" t="s">
        <v>1554</v>
      </c>
      <c r="G510" s="422" t="s">
        <v>309</v>
      </c>
    </row>
    <row r="511" spans="1:7" ht="14.25" customHeight="1">
      <c r="A511" s="471" t="s">
        <v>1555</v>
      </c>
      <c r="B511" s="469"/>
      <c r="C511" s="469"/>
      <c r="D511" s="469"/>
      <c r="E511" s="469"/>
      <c r="F511" s="469"/>
      <c r="G511" s="469"/>
    </row>
    <row r="512" spans="1:7" ht="14.25" customHeight="1">
      <c r="A512" s="2011" t="s">
        <v>1556</v>
      </c>
      <c r="B512" s="1601"/>
      <c r="C512" s="1801"/>
      <c r="D512" s="474" t="s">
        <v>1983</v>
      </c>
      <c r="E512" s="474" t="s">
        <v>1558</v>
      </c>
      <c r="F512" s="474" t="s">
        <v>1559</v>
      </c>
      <c r="G512" s="475"/>
    </row>
    <row r="513" spans="1:7" ht="14.25" customHeight="1">
      <c r="A513" s="2060" t="s">
        <v>2010</v>
      </c>
      <c r="B513" s="1811"/>
      <c r="C513" s="1967"/>
      <c r="D513" s="478">
        <f>+'LISTADO EQUIPOS'!$E$22/8</f>
        <v>2850</v>
      </c>
      <c r="E513" s="477">
        <f>+E530</f>
        <v>0.73010863284350402</v>
      </c>
      <c r="F513" s="478">
        <f>D513*E513</f>
        <v>2080.8096036039865</v>
      </c>
      <c r="G513" s="479"/>
    </row>
    <row r="514" spans="1:7" ht="14.25" customHeight="1">
      <c r="A514" s="2063"/>
      <c r="B514" s="1610"/>
      <c r="C514" s="1611"/>
      <c r="D514" s="480"/>
      <c r="E514" s="481"/>
      <c r="F514" s="482"/>
      <c r="G514" s="483"/>
    </row>
    <row r="515" spans="1:7" ht="14.25" customHeight="1">
      <c r="A515" s="2064"/>
      <c r="B515" s="1807"/>
      <c r="C515" s="1819"/>
      <c r="D515" s="484"/>
      <c r="E515" s="485"/>
      <c r="F515" s="486"/>
      <c r="G515" s="487"/>
    </row>
    <row r="516" spans="1:7" ht="14.25" customHeight="1">
      <c r="A516" s="2053" t="s">
        <v>1560</v>
      </c>
      <c r="B516" s="1601"/>
      <c r="C516" s="1601"/>
      <c r="D516" s="1601"/>
      <c r="E516" s="1601"/>
      <c r="F516" s="1801"/>
      <c r="G516" s="488">
        <f>SUM(F513:F515)</f>
        <v>2080.8096036039865</v>
      </c>
    </row>
    <row r="517" spans="1:7" ht="14.25" customHeight="1">
      <c r="A517" s="471" t="s">
        <v>1561</v>
      </c>
      <c r="B517" s="469"/>
      <c r="C517" s="469"/>
      <c r="D517" s="469"/>
      <c r="E517" s="469"/>
      <c r="F517" s="469"/>
      <c r="G517" s="469"/>
    </row>
    <row r="518" spans="1:7" ht="14.25" customHeight="1">
      <c r="A518" s="2011" t="s">
        <v>1556</v>
      </c>
      <c r="B518" s="1801"/>
      <c r="C518" s="474" t="s">
        <v>6</v>
      </c>
      <c r="D518" s="474" t="s">
        <v>1562</v>
      </c>
      <c r="E518" s="474" t="s">
        <v>7</v>
      </c>
      <c r="F518" s="474" t="s">
        <v>1559</v>
      </c>
      <c r="G518" s="475"/>
    </row>
    <row r="519" spans="1:7" ht="21" customHeight="1">
      <c r="A519" s="2074" t="str">
        <f>+'LISTADO MATERIALES'!$C$332</f>
        <v>LAVAMANOS DE EMPOTRAR PORCELANA TIPO CORONA</v>
      </c>
      <c r="B519" s="1888"/>
      <c r="C519" s="959" t="str">
        <f>'LISTADO MATERIALES'!$D$332</f>
        <v>UND</v>
      </c>
      <c r="D519" s="960">
        <f>+'LISTADO MATERIALES'!$E$332</f>
        <v>299250</v>
      </c>
      <c r="E519" s="961">
        <v>1</v>
      </c>
      <c r="F519" s="942">
        <f t="shared" ref="F519:F520" si="23">(D519*E519)</f>
        <v>299250</v>
      </c>
      <c r="G519" s="962"/>
    </row>
    <row r="520" spans="1:7" ht="14.25" customHeight="1">
      <c r="A520" s="2067" t="s">
        <v>2026</v>
      </c>
      <c r="B520" s="1611"/>
      <c r="C520" s="493" t="s">
        <v>127</v>
      </c>
      <c r="D520" s="494">
        <v>24500</v>
      </c>
      <c r="E520" s="497">
        <v>1</v>
      </c>
      <c r="F520" s="496">
        <f t="shared" si="23"/>
        <v>24500</v>
      </c>
      <c r="G520" s="483"/>
    </row>
    <row r="521" spans="1:7" ht="14.25" customHeight="1">
      <c r="A521" s="2073"/>
      <c r="B521" s="1819"/>
      <c r="C521" s="963"/>
      <c r="D521" s="964"/>
      <c r="E521" s="956"/>
      <c r="F521" s="506"/>
      <c r="G521" s="501"/>
    </row>
    <row r="522" spans="1:7" ht="18.75" customHeight="1">
      <c r="A522" s="2056" t="s">
        <v>1560</v>
      </c>
      <c r="B522" s="1817"/>
      <c r="C522" s="1817"/>
      <c r="D522" s="1817"/>
      <c r="E522" s="1817"/>
      <c r="F522" s="2000"/>
      <c r="G522" s="502">
        <f>SUM(F519:F521)</f>
        <v>323750</v>
      </c>
    </row>
    <row r="523" spans="1:7" ht="14.25" customHeight="1">
      <c r="A523" s="471" t="s">
        <v>1563</v>
      </c>
      <c r="B523" s="469"/>
      <c r="C523" s="469"/>
      <c r="D523" s="469"/>
      <c r="E523" s="469"/>
      <c r="F523" s="469"/>
      <c r="G523" s="469"/>
    </row>
    <row r="524" spans="1:7" ht="14.25" customHeight="1">
      <c r="A524" s="2011" t="s">
        <v>1556</v>
      </c>
      <c r="B524" s="1801"/>
      <c r="C524" s="474" t="s">
        <v>6</v>
      </c>
      <c r="D524" s="474" t="s">
        <v>1562</v>
      </c>
      <c r="E524" s="474" t="s">
        <v>7</v>
      </c>
      <c r="F524" s="474" t="s">
        <v>1559</v>
      </c>
      <c r="G524" s="503"/>
    </row>
    <row r="525" spans="1:7" ht="14.25" customHeight="1">
      <c r="A525" s="2060"/>
      <c r="B525" s="1967"/>
      <c r="C525" s="504"/>
      <c r="D525" s="478"/>
      <c r="E525" s="505"/>
      <c r="F525" s="482"/>
      <c r="G525" s="479"/>
    </row>
    <row r="526" spans="1:7" ht="14.25" customHeight="1">
      <c r="A526" s="2052"/>
      <c r="B526" s="1819"/>
      <c r="C526" s="504"/>
      <c r="D526" s="506"/>
      <c r="E526" s="507"/>
      <c r="F526" s="506"/>
      <c r="G526" s="508"/>
    </row>
    <row r="527" spans="1:7" ht="14.25" customHeight="1">
      <c r="A527" s="2053" t="s">
        <v>1560</v>
      </c>
      <c r="B527" s="1601"/>
      <c r="C527" s="1601"/>
      <c r="D527" s="1601"/>
      <c r="E527" s="1601"/>
      <c r="F527" s="1801"/>
      <c r="G527" s="488"/>
    </row>
    <row r="528" spans="1:7" ht="14.25" customHeight="1">
      <c r="A528" s="471" t="s">
        <v>1564</v>
      </c>
      <c r="B528" s="469"/>
      <c r="C528" s="469"/>
      <c r="D528" s="469"/>
      <c r="E528" s="469"/>
      <c r="F528" s="469"/>
      <c r="G528" s="469"/>
    </row>
    <row r="529" spans="1:7" ht="14.25" customHeight="1">
      <c r="A529" s="2054" t="s">
        <v>1565</v>
      </c>
      <c r="B529" s="1932"/>
      <c r="C529" s="509" t="s">
        <v>1566</v>
      </c>
      <c r="D529" s="509" t="s">
        <v>6</v>
      </c>
      <c r="E529" s="509" t="s">
        <v>7</v>
      </c>
      <c r="F529" s="509" t="s">
        <v>1559</v>
      </c>
      <c r="G529" s="503"/>
    </row>
    <row r="530" spans="1:7" ht="14.25" customHeight="1">
      <c r="A530" s="2055" t="s">
        <v>1574</v>
      </c>
      <c r="B530" s="1967"/>
      <c r="C530" s="510">
        <f>+'MANO DE OBRA'!$E$64</f>
        <v>15031.25</v>
      </c>
      <c r="D530" s="511" t="s">
        <v>1575</v>
      </c>
      <c r="E530" s="511">
        <v>0.73010863284350402</v>
      </c>
      <c r="F530" s="512">
        <f t="shared" ref="F530:F531" si="24">C530/E530</f>
        <v>20587.689727018871</v>
      </c>
      <c r="G530" s="479"/>
    </row>
    <row r="531" spans="1:7" ht="14.25" customHeight="1">
      <c r="A531" s="513" t="s">
        <v>1576</v>
      </c>
      <c r="B531" s="514"/>
      <c r="C531" s="515">
        <f>+'MANO DE OBRA'!$E$65</f>
        <v>10972.8125</v>
      </c>
      <c r="D531" s="516" t="s">
        <v>1575</v>
      </c>
      <c r="E531" s="516">
        <f>E530</f>
        <v>0.73010863284350402</v>
      </c>
      <c r="F531" s="905">
        <f t="shared" si="24"/>
        <v>15029.013500723775</v>
      </c>
      <c r="G531" s="501"/>
    </row>
    <row r="532" spans="1:7" ht="14.25" customHeight="1">
      <c r="A532" s="2056" t="str">
        <f>+A527</f>
        <v>SUB-TOTAL</v>
      </c>
      <c r="B532" s="1817"/>
      <c r="C532" s="1817"/>
      <c r="D532" s="1817"/>
      <c r="E532" s="1817"/>
      <c r="F532" s="2000"/>
      <c r="G532" s="518">
        <f>SUM(F530:F531)</f>
        <v>35616.703227742648</v>
      </c>
    </row>
    <row r="533" spans="1:7" ht="14.25" customHeight="1">
      <c r="A533" s="469"/>
      <c r="B533" s="469"/>
      <c r="C533" s="469"/>
      <c r="D533" s="469"/>
      <c r="E533" s="469"/>
      <c r="F533" s="519"/>
      <c r="G533" s="469"/>
    </row>
    <row r="534" spans="1:7" ht="15.75" customHeight="1">
      <c r="A534" s="2053" t="s">
        <v>1567</v>
      </c>
      <c r="B534" s="1601"/>
      <c r="C534" s="1601"/>
      <c r="D534" s="1601"/>
      <c r="E534" s="1601"/>
      <c r="F534" s="1801"/>
      <c r="G534" s="520">
        <f>ROUND(G516+G522+G527+G532,0)</f>
        <v>361448</v>
      </c>
    </row>
    <row r="535" spans="1:7" ht="14.25" customHeight="1"/>
    <row r="536" spans="1:7" ht="16.5" customHeight="1">
      <c r="A536" s="468"/>
      <c r="B536" s="468"/>
      <c r="C536" s="468"/>
      <c r="D536" s="468"/>
      <c r="E536" s="468"/>
      <c r="F536" s="468"/>
      <c r="G536" s="468"/>
    </row>
    <row r="537" spans="1:7" ht="34.5" customHeight="1">
      <c r="A537" s="1994" t="e">
        <f>+'ANALISIS BASICOS'!$A$7</f>
        <v>#REF!</v>
      </c>
      <c r="B537" s="1616"/>
      <c r="C537" s="1624"/>
      <c r="D537" s="2069"/>
      <c r="E537" s="1616"/>
      <c r="F537" s="1616"/>
      <c r="G537" s="1624"/>
    </row>
    <row r="538" spans="1:7" ht="17.25" customHeight="1">
      <c r="A538" s="1971"/>
      <c r="B538" s="1817"/>
      <c r="C538" s="1972"/>
      <c r="D538" s="1971"/>
      <c r="E538" s="1817"/>
      <c r="F538" s="1817"/>
      <c r="G538" s="1972"/>
    </row>
    <row r="539" spans="1:7" ht="12" customHeight="1">
      <c r="A539" s="469"/>
      <c r="B539" s="469"/>
      <c r="C539" s="469"/>
      <c r="D539" s="469"/>
      <c r="E539" s="469"/>
      <c r="F539" s="469"/>
      <c r="G539" s="469"/>
    </row>
    <row r="540" spans="1:7" ht="55.5" customHeight="1">
      <c r="A540" s="2070" t="e">
        <f ca="1">+A508</f>
        <v>#NAME?</v>
      </c>
      <c r="B540" s="1601"/>
      <c r="C540" s="1602"/>
      <c r="D540" s="2062" t="s">
        <v>2027</v>
      </c>
      <c r="E540" s="1601"/>
      <c r="F540" s="1601"/>
      <c r="G540" s="1602"/>
    </row>
    <row r="541" spans="1:7" ht="13.5" customHeight="1">
      <c r="A541" s="470"/>
      <c r="B541" s="470"/>
      <c r="C541" s="470"/>
      <c r="D541" s="470"/>
      <c r="E541" s="470"/>
      <c r="F541" s="470"/>
      <c r="G541" s="470"/>
    </row>
    <row r="542" spans="1:7" ht="15" customHeight="1">
      <c r="A542" s="471"/>
      <c r="B542" s="469"/>
      <c r="C542" s="469"/>
      <c r="D542" s="472" t="s">
        <v>1553</v>
      </c>
      <c r="E542" s="473" t="s">
        <v>127</v>
      </c>
      <c r="F542" s="421" t="s">
        <v>1554</v>
      </c>
      <c r="G542" s="422" t="s">
        <v>311</v>
      </c>
    </row>
    <row r="543" spans="1:7" ht="14.25" customHeight="1">
      <c r="A543" s="471" t="s">
        <v>1555</v>
      </c>
      <c r="B543" s="469"/>
      <c r="C543" s="469"/>
      <c r="D543" s="469"/>
      <c r="E543" s="469"/>
      <c r="F543" s="469"/>
      <c r="G543" s="469"/>
    </row>
    <row r="544" spans="1:7" ht="14.25" customHeight="1">
      <c r="A544" s="2011" t="s">
        <v>1556</v>
      </c>
      <c r="B544" s="1601"/>
      <c r="C544" s="1801"/>
      <c r="D544" s="474" t="s">
        <v>1983</v>
      </c>
      <c r="E544" s="474" t="s">
        <v>1558</v>
      </c>
      <c r="F544" s="474" t="s">
        <v>1559</v>
      </c>
      <c r="G544" s="475"/>
    </row>
    <row r="545" spans="1:7" ht="14.25" customHeight="1">
      <c r="A545" s="2060" t="s">
        <v>2010</v>
      </c>
      <c r="B545" s="1811"/>
      <c r="C545" s="1967"/>
      <c r="D545" s="478">
        <f>+'LISTADO EQUIPOS'!$E$22/8</f>
        <v>2850</v>
      </c>
      <c r="E545" s="477">
        <f>+E562</f>
        <v>0.11881974897971805</v>
      </c>
      <c r="F545" s="478">
        <f>D545*E545</f>
        <v>338.63628459219643</v>
      </c>
      <c r="G545" s="479"/>
    </row>
    <row r="546" spans="1:7" ht="14.25" hidden="1" customHeight="1">
      <c r="A546" s="2063"/>
      <c r="B546" s="1610"/>
      <c r="C546" s="1611"/>
      <c r="D546" s="480"/>
      <c r="E546" s="481"/>
      <c r="F546" s="482"/>
      <c r="G546" s="483"/>
    </row>
    <row r="547" spans="1:7" ht="14.25" customHeight="1">
      <c r="A547" s="2064"/>
      <c r="B547" s="1807"/>
      <c r="C547" s="1819"/>
      <c r="D547" s="484"/>
      <c r="E547" s="485"/>
      <c r="F547" s="486"/>
      <c r="G547" s="487"/>
    </row>
    <row r="548" spans="1:7" ht="14.25" customHeight="1">
      <c r="A548" s="2053" t="s">
        <v>1560</v>
      </c>
      <c r="B548" s="1601"/>
      <c r="C548" s="1601"/>
      <c r="D548" s="1601"/>
      <c r="E548" s="1601"/>
      <c r="F548" s="1801"/>
      <c r="G548" s="488">
        <f>SUM(F545:F547)</f>
        <v>338.63628459219643</v>
      </c>
    </row>
    <row r="549" spans="1:7" ht="14.25" customHeight="1">
      <c r="A549" s="471" t="s">
        <v>1561</v>
      </c>
      <c r="B549" s="469"/>
      <c r="C549" s="469"/>
      <c r="D549" s="469"/>
      <c r="E549" s="469"/>
      <c r="F549" s="469"/>
      <c r="G549" s="469"/>
    </row>
    <row r="550" spans="1:7" ht="14.25" customHeight="1">
      <c r="A550" s="2011" t="s">
        <v>1556</v>
      </c>
      <c r="B550" s="1801"/>
      <c r="C550" s="474" t="s">
        <v>6</v>
      </c>
      <c r="D550" s="474" t="s">
        <v>1562</v>
      </c>
      <c r="E550" s="474" t="s">
        <v>7</v>
      </c>
      <c r="F550" s="474" t="s">
        <v>1559</v>
      </c>
      <c r="G550" s="475"/>
    </row>
    <row r="551" spans="1:7" ht="14.25" customHeight="1">
      <c r="A551" s="2074" t="str">
        <f>+'LISTADO MATERIALES'!C346</f>
        <v>SANITARIO PARA FLUXOMETRO 08046</v>
      </c>
      <c r="B551" s="1888"/>
      <c r="C551" s="959" t="str">
        <f>'LISTADO MATERIALES'!$D$332</f>
        <v>UND</v>
      </c>
      <c r="D551" s="960">
        <f>+'LISTADO MATERIALES'!E346</f>
        <v>729614</v>
      </c>
      <c r="E551" s="961">
        <v>1</v>
      </c>
      <c r="F551" s="942">
        <f t="shared" ref="F551:F552" si="25">(D551*E551)</f>
        <v>729614</v>
      </c>
      <c r="G551" s="962"/>
    </row>
    <row r="552" spans="1:7" ht="14.25" customHeight="1">
      <c r="A552" s="2067" t="s">
        <v>2028</v>
      </c>
      <c r="B552" s="1611"/>
      <c r="C552" s="493" t="s">
        <v>127</v>
      </c>
      <c r="D552" s="494">
        <v>84500</v>
      </c>
      <c r="E552" s="497">
        <v>1</v>
      </c>
      <c r="F552" s="496">
        <f t="shared" si="25"/>
        <v>84500</v>
      </c>
      <c r="G552" s="483"/>
    </row>
    <row r="553" spans="1:7" ht="14.25" customHeight="1">
      <c r="A553" s="2073"/>
      <c r="B553" s="1819"/>
      <c r="C553" s="963"/>
      <c r="D553" s="964"/>
      <c r="E553" s="956"/>
      <c r="F553" s="506"/>
      <c r="G553" s="501"/>
    </row>
    <row r="554" spans="1:7" ht="18.75" customHeight="1">
      <c r="A554" s="2056" t="s">
        <v>1560</v>
      </c>
      <c r="B554" s="1817"/>
      <c r="C554" s="1817"/>
      <c r="D554" s="1817"/>
      <c r="E554" s="1817"/>
      <c r="F554" s="2000"/>
      <c r="G554" s="502">
        <f>SUM(F551:F553)</f>
        <v>814114</v>
      </c>
    </row>
    <row r="555" spans="1:7" ht="14.25" customHeight="1">
      <c r="A555" s="471" t="s">
        <v>1563</v>
      </c>
      <c r="B555" s="469"/>
      <c r="C555" s="469"/>
      <c r="D555" s="469"/>
      <c r="E555" s="469"/>
      <c r="F555" s="469"/>
      <c r="G555" s="469"/>
    </row>
    <row r="556" spans="1:7" ht="14.25" customHeight="1">
      <c r="A556" s="2011" t="s">
        <v>1556</v>
      </c>
      <c r="B556" s="1801"/>
      <c r="C556" s="474" t="s">
        <v>6</v>
      </c>
      <c r="D556" s="474" t="s">
        <v>1562</v>
      </c>
      <c r="E556" s="474" t="s">
        <v>7</v>
      </c>
      <c r="F556" s="474" t="s">
        <v>1559</v>
      </c>
      <c r="G556" s="503"/>
    </row>
    <row r="557" spans="1:7" ht="14.25" customHeight="1">
      <c r="A557" s="2060"/>
      <c r="B557" s="1967"/>
      <c r="C557" s="504"/>
      <c r="D557" s="478"/>
      <c r="E557" s="505"/>
      <c r="F557" s="482"/>
      <c r="G557" s="479"/>
    </row>
    <row r="558" spans="1:7" ht="14.25" customHeight="1">
      <c r="A558" s="2052"/>
      <c r="B558" s="1819"/>
      <c r="C558" s="504"/>
      <c r="D558" s="506"/>
      <c r="E558" s="507"/>
      <c r="F558" s="506"/>
      <c r="G558" s="508"/>
    </row>
    <row r="559" spans="1:7" ht="14.25" customHeight="1">
      <c r="A559" s="2053" t="s">
        <v>1560</v>
      </c>
      <c r="B559" s="1601"/>
      <c r="C559" s="1601"/>
      <c r="D559" s="1601"/>
      <c r="E559" s="1601"/>
      <c r="F559" s="1801"/>
      <c r="G559" s="488"/>
    </row>
    <row r="560" spans="1:7" ht="14.25" customHeight="1">
      <c r="A560" s="471" t="s">
        <v>1564</v>
      </c>
      <c r="B560" s="469"/>
      <c r="C560" s="469"/>
      <c r="D560" s="469"/>
      <c r="E560" s="469"/>
      <c r="F560" s="469"/>
      <c r="G560" s="469"/>
    </row>
    <row r="561" spans="1:7" ht="14.25" customHeight="1">
      <c r="A561" s="2054" t="s">
        <v>1565</v>
      </c>
      <c r="B561" s="1932"/>
      <c r="C561" s="509" t="s">
        <v>1566</v>
      </c>
      <c r="D561" s="509" t="s">
        <v>6</v>
      </c>
      <c r="E561" s="509" t="s">
        <v>7</v>
      </c>
      <c r="F561" s="509" t="s">
        <v>1559</v>
      </c>
      <c r="G561" s="503"/>
    </row>
    <row r="562" spans="1:7" ht="14.25" customHeight="1">
      <c r="A562" s="2055" t="s">
        <v>1574</v>
      </c>
      <c r="B562" s="1967"/>
      <c r="C562" s="510">
        <f>+'MANO DE OBRA'!$E$64</f>
        <v>15031.25</v>
      </c>
      <c r="D562" s="511" t="s">
        <v>1575</v>
      </c>
      <c r="E562" s="511">
        <v>0.11881974897971805</v>
      </c>
      <c r="F562" s="512">
        <f t="shared" ref="F562:F563" si="26">C562/E562</f>
        <v>126504.64362254932</v>
      </c>
      <c r="G562" s="479"/>
    </row>
    <row r="563" spans="1:7" ht="14.25" customHeight="1">
      <c r="A563" s="513" t="s">
        <v>1576</v>
      </c>
      <c r="B563" s="514"/>
      <c r="C563" s="515">
        <f>+'MANO DE OBRA'!$E$65</f>
        <v>10972.8125</v>
      </c>
      <c r="D563" s="516" t="s">
        <v>1575</v>
      </c>
      <c r="E563" s="516">
        <f>E562</f>
        <v>0.11881974897971805</v>
      </c>
      <c r="F563" s="905">
        <f t="shared" si="26"/>
        <v>92348.389844461009</v>
      </c>
      <c r="G563" s="501"/>
    </row>
    <row r="564" spans="1:7" ht="14.25" customHeight="1">
      <c r="A564" s="2056" t="str">
        <f>+A559</f>
        <v>SUB-TOTAL</v>
      </c>
      <c r="B564" s="1817"/>
      <c r="C564" s="1817"/>
      <c r="D564" s="1817"/>
      <c r="E564" s="1817"/>
      <c r="F564" s="2000"/>
      <c r="G564" s="518">
        <f>SUM(F562:F563)</f>
        <v>218853.03346701033</v>
      </c>
    </row>
    <row r="565" spans="1:7" ht="14.25" customHeight="1">
      <c r="A565" s="469"/>
      <c r="B565" s="469"/>
      <c r="C565" s="469"/>
      <c r="D565" s="469"/>
      <c r="E565" s="469"/>
      <c r="F565" s="519"/>
      <c r="G565" s="469"/>
    </row>
    <row r="566" spans="1:7" ht="15.75" customHeight="1">
      <c r="A566" s="2053" t="s">
        <v>1567</v>
      </c>
      <c r="B566" s="1601"/>
      <c r="C566" s="1601"/>
      <c r="D566" s="1601"/>
      <c r="E566" s="1601"/>
      <c r="F566" s="1801"/>
      <c r="G566" s="520">
        <f>ROUND(G548+G554+G559+G564,0)</f>
        <v>1033306</v>
      </c>
    </row>
    <row r="567" spans="1:7" ht="14.25" customHeight="1"/>
    <row r="568" spans="1:7" ht="14.25" customHeight="1"/>
    <row r="569" spans="1:7" ht="14.25" customHeight="1">
      <c r="A569" s="468"/>
      <c r="B569" s="468"/>
      <c r="C569" s="468"/>
      <c r="D569" s="468"/>
      <c r="E569" s="468"/>
      <c r="F569" s="468"/>
      <c r="G569" s="468"/>
    </row>
    <row r="570" spans="1:7" ht="33.75" customHeight="1">
      <c r="A570" s="1994" t="e">
        <f>+'ANALISIS BASICOS'!$A$7</f>
        <v>#REF!</v>
      </c>
      <c r="B570" s="1616"/>
      <c r="C570" s="1624"/>
      <c r="D570" s="2069"/>
      <c r="E570" s="1616"/>
      <c r="F570" s="1616"/>
      <c r="G570" s="1624"/>
    </row>
    <row r="571" spans="1:7" ht="21.75" customHeight="1">
      <c r="A571" s="1971"/>
      <c r="B571" s="1817"/>
      <c r="C571" s="1972"/>
      <c r="D571" s="1971"/>
      <c r="E571" s="1817"/>
      <c r="F571" s="1817"/>
      <c r="G571" s="1972"/>
    </row>
    <row r="572" spans="1:7" ht="14.25" customHeight="1">
      <c r="A572" s="469"/>
      <c r="B572" s="469"/>
      <c r="C572" s="469"/>
      <c r="D572" s="469"/>
      <c r="E572" s="469"/>
      <c r="F572" s="469"/>
      <c r="G572" s="469"/>
    </row>
    <row r="573" spans="1:7" ht="42" customHeight="1">
      <c r="A573" s="2070" t="e">
        <f ca="1">+A508</f>
        <v>#NAME?</v>
      </c>
      <c r="B573" s="1601"/>
      <c r="C573" s="1602"/>
      <c r="D573" s="2062" t="s">
        <v>2029</v>
      </c>
      <c r="E573" s="1601"/>
      <c r="F573" s="1601"/>
      <c r="G573" s="1602"/>
    </row>
    <row r="574" spans="1:7" ht="14.25" customHeight="1">
      <c r="A574" s="470"/>
      <c r="B574" s="470"/>
      <c r="C574" s="470"/>
      <c r="D574" s="470"/>
      <c r="E574" s="470"/>
      <c r="F574" s="470"/>
      <c r="G574" s="470"/>
    </row>
    <row r="575" spans="1:7" ht="14.25" customHeight="1">
      <c r="A575" s="471"/>
      <c r="B575" s="469"/>
      <c r="C575" s="469"/>
      <c r="D575" s="472" t="s">
        <v>1553</v>
      </c>
      <c r="E575" s="473" t="s">
        <v>127</v>
      </c>
      <c r="F575" s="421" t="s">
        <v>1554</v>
      </c>
      <c r="G575" s="422" t="s">
        <v>313</v>
      </c>
    </row>
    <row r="576" spans="1:7" ht="14.25" customHeight="1">
      <c r="A576" s="471" t="s">
        <v>1555</v>
      </c>
      <c r="B576" s="469"/>
      <c r="C576" s="469"/>
      <c r="D576" s="469"/>
      <c r="E576" s="469"/>
      <c r="F576" s="469"/>
      <c r="G576" s="469"/>
    </row>
    <row r="577" spans="1:7" ht="14.25" customHeight="1">
      <c r="A577" s="2011" t="s">
        <v>1556</v>
      </c>
      <c r="B577" s="1601"/>
      <c r="C577" s="1801"/>
      <c r="D577" s="474" t="s">
        <v>1557</v>
      </c>
      <c r="E577" s="474" t="s">
        <v>1558</v>
      </c>
      <c r="F577" s="474" t="s">
        <v>1559</v>
      </c>
      <c r="G577" s="475"/>
    </row>
    <row r="578" spans="1:7" ht="14.25" customHeight="1">
      <c r="A578" s="2060" t="s">
        <v>2010</v>
      </c>
      <c r="B578" s="1811"/>
      <c r="C578" s="1967"/>
      <c r="D578" s="478">
        <f>+'LISTADO EQUIPOS'!$E$22/8</f>
        <v>2850</v>
      </c>
      <c r="E578" s="477">
        <f>+E598</f>
        <v>0.28179454708626028</v>
      </c>
      <c r="F578" s="478">
        <f>D578*E578</f>
        <v>803.11445919584185</v>
      </c>
      <c r="G578" s="479"/>
    </row>
    <row r="579" spans="1:7" ht="14.25" customHeight="1">
      <c r="A579" s="2063"/>
      <c r="B579" s="1610"/>
      <c r="C579" s="1611"/>
      <c r="D579" s="480"/>
      <c r="E579" s="481"/>
      <c r="F579" s="482"/>
      <c r="G579" s="483"/>
    </row>
    <row r="580" spans="1:7" ht="14.25" customHeight="1">
      <c r="A580" s="2064"/>
      <c r="B580" s="1807"/>
      <c r="C580" s="1819"/>
      <c r="D580" s="484"/>
      <c r="E580" s="485"/>
      <c r="F580" s="486"/>
      <c r="G580" s="487"/>
    </row>
    <row r="581" spans="1:7" ht="14.25" customHeight="1">
      <c r="A581" s="2053" t="s">
        <v>1560</v>
      </c>
      <c r="B581" s="1601"/>
      <c r="C581" s="1601"/>
      <c r="D581" s="1601"/>
      <c r="E581" s="1601"/>
      <c r="F581" s="1801"/>
      <c r="G581" s="488">
        <f>SUM(F578:F580)</f>
        <v>803.11445919584185</v>
      </c>
    </row>
    <row r="582" spans="1:7" ht="14.25" customHeight="1">
      <c r="A582" s="471" t="s">
        <v>1561</v>
      </c>
      <c r="B582" s="469"/>
      <c r="C582" s="469"/>
      <c r="D582" s="469"/>
      <c r="E582" s="469"/>
      <c r="F582" s="469"/>
      <c r="G582" s="469"/>
    </row>
    <row r="583" spans="1:7" ht="14.25" customHeight="1">
      <c r="A583" s="2011" t="s">
        <v>1556</v>
      </c>
      <c r="B583" s="1801"/>
      <c r="C583" s="474" t="s">
        <v>6</v>
      </c>
      <c r="D583" s="474" t="s">
        <v>1562</v>
      </c>
      <c r="E583" s="474" t="s">
        <v>7</v>
      </c>
      <c r="F583" s="474" t="s">
        <v>1559</v>
      </c>
      <c r="G583" s="475"/>
    </row>
    <row r="584" spans="1:7" ht="14.25" customHeight="1">
      <c r="A584" s="2066" t="str">
        <f>+'LISTADO MATERIALES'!C323</f>
        <v>DUCHA SENCILLA</v>
      </c>
      <c r="B584" s="1967"/>
      <c r="C584" s="489" t="s">
        <v>127</v>
      </c>
      <c r="D584" s="490">
        <f>+'LISTADO MATERIALES'!E323</f>
        <v>217500</v>
      </c>
      <c r="E584" s="491">
        <v>1</v>
      </c>
      <c r="F584" s="492">
        <f>(D584*E584)</f>
        <v>217500</v>
      </c>
      <c r="G584" s="479"/>
    </row>
    <row r="585" spans="1:7" ht="14.25" customHeight="1">
      <c r="A585" s="2067"/>
      <c r="B585" s="1611"/>
      <c r="C585" s="493"/>
      <c r="D585" s="494"/>
      <c r="E585" s="495"/>
      <c r="F585" s="496"/>
      <c r="G585" s="483"/>
    </row>
    <row r="586" spans="1:7" ht="14.25" customHeight="1">
      <c r="A586" s="2067"/>
      <c r="B586" s="1611"/>
      <c r="C586" s="493"/>
      <c r="D586" s="494"/>
      <c r="E586" s="495"/>
      <c r="F586" s="496"/>
      <c r="G586" s="483"/>
    </row>
    <row r="587" spans="1:7" ht="14.25" customHeight="1">
      <c r="A587" s="2067"/>
      <c r="B587" s="1611"/>
      <c r="C587" s="493"/>
      <c r="D587" s="494"/>
      <c r="E587" s="495"/>
      <c r="F587" s="496"/>
      <c r="G587" s="483"/>
    </row>
    <row r="588" spans="1:7" ht="14.25" customHeight="1">
      <c r="A588" s="2067"/>
      <c r="B588" s="1611"/>
      <c r="C588" s="493"/>
      <c r="D588" s="494"/>
      <c r="E588" s="497"/>
      <c r="F588" s="496"/>
      <c r="G588" s="483"/>
    </row>
    <row r="589" spans="1:7" ht="14.25" customHeight="1">
      <c r="A589" s="2065"/>
      <c r="B589" s="1819"/>
      <c r="C589" s="498"/>
      <c r="D589" s="499"/>
      <c r="E589" s="500"/>
      <c r="F589" s="486"/>
      <c r="G589" s="501"/>
    </row>
    <row r="590" spans="1:7" ht="14.25" customHeight="1">
      <c r="A590" s="2056" t="s">
        <v>1560</v>
      </c>
      <c r="B590" s="1817"/>
      <c r="C590" s="1817"/>
      <c r="D590" s="1817"/>
      <c r="E590" s="1817"/>
      <c r="F590" s="2000"/>
      <c r="G590" s="502">
        <f>SUM(F584:F589)</f>
        <v>217500</v>
      </c>
    </row>
    <row r="591" spans="1:7" ht="14.25" customHeight="1">
      <c r="A591" s="471" t="s">
        <v>1563</v>
      </c>
      <c r="B591" s="469"/>
      <c r="C591" s="469"/>
      <c r="D591" s="469"/>
      <c r="E591" s="469"/>
      <c r="F591" s="469"/>
      <c r="G591" s="469"/>
    </row>
    <row r="592" spans="1:7" ht="14.25" customHeight="1">
      <c r="A592" s="2011" t="s">
        <v>1556</v>
      </c>
      <c r="B592" s="1801"/>
      <c r="C592" s="474" t="s">
        <v>6</v>
      </c>
      <c r="D592" s="474" t="s">
        <v>1562</v>
      </c>
      <c r="E592" s="474" t="s">
        <v>7</v>
      </c>
      <c r="F592" s="474" t="s">
        <v>1559</v>
      </c>
      <c r="G592" s="503"/>
    </row>
    <row r="593" spans="1:7" ht="14.25" customHeight="1">
      <c r="A593" s="2060"/>
      <c r="B593" s="1967"/>
      <c r="C593" s="504"/>
      <c r="D593" s="478"/>
      <c r="E593" s="505"/>
      <c r="F593" s="482"/>
      <c r="G593" s="479"/>
    </row>
    <row r="594" spans="1:7" ht="14.25" customHeight="1">
      <c r="A594" s="2052"/>
      <c r="B594" s="1819"/>
      <c r="C594" s="504"/>
      <c r="D594" s="506"/>
      <c r="E594" s="507"/>
      <c r="F594" s="506"/>
      <c r="G594" s="508"/>
    </row>
    <row r="595" spans="1:7" ht="14.25" customHeight="1">
      <c r="A595" s="2053" t="s">
        <v>1560</v>
      </c>
      <c r="B595" s="1601"/>
      <c r="C595" s="1601"/>
      <c r="D595" s="1601"/>
      <c r="E595" s="1601"/>
      <c r="F595" s="1801"/>
      <c r="G595" s="488"/>
    </row>
    <row r="596" spans="1:7" ht="14.25" customHeight="1">
      <c r="A596" s="471" t="s">
        <v>1564</v>
      </c>
      <c r="B596" s="469"/>
      <c r="C596" s="469"/>
      <c r="D596" s="469"/>
      <c r="E596" s="469"/>
      <c r="F596" s="469"/>
      <c r="G596" s="469"/>
    </row>
    <row r="597" spans="1:7" ht="14.25" customHeight="1">
      <c r="A597" s="2054" t="s">
        <v>1565</v>
      </c>
      <c r="B597" s="1932"/>
      <c r="C597" s="509" t="s">
        <v>1566</v>
      </c>
      <c r="D597" s="509" t="s">
        <v>6</v>
      </c>
      <c r="E597" s="509" t="s">
        <v>7</v>
      </c>
      <c r="F597" s="509" t="s">
        <v>1559</v>
      </c>
      <c r="G597" s="503"/>
    </row>
    <row r="598" spans="1:7" ht="14.25" customHeight="1">
      <c r="A598" s="2055" t="s">
        <v>1574</v>
      </c>
      <c r="B598" s="1967"/>
      <c r="C598" s="510">
        <f>+'MANO DE OBRA'!$E$64</f>
        <v>15031.25</v>
      </c>
      <c r="D598" s="511" t="s">
        <v>1575</v>
      </c>
      <c r="E598" s="511">
        <v>0.28179454708626028</v>
      </c>
      <c r="F598" s="512">
        <f t="shared" ref="F598:F599" si="27">C598/E598</f>
        <v>53341.167014842111</v>
      </c>
      <c r="G598" s="479"/>
    </row>
    <row r="599" spans="1:7" ht="14.25" customHeight="1">
      <c r="A599" s="513" t="s">
        <v>1576</v>
      </c>
      <c r="B599" s="514"/>
      <c r="C599" s="515">
        <f>+'MANO DE OBRA'!$E$65</f>
        <v>10972.8125</v>
      </c>
      <c r="D599" s="516" t="s">
        <v>1575</v>
      </c>
      <c r="E599" s="516">
        <f>E598</f>
        <v>0.28179454708626028</v>
      </c>
      <c r="F599" s="517">
        <f t="shared" si="27"/>
        <v>38939.051920834747</v>
      </c>
      <c r="G599" s="501"/>
    </row>
    <row r="600" spans="1:7" ht="14.25" customHeight="1">
      <c r="A600" s="2056" t="str">
        <f>+A595</f>
        <v>SUB-TOTAL</v>
      </c>
      <c r="B600" s="1817"/>
      <c r="C600" s="1817"/>
      <c r="D600" s="1817"/>
      <c r="E600" s="1817"/>
      <c r="F600" s="2000"/>
      <c r="G600" s="518">
        <f>SUM(F598:F599)</f>
        <v>92280.21893567685</v>
      </c>
    </row>
    <row r="601" spans="1:7" ht="14.25" customHeight="1">
      <c r="A601" s="469"/>
      <c r="B601" s="469"/>
      <c r="C601" s="469"/>
      <c r="D601" s="469"/>
      <c r="E601" s="469"/>
      <c r="F601" s="519"/>
      <c r="G601" s="469"/>
    </row>
    <row r="602" spans="1:7" ht="14.25" customHeight="1">
      <c r="A602" s="2053" t="s">
        <v>1567</v>
      </c>
      <c r="B602" s="1601"/>
      <c r="C602" s="1601"/>
      <c r="D602" s="1601"/>
      <c r="E602" s="1601"/>
      <c r="F602" s="1801"/>
      <c r="G602" s="520">
        <f>ROUND(G581+G590+G595+G600,0)</f>
        <v>310583</v>
      </c>
    </row>
    <row r="603" spans="1:7" ht="14.25" customHeight="1"/>
    <row r="604" spans="1:7" ht="14.25" hidden="1" customHeight="1">
      <c r="A604" s="468"/>
      <c r="B604" s="468"/>
      <c r="C604" s="468"/>
      <c r="D604" s="468"/>
      <c r="E604" s="468"/>
      <c r="F604" s="468"/>
      <c r="G604" s="468"/>
    </row>
    <row r="605" spans="1:7" ht="14.25" hidden="1" customHeight="1">
      <c r="A605" s="468"/>
      <c r="B605" s="468"/>
      <c r="C605" s="468"/>
      <c r="D605" s="468"/>
      <c r="E605" s="468"/>
      <c r="F605" s="468"/>
      <c r="G605" s="468"/>
    </row>
    <row r="606" spans="1:7" ht="27" hidden="1" customHeight="1">
      <c r="A606" s="2054" t="s">
        <v>1604</v>
      </c>
      <c r="B606" s="1616"/>
      <c r="C606" s="1624"/>
      <c r="D606" s="879"/>
      <c r="E606" s="879"/>
      <c r="F606" s="879"/>
      <c r="G606" s="880"/>
    </row>
    <row r="607" spans="1:7" ht="26.25" hidden="1" customHeight="1">
      <c r="A607" s="1971"/>
      <c r="B607" s="1817"/>
      <c r="C607" s="1972"/>
      <c r="D607" s="881"/>
      <c r="E607" s="881"/>
      <c r="F607" s="881"/>
      <c r="G607" s="882"/>
    </row>
    <row r="609" spans="1:7" ht="36" hidden="1" customHeight="1">
      <c r="A609" s="2061" t="str">
        <f>A5</f>
        <v>PRECIOS UNITARIOS OFICIALES 2014</v>
      </c>
      <c r="B609" s="1601"/>
      <c r="C609" s="1602"/>
      <c r="D609" s="2062" t="s">
        <v>2030</v>
      </c>
      <c r="E609" s="1601"/>
      <c r="F609" s="1601"/>
      <c r="G609" s="1602"/>
    </row>
    <row r="610" spans="1:7" ht="14.25" hidden="1" customHeight="1">
      <c r="A610" s="470"/>
      <c r="B610" s="470"/>
      <c r="C610" s="470"/>
      <c r="D610" s="470"/>
      <c r="E610" s="470"/>
      <c r="F610" s="470"/>
      <c r="G610" s="470"/>
    </row>
    <row r="611" spans="1:7" ht="14.25" hidden="1" customHeight="1">
      <c r="A611" s="471"/>
      <c r="B611" s="469"/>
      <c r="C611" s="469"/>
      <c r="D611" s="472" t="s">
        <v>1553</v>
      </c>
      <c r="E611" s="473" t="s">
        <v>127</v>
      </c>
      <c r="F611" s="883"/>
      <c r="G611" s="883"/>
    </row>
    <row r="612" spans="1:7" ht="14.25" hidden="1" customHeight="1">
      <c r="A612" s="471" t="s">
        <v>1555</v>
      </c>
      <c r="B612" s="469"/>
      <c r="C612" s="469"/>
      <c r="D612" s="469"/>
      <c r="E612" s="469"/>
      <c r="F612" s="469"/>
      <c r="G612" s="469"/>
    </row>
    <row r="613" spans="1:7" ht="14.25" hidden="1" customHeight="1">
      <c r="A613" s="2011" t="s">
        <v>1556</v>
      </c>
      <c r="B613" s="1601"/>
      <c r="C613" s="1801"/>
      <c r="D613" s="474" t="s">
        <v>1557</v>
      </c>
      <c r="E613" s="474" t="s">
        <v>1558</v>
      </c>
      <c r="F613" s="474" t="s">
        <v>1559</v>
      </c>
      <c r="G613" s="475"/>
    </row>
    <row r="614" spans="1:7" ht="14.25" hidden="1" customHeight="1">
      <c r="A614" s="2060" t="s">
        <v>209</v>
      </c>
      <c r="B614" s="1811"/>
      <c r="C614" s="1967"/>
      <c r="D614" s="476" t="s">
        <v>899</v>
      </c>
      <c r="E614" s="477">
        <v>3</v>
      </c>
      <c r="F614" s="478">
        <v>247</v>
      </c>
      <c r="G614" s="479"/>
    </row>
    <row r="615" spans="1:7" ht="14.25" hidden="1" customHeight="1">
      <c r="A615" s="2063"/>
      <c r="B615" s="1610"/>
      <c r="C615" s="1611"/>
      <c r="D615" s="480"/>
      <c r="E615" s="481"/>
      <c r="F615" s="482"/>
      <c r="G615" s="483"/>
    </row>
    <row r="616" spans="1:7" ht="14.25" hidden="1" customHeight="1">
      <c r="A616" s="2064"/>
      <c r="B616" s="1807"/>
      <c r="C616" s="1819"/>
      <c r="D616" s="484"/>
      <c r="E616" s="485"/>
      <c r="F616" s="486"/>
      <c r="G616" s="487"/>
    </row>
    <row r="617" spans="1:7" ht="14.25" hidden="1" customHeight="1">
      <c r="A617" s="2053" t="s">
        <v>1560</v>
      </c>
      <c r="B617" s="1601"/>
      <c r="C617" s="1601"/>
      <c r="D617" s="1601"/>
      <c r="E617" s="1601"/>
      <c r="F617" s="1801"/>
      <c r="G617" s="488">
        <f>SUM(F614:F616)</f>
        <v>247</v>
      </c>
    </row>
    <row r="618" spans="1:7" ht="14.25" hidden="1" customHeight="1">
      <c r="A618" s="471" t="s">
        <v>1561</v>
      </c>
      <c r="B618" s="469"/>
      <c r="C618" s="469"/>
      <c r="D618" s="469"/>
      <c r="E618" s="469"/>
      <c r="F618" s="469"/>
      <c r="G618" s="469"/>
    </row>
    <row r="619" spans="1:7" ht="14.25" hidden="1" customHeight="1">
      <c r="A619" s="2054" t="s">
        <v>1556</v>
      </c>
      <c r="B619" s="1624"/>
      <c r="C619" s="886" t="s">
        <v>6</v>
      </c>
      <c r="D619" s="917" t="s">
        <v>1562</v>
      </c>
      <c r="E619" s="886" t="s">
        <v>7</v>
      </c>
      <c r="F619" s="886" t="s">
        <v>1559</v>
      </c>
      <c r="G619" s="880"/>
    </row>
    <row r="620" spans="1:7" ht="33" hidden="1" customHeight="1">
      <c r="A620" s="2067" t="str">
        <f>'LISTADO MATERIALES'!C730</f>
        <v>CANECAS METÁLICAS (incluye pintura, accesorios y materiales para la instalación)</v>
      </c>
      <c r="B620" s="1611"/>
      <c r="C620" s="493" t="str">
        <f>'LISTADO MATERIALES'!D730</f>
        <v>UND</v>
      </c>
      <c r="D620" s="494">
        <f>'LISTADO MATERIALES'!E730</f>
        <v>157500</v>
      </c>
      <c r="E620" s="491">
        <v>1</v>
      </c>
      <c r="F620" s="492">
        <f t="shared" ref="F620:F625" si="28">(D620*E620)</f>
        <v>157500</v>
      </c>
      <c r="G620" s="479"/>
    </row>
    <row r="621" spans="1:7" ht="14.25" hidden="1" customHeight="1">
      <c r="A621" s="2067"/>
      <c r="B621" s="1611"/>
      <c r="C621" s="493"/>
      <c r="D621" s="494"/>
      <c r="E621" s="495"/>
      <c r="F621" s="496">
        <f t="shared" si="28"/>
        <v>0</v>
      </c>
      <c r="G621" s="483"/>
    </row>
    <row r="622" spans="1:7" ht="14.25" hidden="1" customHeight="1">
      <c r="A622" s="2067"/>
      <c r="B622" s="1611"/>
      <c r="C622" s="493"/>
      <c r="D622" s="494"/>
      <c r="E622" s="495"/>
      <c r="F622" s="496">
        <f t="shared" si="28"/>
        <v>0</v>
      </c>
      <c r="G622" s="483"/>
    </row>
    <row r="623" spans="1:7" ht="14.25" hidden="1" customHeight="1">
      <c r="A623" s="2067"/>
      <c r="B623" s="1611"/>
      <c r="C623" s="493"/>
      <c r="D623" s="494"/>
      <c r="E623" s="495"/>
      <c r="F623" s="496">
        <f t="shared" si="28"/>
        <v>0</v>
      </c>
      <c r="G623" s="483"/>
    </row>
    <row r="624" spans="1:7" ht="14.25" hidden="1" customHeight="1">
      <c r="A624" s="2067"/>
      <c r="B624" s="1611"/>
      <c r="C624" s="493"/>
      <c r="D624" s="494"/>
      <c r="E624" s="497"/>
      <c r="F624" s="496">
        <f t="shared" si="28"/>
        <v>0</v>
      </c>
      <c r="G624" s="483"/>
    </row>
    <row r="625" spans="1:7" ht="14.25" hidden="1" customHeight="1">
      <c r="A625" s="2057"/>
      <c r="B625" s="1611"/>
      <c r="C625" s="493"/>
      <c r="D625" s="494"/>
      <c r="E625" s="965"/>
      <c r="F625" s="496">
        <f t="shared" si="28"/>
        <v>0</v>
      </c>
      <c r="G625" s="483"/>
    </row>
    <row r="626" spans="1:7" ht="14.25" hidden="1" customHeight="1">
      <c r="A626" s="2056" t="s">
        <v>1560</v>
      </c>
      <c r="B626" s="1817"/>
      <c r="C626" s="1817"/>
      <c r="D626" s="1817"/>
      <c r="E626" s="1817"/>
      <c r="F626" s="2000"/>
      <c r="G626" s="502">
        <f>SUM(F620:F625)</f>
        <v>157500</v>
      </c>
    </row>
    <row r="627" spans="1:7" ht="14.25" hidden="1" customHeight="1">
      <c r="A627" s="471" t="s">
        <v>1563</v>
      </c>
      <c r="B627" s="469"/>
      <c r="C627" s="469"/>
      <c r="D627" s="469"/>
      <c r="E627" s="469"/>
      <c r="F627" s="469"/>
      <c r="G627" s="469"/>
    </row>
    <row r="628" spans="1:7" ht="14.25" hidden="1" customHeight="1">
      <c r="A628" s="2011" t="s">
        <v>1556</v>
      </c>
      <c r="B628" s="1801"/>
      <c r="C628" s="474" t="s">
        <v>6</v>
      </c>
      <c r="D628" s="474" t="s">
        <v>1562</v>
      </c>
      <c r="E628" s="474" t="s">
        <v>7</v>
      </c>
      <c r="F628" s="474" t="s">
        <v>1559</v>
      </c>
      <c r="G628" s="503"/>
    </row>
    <row r="629" spans="1:7" ht="14.25" hidden="1" customHeight="1">
      <c r="A629" s="2060"/>
      <c r="B629" s="1967"/>
      <c r="C629" s="504"/>
      <c r="D629" s="478"/>
      <c r="E629" s="505"/>
      <c r="F629" s="482"/>
      <c r="G629" s="479"/>
    </row>
    <row r="630" spans="1:7" ht="14.25" hidden="1" customHeight="1">
      <c r="A630" s="2052"/>
      <c r="B630" s="1819"/>
      <c r="C630" s="504"/>
      <c r="D630" s="506"/>
      <c r="E630" s="507"/>
      <c r="F630" s="506"/>
      <c r="G630" s="508"/>
    </row>
    <row r="631" spans="1:7" ht="14.25" hidden="1" customHeight="1">
      <c r="A631" s="2053" t="s">
        <v>1560</v>
      </c>
      <c r="B631" s="1601"/>
      <c r="C631" s="1601"/>
      <c r="D631" s="1601"/>
      <c r="E631" s="1601"/>
      <c r="F631" s="1801"/>
      <c r="G631" s="488"/>
    </row>
    <row r="632" spans="1:7" ht="14.25" hidden="1" customHeight="1">
      <c r="A632" s="471" t="s">
        <v>1564</v>
      </c>
      <c r="B632" s="469"/>
      <c r="C632" s="469"/>
      <c r="D632" s="469"/>
      <c r="E632" s="469"/>
      <c r="F632" s="469"/>
      <c r="G632" s="469"/>
    </row>
    <row r="633" spans="1:7" ht="14.25" hidden="1" customHeight="1">
      <c r="A633" s="2054" t="s">
        <v>1565</v>
      </c>
      <c r="B633" s="1932"/>
      <c r="C633" s="509" t="s">
        <v>1566</v>
      </c>
      <c r="D633" s="509" t="s">
        <v>6</v>
      </c>
      <c r="E633" s="509" t="s">
        <v>7</v>
      </c>
      <c r="F633" s="509" t="s">
        <v>1559</v>
      </c>
      <c r="G633" s="503"/>
    </row>
    <row r="634" spans="1:7" ht="14.25" hidden="1" customHeight="1">
      <c r="A634" s="2055" t="s">
        <v>1574</v>
      </c>
      <c r="B634" s="1967"/>
      <c r="C634" s="510">
        <v>7410.96</v>
      </c>
      <c r="D634" s="511" t="s">
        <v>1575</v>
      </c>
      <c r="E634" s="511">
        <v>2</v>
      </c>
      <c r="F634" s="512">
        <f t="shared" ref="F634:F635" si="29">C634/E634</f>
        <v>3705.48</v>
      </c>
      <c r="G634" s="479"/>
    </row>
    <row r="635" spans="1:7" ht="14.25" hidden="1" customHeight="1">
      <c r="A635" s="513" t="s">
        <v>1576</v>
      </c>
      <c r="B635" s="514"/>
      <c r="C635" s="515">
        <v>4550.79</v>
      </c>
      <c r="D635" s="516" t="s">
        <v>1575</v>
      </c>
      <c r="E635" s="516">
        <f>E634</f>
        <v>2</v>
      </c>
      <c r="F635" s="517">
        <f t="shared" si="29"/>
        <v>2275.395</v>
      </c>
      <c r="G635" s="501"/>
    </row>
    <row r="636" spans="1:7" ht="14.25" hidden="1" customHeight="1">
      <c r="A636" s="2056" t="str">
        <f>+A631</f>
        <v>SUB-TOTAL</v>
      </c>
      <c r="B636" s="1817"/>
      <c r="C636" s="1817"/>
      <c r="D636" s="1817"/>
      <c r="E636" s="1817"/>
      <c r="F636" s="2000"/>
      <c r="G636" s="518">
        <f>SUM(F634:F635)</f>
        <v>5980.875</v>
      </c>
    </row>
    <row r="637" spans="1:7" ht="14.25" hidden="1" customHeight="1">
      <c r="A637" s="469"/>
      <c r="B637" s="469"/>
      <c r="C637" s="469"/>
      <c r="D637" s="469"/>
      <c r="E637" s="469"/>
      <c r="F637" s="519"/>
      <c r="G637" s="469"/>
    </row>
    <row r="638" spans="1:7" ht="14.25" hidden="1" customHeight="1">
      <c r="A638" s="2053" t="s">
        <v>1567</v>
      </c>
      <c r="B638" s="1601"/>
      <c r="C638" s="1601"/>
      <c r="D638" s="1601"/>
      <c r="E638" s="1601"/>
      <c r="F638" s="1801"/>
      <c r="G638" s="520">
        <f>ROUND(G617+G626+G631+G636,0)</f>
        <v>163728</v>
      </c>
    </row>
    <row r="642" spans="1:7" ht="13.5" hidden="1" customHeight="1">
      <c r="A642" s="1994" t="e">
        <f>+'ANALISIS BASICOS'!$A$7</f>
        <v>#REF!</v>
      </c>
      <c r="B642" s="1616"/>
      <c r="C642" s="1624"/>
      <c r="D642" s="2069"/>
      <c r="E642" s="1616"/>
      <c r="F642" s="1616"/>
      <c r="G642" s="1624"/>
    </row>
    <row r="643" spans="1:7" ht="43.5" hidden="1" customHeight="1">
      <c r="A643" s="1971"/>
      <c r="B643" s="1817"/>
      <c r="C643" s="1972"/>
      <c r="D643" s="1971"/>
      <c r="E643" s="1817"/>
      <c r="F643" s="1817"/>
      <c r="G643" s="1972"/>
    </row>
    <row r="644" spans="1:7" ht="14.25" hidden="1" customHeight="1">
      <c r="A644" s="469"/>
      <c r="B644" s="469"/>
      <c r="C644" s="469"/>
      <c r="D644" s="469"/>
      <c r="E644" s="469"/>
      <c r="F644" s="469"/>
      <c r="G644" s="469"/>
    </row>
    <row r="645" spans="1:7" ht="36" hidden="1" customHeight="1">
      <c r="A645" s="2070" t="e">
        <f ca="1">+A573</f>
        <v>#NAME?</v>
      </c>
      <c r="B645" s="1601"/>
      <c r="C645" s="1602"/>
      <c r="D645" s="2062" t="s">
        <v>2031</v>
      </c>
      <c r="E645" s="1601"/>
      <c r="F645" s="1601"/>
      <c r="G645" s="1602"/>
    </row>
    <row r="646" spans="1:7" ht="14.25" hidden="1" customHeight="1">
      <c r="A646" s="470"/>
      <c r="B646" s="470"/>
      <c r="C646" s="470"/>
      <c r="D646" s="470"/>
      <c r="E646" s="470"/>
      <c r="F646" s="470"/>
      <c r="G646" s="470"/>
    </row>
    <row r="647" spans="1:7" ht="14.25" hidden="1" customHeight="1">
      <c r="A647" s="471"/>
      <c r="B647" s="469"/>
      <c r="C647" s="469"/>
      <c r="D647" s="472" t="s">
        <v>1553</v>
      </c>
      <c r="E647" s="473" t="s">
        <v>127</v>
      </c>
      <c r="F647" s="421" t="s">
        <v>1554</v>
      </c>
      <c r="G647" s="422" t="s">
        <v>473</v>
      </c>
    </row>
    <row r="648" spans="1:7" ht="14.25" hidden="1" customHeight="1">
      <c r="A648" s="471" t="s">
        <v>1555</v>
      </c>
      <c r="B648" s="469"/>
      <c r="C648" s="469"/>
      <c r="D648" s="469"/>
      <c r="E648" s="469"/>
      <c r="F648" s="469"/>
      <c r="G648" s="469"/>
    </row>
    <row r="649" spans="1:7" ht="14.25" hidden="1" customHeight="1">
      <c r="A649" s="2011" t="s">
        <v>1556</v>
      </c>
      <c r="B649" s="1601"/>
      <c r="C649" s="1801"/>
      <c r="D649" s="474" t="s">
        <v>1557</v>
      </c>
      <c r="E649" s="474" t="s">
        <v>1558</v>
      </c>
      <c r="F649" s="474" t="s">
        <v>1559</v>
      </c>
      <c r="G649" s="475"/>
    </row>
    <row r="650" spans="1:7" ht="14.25" hidden="1" customHeight="1">
      <c r="A650" s="2060" t="s">
        <v>209</v>
      </c>
      <c r="B650" s="1811"/>
      <c r="C650" s="1967"/>
      <c r="D650" s="476" t="s">
        <v>899</v>
      </c>
      <c r="E650" s="477">
        <v>1</v>
      </c>
      <c r="F650" s="478">
        <v>500</v>
      </c>
      <c r="G650" s="479"/>
    </row>
    <row r="651" spans="1:7" ht="14.25" hidden="1" customHeight="1">
      <c r="A651" s="2063"/>
      <c r="B651" s="1610"/>
      <c r="C651" s="1611"/>
      <c r="D651" s="480"/>
      <c r="E651" s="481"/>
      <c r="F651" s="482"/>
      <c r="G651" s="483"/>
    </row>
    <row r="652" spans="1:7" ht="14.25" hidden="1" customHeight="1">
      <c r="A652" s="2064"/>
      <c r="B652" s="1807"/>
      <c r="C652" s="1819"/>
      <c r="D652" s="484"/>
      <c r="E652" s="485"/>
      <c r="F652" s="486"/>
      <c r="G652" s="487"/>
    </row>
    <row r="653" spans="1:7" ht="14.25" hidden="1" customHeight="1">
      <c r="A653" s="2053" t="s">
        <v>1560</v>
      </c>
      <c r="B653" s="1601"/>
      <c r="C653" s="1601"/>
      <c r="D653" s="1601"/>
      <c r="E653" s="1601"/>
      <c r="F653" s="1801"/>
      <c r="G653" s="488">
        <f>SUM(F650:F652)</f>
        <v>500</v>
      </c>
    </row>
    <row r="654" spans="1:7" ht="14.25" hidden="1" customHeight="1">
      <c r="A654" s="471" t="s">
        <v>1561</v>
      </c>
      <c r="B654" s="469"/>
      <c r="C654" s="469"/>
      <c r="D654" s="469"/>
      <c r="E654" s="469"/>
      <c r="F654" s="469"/>
      <c r="G654" s="469"/>
    </row>
    <row r="655" spans="1:7" ht="14.25" hidden="1" customHeight="1">
      <c r="A655" s="2011" t="s">
        <v>1556</v>
      </c>
      <c r="B655" s="1801"/>
      <c r="C655" s="474" t="s">
        <v>6</v>
      </c>
      <c r="D655" s="474" t="s">
        <v>1562</v>
      </c>
      <c r="E655" s="474" t="s">
        <v>7</v>
      </c>
      <c r="F655" s="474" t="s">
        <v>1559</v>
      </c>
      <c r="G655" s="475"/>
    </row>
    <row r="656" spans="1:7" ht="14.25" hidden="1" customHeight="1">
      <c r="A656" s="2066" t="str">
        <f>'LISTADO MATERIALES'!$C$627</f>
        <v xml:space="preserve">TUBO PVC P Ø ½"  RDE 13,5 </v>
      </c>
      <c r="B656" s="1967"/>
      <c r="C656" s="489" t="str">
        <f>'LISTADO MATERIALES'!$D$620</f>
        <v>ML</v>
      </c>
      <c r="D656" s="490">
        <f>'LISTADO MATERIALES'!$E$627</f>
        <v>2059</v>
      </c>
      <c r="E656" s="491">
        <v>26.5</v>
      </c>
      <c r="F656" s="492">
        <f t="shared" ref="F656:F662" si="30">(D656*E656)</f>
        <v>54563.5</v>
      </c>
      <c r="G656" s="479"/>
    </row>
    <row r="657" spans="1:7" ht="14.25" hidden="1" customHeight="1">
      <c r="A657" s="2067" t="str">
        <f>'LISTADO MATERIALES'!$C$454</f>
        <v>CODO PRESION 90º  Ø ½"</v>
      </c>
      <c r="B657" s="1611"/>
      <c r="C657" s="493" t="str">
        <f>'LISTADO MATERIALES'!$D$462</f>
        <v>UND</v>
      </c>
      <c r="D657" s="494">
        <f>'LISTADO MATERIALES'!$E$454</f>
        <v>460</v>
      </c>
      <c r="E657" s="495">
        <v>10</v>
      </c>
      <c r="F657" s="496">
        <f t="shared" si="30"/>
        <v>4600</v>
      </c>
      <c r="G657" s="483"/>
    </row>
    <row r="658" spans="1:7" ht="14.25" hidden="1" customHeight="1">
      <c r="A658" s="2067" t="str">
        <f>'LISTADO MATERIALES'!$C$707</f>
        <v>REGISTRO DE CORTINA 1/2"</v>
      </c>
      <c r="B658" s="1611"/>
      <c r="C658" s="493" t="str">
        <f>'LISTADO MATERIALES'!D707</f>
        <v>UND</v>
      </c>
      <c r="D658" s="494">
        <f>'LISTADO MATERIALES'!$E$707</f>
        <v>7875</v>
      </c>
      <c r="E658" s="495">
        <v>6</v>
      </c>
      <c r="F658" s="496">
        <f t="shared" si="30"/>
        <v>47250</v>
      </c>
      <c r="G658" s="483"/>
    </row>
    <row r="659" spans="1:7" ht="14.25" hidden="1" customHeight="1">
      <c r="A659" s="2067" t="str">
        <f>'LISTADO MATERIALES'!$C$714</f>
        <v>REGISTRO DE INCORPORACION DE COBRE</v>
      </c>
      <c r="B659" s="1611"/>
      <c r="C659" s="493" t="str">
        <f>'LISTADO MATERIALES'!$D$502</f>
        <v>UND</v>
      </c>
      <c r="D659" s="494">
        <f>'LISTADO MATERIALES'!$E$714</f>
        <v>17325</v>
      </c>
      <c r="E659" s="495">
        <v>4</v>
      </c>
      <c r="F659" s="496">
        <f t="shared" si="30"/>
        <v>69300</v>
      </c>
      <c r="G659" s="483"/>
    </row>
    <row r="660" spans="1:7" ht="12.75" hidden="1" customHeight="1">
      <c r="A660" s="2067" t="s">
        <v>1874</v>
      </c>
      <c r="B660" s="1611"/>
      <c r="C660" s="493" t="s">
        <v>1573</v>
      </c>
      <c r="D660" s="494">
        <v>248000</v>
      </c>
      <c r="E660" s="495">
        <v>1</v>
      </c>
      <c r="F660" s="496">
        <f t="shared" si="30"/>
        <v>248000</v>
      </c>
      <c r="G660" s="483"/>
    </row>
    <row r="661" spans="1:7" ht="14.25" hidden="1" customHeight="1">
      <c r="A661" s="2067" t="str">
        <f>'LISTADO MATERIALES'!$C$481</f>
        <v>LIMPIADOR/REMOVEDOR  PVC. ( 1/4  Gal )</v>
      </c>
      <c r="B661" s="1611"/>
      <c r="C661" s="493" t="str">
        <f>'LISTADO MATERIALES'!$D$481</f>
        <v>UND</v>
      </c>
      <c r="D661" s="494">
        <f>'LISTADO MATERIALES'!$E$481</f>
        <v>33445</v>
      </c>
      <c r="E661" s="497">
        <v>0.06</v>
      </c>
      <c r="F661" s="496">
        <f t="shared" si="30"/>
        <v>2006.6999999999998</v>
      </c>
      <c r="G661" s="483"/>
    </row>
    <row r="662" spans="1:7" ht="14.25" hidden="1" customHeight="1">
      <c r="A662" s="2065" t="str">
        <f>'LISTADO MATERIALES'!$C$515</f>
        <v>SOLDADURA LIQUIDA  PVC.  (1/4 Gal )</v>
      </c>
      <c r="B662" s="1819"/>
      <c r="C662" s="498" t="str">
        <f>'LISTADO MATERIALES'!$D$515</f>
        <v>UND</v>
      </c>
      <c r="D662" s="499">
        <f>'LISTADO MATERIALES'!$E$515</f>
        <v>69138</v>
      </c>
      <c r="E662" s="500">
        <v>0.06</v>
      </c>
      <c r="F662" s="486">
        <f t="shared" si="30"/>
        <v>4148.28</v>
      </c>
      <c r="G662" s="501"/>
    </row>
    <row r="663" spans="1:7" ht="14.25" hidden="1" customHeight="1">
      <c r="A663" s="2056" t="s">
        <v>1560</v>
      </c>
      <c r="B663" s="1817"/>
      <c r="C663" s="1817"/>
      <c r="D663" s="1817"/>
      <c r="E663" s="1817"/>
      <c r="F663" s="2000"/>
      <c r="G663" s="502">
        <f>SUM(F656:F662)</f>
        <v>429868.48000000004</v>
      </c>
    </row>
    <row r="664" spans="1:7" ht="14.25" hidden="1" customHeight="1">
      <c r="A664" s="471" t="s">
        <v>1563</v>
      </c>
      <c r="B664" s="469"/>
      <c r="C664" s="469"/>
      <c r="D664" s="469"/>
      <c r="E664" s="469"/>
      <c r="F664" s="469"/>
      <c r="G664" s="469"/>
    </row>
    <row r="665" spans="1:7" ht="14.25" hidden="1" customHeight="1">
      <c r="A665" s="2011" t="s">
        <v>1556</v>
      </c>
      <c r="B665" s="1801"/>
      <c r="C665" s="474" t="s">
        <v>6</v>
      </c>
      <c r="D665" s="474" t="s">
        <v>1562</v>
      </c>
      <c r="E665" s="474" t="s">
        <v>7</v>
      </c>
      <c r="F665" s="474" t="s">
        <v>1559</v>
      </c>
      <c r="G665" s="503"/>
    </row>
    <row r="666" spans="1:7" ht="14.25" hidden="1" customHeight="1">
      <c r="A666" s="2060"/>
      <c r="B666" s="1967"/>
      <c r="C666" s="504"/>
      <c r="D666" s="478"/>
      <c r="E666" s="505"/>
      <c r="F666" s="482"/>
      <c r="G666" s="479"/>
    </row>
    <row r="667" spans="1:7" ht="14.25" hidden="1" customHeight="1">
      <c r="A667" s="2052"/>
      <c r="B667" s="1819"/>
      <c r="C667" s="504"/>
      <c r="D667" s="506"/>
      <c r="E667" s="507"/>
      <c r="F667" s="506"/>
      <c r="G667" s="508"/>
    </row>
    <row r="668" spans="1:7" ht="14.25" hidden="1" customHeight="1">
      <c r="A668" s="2053" t="s">
        <v>1560</v>
      </c>
      <c r="B668" s="1601"/>
      <c r="C668" s="1601"/>
      <c r="D668" s="1601"/>
      <c r="E668" s="1601"/>
      <c r="F668" s="1801"/>
      <c r="G668" s="488"/>
    </row>
    <row r="669" spans="1:7" ht="14.25" hidden="1" customHeight="1">
      <c r="A669" s="471" t="s">
        <v>1564</v>
      </c>
      <c r="B669" s="469"/>
      <c r="C669" s="469"/>
      <c r="D669" s="469"/>
      <c r="E669" s="469"/>
      <c r="F669" s="469"/>
      <c r="G669" s="469"/>
    </row>
    <row r="670" spans="1:7" ht="14.25" hidden="1" customHeight="1">
      <c r="A670" s="2054" t="s">
        <v>1565</v>
      </c>
      <c r="B670" s="1932"/>
      <c r="C670" s="509" t="s">
        <v>1566</v>
      </c>
      <c r="D670" s="509" t="s">
        <v>6</v>
      </c>
      <c r="E670" s="509" t="s">
        <v>7</v>
      </c>
      <c r="F670" s="509" t="s">
        <v>1559</v>
      </c>
      <c r="G670" s="503"/>
    </row>
    <row r="671" spans="1:7" ht="14.25" hidden="1" customHeight="1">
      <c r="A671" s="2055" t="s">
        <v>1574</v>
      </c>
      <c r="B671" s="1967"/>
      <c r="C671" s="510">
        <f>+'MANO DE OBRA'!$E$64</f>
        <v>15031.25</v>
      </c>
      <c r="D671" s="511" t="s">
        <v>1575</v>
      </c>
      <c r="E671" s="511">
        <v>0.1</v>
      </c>
      <c r="F671" s="512">
        <f t="shared" ref="F671:F672" si="31">C671/E671</f>
        <v>150312.5</v>
      </c>
      <c r="G671" s="479"/>
    </row>
    <row r="672" spans="1:7" ht="14.25" hidden="1" customHeight="1">
      <c r="A672" s="513" t="s">
        <v>1576</v>
      </c>
      <c r="B672" s="514"/>
      <c r="C672" s="515">
        <f>+'MANO DE OBRA'!$E$65</f>
        <v>10972.8125</v>
      </c>
      <c r="D672" s="516" t="s">
        <v>1575</v>
      </c>
      <c r="E672" s="516">
        <f>E671</f>
        <v>0.1</v>
      </c>
      <c r="F672" s="517">
        <f t="shared" si="31"/>
        <v>109728.125</v>
      </c>
      <c r="G672" s="501"/>
    </row>
    <row r="673" spans="1:7" ht="14.25" hidden="1" customHeight="1">
      <c r="A673" s="2056" t="str">
        <f>+A668</f>
        <v>SUB-TOTAL</v>
      </c>
      <c r="B673" s="1817"/>
      <c r="C673" s="1817"/>
      <c r="D673" s="1817"/>
      <c r="E673" s="1817"/>
      <c r="F673" s="2000"/>
      <c r="G673" s="518">
        <f>SUM(F671:F672)</f>
        <v>260040.625</v>
      </c>
    </row>
    <row r="674" spans="1:7" ht="14.25" hidden="1" customHeight="1">
      <c r="A674" s="469"/>
      <c r="B674" s="469"/>
      <c r="C674" s="469"/>
      <c r="D674" s="469"/>
      <c r="E674" s="469"/>
      <c r="F674" s="519"/>
      <c r="G674" s="469"/>
    </row>
    <row r="675" spans="1:7" ht="14.25" hidden="1" customHeight="1">
      <c r="A675" s="2053" t="s">
        <v>1567</v>
      </c>
      <c r="B675" s="1601"/>
      <c r="C675" s="1601"/>
      <c r="D675" s="1601"/>
      <c r="E675" s="1601"/>
      <c r="F675" s="1801"/>
      <c r="G675" s="520">
        <f>ROUND(G653+G663+G668+G673,0)</f>
        <v>690409</v>
      </c>
    </row>
    <row r="676" spans="1:7" ht="14.25" hidden="1" customHeight="1"/>
    <row r="677" spans="1:7" ht="14.25" hidden="1" customHeight="1"/>
    <row r="678" spans="1:7" ht="14.25" hidden="1" customHeight="1">
      <c r="A678" s="468"/>
      <c r="B678" s="468"/>
      <c r="C678" s="468"/>
      <c r="D678" s="468"/>
      <c r="E678" s="468"/>
      <c r="F678" s="468"/>
      <c r="G678" s="468"/>
    </row>
    <row r="679" spans="1:7" ht="20.25" hidden="1" customHeight="1">
      <c r="A679" s="2054" t="s">
        <v>1604</v>
      </c>
      <c r="B679" s="1616"/>
      <c r="C679" s="1624"/>
      <c r="D679" s="879"/>
      <c r="E679" s="879"/>
      <c r="F679" s="879"/>
      <c r="G679" s="880"/>
    </row>
    <row r="680" spans="1:7" ht="33" hidden="1" customHeight="1">
      <c r="A680" s="1971"/>
      <c r="B680" s="1817"/>
      <c r="C680" s="1972"/>
      <c r="D680" s="881"/>
      <c r="E680" s="881"/>
      <c r="F680" s="881"/>
      <c r="G680" s="882"/>
    </row>
    <row r="681" spans="1:7" ht="14.25" hidden="1" customHeight="1">
      <c r="A681" s="469"/>
      <c r="B681" s="469"/>
      <c r="C681" s="469"/>
      <c r="D681" s="469"/>
      <c r="E681" s="469"/>
      <c r="F681" s="469"/>
      <c r="G681" s="469"/>
    </row>
    <row r="682" spans="1:7" ht="24.75" hidden="1" customHeight="1">
      <c r="A682" s="2061" t="str">
        <f>A5</f>
        <v>PRECIOS UNITARIOS OFICIALES 2014</v>
      </c>
      <c r="B682" s="1601"/>
      <c r="C682" s="1602"/>
      <c r="D682" s="2062" t="s">
        <v>1570</v>
      </c>
      <c r="E682" s="1601"/>
      <c r="F682" s="1601"/>
      <c r="G682" s="1602"/>
    </row>
    <row r="683" spans="1:7" ht="14.25" hidden="1" customHeight="1">
      <c r="A683" s="470"/>
      <c r="B683" s="470"/>
      <c r="C683" s="470"/>
      <c r="D683" s="470"/>
      <c r="E683" s="470"/>
      <c r="F683" s="470"/>
      <c r="G683" s="470"/>
    </row>
    <row r="684" spans="1:7" ht="14.25" hidden="1" customHeight="1">
      <c r="A684" s="471"/>
      <c r="B684" s="469"/>
      <c r="C684" s="469"/>
      <c r="D684" s="472" t="s">
        <v>1553</v>
      </c>
      <c r="E684" s="473" t="s">
        <v>127</v>
      </c>
      <c r="F684" s="883"/>
      <c r="G684" s="883"/>
    </row>
    <row r="685" spans="1:7" ht="14.25" hidden="1" customHeight="1">
      <c r="A685" s="471" t="s">
        <v>1555</v>
      </c>
      <c r="B685" s="469"/>
      <c r="C685" s="469"/>
      <c r="D685" s="469"/>
      <c r="E685" s="469"/>
      <c r="F685" s="469"/>
      <c r="G685" s="469"/>
    </row>
    <row r="686" spans="1:7" ht="14.25" hidden="1" customHeight="1">
      <c r="A686" s="2011" t="s">
        <v>1556</v>
      </c>
      <c r="B686" s="1601"/>
      <c r="C686" s="1801"/>
      <c r="D686" s="474" t="s">
        <v>1557</v>
      </c>
      <c r="E686" s="474" t="s">
        <v>1558</v>
      </c>
      <c r="F686" s="474" t="s">
        <v>1559</v>
      </c>
      <c r="G686" s="475"/>
    </row>
    <row r="687" spans="1:7" ht="14.25" hidden="1" customHeight="1">
      <c r="A687" s="2060" t="s">
        <v>209</v>
      </c>
      <c r="B687" s="1811"/>
      <c r="C687" s="1967"/>
      <c r="D687" s="476" t="s">
        <v>899</v>
      </c>
      <c r="E687" s="477">
        <v>1</v>
      </c>
      <c r="F687" s="478">
        <v>500</v>
      </c>
      <c r="G687" s="479"/>
    </row>
    <row r="688" spans="1:7" ht="14.25" hidden="1" customHeight="1">
      <c r="A688" s="2063"/>
      <c r="B688" s="1610"/>
      <c r="C688" s="1611"/>
      <c r="D688" s="480"/>
      <c r="E688" s="481"/>
      <c r="F688" s="482"/>
      <c r="G688" s="483"/>
    </row>
    <row r="689" spans="1:7" ht="14.25" hidden="1" customHeight="1">
      <c r="A689" s="2064"/>
      <c r="B689" s="1807"/>
      <c r="C689" s="1819"/>
      <c r="D689" s="484"/>
      <c r="E689" s="485"/>
      <c r="F689" s="486"/>
      <c r="G689" s="487"/>
    </row>
    <row r="690" spans="1:7" ht="14.25" hidden="1" customHeight="1">
      <c r="A690" s="2053" t="s">
        <v>1560</v>
      </c>
      <c r="B690" s="1601"/>
      <c r="C690" s="1601"/>
      <c r="D690" s="1601"/>
      <c r="E690" s="1601"/>
      <c r="F690" s="1801"/>
      <c r="G690" s="488">
        <f>SUM(F687:F689)</f>
        <v>500</v>
      </c>
    </row>
    <row r="691" spans="1:7" ht="14.25" hidden="1" customHeight="1">
      <c r="A691" s="471" t="s">
        <v>1561</v>
      </c>
      <c r="B691" s="469"/>
      <c r="C691" s="469"/>
      <c r="D691" s="469"/>
      <c r="E691" s="469"/>
      <c r="F691" s="469"/>
      <c r="G691" s="469"/>
    </row>
    <row r="692" spans="1:7" ht="14.25" hidden="1" customHeight="1">
      <c r="A692" s="2054" t="s">
        <v>1556</v>
      </c>
      <c r="B692" s="1624"/>
      <c r="C692" s="886" t="s">
        <v>6</v>
      </c>
      <c r="D692" s="917" t="s">
        <v>1562</v>
      </c>
      <c r="E692" s="886" t="s">
        <v>7</v>
      </c>
      <c r="F692" s="886" t="s">
        <v>1559</v>
      </c>
      <c r="G692" s="880"/>
    </row>
    <row r="693" spans="1:7" ht="14.25" hidden="1" customHeight="1">
      <c r="A693" s="2067" t="s">
        <v>2032</v>
      </c>
      <c r="B693" s="1611"/>
      <c r="C693" s="493" t="s">
        <v>127</v>
      </c>
      <c r="D693" s="494">
        <v>16000</v>
      </c>
      <c r="E693" s="491">
        <v>1.2</v>
      </c>
      <c r="F693" s="492">
        <f t="shared" ref="F693:F695" si="32">(D693*E693)</f>
        <v>19200</v>
      </c>
      <c r="G693" s="479"/>
    </row>
    <row r="694" spans="1:7" ht="14.25" hidden="1" customHeight="1">
      <c r="A694" s="2067" t="str">
        <f>'LISTADO MATERIALES'!$C$481</f>
        <v>LIMPIADOR/REMOVEDOR  PVC. ( 1/4  Gal )</v>
      </c>
      <c r="B694" s="1611"/>
      <c r="C694" s="493" t="str">
        <f>'LISTADO MATERIALES'!$D$481</f>
        <v>UND</v>
      </c>
      <c r="D694" s="494">
        <f>'LISTADO MATERIALES'!$E$481</f>
        <v>33445</v>
      </c>
      <c r="E694" s="497">
        <v>0.02</v>
      </c>
      <c r="F694" s="496">
        <f t="shared" si="32"/>
        <v>668.9</v>
      </c>
      <c r="G694" s="483"/>
    </row>
    <row r="695" spans="1:7" ht="14.25" hidden="1" customHeight="1">
      <c r="A695" s="2057" t="str">
        <f>'LISTADO MATERIALES'!$C$515</f>
        <v>SOLDADURA LIQUIDA  PVC.  (1/4 Gal )</v>
      </c>
      <c r="B695" s="1611"/>
      <c r="C695" s="493" t="str">
        <f>'LISTADO MATERIALES'!$D$515</f>
        <v>UND</v>
      </c>
      <c r="D695" s="494">
        <f>'LISTADO MATERIALES'!$E$515</f>
        <v>69138</v>
      </c>
      <c r="E695" s="965">
        <v>0.02</v>
      </c>
      <c r="F695" s="496">
        <f t="shared" si="32"/>
        <v>1382.76</v>
      </c>
      <c r="G695" s="483"/>
    </row>
    <row r="696" spans="1:7" ht="14.25" hidden="1" customHeight="1">
      <c r="A696" s="2056" t="s">
        <v>1560</v>
      </c>
      <c r="B696" s="1817"/>
      <c r="C696" s="1817"/>
      <c r="D696" s="1817"/>
      <c r="E696" s="1817"/>
      <c r="F696" s="2000"/>
      <c r="G696" s="502">
        <f>SUM(F693:F695)</f>
        <v>21251.66</v>
      </c>
    </row>
    <row r="697" spans="1:7" ht="14.25" hidden="1" customHeight="1">
      <c r="A697" s="471" t="s">
        <v>1563</v>
      </c>
      <c r="B697" s="469"/>
      <c r="C697" s="469"/>
      <c r="D697" s="469"/>
      <c r="E697" s="469"/>
      <c r="F697" s="469"/>
      <c r="G697" s="469"/>
    </row>
    <row r="698" spans="1:7" ht="14.25" hidden="1" customHeight="1">
      <c r="A698" s="2011" t="s">
        <v>1556</v>
      </c>
      <c r="B698" s="1801"/>
      <c r="C698" s="474" t="s">
        <v>6</v>
      </c>
      <c r="D698" s="474" t="s">
        <v>1562</v>
      </c>
      <c r="E698" s="474" t="s">
        <v>7</v>
      </c>
      <c r="F698" s="474" t="s">
        <v>1559</v>
      </c>
      <c r="G698" s="503"/>
    </row>
    <row r="699" spans="1:7" ht="14.25" hidden="1" customHeight="1">
      <c r="A699" s="2060"/>
      <c r="B699" s="1967"/>
      <c r="C699" s="504"/>
      <c r="D699" s="478"/>
      <c r="E699" s="505"/>
      <c r="F699" s="482"/>
      <c r="G699" s="479"/>
    </row>
    <row r="700" spans="1:7" ht="14.25" hidden="1" customHeight="1">
      <c r="A700" s="2052"/>
      <c r="B700" s="1819"/>
      <c r="C700" s="504"/>
      <c r="D700" s="506"/>
      <c r="E700" s="507"/>
      <c r="F700" s="506"/>
      <c r="G700" s="508"/>
    </row>
    <row r="701" spans="1:7" ht="14.25" hidden="1" customHeight="1">
      <c r="A701" s="2053" t="s">
        <v>1560</v>
      </c>
      <c r="B701" s="1601"/>
      <c r="C701" s="1601"/>
      <c r="D701" s="1601"/>
      <c r="E701" s="1601"/>
      <c r="F701" s="1801"/>
      <c r="G701" s="488"/>
    </row>
    <row r="702" spans="1:7" ht="14.25" hidden="1" customHeight="1">
      <c r="A702" s="471" t="s">
        <v>1564</v>
      </c>
      <c r="B702" s="469"/>
      <c r="C702" s="469"/>
      <c r="D702" s="469"/>
      <c r="E702" s="469"/>
      <c r="F702" s="469"/>
      <c r="G702" s="469"/>
    </row>
    <row r="703" spans="1:7" ht="14.25" hidden="1" customHeight="1">
      <c r="A703" s="2054" t="s">
        <v>1565</v>
      </c>
      <c r="B703" s="1932"/>
      <c r="C703" s="509" t="s">
        <v>1566</v>
      </c>
      <c r="D703" s="509" t="s">
        <v>6</v>
      </c>
      <c r="E703" s="509" t="s">
        <v>7</v>
      </c>
      <c r="F703" s="509" t="s">
        <v>1559</v>
      </c>
      <c r="G703" s="503"/>
    </row>
    <row r="704" spans="1:7" ht="14.25" hidden="1" customHeight="1">
      <c r="A704" s="2055" t="s">
        <v>1574</v>
      </c>
      <c r="B704" s="1967"/>
      <c r="C704" s="510">
        <v>7410.96</v>
      </c>
      <c r="D704" s="511" t="s">
        <v>1575</v>
      </c>
      <c r="E704" s="511">
        <v>3</v>
      </c>
      <c r="F704" s="512">
        <f t="shared" ref="F704:F705" si="33">C704/E704</f>
        <v>2470.3200000000002</v>
      </c>
      <c r="G704" s="479"/>
    </row>
    <row r="705" spans="1:7" ht="14.25" hidden="1" customHeight="1">
      <c r="A705" s="513" t="s">
        <v>1576</v>
      </c>
      <c r="B705" s="514"/>
      <c r="C705" s="515">
        <v>4550.79</v>
      </c>
      <c r="D705" s="516" t="s">
        <v>1575</v>
      </c>
      <c r="E705" s="516">
        <f>E704</f>
        <v>3</v>
      </c>
      <c r="F705" s="517">
        <f t="shared" si="33"/>
        <v>1516.93</v>
      </c>
      <c r="G705" s="501"/>
    </row>
    <row r="706" spans="1:7" ht="14.25" hidden="1" customHeight="1">
      <c r="A706" s="2056" t="str">
        <f>+A701</f>
        <v>SUB-TOTAL</v>
      </c>
      <c r="B706" s="1817"/>
      <c r="C706" s="1817"/>
      <c r="D706" s="1817"/>
      <c r="E706" s="1817"/>
      <c r="F706" s="2000"/>
      <c r="G706" s="518">
        <f>SUM(F704:F705)</f>
        <v>3987.25</v>
      </c>
    </row>
    <row r="707" spans="1:7" ht="14.25" hidden="1" customHeight="1">
      <c r="A707" s="469"/>
      <c r="B707" s="469"/>
      <c r="C707" s="469"/>
      <c r="D707" s="469"/>
      <c r="E707" s="469"/>
      <c r="F707" s="519"/>
      <c r="G707" s="469"/>
    </row>
    <row r="708" spans="1:7" ht="14.25" hidden="1" customHeight="1">
      <c r="A708" s="2053" t="s">
        <v>1567</v>
      </c>
      <c r="B708" s="1601"/>
      <c r="C708" s="1601"/>
      <c r="D708" s="1601"/>
      <c r="E708" s="1601"/>
      <c r="F708" s="1801"/>
      <c r="G708" s="520">
        <f>ROUND(G690+G696+G701+G706,0)</f>
        <v>25739</v>
      </c>
    </row>
    <row r="709" spans="1:7" ht="14.25" hidden="1" customHeight="1">
      <c r="A709" s="468"/>
      <c r="B709" s="468"/>
      <c r="C709" s="468"/>
      <c r="D709" s="468"/>
      <c r="E709" s="468"/>
      <c r="F709" s="468"/>
      <c r="G709" s="468"/>
    </row>
    <row r="710" spans="1:7" ht="14.25" hidden="1" customHeight="1">
      <c r="A710" s="468"/>
      <c r="B710" s="468"/>
      <c r="C710" s="468"/>
      <c r="D710" s="468"/>
      <c r="E710" s="468"/>
      <c r="F710" s="468"/>
      <c r="G710" s="468"/>
    </row>
    <row r="711" spans="1:7" ht="30" hidden="1" customHeight="1">
      <c r="A711" s="1994" t="e">
        <f>+'ANALISIS BASICOS'!$A$7</f>
        <v>#REF!</v>
      </c>
      <c r="B711" s="1616"/>
      <c r="C711" s="1624"/>
      <c r="D711" s="2069"/>
      <c r="E711" s="1616"/>
      <c r="F711" s="1616"/>
      <c r="G711" s="1624"/>
    </row>
    <row r="712" spans="1:7" ht="23.25" hidden="1" customHeight="1">
      <c r="A712" s="1971"/>
      <c r="B712" s="1817"/>
      <c r="C712" s="1972"/>
      <c r="D712" s="1971"/>
      <c r="E712" s="1817"/>
      <c r="F712" s="1817"/>
      <c r="G712" s="1972"/>
    </row>
    <row r="713" spans="1:7" ht="14.25" hidden="1" customHeight="1">
      <c r="A713" s="469"/>
      <c r="B713" s="469"/>
      <c r="C713" s="469"/>
      <c r="D713" s="469"/>
      <c r="E713" s="469"/>
      <c r="F713" s="469"/>
      <c r="G713" s="469"/>
    </row>
    <row r="714" spans="1:7" ht="43.5" hidden="1" customHeight="1">
      <c r="A714" s="2070" t="e">
        <f ca="1">+A645</f>
        <v>#NAME?</v>
      </c>
      <c r="B714" s="1601"/>
      <c r="C714" s="1602"/>
      <c r="D714" s="2062" t="s">
        <v>2033</v>
      </c>
      <c r="E714" s="1601"/>
      <c r="F714" s="1601"/>
      <c r="G714" s="1602"/>
    </row>
    <row r="715" spans="1:7" ht="14.25" hidden="1" customHeight="1">
      <c r="A715" s="470"/>
      <c r="B715" s="470"/>
      <c r="C715" s="470"/>
      <c r="D715" s="470"/>
      <c r="E715" s="470"/>
      <c r="F715" s="470"/>
      <c r="G715" s="470"/>
    </row>
    <row r="716" spans="1:7" ht="14.25" hidden="1" customHeight="1">
      <c r="A716" s="471"/>
      <c r="B716" s="469"/>
      <c r="C716" s="469"/>
      <c r="D716" s="472" t="s">
        <v>1553</v>
      </c>
      <c r="E716" s="473" t="s">
        <v>127</v>
      </c>
      <c r="F716" s="421" t="s">
        <v>1554</v>
      </c>
      <c r="G716" s="422" t="s">
        <v>89</v>
      </c>
    </row>
    <row r="717" spans="1:7" ht="14.25" hidden="1" customHeight="1">
      <c r="A717" s="471" t="s">
        <v>1555</v>
      </c>
      <c r="B717" s="469"/>
      <c r="C717" s="469"/>
      <c r="D717" s="469"/>
      <c r="E717" s="469"/>
      <c r="F717" s="469"/>
      <c r="G717" s="469"/>
    </row>
    <row r="718" spans="1:7" ht="14.25" hidden="1" customHeight="1">
      <c r="A718" s="2011" t="s">
        <v>1556</v>
      </c>
      <c r="B718" s="1601"/>
      <c r="C718" s="1801"/>
      <c r="D718" s="474" t="s">
        <v>1557</v>
      </c>
      <c r="E718" s="474" t="s">
        <v>1558</v>
      </c>
      <c r="F718" s="474" t="s">
        <v>1559</v>
      </c>
      <c r="G718" s="475"/>
    </row>
    <row r="719" spans="1:7" ht="14.25" hidden="1" customHeight="1">
      <c r="A719" s="2060" t="s">
        <v>209</v>
      </c>
      <c r="B719" s="1811"/>
      <c r="C719" s="1967"/>
      <c r="D719" s="476" t="s">
        <v>899</v>
      </c>
      <c r="E719" s="477">
        <v>1</v>
      </c>
      <c r="F719" s="478">
        <v>200</v>
      </c>
      <c r="G719" s="479"/>
    </row>
    <row r="720" spans="1:7" ht="14.25" hidden="1" customHeight="1">
      <c r="A720" s="2063"/>
      <c r="B720" s="1610"/>
      <c r="C720" s="1611"/>
      <c r="D720" s="480"/>
      <c r="E720" s="481"/>
      <c r="F720" s="482"/>
      <c r="G720" s="483"/>
    </row>
    <row r="721" spans="1:7" ht="14.25" hidden="1" customHeight="1">
      <c r="A721" s="2064"/>
      <c r="B721" s="1807"/>
      <c r="C721" s="1819"/>
      <c r="D721" s="484"/>
      <c r="E721" s="485"/>
      <c r="F721" s="486"/>
      <c r="G721" s="487"/>
    </row>
    <row r="722" spans="1:7" ht="14.25" hidden="1" customHeight="1">
      <c r="A722" s="2053" t="s">
        <v>1560</v>
      </c>
      <c r="B722" s="1601"/>
      <c r="C722" s="1601"/>
      <c r="D722" s="1601"/>
      <c r="E722" s="1601"/>
      <c r="F722" s="1801"/>
      <c r="G722" s="488">
        <f>SUM(F719:F721)</f>
        <v>200</v>
      </c>
    </row>
    <row r="723" spans="1:7" ht="14.25" hidden="1" customHeight="1">
      <c r="A723" s="471" t="s">
        <v>1561</v>
      </c>
      <c r="B723" s="469"/>
      <c r="C723" s="469"/>
      <c r="D723" s="469"/>
      <c r="E723" s="469"/>
      <c r="F723" s="469"/>
      <c r="G723" s="469"/>
    </row>
    <row r="724" spans="1:7" ht="14.25" hidden="1" customHeight="1">
      <c r="A724" s="2011" t="s">
        <v>1556</v>
      </c>
      <c r="B724" s="1801"/>
      <c r="C724" s="474" t="s">
        <v>6</v>
      </c>
      <c r="D724" s="474" t="s">
        <v>1562</v>
      </c>
      <c r="E724" s="474" t="s">
        <v>7</v>
      </c>
      <c r="F724" s="474" t="s">
        <v>1559</v>
      </c>
      <c r="G724" s="475"/>
    </row>
    <row r="725" spans="1:7" ht="14.25" hidden="1" customHeight="1">
      <c r="A725" s="2066" t="str">
        <f>'LISTADO MATERIALES'!$C$497</f>
        <v>REJILLA DE ALUMINIO DE 3"*4"</v>
      </c>
      <c r="B725" s="1967"/>
      <c r="C725" s="489" t="str">
        <f>'LISTADO MATERIALES'!$D$497</f>
        <v>UND</v>
      </c>
      <c r="D725" s="490">
        <f>'LISTADO MATERIALES'!$E$497</f>
        <v>4725</v>
      </c>
      <c r="E725" s="491">
        <v>1</v>
      </c>
      <c r="F725" s="492">
        <f t="shared" ref="F725:F728" si="34">(D725*E725)</f>
        <v>4725</v>
      </c>
      <c r="G725" s="479"/>
    </row>
    <row r="726" spans="1:7" ht="14.25" hidden="1" customHeight="1">
      <c r="A726" s="2057" t="str">
        <f>+'LISTADO MATERIALES'!$C$500</f>
        <v>SIFÓN PVC DE 3"</v>
      </c>
      <c r="B726" s="1611"/>
      <c r="C726" s="493" t="str">
        <f>'LISTADO MATERIALES'!$D$500</f>
        <v>UND</v>
      </c>
      <c r="D726" s="494">
        <f>'LISTADO MATERIALES'!$E$500</f>
        <v>16301.249999999998</v>
      </c>
      <c r="E726" s="965">
        <v>1</v>
      </c>
      <c r="F726" s="496">
        <f t="shared" si="34"/>
        <v>16301.249999999998</v>
      </c>
      <c r="G726" s="483"/>
    </row>
    <row r="727" spans="1:7" ht="14.25" hidden="1" customHeight="1">
      <c r="A727" s="2067" t="str">
        <f>'LISTADO MATERIALES'!$C$481</f>
        <v>LIMPIADOR/REMOVEDOR  PVC. ( 1/4  Gal )</v>
      </c>
      <c r="B727" s="1611"/>
      <c r="C727" s="493" t="str">
        <f>'LISTADO MATERIALES'!$D$481</f>
        <v>UND</v>
      </c>
      <c r="D727" s="494">
        <f>'LISTADO MATERIALES'!$E$481</f>
        <v>33445</v>
      </c>
      <c r="E727" s="497">
        <v>0.02</v>
      </c>
      <c r="F727" s="496">
        <f t="shared" si="34"/>
        <v>668.9</v>
      </c>
      <c r="G727" s="483"/>
    </row>
    <row r="728" spans="1:7" ht="14.25" hidden="1" customHeight="1">
      <c r="A728" s="2065" t="str">
        <f>'LISTADO MATERIALES'!$C$515</f>
        <v>SOLDADURA LIQUIDA  PVC.  (1/4 Gal )</v>
      </c>
      <c r="B728" s="1819"/>
      <c r="C728" s="498" t="str">
        <f>'LISTADO MATERIALES'!$D$515</f>
        <v>UND</v>
      </c>
      <c r="D728" s="499">
        <f>'LISTADO MATERIALES'!$E$515</f>
        <v>69138</v>
      </c>
      <c r="E728" s="500">
        <v>0.02</v>
      </c>
      <c r="F728" s="486">
        <f t="shared" si="34"/>
        <v>1382.76</v>
      </c>
      <c r="G728" s="501"/>
    </row>
    <row r="729" spans="1:7" ht="14.25" hidden="1" customHeight="1">
      <c r="A729" s="2056" t="s">
        <v>1560</v>
      </c>
      <c r="B729" s="1817"/>
      <c r="C729" s="1817"/>
      <c r="D729" s="1817"/>
      <c r="E729" s="1817"/>
      <c r="F729" s="2000"/>
      <c r="G729" s="502">
        <f>SUM(F725:F728)</f>
        <v>23077.91</v>
      </c>
    </row>
    <row r="730" spans="1:7" ht="14.25" hidden="1" customHeight="1">
      <c r="A730" s="471" t="s">
        <v>1563</v>
      </c>
      <c r="B730" s="469"/>
      <c r="C730" s="469"/>
      <c r="D730" s="469"/>
      <c r="E730" s="469"/>
      <c r="F730" s="469"/>
      <c r="G730" s="469"/>
    </row>
    <row r="731" spans="1:7" ht="14.25" hidden="1" customHeight="1">
      <c r="A731" s="2011" t="s">
        <v>1556</v>
      </c>
      <c r="B731" s="1801"/>
      <c r="C731" s="474" t="s">
        <v>6</v>
      </c>
      <c r="D731" s="474" t="s">
        <v>1562</v>
      </c>
      <c r="E731" s="474" t="s">
        <v>7</v>
      </c>
      <c r="F731" s="474" t="s">
        <v>1559</v>
      </c>
      <c r="G731" s="503"/>
    </row>
    <row r="732" spans="1:7" ht="14.25" hidden="1" customHeight="1">
      <c r="A732" s="2060"/>
      <c r="B732" s="1967"/>
      <c r="C732" s="504"/>
      <c r="D732" s="478"/>
      <c r="E732" s="505"/>
      <c r="F732" s="482"/>
      <c r="G732" s="479"/>
    </row>
    <row r="733" spans="1:7" ht="14.25" hidden="1" customHeight="1">
      <c r="A733" s="2052"/>
      <c r="B733" s="1819"/>
      <c r="C733" s="504"/>
      <c r="D733" s="506"/>
      <c r="E733" s="507"/>
      <c r="F733" s="506"/>
      <c r="G733" s="508"/>
    </row>
    <row r="734" spans="1:7" ht="14.25" hidden="1" customHeight="1">
      <c r="A734" s="2053" t="s">
        <v>1560</v>
      </c>
      <c r="B734" s="1601"/>
      <c r="C734" s="1601"/>
      <c r="D734" s="1601"/>
      <c r="E734" s="1601"/>
      <c r="F734" s="1801"/>
      <c r="G734" s="488"/>
    </row>
    <row r="735" spans="1:7" ht="14.25" hidden="1" customHeight="1">
      <c r="A735" s="471" t="s">
        <v>1564</v>
      </c>
      <c r="B735" s="469"/>
      <c r="C735" s="469"/>
      <c r="D735" s="469"/>
      <c r="E735" s="469"/>
      <c r="F735" s="469"/>
      <c r="G735" s="469"/>
    </row>
    <row r="736" spans="1:7" ht="14.25" hidden="1" customHeight="1">
      <c r="A736" s="2054" t="s">
        <v>1565</v>
      </c>
      <c r="B736" s="1932"/>
      <c r="C736" s="509" t="s">
        <v>1566</v>
      </c>
      <c r="D736" s="509" t="s">
        <v>6</v>
      </c>
      <c r="E736" s="509" t="s">
        <v>7</v>
      </c>
      <c r="F736" s="509" t="s">
        <v>1559</v>
      </c>
      <c r="G736" s="503"/>
    </row>
    <row r="737" spans="1:7" ht="14.25" hidden="1" customHeight="1">
      <c r="A737" s="2055" t="s">
        <v>1574</v>
      </c>
      <c r="B737" s="1967"/>
      <c r="C737" s="510">
        <f>+'MANO DE OBRA'!$E$64</f>
        <v>15031.25</v>
      </c>
      <c r="D737" s="511" t="s">
        <v>1575</v>
      </c>
      <c r="E737" s="511">
        <v>1.5</v>
      </c>
      <c r="F737" s="512">
        <f t="shared" ref="F737:F738" si="35">C737/E737</f>
        <v>10020.833333333334</v>
      </c>
      <c r="G737" s="479"/>
    </row>
    <row r="738" spans="1:7" ht="14.25" hidden="1" customHeight="1">
      <c r="A738" s="513" t="s">
        <v>1576</v>
      </c>
      <c r="B738" s="514"/>
      <c r="C738" s="515">
        <f>+'MANO DE OBRA'!$E$65</f>
        <v>10972.8125</v>
      </c>
      <c r="D738" s="516" t="s">
        <v>1575</v>
      </c>
      <c r="E738" s="516">
        <f>E737</f>
        <v>1.5</v>
      </c>
      <c r="F738" s="517">
        <f t="shared" si="35"/>
        <v>7315.208333333333</v>
      </c>
      <c r="G738" s="501"/>
    </row>
    <row r="739" spans="1:7" ht="14.25" hidden="1" customHeight="1">
      <c r="A739" s="2056" t="str">
        <f>+A734</f>
        <v>SUB-TOTAL</v>
      </c>
      <c r="B739" s="1817"/>
      <c r="C739" s="1817"/>
      <c r="D739" s="1817"/>
      <c r="E739" s="1817"/>
      <c r="F739" s="2000"/>
      <c r="G739" s="518">
        <f>SUM(F737:F738)</f>
        <v>17336.041666666668</v>
      </c>
    </row>
    <row r="740" spans="1:7" ht="14.25" hidden="1" customHeight="1">
      <c r="A740" s="469"/>
      <c r="B740" s="469"/>
      <c r="C740" s="469"/>
      <c r="D740" s="469"/>
      <c r="E740" s="469"/>
      <c r="F740" s="519"/>
      <c r="G740" s="469"/>
    </row>
    <row r="741" spans="1:7" ht="14.25" hidden="1" customHeight="1">
      <c r="A741" s="2053" t="s">
        <v>1567</v>
      </c>
      <c r="B741" s="1601"/>
      <c r="C741" s="1601"/>
      <c r="D741" s="1601"/>
      <c r="E741" s="1601"/>
      <c r="F741" s="1801"/>
      <c r="G741" s="520">
        <f>ROUND(G722+G729+G734+G739,0)</f>
        <v>40614</v>
      </c>
    </row>
    <row r="742" spans="1:7" ht="14.25" hidden="1" customHeight="1"/>
    <row r="743" spans="1:7" ht="14.25" hidden="1" customHeight="1">
      <c r="A743" s="468"/>
      <c r="B743" s="468"/>
      <c r="C743" s="468"/>
      <c r="D743" s="468"/>
      <c r="E743" s="468"/>
      <c r="F743" s="468"/>
      <c r="G743" s="468"/>
    </row>
    <row r="744" spans="1:7" ht="27" hidden="1" customHeight="1">
      <c r="A744" s="2054" t="s">
        <v>1604</v>
      </c>
      <c r="B744" s="1616"/>
      <c r="C744" s="1624"/>
      <c r="D744" s="879"/>
      <c r="E744" s="879"/>
      <c r="F744" s="879"/>
      <c r="G744" s="880"/>
    </row>
    <row r="745" spans="1:7" ht="17.25" hidden="1" customHeight="1">
      <c r="A745" s="1971"/>
      <c r="B745" s="1817"/>
      <c r="C745" s="1972"/>
      <c r="D745" s="881"/>
      <c r="E745" s="881"/>
      <c r="F745" s="881"/>
      <c r="G745" s="882"/>
    </row>
    <row r="746" spans="1:7" ht="14.25" hidden="1" customHeight="1">
      <c r="A746" s="469"/>
      <c r="B746" s="469"/>
      <c r="C746" s="469"/>
      <c r="D746" s="469"/>
      <c r="E746" s="469"/>
      <c r="F746" s="469"/>
      <c r="G746" s="469"/>
    </row>
    <row r="747" spans="1:7" ht="25.5" hidden="1" customHeight="1">
      <c r="A747" s="2061" t="str">
        <f>A5</f>
        <v>PRECIOS UNITARIOS OFICIALES 2014</v>
      </c>
      <c r="B747" s="1601"/>
      <c r="C747" s="1602"/>
      <c r="D747" s="2062" t="s">
        <v>2034</v>
      </c>
      <c r="E747" s="1601"/>
      <c r="F747" s="1601"/>
      <c r="G747" s="1602"/>
    </row>
    <row r="748" spans="1:7" ht="14.25" hidden="1" customHeight="1">
      <c r="A748" s="470"/>
      <c r="B748" s="470"/>
      <c r="C748" s="470"/>
      <c r="D748" s="470"/>
      <c r="E748" s="470"/>
      <c r="F748" s="470"/>
      <c r="G748" s="470"/>
    </row>
    <row r="749" spans="1:7" ht="14.25" hidden="1" customHeight="1">
      <c r="A749" s="471"/>
      <c r="B749" s="469"/>
      <c r="C749" s="469"/>
      <c r="D749" s="472" t="s">
        <v>1553</v>
      </c>
      <c r="E749" s="473" t="s">
        <v>127</v>
      </c>
      <c r="F749" s="883"/>
      <c r="G749" s="883"/>
    </row>
    <row r="750" spans="1:7" ht="14.25" hidden="1" customHeight="1">
      <c r="A750" s="471" t="s">
        <v>1555</v>
      </c>
      <c r="B750" s="469"/>
      <c r="C750" s="469"/>
      <c r="D750" s="469"/>
      <c r="E750" s="469"/>
      <c r="F750" s="469"/>
      <c r="G750" s="469"/>
    </row>
    <row r="751" spans="1:7" ht="14.25" hidden="1" customHeight="1">
      <c r="A751" s="2011" t="s">
        <v>1556</v>
      </c>
      <c r="B751" s="1601"/>
      <c r="C751" s="1801"/>
      <c r="D751" s="474" t="s">
        <v>1557</v>
      </c>
      <c r="E751" s="474" t="s">
        <v>1558</v>
      </c>
      <c r="F751" s="474" t="s">
        <v>1559</v>
      </c>
      <c r="G751" s="475"/>
    </row>
    <row r="752" spans="1:7" ht="14.25" hidden="1" customHeight="1">
      <c r="A752" s="2060" t="s">
        <v>209</v>
      </c>
      <c r="B752" s="1811"/>
      <c r="C752" s="1967"/>
      <c r="D752" s="476" t="s">
        <v>899</v>
      </c>
      <c r="E752" s="477">
        <v>1</v>
      </c>
      <c r="F752" s="478">
        <v>1020</v>
      </c>
      <c r="G752" s="479"/>
    </row>
    <row r="753" spans="1:7" ht="14.25" hidden="1" customHeight="1">
      <c r="A753" s="2063"/>
      <c r="B753" s="1610"/>
      <c r="C753" s="1611"/>
      <c r="D753" s="480"/>
      <c r="E753" s="481"/>
      <c r="F753" s="482"/>
      <c r="G753" s="483"/>
    </row>
    <row r="754" spans="1:7" ht="14.25" hidden="1" customHeight="1">
      <c r="A754" s="2064"/>
      <c r="B754" s="1807"/>
      <c r="C754" s="1819"/>
      <c r="D754" s="484"/>
      <c r="E754" s="485"/>
      <c r="F754" s="486"/>
      <c r="G754" s="487"/>
    </row>
    <row r="755" spans="1:7" ht="14.25" hidden="1" customHeight="1">
      <c r="A755" s="2053" t="s">
        <v>1560</v>
      </c>
      <c r="B755" s="1601"/>
      <c r="C755" s="1601"/>
      <c r="D755" s="1601"/>
      <c r="E755" s="1601"/>
      <c r="F755" s="1801"/>
      <c r="G755" s="488">
        <f>SUM(F752:F754)</f>
        <v>1020</v>
      </c>
    </row>
    <row r="756" spans="1:7" ht="14.25" hidden="1" customHeight="1">
      <c r="A756" s="471" t="s">
        <v>1561</v>
      </c>
      <c r="B756" s="469"/>
      <c r="C756" s="469"/>
      <c r="D756" s="469"/>
      <c r="E756" s="469"/>
      <c r="F756" s="469"/>
      <c r="G756" s="469"/>
    </row>
    <row r="757" spans="1:7" ht="14.25" hidden="1" customHeight="1">
      <c r="A757" s="2054" t="s">
        <v>1556</v>
      </c>
      <c r="B757" s="1624"/>
      <c r="C757" s="886" t="s">
        <v>6</v>
      </c>
      <c r="D757" s="917" t="s">
        <v>1562</v>
      </c>
      <c r="E757" s="886" t="s">
        <v>7</v>
      </c>
      <c r="F757" s="886" t="s">
        <v>1559</v>
      </c>
      <c r="G757" s="880"/>
    </row>
    <row r="758" spans="1:7" ht="14.25" hidden="1" customHeight="1">
      <c r="A758" s="2067" t="str">
        <f>'LISTADO MATERIALES'!$C$387</f>
        <v>LADRILLO TOLETE COMÚN</v>
      </c>
      <c r="B758" s="1611"/>
      <c r="C758" s="493" t="str">
        <f>'LISTADO MATERIALES'!$D$387</f>
        <v>UND</v>
      </c>
      <c r="D758" s="494">
        <f>'LISTADO MATERIALES'!$E$387</f>
        <v>368</v>
      </c>
      <c r="E758" s="491">
        <v>83</v>
      </c>
      <c r="F758" s="492">
        <f t="shared" ref="F758:F763" si="36">(D758*E758)</f>
        <v>30544</v>
      </c>
      <c r="G758" s="479"/>
    </row>
    <row r="759" spans="1:7" ht="15.75" hidden="1" customHeight="1">
      <c r="A759" s="2067" t="str">
        <f>'ANALISIS BASICOS'!$A$100</f>
        <v xml:space="preserve">CONCRETO NORMAL - 2500 PSI (175 KG/CM2)  </v>
      </c>
      <c r="B759" s="1611"/>
      <c r="C759" s="493" t="str">
        <f>'ANALISIS BASICOS'!$E$12</f>
        <v>M3</v>
      </c>
      <c r="D759" s="494">
        <f>'ANALISIS BASICOS'!$G$100</f>
        <v>483582</v>
      </c>
      <c r="E759" s="961">
        <v>0.15</v>
      </c>
      <c r="F759" s="496">
        <f t="shared" si="36"/>
        <v>72537.3</v>
      </c>
      <c r="G759" s="962"/>
    </row>
    <row r="760" spans="1:7" ht="14.25" hidden="1" customHeight="1">
      <c r="A760" s="2067" t="str">
        <f>'LISTADO MATERIALES'!$C$10</f>
        <v xml:space="preserve">ACERO Fy= 4200 Kg/cm2   </v>
      </c>
      <c r="B760" s="1611"/>
      <c r="C760" s="493" t="str">
        <f>'LISTADO MATERIALES'!$D$10</f>
        <v>KG</v>
      </c>
      <c r="D760" s="494">
        <f>'LISTADO MATERIALES'!$E$10</f>
        <v>2800</v>
      </c>
      <c r="E760" s="961">
        <v>1.59</v>
      </c>
      <c r="F760" s="496">
        <f t="shared" si="36"/>
        <v>4452</v>
      </c>
      <c r="G760" s="962"/>
    </row>
    <row r="761" spans="1:7" ht="14.25" hidden="1" customHeight="1">
      <c r="A761" s="2067" t="str">
        <f>'LISTADO MATERIALES'!$C$16</f>
        <v>ALAMBRE NEGRO No. 18</v>
      </c>
      <c r="B761" s="1611"/>
      <c r="C761" s="493" t="str">
        <f>'LISTADO MATERIALES'!$D$16</f>
        <v>KG</v>
      </c>
      <c r="D761" s="494">
        <f>'LISTADO MATERIALES'!$E$16</f>
        <v>3150</v>
      </c>
      <c r="E761" s="961">
        <v>0.05</v>
      </c>
      <c r="F761" s="496">
        <f t="shared" si="36"/>
        <v>157.5</v>
      </c>
      <c r="G761" s="962"/>
    </row>
    <row r="762" spans="1:7" ht="14.25" hidden="1" customHeight="1">
      <c r="A762" s="2067" t="str">
        <f>'ANALISIS BASICOS'!$A$228</f>
        <v>MORTERO 1:4</v>
      </c>
      <c r="B762" s="1611"/>
      <c r="C762" s="493" t="str">
        <f>'ANALISIS BASICOS'!$E$204</f>
        <v>M3</v>
      </c>
      <c r="D762" s="494">
        <f>'ANALISIS BASICOS'!$G$228</f>
        <v>384656</v>
      </c>
      <c r="E762" s="961">
        <v>0.08</v>
      </c>
      <c r="F762" s="496">
        <f t="shared" si="36"/>
        <v>30772.48</v>
      </c>
      <c r="G762" s="962"/>
    </row>
    <row r="763" spans="1:7" ht="14.25" hidden="1" customHeight="1">
      <c r="A763" s="2067" t="str">
        <f>'LISTADO MATERIALES'!$C$22</f>
        <v>ÁNGULO 1/8"x1"</v>
      </c>
      <c r="B763" s="1611"/>
      <c r="C763" s="493" t="str">
        <f>'LISTADO MATERIALES'!$D$22</f>
        <v>ML</v>
      </c>
      <c r="D763" s="494">
        <f>'LISTADO MATERIALES'!$E$22</f>
        <v>3486</v>
      </c>
      <c r="E763" s="961">
        <v>4.8</v>
      </c>
      <c r="F763" s="496">
        <f t="shared" si="36"/>
        <v>16732.8</v>
      </c>
      <c r="G763" s="962"/>
    </row>
    <row r="764" spans="1:7" ht="14.25" hidden="1" customHeight="1">
      <c r="A764" s="2067"/>
      <c r="B764" s="1611"/>
      <c r="C764" s="493"/>
      <c r="D764" s="494"/>
      <c r="E764" s="497"/>
      <c r="F764" s="496"/>
      <c r="G764" s="483"/>
    </row>
    <row r="765" spans="1:7" ht="14.25" hidden="1" customHeight="1">
      <c r="A765" s="2057"/>
      <c r="B765" s="1611"/>
      <c r="C765" s="493"/>
      <c r="D765" s="494"/>
      <c r="E765" s="965"/>
      <c r="F765" s="496"/>
      <c r="G765" s="483"/>
    </row>
    <row r="766" spans="1:7" ht="14.25" hidden="1" customHeight="1">
      <c r="A766" s="2056" t="s">
        <v>1560</v>
      </c>
      <c r="B766" s="1817"/>
      <c r="C766" s="1817"/>
      <c r="D766" s="1817"/>
      <c r="E766" s="1817"/>
      <c r="F766" s="2000"/>
      <c r="G766" s="502">
        <f>SUM(F758:F765)</f>
        <v>155196.07999999999</v>
      </c>
    </row>
    <row r="767" spans="1:7" ht="14.25" hidden="1" customHeight="1">
      <c r="A767" s="471" t="s">
        <v>1563</v>
      </c>
      <c r="B767" s="469"/>
      <c r="C767" s="469"/>
      <c r="D767" s="469"/>
      <c r="E767" s="469"/>
      <c r="F767" s="469"/>
      <c r="G767" s="469"/>
    </row>
    <row r="768" spans="1:7" ht="14.25" hidden="1" customHeight="1">
      <c r="A768" s="2011" t="s">
        <v>1556</v>
      </c>
      <c r="B768" s="1801"/>
      <c r="C768" s="474" t="s">
        <v>6</v>
      </c>
      <c r="D768" s="474" t="s">
        <v>1562</v>
      </c>
      <c r="E768" s="474" t="s">
        <v>7</v>
      </c>
      <c r="F768" s="474" t="s">
        <v>1559</v>
      </c>
      <c r="G768" s="503"/>
    </row>
    <row r="769" spans="1:7" ht="14.25" hidden="1" customHeight="1">
      <c r="A769" s="2060"/>
      <c r="B769" s="1967"/>
      <c r="C769" s="504"/>
      <c r="D769" s="478"/>
      <c r="E769" s="505"/>
      <c r="F769" s="482"/>
      <c r="G769" s="479"/>
    </row>
    <row r="770" spans="1:7" ht="14.25" hidden="1" customHeight="1">
      <c r="A770" s="2052"/>
      <c r="B770" s="1819"/>
      <c r="C770" s="504"/>
      <c r="D770" s="506"/>
      <c r="E770" s="507"/>
      <c r="F770" s="506"/>
      <c r="G770" s="508"/>
    </row>
    <row r="771" spans="1:7" ht="14.25" hidden="1" customHeight="1">
      <c r="A771" s="2053" t="s">
        <v>1560</v>
      </c>
      <c r="B771" s="1601"/>
      <c r="C771" s="1601"/>
      <c r="D771" s="1601"/>
      <c r="E771" s="1601"/>
      <c r="F771" s="1801"/>
      <c r="G771" s="488"/>
    </row>
    <row r="772" spans="1:7" ht="14.25" hidden="1" customHeight="1">
      <c r="A772" s="471" t="s">
        <v>1564</v>
      </c>
      <c r="B772" s="469"/>
      <c r="C772" s="469"/>
      <c r="D772" s="469"/>
      <c r="E772" s="469"/>
      <c r="F772" s="469"/>
      <c r="G772" s="469"/>
    </row>
    <row r="773" spans="1:7" ht="14.25" hidden="1" customHeight="1">
      <c r="A773" s="2054" t="s">
        <v>1565</v>
      </c>
      <c r="B773" s="1932"/>
      <c r="C773" s="509" t="s">
        <v>1566</v>
      </c>
      <c r="D773" s="509" t="s">
        <v>6</v>
      </c>
      <c r="E773" s="509" t="s">
        <v>7</v>
      </c>
      <c r="F773" s="509" t="s">
        <v>1559</v>
      </c>
      <c r="G773" s="503"/>
    </row>
    <row r="774" spans="1:7" ht="14.25" hidden="1" customHeight="1">
      <c r="A774" s="2055" t="s">
        <v>1574</v>
      </c>
      <c r="B774" s="1967"/>
      <c r="C774" s="510">
        <v>7410.96</v>
      </c>
      <c r="D774" s="511" t="s">
        <v>1575</v>
      </c>
      <c r="E774" s="511">
        <v>0.2</v>
      </c>
      <c r="F774" s="512">
        <f t="shared" ref="F774:F775" si="37">C774/E774</f>
        <v>37054.799999999996</v>
      </c>
      <c r="G774" s="479"/>
    </row>
    <row r="775" spans="1:7" ht="14.25" hidden="1" customHeight="1">
      <c r="A775" s="513" t="s">
        <v>1576</v>
      </c>
      <c r="B775" s="514"/>
      <c r="C775" s="515">
        <v>4550.79</v>
      </c>
      <c r="D775" s="516" t="s">
        <v>1575</v>
      </c>
      <c r="E775" s="516">
        <f>E774</f>
        <v>0.2</v>
      </c>
      <c r="F775" s="517">
        <f t="shared" si="37"/>
        <v>22753.949999999997</v>
      </c>
      <c r="G775" s="501"/>
    </row>
    <row r="776" spans="1:7" ht="14.25" hidden="1" customHeight="1">
      <c r="A776" s="2056" t="str">
        <f>+A771</f>
        <v>SUB-TOTAL</v>
      </c>
      <c r="B776" s="1817"/>
      <c r="C776" s="1817"/>
      <c r="D776" s="1817"/>
      <c r="E776" s="1817"/>
      <c r="F776" s="2000"/>
      <c r="G776" s="518">
        <f>SUM(F774:F775)</f>
        <v>59808.749999999993</v>
      </c>
    </row>
    <row r="777" spans="1:7" ht="14.25" hidden="1" customHeight="1">
      <c r="A777" s="469"/>
      <c r="B777" s="469"/>
      <c r="C777" s="469"/>
      <c r="D777" s="469"/>
      <c r="E777" s="469"/>
      <c r="F777" s="519"/>
      <c r="G777" s="469"/>
    </row>
    <row r="778" spans="1:7" ht="14.25" hidden="1" customHeight="1">
      <c r="A778" s="2053" t="s">
        <v>1567</v>
      </c>
      <c r="B778" s="1601"/>
      <c r="C778" s="1601"/>
      <c r="D778" s="1601"/>
      <c r="E778" s="1601"/>
      <c r="F778" s="1801"/>
      <c r="G778" s="520">
        <f>ROUND(G755+G766+G771+G776,0)</f>
        <v>216025</v>
      </c>
    </row>
    <row r="779" spans="1:7" ht="14.25" hidden="1" customHeight="1">
      <c r="A779" s="468"/>
      <c r="B779" s="468"/>
      <c r="C779" s="468"/>
      <c r="D779" s="468"/>
      <c r="E779" s="468"/>
      <c r="F779" s="468"/>
      <c r="G779" s="468"/>
    </row>
    <row r="780" spans="1:7" ht="14.25" hidden="1" customHeight="1">
      <c r="A780" s="468"/>
      <c r="B780" s="468"/>
      <c r="C780" s="468"/>
      <c r="D780" s="468"/>
      <c r="E780" s="468"/>
      <c r="F780" s="468"/>
      <c r="G780" s="468"/>
    </row>
    <row r="781" spans="1:7" ht="13.5" hidden="1" customHeight="1">
      <c r="A781" s="1994" t="e">
        <f>+'ANALISIS BASICOS'!$A$7</f>
        <v>#REF!</v>
      </c>
      <c r="B781" s="1616"/>
      <c r="C781" s="1624"/>
      <c r="D781" s="2069"/>
      <c r="E781" s="1616"/>
      <c r="F781" s="1616"/>
      <c r="G781" s="1624"/>
    </row>
    <row r="782" spans="1:7" ht="46.5" hidden="1" customHeight="1">
      <c r="A782" s="1971"/>
      <c r="B782" s="1817"/>
      <c r="C782" s="1972"/>
      <c r="D782" s="1971"/>
      <c r="E782" s="1817"/>
      <c r="F782" s="1817"/>
      <c r="G782" s="1972"/>
    </row>
    <row r="783" spans="1:7" ht="14.25" hidden="1" customHeight="1">
      <c r="A783" s="469"/>
      <c r="B783" s="469"/>
      <c r="C783" s="469"/>
      <c r="D783" s="469"/>
      <c r="E783" s="469"/>
      <c r="F783" s="469"/>
      <c r="G783" s="469"/>
    </row>
    <row r="784" spans="1:7" ht="42" hidden="1" customHeight="1">
      <c r="A784" s="2070" t="e">
        <f ca="1">+A714</f>
        <v>#NAME?</v>
      </c>
      <c r="B784" s="1601"/>
      <c r="C784" s="1602"/>
      <c r="D784" s="2062" t="s">
        <v>2035</v>
      </c>
      <c r="E784" s="1601"/>
      <c r="F784" s="1601"/>
      <c r="G784" s="1602"/>
    </row>
    <row r="786" spans="1:7" ht="14.25" hidden="1" customHeight="1">
      <c r="A786" s="471"/>
      <c r="B786" s="469"/>
      <c r="C786" s="469"/>
      <c r="D786" s="472" t="s">
        <v>1553</v>
      </c>
      <c r="E786" s="473" t="s">
        <v>127</v>
      </c>
      <c r="F786" s="421" t="s">
        <v>1554</v>
      </c>
      <c r="G786" s="422" t="s">
        <v>82</v>
      </c>
    </row>
    <row r="787" spans="1:7" ht="14.25" hidden="1" customHeight="1">
      <c r="A787" s="471" t="s">
        <v>1555</v>
      </c>
      <c r="B787" s="469"/>
      <c r="C787" s="469"/>
      <c r="D787" s="469"/>
      <c r="E787" s="469"/>
      <c r="F787" s="469"/>
      <c r="G787" s="469"/>
    </row>
    <row r="788" spans="1:7" ht="14.25" hidden="1" customHeight="1">
      <c r="A788" s="2011" t="s">
        <v>1556</v>
      </c>
      <c r="B788" s="1601"/>
      <c r="C788" s="1801"/>
      <c r="D788" s="474" t="s">
        <v>1557</v>
      </c>
      <c r="E788" s="474" t="s">
        <v>1558</v>
      </c>
      <c r="F788" s="474" t="s">
        <v>1559</v>
      </c>
      <c r="G788" s="475"/>
    </row>
    <row r="789" spans="1:7" ht="14.25" hidden="1" customHeight="1">
      <c r="A789" s="2060" t="str">
        <f>+'LISTADO EQUIPOS'!$C$22</f>
        <v>HERRAMIENTA MENOR.</v>
      </c>
      <c r="B789" s="1811"/>
      <c r="C789" s="1967"/>
      <c r="D789" s="476" t="s">
        <v>899</v>
      </c>
      <c r="E789" s="477">
        <v>1</v>
      </c>
      <c r="F789" s="478">
        <v>200</v>
      </c>
      <c r="G789" s="479"/>
    </row>
    <row r="790" spans="1:7" ht="14.25" hidden="1" customHeight="1">
      <c r="A790" s="2063"/>
      <c r="B790" s="1610"/>
      <c r="C790" s="1611"/>
      <c r="D790" s="480"/>
      <c r="E790" s="481"/>
      <c r="F790" s="482"/>
      <c r="G790" s="483"/>
    </row>
    <row r="791" spans="1:7" ht="14.25" hidden="1" customHeight="1">
      <c r="A791" s="2064"/>
      <c r="B791" s="1807"/>
      <c r="C791" s="1819"/>
      <c r="D791" s="484"/>
      <c r="E791" s="485"/>
      <c r="F791" s="486"/>
      <c r="G791" s="487"/>
    </row>
    <row r="792" spans="1:7" ht="14.25" hidden="1" customHeight="1">
      <c r="A792" s="2053" t="s">
        <v>1560</v>
      </c>
      <c r="B792" s="1601"/>
      <c r="C792" s="1601"/>
      <c r="D792" s="1601"/>
      <c r="E792" s="1601"/>
      <c r="F792" s="1801"/>
      <c r="G792" s="488">
        <f>SUM(F789:F791)</f>
        <v>200</v>
      </c>
    </row>
    <row r="793" spans="1:7" ht="14.25" hidden="1" customHeight="1">
      <c r="A793" s="471" t="s">
        <v>1561</v>
      </c>
      <c r="B793" s="469"/>
      <c r="C793" s="469"/>
      <c r="D793" s="469"/>
      <c r="E793" s="469"/>
      <c r="F793" s="469"/>
      <c r="G793" s="469"/>
    </row>
    <row r="794" spans="1:7" ht="14.25" hidden="1" customHeight="1">
      <c r="A794" s="2011" t="s">
        <v>1556</v>
      </c>
      <c r="B794" s="1801"/>
      <c r="C794" s="474" t="s">
        <v>6</v>
      </c>
      <c r="D794" s="474" t="s">
        <v>1562</v>
      </c>
      <c r="E794" s="474" t="s">
        <v>7</v>
      </c>
      <c r="F794" s="474" t="s">
        <v>1559</v>
      </c>
      <c r="G794" s="475"/>
    </row>
    <row r="795" spans="1:7" ht="14.25" hidden="1" customHeight="1">
      <c r="A795" s="2066" t="str">
        <f>'LISTADO MATERIALES'!$C$387</f>
        <v>LADRILLO TOLETE COMÚN</v>
      </c>
      <c r="B795" s="1967"/>
      <c r="C795" s="489" t="str">
        <f>'LISTADO MATERIALES'!$D$387</f>
        <v>UND</v>
      </c>
      <c r="D795" s="490">
        <f>'LISTADO MATERIALES'!$E$387</f>
        <v>368</v>
      </c>
      <c r="E795" s="491">
        <v>300</v>
      </c>
      <c r="F795" s="492">
        <f t="shared" ref="F795:F802" si="38">(D795*E795)</f>
        <v>110400</v>
      </c>
      <c r="G795" s="479"/>
    </row>
    <row r="796" spans="1:7" ht="18" hidden="1" customHeight="1">
      <c r="A796" s="2067" t="str">
        <f>'ANALISIS BASICOS'!$A$100</f>
        <v xml:space="preserve">CONCRETO NORMAL - 2500 PSI (175 KG/CM2)  </v>
      </c>
      <c r="B796" s="1611"/>
      <c r="C796" s="493" t="str">
        <f>'ANALISIS BASICOS'!$E$12</f>
        <v>M3</v>
      </c>
      <c r="D796" s="494">
        <f>'ANALISIS BASICOS'!$G$100</f>
        <v>483582</v>
      </c>
      <c r="E796" s="966">
        <v>0.15</v>
      </c>
      <c r="F796" s="496">
        <f t="shared" si="38"/>
        <v>72537.3</v>
      </c>
      <c r="G796" s="483"/>
    </row>
    <row r="797" spans="1:7" ht="14.25" hidden="1" customHeight="1">
      <c r="A797" s="2067" t="str">
        <f>'LISTADO MATERIALES'!$C$10</f>
        <v xml:space="preserve">ACERO Fy= 4200 Kg/cm2   </v>
      </c>
      <c r="B797" s="1611"/>
      <c r="C797" s="493" t="str">
        <f>'LISTADO MATERIALES'!$D$10</f>
        <v>KG</v>
      </c>
      <c r="D797" s="494">
        <f>'LISTADO MATERIALES'!$E$10</f>
        <v>2800</v>
      </c>
      <c r="E797" s="966">
        <v>5.59</v>
      </c>
      <c r="F797" s="496">
        <f t="shared" si="38"/>
        <v>15652</v>
      </c>
      <c r="G797" s="483"/>
    </row>
    <row r="798" spans="1:7" ht="14.25" hidden="1" customHeight="1">
      <c r="A798" s="2067" t="str">
        <f>'LISTADO MATERIALES'!$C$16</f>
        <v>ALAMBRE NEGRO No. 18</v>
      </c>
      <c r="B798" s="1611"/>
      <c r="C798" s="493" t="str">
        <f>'LISTADO MATERIALES'!$D$60</f>
        <v>ML</v>
      </c>
      <c r="D798" s="494">
        <f>'LISTADO MATERIALES'!$E$60</f>
        <v>12075</v>
      </c>
      <c r="E798" s="966">
        <v>0.17</v>
      </c>
      <c r="F798" s="496">
        <f t="shared" si="38"/>
        <v>2052.75</v>
      </c>
      <c r="G798" s="483"/>
    </row>
    <row r="799" spans="1:7" ht="14.25" hidden="1" customHeight="1">
      <c r="A799" s="2067" t="str">
        <f>'ANALISIS BASICOS'!$A$228</f>
        <v>MORTERO 1:4</v>
      </c>
      <c r="B799" s="1611"/>
      <c r="C799" s="493" t="str">
        <f>'ANALISIS BASICOS'!$E$204</f>
        <v>M3</v>
      </c>
      <c r="D799" s="494">
        <f>'ANALISIS BASICOS'!$G$228</f>
        <v>384656</v>
      </c>
      <c r="E799" s="966">
        <v>0.14099999999999999</v>
      </c>
      <c r="F799" s="496">
        <f t="shared" si="38"/>
        <v>54236.495999999992</v>
      </c>
      <c r="G799" s="483"/>
    </row>
    <row r="800" spans="1:7" ht="14.25" hidden="1" customHeight="1">
      <c r="A800" s="2067" t="str">
        <f>'LISTADO MATERIALES'!$C$22</f>
        <v>ÁNGULO 1/8"x1"</v>
      </c>
      <c r="B800" s="1611"/>
      <c r="C800" s="493" t="str">
        <f>'LISTADO MATERIALES'!$D$22</f>
        <v>ML</v>
      </c>
      <c r="D800" s="494">
        <f>'LISTADO MATERIALES'!$E$22</f>
        <v>3486</v>
      </c>
      <c r="E800" s="966">
        <v>6.4</v>
      </c>
      <c r="F800" s="496">
        <f t="shared" si="38"/>
        <v>22310.400000000001</v>
      </c>
      <c r="G800" s="483"/>
    </row>
    <row r="801" spans="1:7" ht="14.25" hidden="1" customHeight="1">
      <c r="A801" s="2067"/>
      <c r="B801" s="1611"/>
      <c r="C801" s="493"/>
      <c r="D801" s="494"/>
      <c r="E801" s="497"/>
      <c r="F801" s="496">
        <f t="shared" si="38"/>
        <v>0</v>
      </c>
      <c r="G801" s="483"/>
    </row>
    <row r="802" spans="1:7" ht="14.25" hidden="1" customHeight="1">
      <c r="A802" s="2065"/>
      <c r="B802" s="1819"/>
      <c r="C802" s="498"/>
      <c r="D802" s="499"/>
      <c r="E802" s="500"/>
      <c r="F802" s="486">
        <f t="shared" si="38"/>
        <v>0</v>
      </c>
      <c r="G802" s="501"/>
    </row>
    <row r="803" spans="1:7" ht="14.25" hidden="1" customHeight="1">
      <c r="A803" s="2056" t="s">
        <v>1560</v>
      </c>
      <c r="B803" s="1817"/>
      <c r="C803" s="1817"/>
      <c r="D803" s="1817"/>
      <c r="E803" s="1817"/>
      <c r="F803" s="2000"/>
      <c r="G803" s="502">
        <f>SUM(F795:F802)</f>
        <v>277188.946</v>
      </c>
    </row>
    <row r="804" spans="1:7" ht="14.25" hidden="1" customHeight="1">
      <c r="A804" s="471" t="s">
        <v>1563</v>
      </c>
      <c r="B804" s="469"/>
      <c r="C804" s="469"/>
      <c r="D804" s="469"/>
      <c r="E804" s="469"/>
      <c r="F804" s="469"/>
      <c r="G804" s="469"/>
    </row>
    <row r="805" spans="1:7" ht="14.25" hidden="1" customHeight="1">
      <c r="A805" s="2011" t="s">
        <v>1556</v>
      </c>
      <c r="B805" s="1801"/>
      <c r="C805" s="474" t="s">
        <v>6</v>
      </c>
      <c r="D805" s="474" t="s">
        <v>1562</v>
      </c>
      <c r="E805" s="474" t="s">
        <v>7</v>
      </c>
      <c r="F805" s="474" t="s">
        <v>1559</v>
      </c>
      <c r="G805" s="503"/>
    </row>
    <row r="806" spans="1:7" ht="14.25" hidden="1" customHeight="1">
      <c r="A806" s="2060"/>
      <c r="B806" s="1967"/>
      <c r="C806" s="504"/>
      <c r="D806" s="478"/>
      <c r="E806" s="505"/>
      <c r="F806" s="482"/>
      <c r="G806" s="479"/>
    </row>
    <row r="807" spans="1:7" ht="14.25" hidden="1" customHeight="1">
      <c r="A807" s="2052"/>
      <c r="B807" s="1819"/>
      <c r="C807" s="504"/>
      <c r="D807" s="506"/>
      <c r="E807" s="507"/>
      <c r="F807" s="506"/>
      <c r="G807" s="508"/>
    </row>
    <row r="808" spans="1:7" ht="14.25" hidden="1" customHeight="1">
      <c r="A808" s="2053" t="s">
        <v>1560</v>
      </c>
      <c r="B808" s="1601"/>
      <c r="C808" s="1601"/>
      <c r="D808" s="1601"/>
      <c r="E808" s="1601"/>
      <c r="F808" s="1801"/>
      <c r="G808" s="488"/>
    </row>
    <row r="809" spans="1:7" ht="14.25" hidden="1" customHeight="1">
      <c r="A809" s="471" t="s">
        <v>1564</v>
      </c>
      <c r="B809" s="469"/>
      <c r="C809" s="469"/>
      <c r="D809" s="469"/>
      <c r="E809" s="469"/>
      <c r="F809" s="469"/>
      <c r="G809" s="469"/>
    </row>
    <row r="810" spans="1:7" ht="14.25" hidden="1" customHeight="1">
      <c r="A810" s="2054" t="s">
        <v>1565</v>
      </c>
      <c r="B810" s="1932"/>
      <c r="C810" s="509" t="s">
        <v>1566</v>
      </c>
      <c r="D810" s="509" t="s">
        <v>6</v>
      </c>
      <c r="E810" s="509" t="s">
        <v>7</v>
      </c>
      <c r="F810" s="509" t="s">
        <v>1559</v>
      </c>
      <c r="G810" s="503"/>
    </row>
    <row r="811" spans="1:7" ht="14.25" hidden="1" customHeight="1">
      <c r="A811" s="2055" t="s">
        <v>1574</v>
      </c>
      <c r="B811" s="1967"/>
      <c r="C811" s="510">
        <f>+'MANO DE OBRA'!$E$64</f>
        <v>15031.25</v>
      </c>
      <c r="D811" s="511" t="s">
        <v>1575</v>
      </c>
      <c r="E811" s="511">
        <v>0.12050998844178082</v>
      </c>
      <c r="F811" s="512">
        <f t="shared" ref="F811:F812" si="39">C811/E811</f>
        <v>124730.32480010316</v>
      </c>
      <c r="G811" s="479"/>
    </row>
    <row r="812" spans="1:7" ht="14.25" hidden="1" customHeight="1">
      <c r="A812" s="513" t="s">
        <v>1576</v>
      </c>
      <c r="B812" s="514"/>
      <c r="C812" s="515">
        <f>+'MANO DE OBRA'!$E$65</f>
        <v>10972.8125</v>
      </c>
      <c r="D812" s="516" t="s">
        <v>1575</v>
      </c>
      <c r="E812" s="516">
        <f>E811</f>
        <v>0.12050998844178082</v>
      </c>
      <c r="F812" s="517">
        <f t="shared" si="39"/>
        <v>91053.137104075315</v>
      </c>
      <c r="G812" s="501"/>
    </row>
    <row r="813" spans="1:7" ht="14.25" hidden="1" customHeight="1">
      <c r="A813" s="2056" t="str">
        <f>+A808</f>
        <v>SUB-TOTAL</v>
      </c>
      <c r="B813" s="1817"/>
      <c r="C813" s="1817"/>
      <c r="D813" s="1817"/>
      <c r="E813" s="1817"/>
      <c r="F813" s="2000"/>
      <c r="G813" s="518">
        <f>SUM(F811:F812)</f>
        <v>215783.46190417849</v>
      </c>
    </row>
    <row r="814" spans="1:7" ht="14.25" hidden="1" customHeight="1">
      <c r="A814" s="469"/>
      <c r="B814" s="469"/>
      <c r="C814" s="469"/>
      <c r="D814" s="469"/>
      <c r="E814" s="469"/>
      <c r="F814" s="519"/>
      <c r="G814" s="469"/>
    </row>
    <row r="815" spans="1:7" ht="14.25" hidden="1" customHeight="1">
      <c r="A815" s="2053" t="s">
        <v>1567</v>
      </c>
      <c r="B815" s="1601"/>
      <c r="C815" s="1601"/>
      <c r="D815" s="1601"/>
      <c r="E815" s="1601"/>
      <c r="F815" s="1801"/>
      <c r="G815" s="520">
        <f>ROUND(G792+G803+G808+G813,0)</f>
        <v>493172</v>
      </c>
    </row>
    <row r="818" spans="1:7" ht="13.5" hidden="1" customHeight="1">
      <c r="A818" s="1994" t="e">
        <f>+'ANALISIS BASICOS'!$A$7</f>
        <v>#REF!</v>
      </c>
      <c r="B818" s="1616"/>
      <c r="C818" s="1624"/>
      <c r="D818" s="2069"/>
      <c r="E818" s="1616"/>
      <c r="F818" s="1616"/>
      <c r="G818" s="1624"/>
    </row>
    <row r="819" spans="1:7" ht="41.25" hidden="1" customHeight="1">
      <c r="A819" s="1971"/>
      <c r="B819" s="1817"/>
      <c r="C819" s="1972"/>
      <c r="D819" s="1971"/>
      <c r="E819" s="1817"/>
      <c r="F819" s="1817"/>
      <c r="G819" s="1972"/>
    </row>
    <row r="820" spans="1:7" ht="14.25" hidden="1" customHeight="1">
      <c r="A820" s="469"/>
      <c r="B820" s="469"/>
      <c r="C820" s="469"/>
      <c r="D820" s="469"/>
      <c r="E820" s="469"/>
      <c r="F820" s="469"/>
      <c r="G820" s="469"/>
    </row>
    <row r="821" spans="1:7" ht="45.75" hidden="1" customHeight="1">
      <c r="A821" s="2070" t="e">
        <f ca="1">+A784</f>
        <v>#NAME?</v>
      </c>
      <c r="B821" s="1601"/>
      <c r="C821" s="1602"/>
      <c r="D821" s="2062" t="s">
        <v>2036</v>
      </c>
      <c r="E821" s="1601"/>
      <c r="F821" s="1601"/>
      <c r="G821" s="1602"/>
    </row>
    <row r="822" spans="1:7" ht="14.25" hidden="1" customHeight="1">
      <c r="A822" s="470"/>
      <c r="B822" s="470"/>
      <c r="C822" s="470"/>
      <c r="D822" s="470"/>
      <c r="E822" s="470"/>
      <c r="F822" s="470"/>
      <c r="G822" s="470"/>
    </row>
    <row r="823" spans="1:7" ht="14.25" hidden="1" customHeight="1">
      <c r="A823" s="471"/>
      <c r="B823" s="469"/>
      <c r="C823" s="469"/>
      <c r="D823" s="472" t="s">
        <v>1553</v>
      </c>
      <c r="E823" s="473" t="s">
        <v>127</v>
      </c>
      <c r="F823" s="421" t="s">
        <v>1554</v>
      </c>
      <c r="G823" s="422" t="s">
        <v>80</v>
      </c>
    </row>
    <row r="824" spans="1:7" ht="14.25" hidden="1" customHeight="1">
      <c r="A824" s="471" t="s">
        <v>1555</v>
      </c>
      <c r="B824" s="469"/>
      <c r="C824" s="469"/>
      <c r="D824" s="469"/>
      <c r="E824" s="469"/>
      <c r="F824" s="469"/>
      <c r="G824" s="469"/>
    </row>
    <row r="825" spans="1:7" ht="14.25" hidden="1" customHeight="1">
      <c r="A825" s="2011" t="s">
        <v>1556</v>
      </c>
      <c r="B825" s="1601"/>
      <c r="C825" s="1801"/>
      <c r="D825" s="474" t="s">
        <v>1557</v>
      </c>
      <c r="E825" s="474" t="s">
        <v>1558</v>
      </c>
      <c r="F825" s="474" t="s">
        <v>1559</v>
      </c>
      <c r="G825" s="475"/>
    </row>
    <row r="826" spans="1:7" ht="14.25" hidden="1" customHeight="1">
      <c r="A826" s="2060" t="str">
        <f>+'LISTADO EQUIPOS'!$C$20</f>
        <v>ESTACION TOTAL DE TOPOGRAFÍA</v>
      </c>
      <c r="B826" s="1811"/>
      <c r="C826" s="1967"/>
      <c r="D826" s="476" t="s">
        <v>899</v>
      </c>
      <c r="E826" s="477">
        <v>1</v>
      </c>
      <c r="F826" s="478">
        <v>200</v>
      </c>
      <c r="G826" s="479"/>
    </row>
    <row r="827" spans="1:7" ht="14.25" hidden="1" customHeight="1">
      <c r="A827" s="2063"/>
      <c r="B827" s="1610"/>
      <c r="C827" s="1611"/>
      <c r="D827" s="480"/>
      <c r="E827" s="481"/>
      <c r="F827" s="482"/>
      <c r="G827" s="483"/>
    </row>
    <row r="828" spans="1:7" ht="14.25" hidden="1" customHeight="1">
      <c r="A828" s="2064"/>
      <c r="B828" s="1807"/>
      <c r="C828" s="1819"/>
      <c r="D828" s="484"/>
      <c r="E828" s="485"/>
      <c r="F828" s="486"/>
      <c r="G828" s="487"/>
    </row>
    <row r="829" spans="1:7" ht="14.25" hidden="1" customHeight="1">
      <c r="A829" s="2053" t="s">
        <v>1560</v>
      </c>
      <c r="B829" s="1601"/>
      <c r="C829" s="1601"/>
      <c r="D829" s="1601"/>
      <c r="E829" s="1601"/>
      <c r="F829" s="1801"/>
      <c r="G829" s="488">
        <f>SUM(F826:F828)</f>
        <v>200</v>
      </c>
    </row>
    <row r="830" spans="1:7" ht="14.25" hidden="1" customHeight="1">
      <c r="A830" s="471" t="s">
        <v>1561</v>
      </c>
      <c r="B830" s="469"/>
      <c r="C830" s="469"/>
      <c r="D830" s="469"/>
      <c r="E830" s="469"/>
      <c r="F830" s="469"/>
      <c r="G830" s="469"/>
    </row>
    <row r="831" spans="1:7" ht="14.25" hidden="1" customHeight="1">
      <c r="A831" s="2011" t="s">
        <v>1556</v>
      </c>
      <c r="B831" s="1801"/>
      <c r="C831" s="474" t="s">
        <v>6</v>
      </c>
      <c r="D831" s="474" t="s">
        <v>1562</v>
      </c>
      <c r="E831" s="474" t="s">
        <v>7</v>
      </c>
      <c r="F831" s="474" t="s">
        <v>1559</v>
      </c>
      <c r="G831" s="475"/>
    </row>
    <row r="832" spans="1:7" ht="14.25" hidden="1" customHeight="1">
      <c r="A832" s="2074" t="str">
        <f>'LISTADO MATERIALES'!$C$387</f>
        <v>LADRILLO TOLETE COMÚN</v>
      </c>
      <c r="B832" s="1888"/>
      <c r="C832" s="959" t="str">
        <f>'LISTADO MATERIALES'!$D$387</f>
        <v>UND</v>
      </c>
      <c r="D832" s="960">
        <f>'LISTADO MATERIALES'!$E$387</f>
        <v>368</v>
      </c>
      <c r="E832" s="961">
        <v>83</v>
      </c>
      <c r="F832" s="967">
        <f t="shared" ref="F832:F839" si="40">(D832*E832)</f>
        <v>30544</v>
      </c>
      <c r="G832" s="962"/>
    </row>
    <row r="833" spans="1:7" ht="16.5" hidden="1" customHeight="1">
      <c r="A833" s="2067" t="str">
        <f>'ANALISIS BASICOS'!$A$100</f>
        <v xml:space="preserve">CONCRETO NORMAL - 2500 PSI (175 KG/CM2)  </v>
      </c>
      <c r="B833" s="1611"/>
      <c r="C833" s="493" t="str">
        <f>'ANALISIS BASICOS'!$E$12</f>
        <v>M3</v>
      </c>
      <c r="D833" s="494">
        <f>'ANALISIS BASICOS'!$G$100</f>
        <v>483582</v>
      </c>
      <c r="E833" s="966">
        <v>0.105</v>
      </c>
      <c r="F833" s="496">
        <f t="shared" si="40"/>
        <v>50776.11</v>
      </c>
      <c r="G833" s="483"/>
    </row>
    <row r="834" spans="1:7" ht="14.25" hidden="1" customHeight="1">
      <c r="A834" s="2067" t="str">
        <f>'LISTADO MATERIALES'!$C$10</f>
        <v xml:space="preserve">ACERO Fy= 4200 Kg/cm2   </v>
      </c>
      <c r="B834" s="1611"/>
      <c r="C834" s="493" t="str">
        <f>'LISTADO MATERIALES'!$D$10</f>
        <v>KG</v>
      </c>
      <c r="D834" s="494">
        <f>'LISTADO MATERIALES'!$E$10</f>
        <v>2800</v>
      </c>
      <c r="E834" s="966">
        <v>7.72</v>
      </c>
      <c r="F834" s="496">
        <f t="shared" si="40"/>
        <v>21616</v>
      </c>
      <c r="G834" s="483"/>
    </row>
    <row r="835" spans="1:7" ht="14.25" hidden="1" customHeight="1">
      <c r="A835" s="2067" t="str">
        <f>'LISTADO MATERIALES'!$C$16</f>
        <v>ALAMBRE NEGRO No. 18</v>
      </c>
      <c r="B835" s="1611"/>
      <c r="C835" s="493" t="str">
        <f>'LISTADO MATERIALES'!D108</f>
        <v>ML</v>
      </c>
      <c r="D835" s="494">
        <f>'LISTADO MATERIALES'!E108</f>
        <v>5775</v>
      </c>
      <c r="E835" s="966">
        <v>0.19</v>
      </c>
      <c r="F835" s="496">
        <f t="shared" si="40"/>
        <v>1097.25</v>
      </c>
      <c r="G835" s="483"/>
    </row>
    <row r="836" spans="1:7" ht="14.25" hidden="1" customHeight="1">
      <c r="A836" s="2067" t="str">
        <f>'ANALISIS BASICOS'!$A$228</f>
        <v>MORTERO 1:4</v>
      </c>
      <c r="B836" s="1611"/>
      <c r="C836" s="493" t="str">
        <f>'ANALISIS BASICOS'!$E$204</f>
        <v>M3</v>
      </c>
      <c r="D836" s="494">
        <f>'ANALISIS BASICOS'!$G$228</f>
        <v>384656</v>
      </c>
      <c r="E836" s="966">
        <v>0.22</v>
      </c>
      <c r="F836" s="496">
        <f t="shared" si="40"/>
        <v>84624.320000000007</v>
      </c>
      <c r="G836" s="483"/>
    </row>
    <row r="837" spans="1:7" ht="14.25" hidden="1" customHeight="1">
      <c r="A837" s="2067" t="str">
        <f>'LISTADO MATERIALES'!$C$22</f>
        <v>ÁNGULO 1/8"x1"</v>
      </c>
      <c r="B837" s="1611"/>
      <c r="C837" s="493" t="str">
        <f>'LISTADO MATERIALES'!$D$22</f>
        <v>ML</v>
      </c>
      <c r="D837" s="494">
        <f>'LISTADO MATERIALES'!$E$22</f>
        <v>3486</v>
      </c>
      <c r="E837" s="966">
        <v>8</v>
      </c>
      <c r="F837" s="496">
        <f t="shared" si="40"/>
        <v>27888</v>
      </c>
      <c r="G837" s="483"/>
    </row>
    <row r="838" spans="1:7" ht="14.25" hidden="1" customHeight="1">
      <c r="A838" s="2067"/>
      <c r="B838" s="1611"/>
      <c r="C838" s="493"/>
      <c r="D838" s="494"/>
      <c r="E838" s="497"/>
      <c r="F838" s="496">
        <f t="shared" si="40"/>
        <v>0</v>
      </c>
      <c r="G838" s="483"/>
    </row>
    <row r="839" spans="1:7" ht="14.25" hidden="1" customHeight="1">
      <c r="A839" s="2065"/>
      <c r="B839" s="1819"/>
      <c r="C839" s="498"/>
      <c r="D839" s="499"/>
      <c r="E839" s="500"/>
      <c r="F839" s="486">
        <f t="shared" si="40"/>
        <v>0</v>
      </c>
      <c r="G839" s="501"/>
    </row>
    <row r="840" spans="1:7" ht="14.25" hidden="1" customHeight="1">
      <c r="A840" s="2056" t="s">
        <v>1560</v>
      </c>
      <c r="B840" s="1817"/>
      <c r="C840" s="1817"/>
      <c r="D840" s="1817"/>
      <c r="E840" s="1817"/>
      <c r="F840" s="2000"/>
      <c r="G840" s="502">
        <f>SUM(F832:F839)</f>
        <v>216545.68</v>
      </c>
    </row>
    <row r="841" spans="1:7" ht="14.25" hidden="1" customHeight="1">
      <c r="A841" s="471" t="s">
        <v>1563</v>
      </c>
      <c r="B841" s="469"/>
      <c r="C841" s="469"/>
      <c r="D841" s="469"/>
      <c r="E841" s="469"/>
      <c r="F841" s="469"/>
      <c r="G841" s="469"/>
    </row>
    <row r="842" spans="1:7" ht="14.25" hidden="1" customHeight="1">
      <c r="A842" s="2011" t="s">
        <v>1556</v>
      </c>
      <c r="B842" s="1801"/>
      <c r="C842" s="474" t="s">
        <v>6</v>
      </c>
      <c r="D842" s="474" t="s">
        <v>1562</v>
      </c>
      <c r="E842" s="474" t="s">
        <v>7</v>
      </c>
      <c r="F842" s="474" t="s">
        <v>1559</v>
      </c>
      <c r="G842" s="503"/>
    </row>
    <row r="843" spans="1:7" ht="14.25" hidden="1" customHeight="1">
      <c r="A843" s="2060"/>
      <c r="B843" s="1967"/>
      <c r="C843" s="504"/>
      <c r="D843" s="478"/>
      <c r="E843" s="505"/>
      <c r="F843" s="482"/>
      <c r="G843" s="479"/>
    </row>
    <row r="844" spans="1:7" ht="14.25" hidden="1" customHeight="1">
      <c r="A844" s="2052"/>
      <c r="B844" s="1819"/>
      <c r="C844" s="504"/>
      <c r="D844" s="506"/>
      <c r="E844" s="507"/>
      <c r="F844" s="506"/>
      <c r="G844" s="508"/>
    </row>
    <row r="845" spans="1:7" ht="14.25" hidden="1" customHeight="1">
      <c r="A845" s="2053" t="s">
        <v>1560</v>
      </c>
      <c r="B845" s="1601"/>
      <c r="C845" s="1601"/>
      <c r="D845" s="1601"/>
      <c r="E845" s="1601"/>
      <c r="F845" s="1801"/>
      <c r="G845" s="488"/>
    </row>
    <row r="846" spans="1:7" ht="14.25" hidden="1" customHeight="1">
      <c r="A846" s="471" t="s">
        <v>1564</v>
      </c>
      <c r="B846" s="469"/>
      <c r="C846" s="469"/>
      <c r="D846" s="469"/>
      <c r="E846" s="469"/>
      <c r="F846" s="469"/>
      <c r="G846" s="469"/>
    </row>
    <row r="847" spans="1:7" ht="14.25" hidden="1" customHeight="1">
      <c r="A847" s="2054" t="s">
        <v>1565</v>
      </c>
      <c r="B847" s="1932"/>
      <c r="C847" s="509" t="s">
        <v>1566</v>
      </c>
      <c r="D847" s="509" t="s">
        <v>6</v>
      </c>
      <c r="E847" s="509" t="s">
        <v>7</v>
      </c>
      <c r="F847" s="509" t="s">
        <v>1559</v>
      </c>
      <c r="G847" s="503"/>
    </row>
    <row r="848" spans="1:7" ht="14.25" hidden="1" customHeight="1">
      <c r="A848" s="2055" t="s">
        <v>1574</v>
      </c>
      <c r="B848" s="1967"/>
      <c r="C848" s="510">
        <f>+'MANO DE OBRA'!$E$64</f>
        <v>15031.25</v>
      </c>
      <c r="D848" s="511" t="s">
        <v>1575</v>
      </c>
      <c r="E848" s="511">
        <v>0.20152077546296299</v>
      </c>
      <c r="F848" s="512">
        <f t="shared" ref="F848:F849" si="41">C848/E848</f>
        <v>74589.083758079112</v>
      </c>
      <c r="G848" s="479"/>
    </row>
    <row r="849" spans="1:7" ht="14.25" hidden="1" customHeight="1">
      <c r="A849" s="513" t="s">
        <v>1576</v>
      </c>
      <c r="B849" s="514"/>
      <c r="C849" s="515">
        <f>+'MANO DE OBRA'!$E$65</f>
        <v>10972.8125</v>
      </c>
      <c r="D849" s="516" t="s">
        <v>1575</v>
      </c>
      <c r="E849" s="516">
        <f>E848</f>
        <v>0.20152077546296299</v>
      </c>
      <c r="F849" s="517">
        <f t="shared" si="41"/>
        <v>54450.031143397748</v>
      </c>
      <c r="G849" s="501"/>
    </row>
    <row r="850" spans="1:7" ht="14.25" hidden="1" customHeight="1">
      <c r="A850" s="2056" t="str">
        <f>+A845</f>
        <v>SUB-TOTAL</v>
      </c>
      <c r="B850" s="1817"/>
      <c r="C850" s="1817"/>
      <c r="D850" s="1817"/>
      <c r="E850" s="1817"/>
      <c r="F850" s="2000"/>
      <c r="G850" s="518">
        <f>SUM(F848:F849)</f>
        <v>129039.11490147686</v>
      </c>
    </row>
    <row r="851" spans="1:7" ht="14.25" hidden="1" customHeight="1">
      <c r="A851" s="469"/>
      <c r="B851" s="469"/>
      <c r="C851" s="469"/>
      <c r="D851" s="469"/>
      <c r="E851" s="469"/>
      <c r="F851" s="519"/>
      <c r="G851" s="469"/>
    </row>
    <row r="852" spans="1:7" ht="14.25" hidden="1" customHeight="1">
      <c r="A852" s="2053" t="s">
        <v>1567</v>
      </c>
      <c r="B852" s="1601"/>
      <c r="C852" s="1601"/>
      <c r="D852" s="1601"/>
      <c r="E852" s="1601"/>
      <c r="F852" s="1801"/>
      <c r="G852" s="520">
        <f>ROUND(G829+G840+G845+G850,0)</f>
        <v>345785</v>
      </c>
    </row>
    <row r="853" spans="1:7" ht="14.25" hidden="1" customHeight="1"/>
    <row r="854" spans="1:7" ht="14.25" hidden="1" customHeight="1">
      <c r="A854" s="468"/>
      <c r="B854" s="468"/>
      <c r="C854" s="468"/>
      <c r="D854" s="468"/>
      <c r="E854" s="468"/>
      <c r="F854" s="468"/>
      <c r="G854" s="468"/>
    </row>
    <row r="855" spans="1:7" ht="24.75" hidden="1" customHeight="1">
      <c r="A855" s="2054" t="s">
        <v>1604</v>
      </c>
      <c r="B855" s="1616"/>
      <c r="C855" s="1624"/>
      <c r="D855" s="879"/>
      <c r="E855" s="879"/>
      <c r="F855" s="879"/>
      <c r="G855" s="880"/>
    </row>
    <row r="856" spans="1:7" ht="27.75" hidden="1" customHeight="1">
      <c r="A856" s="1971"/>
      <c r="B856" s="1817"/>
      <c r="C856" s="1972"/>
      <c r="D856" s="881"/>
      <c r="E856" s="881"/>
      <c r="F856" s="881"/>
      <c r="G856" s="882"/>
    </row>
    <row r="857" spans="1:7" ht="14.25" hidden="1" customHeight="1">
      <c r="A857" s="469"/>
      <c r="B857" s="469"/>
      <c r="C857" s="469"/>
      <c r="D857" s="469"/>
      <c r="E857" s="469"/>
      <c r="F857" s="469"/>
      <c r="G857" s="469"/>
    </row>
    <row r="858" spans="1:7" ht="27.75" hidden="1" customHeight="1">
      <c r="A858" s="2061" t="str">
        <f>A5</f>
        <v>PRECIOS UNITARIOS OFICIALES 2014</v>
      </c>
      <c r="B858" s="1601"/>
      <c r="C858" s="1602"/>
      <c r="D858" s="2062" t="s">
        <v>2037</v>
      </c>
      <c r="E858" s="1601"/>
      <c r="F858" s="1601"/>
      <c r="G858" s="1602"/>
    </row>
    <row r="859" spans="1:7" ht="14.25" hidden="1" customHeight="1">
      <c r="A859" s="470"/>
      <c r="B859" s="470"/>
      <c r="C859" s="470"/>
      <c r="D859" s="470"/>
      <c r="E859" s="470"/>
      <c r="F859" s="470"/>
      <c r="G859" s="470"/>
    </row>
    <row r="860" spans="1:7" ht="14.25" hidden="1" customHeight="1">
      <c r="A860" s="471"/>
      <c r="B860" s="469"/>
      <c r="C860" s="469"/>
      <c r="D860" s="472" t="s">
        <v>1553</v>
      </c>
      <c r="E860" s="473" t="s">
        <v>127</v>
      </c>
      <c r="F860" s="883"/>
      <c r="G860" s="883"/>
    </row>
    <row r="861" spans="1:7" ht="14.25" hidden="1" customHeight="1">
      <c r="A861" s="471" t="s">
        <v>1555</v>
      </c>
      <c r="B861" s="469"/>
      <c r="C861" s="469"/>
      <c r="D861" s="469"/>
      <c r="E861" s="469"/>
      <c r="F861" s="469"/>
      <c r="G861" s="469"/>
    </row>
    <row r="862" spans="1:7" ht="14.25" hidden="1" customHeight="1">
      <c r="A862" s="2011" t="s">
        <v>1556</v>
      </c>
      <c r="B862" s="1601"/>
      <c r="C862" s="1801"/>
      <c r="D862" s="474" t="s">
        <v>1557</v>
      </c>
      <c r="E862" s="474" t="s">
        <v>1558</v>
      </c>
      <c r="F862" s="474" t="s">
        <v>1559</v>
      </c>
      <c r="G862" s="475"/>
    </row>
    <row r="863" spans="1:7" ht="14.25" hidden="1" customHeight="1">
      <c r="A863" s="2060" t="s">
        <v>209</v>
      </c>
      <c r="B863" s="1811"/>
      <c r="C863" s="1967"/>
      <c r="D863" s="476" t="s">
        <v>899</v>
      </c>
      <c r="E863" s="477">
        <v>1</v>
      </c>
      <c r="F863" s="478">
        <v>200</v>
      </c>
      <c r="G863" s="479"/>
    </row>
    <row r="864" spans="1:7" ht="14.25" hidden="1" customHeight="1">
      <c r="A864" s="2063"/>
      <c r="B864" s="1610"/>
      <c r="C864" s="1611"/>
      <c r="D864" s="480"/>
      <c r="E864" s="481"/>
      <c r="F864" s="482"/>
      <c r="G864" s="483"/>
    </row>
    <row r="865" spans="1:7" ht="14.25" hidden="1" customHeight="1">
      <c r="A865" s="2064"/>
      <c r="B865" s="1807"/>
      <c r="C865" s="1819"/>
      <c r="D865" s="484"/>
      <c r="E865" s="485"/>
      <c r="F865" s="486"/>
      <c r="G865" s="487"/>
    </row>
    <row r="866" spans="1:7" ht="14.25" hidden="1" customHeight="1">
      <c r="A866" s="2053" t="s">
        <v>1560</v>
      </c>
      <c r="B866" s="1601"/>
      <c r="C866" s="1601"/>
      <c r="D866" s="1601"/>
      <c r="E866" s="1601"/>
      <c r="F866" s="1801"/>
      <c r="G866" s="488">
        <f>SUM(F863:F865)</f>
        <v>200</v>
      </c>
    </row>
    <row r="867" spans="1:7" ht="14.25" hidden="1" customHeight="1">
      <c r="A867" s="471" t="s">
        <v>1561</v>
      </c>
      <c r="B867" s="469"/>
      <c r="C867" s="469"/>
      <c r="D867" s="469"/>
      <c r="E867" s="469"/>
      <c r="F867" s="469"/>
      <c r="G867" s="469"/>
    </row>
    <row r="868" spans="1:7" ht="14.25" hidden="1" customHeight="1">
      <c r="A868" s="2054" t="s">
        <v>1556</v>
      </c>
      <c r="B868" s="1624"/>
      <c r="C868" s="886" t="s">
        <v>6</v>
      </c>
      <c r="D868" s="917" t="s">
        <v>1562</v>
      </c>
      <c r="E868" s="886" t="s">
        <v>7</v>
      </c>
      <c r="F868" s="886" t="s">
        <v>1559</v>
      </c>
      <c r="G868" s="880"/>
    </row>
    <row r="869" spans="1:7" ht="14.25" hidden="1" customHeight="1">
      <c r="A869" s="2067" t="str">
        <f>'LISTADO MATERIALES'!$C$662</f>
        <v>REGISTRO DE BOLA ½"</v>
      </c>
      <c r="B869" s="1611"/>
      <c r="C869" s="493" t="str">
        <f>'LISTADO MATERIALES'!$D$662</f>
        <v>UND</v>
      </c>
      <c r="D869" s="494">
        <f>'LISTADO MATERIALES'!$E$662</f>
        <v>12600</v>
      </c>
      <c r="E869" s="491">
        <v>1</v>
      </c>
      <c r="F869" s="492">
        <f t="shared" ref="F869:F876" si="42">(D869*E869)</f>
        <v>12600</v>
      </c>
      <c r="G869" s="479"/>
    </row>
    <row r="870" spans="1:7" ht="14.25" hidden="1" customHeight="1">
      <c r="A870" s="2067" t="str">
        <f>'LISTADO MATERIALES'!$C$706</f>
        <v>UNIVERSAL PVC 1/2"</v>
      </c>
      <c r="B870" s="1611"/>
      <c r="C870" s="493" t="str">
        <f>'LISTADO MATERIALES'!$D$706</f>
        <v>UND</v>
      </c>
      <c r="D870" s="494">
        <f>'LISTADO MATERIALES'!$E$706</f>
        <v>4725</v>
      </c>
      <c r="E870" s="961">
        <v>1</v>
      </c>
      <c r="F870" s="496">
        <f t="shared" si="42"/>
        <v>4725</v>
      </c>
      <c r="G870" s="962"/>
    </row>
    <row r="871" spans="1:7" ht="14.25" hidden="1" customHeight="1">
      <c r="A871" s="2067" t="str">
        <f>'LISTADO MATERIALES'!$C$498</f>
        <v>SELLADOR ETERNA</v>
      </c>
      <c r="B871" s="1611"/>
      <c r="C871" s="493" t="str">
        <f>'LISTADO MATERIALES'!$D$498</f>
        <v>GAL</v>
      </c>
      <c r="D871" s="494">
        <f>'LISTADO MATERIALES'!$E$498</f>
        <v>29400</v>
      </c>
      <c r="E871" s="961">
        <v>7.0000000000000007E-2</v>
      </c>
      <c r="F871" s="496">
        <f t="shared" si="42"/>
        <v>2058</v>
      </c>
      <c r="G871" s="962"/>
    </row>
    <row r="872" spans="1:7" ht="14.25" hidden="1" customHeight="1">
      <c r="A872" s="2067"/>
      <c r="B872" s="1611"/>
      <c r="C872" s="493"/>
      <c r="D872" s="494"/>
      <c r="E872" s="961"/>
      <c r="F872" s="496">
        <f t="shared" si="42"/>
        <v>0</v>
      </c>
      <c r="G872" s="962"/>
    </row>
    <row r="873" spans="1:7" ht="14.25" hidden="1" customHeight="1">
      <c r="A873" s="2067"/>
      <c r="B873" s="1611"/>
      <c r="C873" s="493"/>
      <c r="D873" s="494"/>
      <c r="E873" s="961"/>
      <c r="F873" s="496">
        <f t="shared" si="42"/>
        <v>0</v>
      </c>
      <c r="G873" s="962"/>
    </row>
    <row r="874" spans="1:7" ht="14.25" hidden="1" customHeight="1">
      <c r="A874" s="2067"/>
      <c r="B874" s="1611"/>
      <c r="C874" s="493"/>
      <c r="D874" s="494"/>
      <c r="E874" s="961"/>
      <c r="F874" s="496">
        <f t="shared" si="42"/>
        <v>0</v>
      </c>
      <c r="G874" s="962"/>
    </row>
    <row r="875" spans="1:7" ht="14.25" hidden="1" customHeight="1">
      <c r="A875" s="2067"/>
      <c r="B875" s="1611"/>
      <c r="C875" s="493"/>
      <c r="D875" s="494"/>
      <c r="E875" s="497"/>
      <c r="F875" s="496">
        <f t="shared" si="42"/>
        <v>0</v>
      </c>
      <c r="G875" s="483"/>
    </row>
    <row r="876" spans="1:7" ht="14.25" hidden="1" customHeight="1">
      <c r="A876" s="2057"/>
      <c r="B876" s="1611"/>
      <c r="C876" s="493"/>
      <c r="D876" s="494"/>
      <c r="E876" s="965"/>
      <c r="F876" s="496">
        <f t="shared" si="42"/>
        <v>0</v>
      </c>
      <c r="G876" s="483"/>
    </row>
    <row r="877" spans="1:7" ht="14.25" hidden="1" customHeight="1">
      <c r="A877" s="2056" t="s">
        <v>1560</v>
      </c>
      <c r="B877" s="1817"/>
      <c r="C877" s="1817"/>
      <c r="D877" s="1817"/>
      <c r="E877" s="1817"/>
      <c r="F877" s="2000"/>
      <c r="G877" s="502">
        <f>SUM(F869:F876)</f>
        <v>19383</v>
      </c>
    </row>
    <row r="878" spans="1:7" ht="14.25" hidden="1" customHeight="1">
      <c r="A878" s="471" t="s">
        <v>1563</v>
      </c>
      <c r="B878" s="469"/>
      <c r="C878" s="469"/>
      <c r="D878" s="469"/>
      <c r="E878" s="469"/>
      <c r="F878" s="469"/>
      <c r="G878" s="469"/>
    </row>
    <row r="879" spans="1:7" ht="14.25" hidden="1" customHeight="1">
      <c r="A879" s="2011" t="s">
        <v>1556</v>
      </c>
      <c r="B879" s="1801"/>
      <c r="C879" s="474" t="s">
        <v>6</v>
      </c>
      <c r="D879" s="474" t="s">
        <v>1562</v>
      </c>
      <c r="E879" s="474" t="s">
        <v>7</v>
      </c>
      <c r="F879" s="474" t="s">
        <v>1559</v>
      </c>
      <c r="G879" s="503"/>
    </row>
    <row r="880" spans="1:7" ht="14.25" hidden="1" customHeight="1">
      <c r="A880" s="2060"/>
      <c r="B880" s="1967"/>
      <c r="C880" s="504"/>
      <c r="D880" s="478"/>
      <c r="E880" s="505"/>
      <c r="F880" s="482"/>
      <c r="G880" s="479"/>
    </row>
    <row r="881" spans="1:7" ht="14.25" hidden="1" customHeight="1">
      <c r="A881" s="2052"/>
      <c r="B881" s="1819"/>
      <c r="C881" s="504"/>
      <c r="D881" s="506"/>
      <c r="E881" s="507"/>
      <c r="F881" s="506"/>
      <c r="G881" s="508"/>
    </row>
    <row r="882" spans="1:7" ht="14.25" hidden="1" customHeight="1">
      <c r="A882" s="2053" t="s">
        <v>1560</v>
      </c>
      <c r="B882" s="1601"/>
      <c r="C882" s="1601"/>
      <c r="D882" s="1601"/>
      <c r="E882" s="1601"/>
      <c r="F882" s="1801"/>
      <c r="G882" s="488"/>
    </row>
    <row r="883" spans="1:7" ht="14.25" hidden="1" customHeight="1">
      <c r="A883" s="471" t="s">
        <v>1564</v>
      </c>
      <c r="B883" s="469"/>
      <c r="C883" s="469"/>
      <c r="D883" s="469"/>
      <c r="E883" s="469"/>
      <c r="F883" s="469"/>
      <c r="G883" s="469"/>
    </row>
    <row r="884" spans="1:7" ht="14.25" hidden="1" customHeight="1">
      <c r="A884" s="2054" t="s">
        <v>1565</v>
      </c>
      <c r="B884" s="1932"/>
      <c r="C884" s="509" t="s">
        <v>1566</v>
      </c>
      <c r="D884" s="509" t="s">
        <v>6</v>
      </c>
      <c r="E884" s="509" t="s">
        <v>7</v>
      </c>
      <c r="F884" s="509" t="s">
        <v>1559</v>
      </c>
      <c r="G884" s="503"/>
    </row>
    <row r="885" spans="1:7" ht="14.25" hidden="1" customHeight="1">
      <c r="A885" s="2055" t="s">
        <v>1574</v>
      </c>
      <c r="B885" s="1967"/>
      <c r="C885" s="510">
        <v>7410.96</v>
      </c>
      <c r="D885" s="511" t="s">
        <v>1575</v>
      </c>
      <c r="E885" s="511">
        <v>0.7</v>
      </c>
      <c r="F885" s="512">
        <f t="shared" ref="F885:F886" si="43">C885/E885</f>
        <v>10587.085714285715</v>
      </c>
      <c r="G885" s="479"/>
    </row>
    <row r="886" spans="1:7" ht="14.25" hidden="1" customHeight="1">
      <c r="A886" s="513" t="s">
        <v>1576</v>
      </c>
      <c r="B886" s="514"/>
      <c r="C886" s="515">
        <v>4550.79</v>
      </c>
      <c r="D886" s="516" t="s">
        <v>1575</v>
      </c>
      <c r="E886" s="516">
        <f>E885</f>
        <v>0.7</v>
      </c>
      <c r="F886" s="517">
        <f t="shared" si="43"/>
        <v>6501.1285714285714</v>
      </c>
      <c r="G886" s="501"/>
    </row>
    <row r="887" spans="1:7" ht="14.25" hidden="1" customHeight="1">
      <c r="A887" s="2056" t="str">
        <f>+A882</f>
        <v>SUB-TOTAL</v>
      </c>
      <c r="B887" s="1817"/>
      <c r="C887" s="1817"/>
      <c r="D887" s="1817"/>
      <c r="E887" s="1817"/>
      <c r="F887" s="2000"/>
      <c r="G887" s="518">
        <f>SUM(F885:F886)</f>
        <v>17088.214285714286</v>
      </c>
    </row>
    <row r="888" spans="1:7" ht="14.25" hidden="1" customHeight="1">
      <c r="A888" s="469"/>
      <c r="B888" s="469"/>
      <c r="C888" s="469"/>
      <c r="D888" s="469"/>
      <c r="E888" s="469"/>
      <c r="F888" s="519"/>
      <c r="G888" s="469"/>
    </row>
    <row r="889" spans="1:7" ht="14.25" hidden="1" customHeight="1">
      <c r="A889" s="2053" t="s">
        <v>1567</v>
      </c>
      <c r="B889" s="1601"/>
      <c r="C889" s="1601"/>
      <c r="D889" s="1601"/>
      <c r="E889" s="1601"/>
      <c r="F889" s="1801"/>
      <c r="G889" s="520">
        <f>ROUND(G866+G877+G882+G887,0)</f>
        <v>36671</v>
      </c>
    </row>
    <row r="890" spans="1:7" ht="14.25" hidden="1" customHeight="1">
      <c r="A890" s="468"/>
      <c r="B890" s="468"/>
      <c r="C890" s="468"/>
      <c r="D890" s="468"/>
      <c r="E890" s="468"/>
      <c r="F890" s="468"/>
      <c r="G890" s="468"/>
    </row>
    <row r="891" spans="1:7" ht="14.25" hidden="1" customHeight="1">
      <c r="A891" s="468"/>
      <c r="B891" s="468"/>
      <c r="C891" s="468"/>
      <c r="D891" s="468"/>
      <c r="E891" s="468"/>
      <c r="F891" s="468"/>
      <c r="G891" s="468"/>
    </row>
    <row r="892" spans="1:7" ht="26.25" hidden="1" customHeight="1">
      <c r="A892" s="2054" t="s">
        <v>1604</v>
      </c>
      <c r="B892" s="1616"/>
      <c r="C892" s="1624"/>
      <c r="D892" s="879"/>
      <c r="E892" s="879"/>
      <c r="F892" s="879"/>
      <c r="G892" s="880"/>
    </row>
    <row r="893" spans="1:7" ht="30.75" hidden="1" customHeight="1">
      <c r="A893" s="1971"/>
      <c r="B893" s="1817"/>
      <c r="C893" s="1972"/>
      <c r="D893" s="881"/>
      <c r="E893" s="881"/>
      <c r="F893" s="881"/>
      <c r="G893" s="882"/>
    </row>
    <row r="894" spans="1:7" ht="14.25" hidden="1" customHeight="1">
      <c r="A894" s="469"/>
      <c r="B894" s="469"/>
      <c r="C894" s="469"/>
      <c r="D894" s="469"/>
      <c r="E894" s="469"/>
      <c r="F894" s="469"/>
      <c r="G894" s="469"/>
    </row>
    <row r="895" spans="1:7" ht="53.25" hidden="1" customHeight="1">
      <c r="A895" s="2061" t="str">
        <f>A5</f>
        <v>PRECIOS UNITARIOS OFICIALES 2014</v>
      </c>
      <c r="B895" s="1601"/>
      <c r="C895" s="1602"/>
      <c r="D895" s="2062" t="s">
        <v>2038</v>
      </c>
      <c r="E895" s="1601"/>
      <c r="F895" s="1601"/>
      <c r="G895" s="1602"/>
    </row>
    <row r="897" spans="1:7" ht="14.25" hidden="1" customHeight="1">
      <c r="A897" s="471"/>
      <c r="B897" s="469"/>
      <c r="C897" s="469"/>
      <c r="D897" s="472" t="s">
        <v>1553</v>
      </c>
      <c r="E897" s="473" t="s">
        <v>127</v>
      </c>
      <c r="F897" s="883"/>
      <c r="G897" s="883"/>
    </row>
    <row r="898" spans="1:7" ht="14.25" hidden="1" customHeight="1">
      <c r="A898" s="471" t="s">
        <v>1555</v>
      </c>
      <c r="B898" s="469"/>
      <c r="C898" s="469"/>
      <c r="D898" s="469"/>
      <c r="E898" s="469"/>
      <c r="F898" s="469"/>
      <c r="G898" s="469"/>
    </row>
    <row r="899" spans="1:7" ht="14.25" hidden="1" customHeight="1">
      <c r="A899" s="2011" t="s">
        <v>1556</v>
      </c>
      <c r="B899" s="1601"/>
      <c r="C899" s="1801"/>
      <c r="D899" s="474" t="s">
        <v>1557</v>
      </c>
      <c r="E899" s="474" t="s">
        <v>1558</v>
      </c>
      <c r="F899" s="474" t="s">
        <v>1559</v>
      </c>
      <c r="G899" s="475"/>
    </row>
    <row r="900" spans="1:7" ht="14.25" hidden="1" customHeight="1">
      <c r="A900" s="2060" t="s">
        <v>209</v>
      </c>
      <c r="B900" s="1811"/>
      <c r="C900" s="1967"/>
      <c r="D900" s="476" t="s">
        <v>899</v>
      </c>
      <c r="E900" s="477">
        <v>1</v>
      </c>
      <c r="F900" s="478">
        <v>379</v>
      </c>
      <c r="G900" s="479"/>
    </row>
    <row r="901" spans="1:7" ht="14.25" hidden="1" customHeight="1">
      <c r="A901" s="2063"/>
      <c r="B901" s="1610"/>
      <c r="C901" s="1611"/>
      <c r="D901" s="480"/>
      <c r="E901" s="481"/>
      <c r="F901" s="482"/>
      <c r="G901" s="483"/>
    </row>
    <row r="902" spans="1:7" ht="14.25" hidden="1" customHeight="1">
      <c r="A902" s="2064"/>
      <c r="B902" s="1807"/>
      <c r="C902" s="1819"/>
      <c r="D902" s="484"/>
      <c r="E902" s="485"/>
      <c r="F902" s="486"/>
      <c r="G902" s="487"/>
    </row>
    <row r="903" spans="1:7" ht="14.25" hidden="1" customHeight="1">
      <c r="A903" s="2053" t="s">
        <v>1560</v>
      </c>
      <c r="B903" s="1601"/>
      <c r="C903" s="1601"/>
      <c r="D903" s="1601"/>
      <c r="E903" s="1601"/>
      <c r="F903" s="1801"/>
      <c r="G903" s="488">
        <f>SUM(F900:F902)</f>
        <v>379</v>
      </c>
    </row>
    <row r="904" spans="1:7" ht="14.25" hidden="1" customHeight="1">
      <c r="A904" s="471" t="s">
        <v>1561</v>
      </c>
      <c r="B904" s="469"/>
      <c r="C904" s="469"/>
      <c r="D904" s="469"/>
      <c r="E904" s="469"/>
      <c r="F904" s="469"/>
      <c r="G904" s="469"/>
    </row>
    <row r="905" spans="1:7" ht="14.25" hidden="1" customHeight="1">
      <c r="A905" s="2054" t="s">
        <v>1556</v>
      </c>
      <c r="B905" s="1624"/>
      <c r="C905" s="886" t="s">
        <v>6</v>
      </c>
      <c r="D905" s="917" t="s">
        <v>1562</v>
      </c>
      <c r="E905" s="886" t="s">
        <v>7</v>
      </c>
      <c r="F905" s="886" t="s">
        <v>1559</v>
      </c>
      <c r="G905" s="880"/>
    </row>
    <row r="906" spans="1:7" ht="22.5" hidden="1" customHeight="1">
      <c r="A906" s="2067" t="str">
        <f>'LISTADO MATERIALES'!$C$361</f>
        <v>TANQUE 500 LTS, INCLUYE ACCESORIOS</v>
      </c>
      <c r="B906" s="1611"/>
      <c r="C906" s="493" t="str">
        <f>'LISTADO MATERIALES'!$D$360</f>
        <v>UND</v>
      </c>
      <c r="D906" s="494">
        <f>'LISTADO MATERIALES'!$E$361</f>
        <v>152250</v>
      </c>
      <c r="E906" s="491">
        <v>1</v>
      </c>
      <c r="F906" s="492">
        <f>(D906*E906)</f>
        <v>152250</v>
      </c>
      <c r="G906" s="479"/>
    </row>
    <row r="907" spans="1:7" ht="14.25" hidden="1" customHeight="1">
      <c r="A907" s="2067"/>
      <c r="B907" s="1611"/>
      <c r="C907" s="493"/>
      <c r="D907" s="494"/>
      <c r="E907" s="497"/>
      <c r="F907" s="496"/>
      <c r="G907" s="483"/>
    </row>
    <row r="908" spans="1:7" ht="14.25" hidden="1" customHeight="1">
      <c r="A908" s="2058"/>
      <c r="B908" s="1611"/>
      <c r="C908" s="921"/>
      <c r="D908" s="922"/>
      <c r="E908" s="953"/>
      <c r="F908" s="482"/>
      <c r="G908" s="483"/>
    </row>
    <row r="909" spans="1:7" ht="14.25" hidden="1" customHeight="1">
      <c r="A909" s="2056" t="s">
        <v>1560</v>
      </c>
      <c r="B909" s="1817"/>
      <c r="C909" s="1817"/>
      <c r="D909" s="1817"/>
      <c r="E909" s="1817"/>
      <c r="F909" s="2000"/>
      <c r="G909" s="502">
        <f>SUM(F906:F908)</f>
        <v>152250</v>
      </c>
    </row>
    <row r="910" spans="1:7" ht="14.25" hidden="1" customHeight="1">
      <c r="A910" s="471" t="s">
        <v>1563</v>
      </c>
      <c r="B910" s="469"/>
      <c r="C910" s="469"/>
      <c r="D910" s="469"/>
      <c r="E910" s="469"/>
      <c r="F910" s="469"/>
      <c r="G910" s="469"/>
    </row>
    <row r="911" spans="1:7" ht="14.25" hidden="1" customHeight="1">
      <c r="A911" s="2011" t="s">
        <v>1556</v>
      </c>
      <c r="B911" s="1801"/>
      <c r="C911" s="474" t="s">
        <v>6</v>
      </c>
      <c r="D911" s="474" t="s">
        <v>1562</v>
      </c>
      <c r="E911" s="474" t="s">
        <v>7</v>
      </c>
      <c r="F911" s="474" t="s">
        <v>1559</v>
      </c>
      <c r="G911" s="503"/>
    </row>
    <row r="912" spans="1:7" ht="14.25" hidden="1" customHeight="1">
      <c r="A912" s="2060"/>
      <c r="B912" s="1967"/>
      <c r="C912" s="504"/>
      <c r="D912" s="478"/>
      <c r="E912" s="505"/>
      <c r="F912" s="482"/>
      <c r="G912" s="479"/>
    </row>
    <row r="913" spans="1:7" ht="14.25" hidden="1" customHeight="1">
      <c r="A913" s="2052"/>
      <c r="B913" s="1819"/>
      <c r="C913" s="504"/>
      <c r="D913" s="506"/>
      <c r="E913" s="507"/>
      <c r="F913" s="506"/>
      <c r="G913" s="508"/>
    </row>
    <row r="914" spans="1:7" ht="14.25" hidden="1" customHeight="1">
      <c r="A914" s="2053" t="s">
        <v>1560</v>
      </c>
      <c r="B914" s="1601"/>
      <c r="C914" s="1601"/>
      <c r="D914" s="1601"/>
      <c r="E914" s="1601"/>
      <c r="F914" s="1801"/>
      <c r="G914" s="488"/>
    </row>
    <row r="915" spans="1:7" ht="14.25" hidden="1" customHeight="1">
      <c r="A915" s="471" t="s">
        <v>1564</v>
      </c>
      <c r="B915" s="469"/>
      <c r="C915" s="469"/>
      <c r="D915" s="469"/>
      <c r="E915" s="469"/>
      <c r="F915" s="469"/>
      <c r="G915" s="469"/>
    </row>
    <row r="916" spans="1:7" ht="14.25" hidden="1" customHeight="1">
      <c r="A916" s="2054" t="s">
        <v>1565</v>
      </c>
      <c r="B916" s="1932"/>
      <c r="C916" s="509" t="s">
        <v>1566</v>
      </c>
      <c r="D916" s="509" t="s">
        <v>6</v>
      </c>
      <c r="E916" s="509" t="s">
        <v>7</v>
      </c>
      <c r="F916" s="509" t="s">
        <v>1559</v>
      </c>
      <c r="G916" s="503"/>
    </row>
    <row r="917" spans="1:7" ht="14.25" hidden="1" customHeight="1">
      <c r="A917" s="2055" t="s">
        <v>1574</v>
      </c>
      <c r="B917" s="1967"/>
      <c r="C917" s="510">
        <v>7410.96</v>
      </c>
      <c r="D917" s="511" t="s">
        <v>1575</v>
      </c>
      <c r="E917" s="511">
        <v>0.6</v>
      </c>
      <c r="F917" s="512">
        <f t="shared" ref="F917:F918" si="44">C917/E917</f>
        <v>12351.6</v>
      </c>
      <c r="G917" s="479"/>
    </row>
    <row r="918" spans="1:7" ht="14.25" hidden="1" customHeight="1">
      <c r="A918" s="513" t="s">
        <v>1576</v>
      </c>
      <c r="B918" s="514"/>
      <c r="C918" s="515">
        <v>4550.79</v>
      </c>
      <c r="D918" s="516" t="s">
        <v>1575</v>
      </c>
      <c r="E918" s="516">
        <f>E917</f>
        <v>0.6</v>
      </c>
      <c r="F918" s="957">
        <f t="shared" si="44"/>
        <v>7584.6500000000005</v>
      </c>
      <c r="G918" s="501"/>
    </row>
    <row r="919" spans="1:7" ht="14.25" hidden="1" customHeight="1">
      <c r="A919" s="2056" t="str">
        <f>+A914</f>
        <v>SUB-TOTAL</v>
      </c>
      <c r="B919" s="1817"/>
      <c r="C919" s="1817"/>
      <c r="D919" s="1817"/>
      <c r="E919" s="1817"/>
      <c r="F919" s="2000"/>
      <c r="G919" s="518">
        <f>SUM(F917:F918)</f>
        <v>19936.25</v>
      </c>
    </row>
    <row r="920" spans="1:7" ht="14.25" hidden="1" customHeight="1">
      <c r="A920" s="469"/>
      <c r="B920" s="469"/>
      <c r="C920" s="469"/>
      <c r="D920" s="469"/>
      <c r="E920" s="469"/>
      <c r="F920" s="519"/>
      <c r="G920" s="469"/>
    </row>
    <row r="921" spans="1:7" ht="14.25" hidden="1" customHeight="1">
      <c r="A921" s="2053" t="s">
        <v>1567</v>
      </c>
      <c r="B921" s="1601"/>
      <c r="C921" s="1601"/>
      <c r="D921" s="1601"/>
      <c r="E921" s="1601"/>
      <c r="F921" s="1801"/>
      <c r="G921" s="520">
        <f>ROUND(G903+G909+G914+G919,0)</f>
        <v>172565</v>
      </c>
    </row>
    <row r="922" spans="1:7" ht="14.25" hidden="1" customHeight="1">
      <c r="A922" s="468"/>
      <c r="B922" s="468"/>
      <c r="C922" s="468"/>
      <c r="D922" s="468"/>
      <c r="E922" s="468"/>
      <c r="F922" s="468"/>
      <c r="G922" s="468"/>
    </row>
    <row r="923" spans="1:7" ht="14.25" hidden="1" customHeight="1">
      <c r="A923" s="468"/>
      <c r="B923" s="468"/>
      <c r="C923" s="468"/>
      <c r="D923" s="468"/>
      <c r="E923" s="468"/>
      <c r="F923" s="468"/>
      <c r="G923" s="468"/>
    </row>
    <row r="924" spans="1:7" ht="25.5" hidden="1" customHeight="1">
      <c r="A924" s="2054" t="s">
        <v>1604</v>
      </c>
      <c r="B924" s="1616"/>
      <c r="C924" s="1624"/>
      <c r="D924" s="879"/>
      <c r="E924" s="879"/>
      <c r="F924" s="879"/>
      <c r="G924" s="880"/>
    </row>
    <row r="925" spans="1:7" ht="27.75" hidden="1" customHeight="1">
      <c r="A925" s="1971"/>
      <c r="B925" s="1817"/>
      <c r="C925" s="1972"/>
      <c r="D925" s="881"/>
      <c r="E925" s="881"/>
      <c r="F925" s="881"/>
      <c r="G925" s="882"/>
    </row>
    <row r="926" spans="1:7" ht="14.25" hidden="1" customHeight="1">
      <c r="A926" s="469"/>
      <c r="B926" s="469"/>
      <c r="C926" s="469"/>
      <c r="D926" s="469"/>
      <c r="E926" s="469"/>
      <c r="F926" s="469"/>
      <c r="G926" s="469"/>
    </row>
    <row r="927" spans="1:7" ht="34.5" hidden="1" customHeight="1">
      <c r="A927" s="2061" t="str">
        <f>A5</f>
        <v>PRECIOS UNITARIOS OFICIALES 2014</v>
      </c>
      <c r="B927" s="1601"/>
      <c r="C927" s="1602"/>
      <c r="D927" s="2062" t="s">
        <v>2039</v>
      </c>
      <c r="E927" s="1601"/>
      <c r="F927" s="1601"/>
      <c r="G927" s="1602"/>
    </row>
    <row r="929" spans="1:7" ht="14.25" hidden="1" customHeight="1">
      <c r="A929" s="471"/>
      <c r="B929" s="469"/>
      <c r="C929" s="469"/>
      <c r="D929" s="472" t="s">
        <v>1553</v>
      </c>
      <c r="E929" s="473" t="s">
        <v>127</v>
      </c>
      <c r="F929" s="883"/>
      <c r="G929" s="883"/>
    </row>
    <row r="930" spans="1:7" ht="14.25" hidden="1" customHeight="1">
      <c r="A930" s="471" t="s">
        <v>1555</v>
      </c>
      <c r="B930" s="469"/>
      <c r="C930" s="469"/>
      <c r="D930" s="469"/>
      <c r="E930" s="469"/>
      <c r="F930" s="469"/>
      <c r="G930" s="469"/>
    </row>
    <row r="931" spans="1:7" ht="14.25" hidden="1" customHeight="1">
      <c r="A931" s="2011" t="s">
        <v>1556</v>
      </c>
      <c r="B931" s="1601"/>
      <c r="C931" s="1801"/>
      <c r="D931" s="474" t="s">
        <v>1557</v>
      </c>
      <c r="E931" s="474" t="s">
        <v>1558</v>
      </c>
      <c r="F931" s="474" t="s">
        <v>1559</v>
      </c>
      <c r="G931" s="475"/>
    </row>
    <row r="932" spans="1:7" ht="14.25" hidden="1" customHeight="1">
      <c r="A932" s="2060" t="s">
        <v>209</v>
      </c>
      <c r="B932" s="1811"/>
      <c r="C932" s="1967"/>
      <c r="D932" s="476" t="s">
        <v>899</v>
      </c>
      <c r="E932" s="477">
        <v>1</v>
      </c>
      <c r="F932" s="478">
        <v>1000</v>
      </c>
      <c r="G932" s="479"/>
    </row>
    <row r="933" spans="1:7" ht="14.25" hidden="1" customHeight="1">
      <c r="A933" s="2063" t="s">
        <v>1714</v>
      </c>
      <c r="B933" s="1610"/>
      <c r="C933" s="1611"/>
      <c r="D933" s="480">
        <v>38400</v>
      </c>
      <c r="E933" s="481">
        <v>0.04</v>
      </c>
      <c r="F933" s="482">
        <f t="shared" ref="F933:F934" si="45">D933*E933</f>
        <v>1536</v>
      </c>
      <c r="G933" s="483"/>
    </row>
    <row r="934" spans="1:7" ht="14.25" hidden="1" customHeight="1">
      <c r="A934" s="2064" t="s">
        <v>1990</v>
      </c>
      <c r="B934" s="1807"/>
      <c r="C934" s="1819"/>
      <c r="D934" s="484">
        <v>71500</v>
      </c>
      <c r="E934" s="485">
        <v>0.1</v>
      </c>
      <c r="F934" s="486">
        <f t="shared" si="45"/>
        <v>7150</v>
      </c>
      <c r="G934" s="487"/>
    </row>
    <row r="935" spans="1:7" ht="14.25" hidden="1" customHeight="1">
      <c r="A935" s="2053" t="s">
        <v>1560</v>
      </c>
      <c r="B935" s="1601"/>
      <c r="C935" s="1601"/>
      <c r="D935" s="1601"/>
      <c r="E935" s="1601"/>
      <c r="F935" s="1801"/>
      <c r="G935" s="488">
        <f>SUM(F932:F934)</f>
        <v>9686</v>
      </c>
    </row>
    <row r="936" spans="1:7" ht="14.25" hidden="1" customHeight="1">
      <c r="A936" s="471" t="s">
        <v>1561</v>
      </c>
      <c r="B936" s="469"/>
      <c r="C936" s="469"/>
      <c r="D936" s="469"/>
      <c r="E936" s="469"/>
      <c r="F936" s="469"/>
      <c r="G936" s="469"/>
    </row>
    <row r="937" spans="1:7" ht="14.25" hidden="1" customHeight="1">
      <c r="A937" s="2054" t="s">
        <v>1556</v>
      </c>
      <c r="B937" s="1624"/>
      <c r="C937" s="886" t="s">
        <v>6</v>
      </c>
      <c r="D937" s="917" t="s">
        <v>1562</v>
      </c>
      <c r="E937" s="886" t="s">
        <v>7</v>
      </c>
      <c r="F937" s="886" t="s">
        <v>1559</v>
      </c>
      <c r="G937" s="880"/>
    </row>
    <row r="938" spans="1:7" ht="14.25" hidden="1" customHeight="1">
      <c r="A938" s="2068" t="str">
        <f>'LISTADO MATERIALES'!$C$394</f>
        <v>LIJA PLIEGO 9"X11"</v>
      </c>
      <c r="B938" s="1967"/>
      <c r="C938" s="918" t="str">
        <f>'LISTADO MATERIALES'!$D$394</f>
        <v>UND</v>
      </c>
      <c r="D938" s="919">
        <f>'LISTADO MATERIALES'!$E$394</f>
        <v>1260</v>
      </c>
      <c r="E938" s="920">
        <v>2</v>
      </c>
      <c r="F938" s="478">
        <f t="shared" ref="F938:F944" si="46">(D938*E938)</f>
        <v>2520</v>
      </c>
      <c r="G938" s="479"/>
    </row>
    <row r="939" spans="1:7" ht="14.25" hidden="1" customHeight="1">
      <c r="A939" s="2058" t="str">
        <f>'LISTADO MATERIALES'!C31</f>
        <v>BISAGRA DE COBRE 3"</v>
      </c>
      <c r="B939" s="1611"/>
      <c r="C939" s="921" t="str">
        <f>'LISTADO MATERIALES'!D31</f>
        <v>UND</v>
      </c>
      <c r="D939" s="922">
        <f>'LISTADO MATERIALES'!E31</f>
        <v>2363</v>
      </c>
      <c r="E939" s="923">
        <v>3</v>
      </c>
      <c r="F939" s="482">
        <f t="shared" si="46"/>
        <v>7089</v>
      </c>
      <c r="G939" s="483"/>
    </row>
    <row r="940" spans="1:7" ht="14.25" hidden="1" customHeight="1">
      <c r="A940" s="2058" t="str">
        <f>'LISTADO MATERIALES'!C772</f>
        <v>MASILLA PARA METAL</v>
      </c>
      <c r="B940" s="1611"/>
      <c r="C940" s="921" t="s">
        <v>2017</v>
      </c>
      <c r="D940" s="922">
        <f>'LISTADO MATERIALES'!E772</f>
        <v>39755</v>
      </c>
      <c r="E940" s="923">
        <f>0.01</f>
        <v>0.01</v>
      </c>
      <c r="F940" s="482">
        <f t="shared" si="46"/>
        <v>397.55</v>
      </c>
      <c r="G940" s="483"/>
    </row>
    <row r="941" spans="1:7" ht="14.25" hidden="1" customHeight="1">
      <c r="A941" s="2058" t="str">
        <f>'LISTADO MATERIALES'!C379</f>
        <v>DISOLVENTE THINER</v>
      </c>
      <c r="B941" s="1611"/>
      <c r="C941" s="921" t="s">
        <v>1995</v>
      </c>
      <c r="D941" s="922">
        <f>'LISTADO MATERIALES'!E379</f>
        <v>16275</v>
      </c>
      <c r="E941" s="923">
        <v>0.02</v>
      </c>
      <c r="F941" s="482">
        <f t="shared" si="46"/>
        <v>325.5</v>
      </c>
      <c r="G941" s="483"/>
    </row>
    <row r="942" spans="1:7" ht="14.25" hidden="1" customHeight="1">
      <c r="A942" s="2058" t="str">
        <f>'LISTADO MATERIALES'!C380</f>
        <v>ESMALTE</v>
      </c>
      <c r="B942" s="1611"/>
      <c r="C942" s="921" t="s">
        <v>1995</v>
      </c>
      <c r="D942" s="922">
        <f>'LISTADO MATERIALES'!E380</f>
        <v>51450</v>
      </c>
      <c r="E942" s="923">
        <v>0.22</v>
      </c>
      <c r="F942" s="482">
        <f t="shared" si="46"/>
        <v>11319</v>
      </c>
      <c r="G942" s="483"/>
    </row>
    <row r="943" spans="1:7" ht="14.25" hidden="1" customHeight="1">
      <c r="A943" s="924" t="str">
        <f>'LISTADO MATERIALES'!C389</f>
        <v>Lámina cold rolled c.20 de 122*244 cms</v>
      </c>
      <c r="B943" s="925"/>
      <c r="C943" s="921" t="s">
        <v>1219</v>
      </c>
      <c r="D943" s="922">
        <f>'LISTADO MATERIALES'!E389</f>
        <v>89838</v>
      </c>
      <c r="E943" s="923">
        <v>2.2000000000000002</v>
      </c>
      <c r="F943" s="482">
        <f t="shared" si="46"/>
        <v>197643.6</v>
      </c>
      <c r="G943" s="483"/>
    </row>
    <row r="944" spans="1:7" ht="14.25" hidden="1" customHeight="1">
      <c r="A944" s="2058" t="str">
        <f>'LISTADO MATERIALES'!C368</f>
        <v>ANTICORROSIVO</v>
      </c>
      <c r="B944" s="1611"/>
      <c r="C944" s="921" t="s">
        <v>1762</v>
      </c>
      <c r="D944" s="922">
        <f>'LISTADO MATERIALES'!E368</f>
        <v>33600</v>
      </c>
      <c r="E944" s="923">
        <v>0.2</v>
      </c>
      <c r="F944" s="482">
        <f t="shared" si="46"/>
        <v>6720</v>
      </c>
      <c r="G944" s="483"/>
    </row>
    <row r="945" spans="1:7" ht="14.25" hidden="1" customHeight="1">
      <c r="A945" s="924" t="str">
        <f>'LISTADO MATERIALES'!C519</f>
        <v>SOLDADURA METÁLICA 6013 * 1/8</v>
      </c>
      <c r="B945" s="925"/>
      <c r="C945" s="921" t="s">
        <v>2000</v>
      </c>
      <c r="D945" s="922">
        <f>'LISTADO MATERIALES'!E519</f>
        <v>9450</v>
      </c>
      <c r="E945" s="923">
        <f>1.2</f>
        <v>1.2</v>
      </c>
      <c r="F945" s="482">
        <f>D945*E945</f>
        <v>11340</v>
      </c>
      <c r="G945" s="483"/>
    </row>
    <row r="946" spans="1:7" ht="14.25" hidden="1" customHeight="1">
      <c r="A946" s="2058" t="str">
        <f>'LISTADO MATERIALES'!C771</f>
        <v>Falleva sobreponer 6"</v>
      </c>
      <c r="B946" s="1611"/>
      <c r="C946" s="921" t="s">
        <v>1219</v>
      </c>
      <c r="D946" s="922">
        <f>'LISTADO MATERIALES'!E771</f>
        <v>6300</v>
      </c>
      <c r="E946" s="923">
        <v>1</v>
      </c>
      <c r="F946" s="482">
        <f t="shared" ref="F946:F947" si="47">(D946*E946)</f>
        <v>6300</v>
      </c>
      <c r="G946" s="483"/>
    </row>
    <row r="947" spans="1:7" ht="14.25" hidden="1" customHeight="1">
      <c r="A947" s="924" t="str">
        <f>'ANALISIS BASICOS'!A164</f>
        <v xml:space="preserve">MORTERO 1:3 </v>
      </c>
      <c r="B947" s="925"/>
      <c r="C947" s="921" t="s">
        <v>116</v>
      </c>
      <c r="D947" s="922">
        <f>'ANALISIS BASICOS'!G164</f>
        <v>434608</v>
      </c>
      <c r="E947" s="923">
        <v>0.02</v>
      </c>
      <c r="F947" s="482">
        <f t="shared" si="47"/>
        <v>8692.16</v>
      </c>
      <c r="G947" s="483"/>
    </row>
    <row r="948" spans="1:7" ht="14.25" hidden="1" customHeight="1">
      <c r="A948" s="2065" t="str">
        <f>'LISTADO MATERIALES'!C375</f>
        <v>CHAPA YALE SEGURIDAD</v>
      </c>
      <c r="B948" s="1819"/>
      <c r="C948" s="926" t="s">
        <v>127</v>
      </c>
      <c r="D948" s="927">
        <f>'LISTADO MATERIALES'!E375</f>
        <v>68250</v>
      </c>
      <c r="E948" s="928">
        <v>1</v>
      </c>
      <c r="F948" s="506">
        <f>D948*E948</f>
        <v>68250</v>
      </c>
      <c r="G948" s="501"/>
    </row>
    <row r="949" spans="1:7" ht="14.25" hidden="1" customHeight="1">
      <c r="A949" s="2056" t="s">
        <v>1560</v>
      </c>
      <c r="B949" s="1817"/>
      <c r="C949" s="1817"/>
      <c r="D949" s="1817"/>
      <c r="E949" s="1817"/>
      <c r="F949" s="2000"/>
      <c r="G949" s="502">
        <f>SUM(F938:F948)</f>
        <v>320596.81</v>
      </c>
    </row>
    <row r="950" spans="1:7" ht="14.25" hidden="1" customHeight="1">
      <c r="A950" s="471" t="s">
        <v>1563</v>
      </c>
      <c r="B950" s="469"/>
      <c r="C950" s="469"/>
      <c r="D950" s="469"/>
      <c r="E950" s="469"/>
      <c r="F950" s="469"/>
      <c r="G950" s="469"/>
    </row>
    <row r="951" spans="1:7" ht="14.25" hidden="1" customHeight="1">
      <c r="A951" s="2011" t="s">
        <v>1556</v>
      </c>
      <c r="B951" s="1801"/>
      <c r="C951" s="474" t="s">
        <v>6</v>
      </c>
      <c r="D951" s="474" t="s">
        <v>1562</v>
      </c>
      <c r="E951" s="474" t="s">
        <v>7</v>
      </c>
      <c r="F951" s="474" t="s">
        <v>1559</v>
      </c>
      <c r="G951" s="503"/>
    </row>
    <row r="952" spans="1:7" ht="14.25" hidden="1" customHeight="1">
      <c r="A952" s="2060"/>
      <c r="B952" s="1967"/>
      <c r="C952" s="504"/>
      <c r="D952" s="478"/>
      <c r="E952" s="505"/>
      <c r="F952" s="482"/>
      <c r="G952" s="479"/>
    </row>
    <row r="953" spans="1:7" ht="14.25" hidden="1" customHeight="1">
      <c r="A953" s="2052"/>
      <c r="B953" s="1819"/>
      <c r="C953" s="504"/>
      <c r="D953" s="506"/>
      <c r="E953" s="507"/>
      <c r="F953" s="506"/>
      <c r="G953" s="508"/>
    </row>
    <row r="954" spans="1:7" ht="14.25" hidden="1" customHeight="1">
      <c r="A954" s="2053" t="s">
        <v>1560</v>
      </c>
      <c r="B954" s="1601"/>
      <c r="C954" s="1601"/>
      <c r="D954" s="1601"/>
      <c r="E954" s="1601"/>
      <c r="F954" s="1801"/>
      <c r="G954" s="488"/>
    </row>
    <row r="955" spans="1:7" ht="14.25" hidden="1" customHeight="1">
      <c r="A955" s="471" t="s">
        <v>1564</v>
      </c>
      <c r="B955" s="469"/>
      <c r="C955" s="469"/>
      <c r="D955" s="469"/>
      <c r="E955" s="469"/>
      <c r="F955" s="469"/>
      <c r="G955" s="469"/>
    </row>
    <row r="956" spans="1:7" ht="14.25" hidden="1" customHeight="1">
      <c r="A956" s="2054" t="s">
        <v>1565</v>
      </c>
      <c r="B956" s="1932"/>
      <c r="C956" s="509" t="s">
        <v>1566</v>
      </c>
      <c r="D956" s="509" t="s">
        <v>6</v>
      </c>
      <c r="E956" s="509" t="s">
        <v>7</v>
      </c>
      <c r="F956" s="509" t="s">
        <v>1559</v>
      </c>
      <c r="G956" s="503"/>
    </row>
    <row r="957" spans="1:7" ht="14.25" hidden="1" customHeight="1">
      <c r="A957" s="2055" t="s">
        <v>1574</v>
      </c>
      <c r="B957" s="1967"/>
      <c r="C957" s="510">
        <v>7410.96</v>
      </c>
      <c r="D957" s="511" t="s">
        <v>1575</v>
      </c>
      <c r="E957" s="511">
        <v>1.4</v>
      </c>
      <c r="F957" s="512">
        <f t="shared" ref="F957:F958" si="48">C957*E957</f>
        <v>10375.343999999999</v>
      </c>
      <c r="G957" s="479"/>
    </row>
    <row r="958" spans="1:7" ht="14.25" hidden="1" customHeight="1">
      <c r="A958" s="513" t="s">
        <v>1576</v>
      </c>
      <c r="B958" s="514"/>
      <c r="C958" s="515">
        <v>4550.79</v>
      </c>
      <c r="D958" s="516" t="s">
        <v>1575</v>
      </c>
      <c r="E958" s="516">
        <f>E957</f>
        <v>1.4</v>
      </c>
      <c r="F958" s="905">
        <f t="shared" si="48"/>
        <v>6371.1059999999998</v>
      </c>
      <c r="G958" s="501"/>
    </row>
    <row r="959" spans="1:7" ht="14.25" hidden="1" customHeight="1">
      <c r="A959" s="2056" t="str">
        <f>+A954</f>
        <v>SUB-TOTAL</v>
      </c>
      <c r="B959" s="1817"/>
      <c r="C959" s="1817"/>
      <c r="D959" s="1817"/>
      <c r="E959" s="1817"/>
      <c r="F959" s="2000"/>
      <c r="G959" s="502">
        <f>SUM(F957:F958)</f>
        <v>16746.449999999997</v>
      </c>
    </row>
    <row r="961" spans="1:7" ht="14.25" hidden="1" customHeight="1">
      <c r="A961" s="2053" t="s">
        <v>1567</v>
      </c>
      <c r="B961" s="1601"/>
      <c r="C961" s="1601"/>
      <c r="D961" s="1601"/>
      <c r="E961" s="1601"/>
      <c r="F961" s="1801"/>
      <c r="G961" s="520">
        <f>ROUND(G935+G949+G954+G959,0)</f>
        <v>347029</v>
      </c>
    </row>
    <row r="962" spans="1:7" ht="14.25" hidden="1" customHeight="1">
      <c r="A962" s="468"/>
      <c r="B962" s="468"/>
      <c r="C962" s="468"/>
      <c r="D962" s="468"/>
      <c r="E962" s="468"/>
      <c r="F962" s="468"/>
      <c r="G962" s="468"/>
    </row>
    <row r="963" spans="1:7" ht="14.25" hidden="1" customHeight="1">
      <c r="A963" s="468"/>
      <c r="B963" s="468"/>
      <c r="C963" s="468"/>
      <c r="D963" s="468"/>
      <c r="E963" s="468"/>
      <c r="F963" s="468"/>
      <c r="G963" s="468"/>
    </row>
    <row r="964" spans="1:7" ht="14.25" hidden="1" customHeight="1">
      <c r="A964" s="468"/>
      <c r="B964" s="468"/>
      <c r="C964" s="468"/>
      <c r="D964" s="468"/>
      <c r="E964" s="468"/>
      <c r="F964" s="468"/>
      <c r="G964" s="468"/>
    </row>
    <row r="965" spans="1:7" ht="27.75" hidden="1" customHeight="1">
      <c r="A965" s="2054" t="s">
        <v>1604</v>
      </c>
      <c r="B965" s="1616"/>
      <c r="C965" s="1624"/>
      <c r="D965" s="879"/>
      <c r="E965" s="879"/>
      <c r="F965" s="879"/>
      <c r="G965" s="880"/>
    </row>
    <row r="966" spans="1:7" ht="25.5" hidden="1" customHeight="1">
      <c r="A966" s="1971"/>
      <c r="B966" s="1817"/>
      <c r="C966" s="1972"/>
      <c r="D966" s="881"/>
      <c r="E966" s="881"/>
      <c r="F966" s="881"/>
      <c r="G966" s="882"/>
    </row>
    <row r="967" spans="1:7" ht="14.25" hidden="1" customHeight="1">
      <c r="A967" s="469"/>
      <c r="B967" s="469"/>
      <c r="C967" s="469"/>
      <c r="D967" s="469"/>
      <c r="E967" s="469"/>
      <c r="F967" s="469"/>
      <c r="G967" s="469"/>
    </row>
    <row r="968" spans="1:7" ht="30.75" hidden="1" customHeight="1">
      <c r="A968" s="2061" t="str">
        <f>A5</f>
        <v>PRECIOS UNITARIOS OFICIALES 2014</v>
      </c>
      <c r="B968" s="1601"/>
      <c r="C968" s="1602"/>
      <c r="D968" s="2062" t="s">
        <v>2040</v>
      </c>
      <c r="E968" s="1601"/>
      <c r="F968" s="1601"/>
      <c r="G968" s="1602"/>
    </row>
    <row r="969" spans="1:7" ht="14.25" hidden="1" customHeight="1">
      <c r="A969" s="470"/>
      <c r="B969" s="470"/>
      <c r="C969" s="470"/>
      <c r="D969" s="470"/>
      <c r="E969" s="470"/>
      <c r="F969" s="470"/>
      <c r="G969" s="470"/>
    </row>
    <row r="970" spans="1:7" ht="14.25" hidden="1" customHeight="1">
      <c r="A970" s="471"/>
      <c r="B970" s="469"/>
      <c r="C970" s="469"/>
      <c r="D970" s="472" t="s">
        <v>1553</v>
      </c>
      <c r="E970" s="473" t="s">
        <v>127</v>
      </c>
      <c r="F970" s="883"/>
      <c r="G970" s="883"/>
    </row>
    <row r="971" spans="1:7" ht="14.25" hidden="1" customHeight="1">
      <c r="A971" s="471" t="s">
        <v>1555</v>
      </c>
      <c r="B971" s="469"/>
      <c r="C971" s="469"/>
      <c r="D971" s="469"/>
      <c r="E971" s="469"/>
      <c r="F971" s="469"/>
      <c r="G971" s="469"/>
    </row>
    <row r="972" spans="1:7" ht="14.25" hidden="1" customHeight="1">
      <c r="A972" s="2011" t="s">
        <v>1556</v>
      </c>
      <c r="B972" s="1601"/>
      <c r="C972" s="1801"/>
      <c r="D972" s="474" t="s">
        <v>1557</v>
      </c>
      <c r="E972" s="474" t="s">
        <v>1558</v>
      </c>
      <c r="F972" s="474" t="s">
        <v>1559</v>
      </c>
      <c r="G972" s="475"/>
    </row>
    <row r="973" spans="1:7" ht="14.25" hidden="1" customHeight="1">
      <c r="A973" s="2060" t="s">
        <v>209</v>
      </c>
      <c r="B973" s="1811"/>
      <c r="C973" s="1967"/>
      <c r="D973" s="476" t="s">
        <v>899</v>
      </c>
      <c r="E973" s="477">
        <v>1</v>
      </c>
      <c r="F973" s="478">
        <v>45508</v>
      </c>
      <c r="G973" s="479"/>
    </row>
    <row r="974" spans="1:7" ht="14.25" hidden="1" customHeight="1">
      <c r="A974" s="2063"/>
      <c r="B974" s="1610"/>
      <c r="C974" s="1611"/>
      <c r="D974" s="480"/>
      <c r="E974" s="481"/>
      <c r="F974" s="482"/>
      <c r="G974" s="483"/>
    </row>
    <row r="975" spans="1:7" ht="14.25" hidden="1" customHeight="1">
      <c r="A975" s="2064"/>
      <c r="B975" s="1807"/>
      <c r="C975" s="1819"/>
      <c r="D975" s="484"/>
      <c r="E975" s="485"/>
      <c r="F975" s="486"/>
      <c r="G975" s="487"/>
    </row>
    <row r="976" spans="1:7" ht="14.25" hidden="1" customHeight="1">
      <c r="A976" s="2053" t="s">
        <v>1560</v>
      </c>
      <c r="B976" s="1601"/>
      <c r="C976" s="1601"/>
      <c r="D976" s="1601"/>
      <c r="E976" s="1601"/>
      <c r="F976" s="1801"/>
      <c r="G976" s="488">
        <f>SUM(F973:F975)</f>
        <v>45508</v>
      </c>
    </row>
    <row r="977" spans="1:7" ht="14.25" hidden="1" customHeight="1">
      <c r="A977" s="471" t="s">
        <v>1561</v>
      </c>
      <c r="B977" s="469"/>
      <c r="C977" s="469"/>
      <c r="D977" s="469"/>
      <c r="E977" s="469"/>
      <c r="F977" s="469"/>
      <c r="G977" s="469"/>
    </row>
    <row r="978" spans="1:7" ht="14.25" hidden="1" customHeight="1">
      <c r="A978" s="2054" t="s">
        <v>1556</v>
      </c>
      <c r="B978" s="1624"/>
      <c r="C978" s="886" t="s">
        <v>6</v>
      </c>
      <c r="D978" s="917" t="s">
        <v>1562</v>
      </c>
      <c r="E978" s="886" t="s">
        <v>7</v>
      </c>
      <c r="F978" s="886" t="s">
        <v>1559</v>
      </c>
      <c r="G978" s="880"/>
    </row>
    <row r="979" spans="1:7" ht="25.5" hidden="1" customHeight="1">
      <c r="A979" s="2066" t="s">
        <v>2041</v>
      </c>
      <c r="B979" s="1967"/>
      <c r="C979" s="489" t="s">
        <v>127</v>
      </c>
      <c r="D979" s="968">
        <v>1700000</v>
      </c>
      <c r="E979" s="491">
        <v>1</v>
      </c>
      <c r="F979" s="969">
        <f>(D979*E979)</f>
        <v>1700000</v>
      </c>
      <c r="G979" s="970"/>
    </row>
    <row r="980" spans="1:7" ht="14.25" hidden="1" customHeight="1">
      <c r="A980" s="2067"/>
      <c r="B980" s="1611"/>
      <c r="C980" s="971"/>
      <c r="D980" s="972"/>
      <c r="E980" s="973"/>
      <c r="F980" s="974"/>
      <c r="G980" s="975"/>
    </row>
    <row r="981" spans="1:7" ht="14.25" hidden="1" customHeight="1">
      <c r="A981" s="2067"/>
      <c r="B981" s="1611"/>
      <c r="C981" s="971"/>
      <c r="D981" s="972"/>
      <c r="E981" s="973"/>
      <c r="F981" s="974"/>
      <c r="G981" s="975"/>
    </row>
    <row r="982" spans="1:7" ht="14.25" hidden="1" customHeight="1">
      <c r="A982" s="2058"/>
      <c r="B982" s="1611"/>
      <c r="C982" s="921"/>
      <c r="D982" s="922"/>
      <c r="E982" s="923"/>
      <c r="F982" s="482"/>
      <c r="G982" s="483"/>
    </row>
    <row r="983" spans="1:7" ht="14.25" hidden="1" customHeight="1">
      <c r="A983" s="2058"/>
      <c r="B983" s="1611"/>
      <c r="C983" s="921"/>
      <c r="D983" s="922"/>
      <c r="E983" s="923"/>
      <c r="F983" s="482"/>
      <c r="G983" s="483"/>
    </row>
    <row r="984" spans="1:7" ht="14.25" hidden="1" customHeight="1">
      <c r="A984" s="2065"/>
      <c r="B984" s="1819"/>
      <c r="C984" s="926"/>
      <c r="D984" s="927"/>
      <c r="E984" s="928"/>
      <c r="F984" s="506"/>
      <c r="G984" s="501"/>
    </row>
    <row r="985" spans="1:7" ht="14.25" hidden="1" customHeight="1">
      <c r="A985" s="2056" t="s">
        <v>1560</v>
      </c>
      <c r="B985" s="1817"/>
      <c r="C985" s="1817"/>
      <c r="D985" s="1817"/>
      <c r="E985" s="1817"/>
      <c r="F985" s="2000"/>
      <c r="G985" s="976">
        <f>SUM(F979:F984)</f>
        <v>1700000</v>
      </c>
    </row>
    <row r="986" spans="1:7" ht="14.25" hidden="1" customHeight="1">
      <c r="A986" s="471" t="s">
        <v>1563</v>
      </c>
      <c r="B986" s="469"/>
      <c r="C986" s="469"/>
      <c r="D986" s="469"/>
      <c r="E986" s="469"/>
      <c r="F986" s="469"/>
      <c r="G986" s="977"/>
    </row>
    <row r="987" spans="1:7" ht="14.25" hidden="1" customHeight="1">
      <c r="A987" s="2011" t="s">
        <v>1556</v>
      </c>
      <c r="B987" s="1801"/>
      <c r="C987" s="474" t="s">
        <v>6</v>
      </c>
      <c r="D987" s="474" t="s">
        <v>1562</v>
      </c>
      <c r="E987" s="474" t="s">
        <v>7</v>
      </c>
      <c r="F987" s="474" t="s">
        <v>1559</v>
      </c>
      <c r="G987" s="978"/>
    </row>
    <row r="988" spans="1:7" ht="14.25" hidden="1" customHeight="1">
      <c r="A988" s="2060"/>
      <c r="B988" s="1967"/>
      <c r="C988" s="504"/>
      <c r="D988" s="478"/>
      <c r="E988" s="505"/>
      <c r="F988" s="482"/>
      <c r="G988" s="934"/>
    </row>
    <row r="989" spans="1:7" ht="14.25" hidden="1" customHeight="1">
      <c r="A989" s="2052"/>
      <c r="B989" s="1819"/>
      <c r="C989" s="504"/>
      <c r="D989" s="506"/>
      <c r="E989" s="507"/>
      <c r="F989" s="506"/>
      <c r="G989" s="976"/>
    </row>
    <row r="990" spans="1:7" ht="14.25" hidden="1" customHeight="1">
      <c r="A990" s="2053" t="s">
        <v>1560</v>
      </c>
      <c r="B990" s="1601"/>
      <c r="C990" s="1601"/>
      <c r="D990" s="1601"/>
      <c r="E990" s="1601"/>
      <c r="F990" s="1801"/>
      <c r="G990" s="979"/>
    </row>
    <row r="991" spans="1:7" ht="14.25" hidden="1" customHeight="1">
      <c r="A991" s="471" t="s">
        <v>1564</v>
      </c>
      <c r="B991" s="469"/>
      <c r="C991" s="469"/>
      <c r="D991" s="469"/>
      <c r="E991" s="469"/>
      <c r="F991" s="469"/>
      <c r="G991" s="977"/>
    </row>
    <row r="992" spans="1:7" ht="14.25" hidden="1" customHeight="1">
      <c r="A992" s="2054" t="s">
        <v>1565</v>
      </c>
      <c r="B992" s="1932"/>
      <c r="C992" s="509" t="s">
        <v>1566</v>
      </c>
      <c r="D992" s="509" t="s">
        <v>6</v>
      </c>
      <c r="E992" s="509" t="s">
        <v>7</v>
      </c>
      <c r="F992" s="509" t="s">
        <v>1559</v>
      </c>
      <c r="G992" s="978"/>
    </row>
    <row r="993" spans="1:7" ht="14.25" hidden="1" customHeight="1">
      <c r="A993" s="2055" t="s">
        <v>1574</v>
      </c>
      <c r="B993" s="1967"/>
      <c r="C993" s="510">
        <v>7410.96</v>
      </c>
      <c r="D993" s="511">
        <v>1</v>
      </c>
      <c r="E993" s="511">
        <v>0.08</v>
      </c>
      <c r="F993" s="512">
        <f t="shared" ref="F993:F994" si="49">(C993*D993)/E993</f>
        <v>92637</v>
      </c>
      <c r="G993" s="934"/>
    </row>
    <row r="994" spans="1:7" ht="18" hidden="1" customHeight="1">
      <c r="A994" s="513" t="s">
        <v>1576</v>
      </c>
      <c r="B994" s="514"/>
      <c r="C994" s="515">
        <v>4550.79</v>
      </c>
      <c r="D994" s="516">
        <v>3</v>
      </c>
      <c r="E994" s="516">
        <f>E993</f>
        <v>0.08</v>
      </c>
      <c r="F994" s="512">
        <f t="shared" si="49"/>
        <v>170654.62499999997</v>
      </c>
      <c r="G994" s="742"/>
    </row>
    <row r="995" spans="1:7" ht="14.25" hidden="1" customHeight="1">
      <c r="A995" s="2056" t="str">
        <f>+A990</f>
        <v>SUB-TOTAL</v>
      </c>
      <c r="B995" s="1817"/>
      <c r="C995" s="1817"/>
      <c r="D995" s="1817"/>
      <c r="E995" s="1817"/>
      <c r="F995" s="2000"/>
      <c r="G995" s="980">
        <f>SUM(F993:F994)</f>
        <v>263291.625</v>
      </c>
    </row>
    <row r="996" spans="1:7" ht="14.25" hidden="1" customHeight="1">
      <c r="A996" s="469"/>
      <c r="B996" s="469"/>
      <c r="C996" s="469"/>
      <c r="D996" s="469"/>
      <c r="E996" s="469"/>
      <c r="F996" s="519"/>
      <c r="G996" s="977"/>
    </row>
    <row r="997" spans="1:7" ht="14.25" hidden="1" customHeight="1">
      <c r="A997" s="2053" t="s">
        <v>1567</v>
      </c>
      <c r="B997" s="1601"/>
      <c r="C997" s="1601"/>
      <c r="D997" s="1601"/>
      <c r="E997" s="1601"/>
      <c r="F997" s="1801"/>
      <c r="G997" s="981">
        <f>ROUND(G976+G985+G990+G995,0)</f>
        <v>2008800</v>
      </c>
    </row>
    <row r="998" spans="1:7" ht="14.25" hidden="1" customHeight="1">
      <c r="A998" s="468"/>
      <c r="B998" s="468"/>
      <c r="C998" s="468"/>
      <c r="D998" s="468"/>
      <c r="E998" s="468"/>
      <c r="F998" s="468"/>
      <c r="G998" s="468"/>
    </row>
    <row r="999" spans="1:7" ht="14.25" hidden="1" customHeight="1">
      <c r="A999" s="468"/>
      <c r="B999" s="468"/>
      <c r="C999" s="468"/>
      <c r="D999" s="468"/>
      <c r="E999" s="468"/>
      <c r="F999" s="468"/>
      <c r="G999" s="468"/>
    </row>
    <row r="1000" spans="1:7" ht="29.25" hidden="1" customHeight="1">
      <c r="A1000" s="2054" t="s">
        <v>1604</v>
      </c>
      <c r="B1000" s="1616"/>
      <c r="C1000" s="1624"/>
      <c r="D1000" s="879"/>
      <c r="E1000" s="879"/>
      <c r="F1000" s="879"/>
      <c r="G1000" s="880"/>
    </row>
    <row r="1001" spans="1:7" ht="28.5" hidden="1" customHeight="1">
      <c r="A1001" s="1971"/>
      <c r="B1001" s="1817"/>
      <c r="C1001" s="1972"/>
      <c r="D1001" s="881"/>
      <c r="E1001" s="881"/>
      <c r="F1001" s="881"/>
      <c r="G1001" s="882"/>
    </row>
    <row r="1002" spans="1:7" ht="14.25" hidden="1" customHeight="1">
      <c r="A1002" s="469"/>
      <c r="B1002" s="469"/>
      <c r="C1002" s="469"/>
      <c r="D1002" s="469"/>
      <c r="E1002" s="469"/>
      <c r="F1002" s="469"/>
      <c r="G1002" s="469"/>
    </row>
    <row r="1003" spans="1:7" ht="22.5" hidden="1" customHeight="1">
      <c r="A1003" s="2061" t="str">
        <f>A5</f>
        <v>PRECIOS UNITARIOS OFICIALES 2014</v>
      </c>
      <c r="B1003" s="1601"/>
      <c r="C1003" s="1602"/>
      <c r="D1003" s="2062" t="s">
        <v>2042</v>
      </c>
      <c r="E1003" s="1601"/>
      <c r="F1003" s="1601"/>
      <c r="G1003" s="1602"/>
    </row>
    <row r="1004" spans="1:7" ht="14.25" hidden="1" customHeight="1">
      <c r="A1004" s="470"/>
      <c r="B1004" s="470"/>
      <c r="C1004" s="470"/>
      <c r="D1004" s="470"/>
      <c r="E1004" s="470"/>
      <c r="F1004" s="470"/>
      <c r="G1004" s="470"/>
    </row>
    <row r="1005" spans="1:7" ht="14.25" hidden="1" customHeight="1">
      <c r="A1005" s="471"/>
      <c r="B1005" s="469"/>
      <c r="C1005" s="469"/>
      <c r="D1005" s="472" t="s">
        <v>1553</v>
      </c>
      <c r="E1005" s="473" t="s">
        <v>127</v>
      </c>
      <c r="F1005" s="883"/>
      <c r="G1005" s="883"/>
    </row>
    <row r="1006" spans="1:7" ht="14.25" hidden="1" customHeight="1">
      <c r="A1006" s="471" t="s">
        <v>1555</v>
      </c>
      <c r="B1006" s="469"/>
      <c r="C1006" s="469"/>
      <c r="D1006" s="469"/>
      <c r="E1006" s="469"/>
      <c r="F1006" s="469"/>
      <c r="G1006" s="469"/>
    </row>
    <row r="1007" spans="1:7" ht="14.25" hidden="1" customHeight="1">
      <c r="A1007" s="2011" t="s">
        <v>1556</v>
      </c>
      <c r="B1007" s="1601"/>
      <c r="C1007" s="1801"/>
      <c r="D1007" s="474" t="s">
        <v>1557</v>
      </c>
      <c r="E1007" s="474" t="s">
        <v>1558</v>
      </c>
      <c r="F1007" s="474" t="s">
        <v>1559</v>
      </c>
      <c r="G1007" s="475"/>
    </row>
    <row r="1008" spans="1:7" ht="14.25" hidden="1" customHeight="1">
      <c r="A1008" s="2060" t="s">
        <v>209</v>
      </c>
      <c r="B1008" s="1811"/>
      <c r="C1008" s="1967"/>
      <c r="D1008" s="476" t="s">
        <v>899</v>
      </c>
      <c r="E1008" s="477"/>
      <c r="F1008" s="478">
        <v>2511</v>
      </c>
      <c r="G1008" s="479"/>
    </row>
    <row r="1009" spans="1:7" ht="14.25" hidden="1" customHeight="1">
      <c r="A1009" s="2063"/>
      <c r="B1009" s="1610"/>
      <c r="C1009" s="1611"/>
      <c r="D1009" s="480"/>
      <c r="E1009" s="481"/>
      <c r="F1009" s="482"/>
      <c r="G1009" s="483"/>
    </row>
    <row r="1010" spans="1:7" ht="14.25" hidden="1" customHeight="1">
      <c r="A1010" s="2064"/>
      <c r="B1010" s="1807"/>
      <c r="C1010" s="1819"/>
      <c r="D1010" s="484"/>
      <c r="E1010" s="485"/>
      <c r="F1010" s="486"/>
      <c r="G1010" s="487"/>
    </row>
    <row r="1011" spans="1:7" ht="14.25" hidden="1" customHeight="1">
      <c r="A1011" s="2053" t="s">
        <v>1560</v>
      </c>
      <c r="B1011" s="1601"/>
      <c r="C1011" s="1601"/>
      <c r="D1011" s="1601"/>
      <c r="E1011" s="1601"/>
      <c r="F1011" s="1801"/>
      <c r="G1011" s="488">
        <f>SUM(F1008:F1010)</f>
        <v>2511</v>
      </c>
    </row>
    <row r="1012" spans="1:7" ht="14.25" hidden="1" customHeight="1">
      <c r="A1012" s="471" t="s">
        <v>1561</v>
      </c>
      <c r="B1012" s="469"/>
      <c r="C1012" s="469"/>
      <c r="D1012" s="469"/>
      <c r="E1012" s="469"/>
      <c r="F1012" s="469"/>
      <c r="G1012" s="469"/>
    </row>
    <row r="1013" spans="1:7" ht="14.25" hidden="1" customHeight="1">
      <c r="A1013" s="2054" t="s">
        <v>1556</v>
      </c>
      <c r="B1013" s="1624"/>
      <c r="C1013" s="886" t="s">
        <v>6</v>
      </c>
      <c r="D1013" s="917" t="s">
        <v>1562</v>
      </c>
      <c r="E1013" s="886" t="s">
        <v>7</v>
      </c>
      <c r="F1013" s="886" t="s">
        <v>1559</v>
      </c>
      <c r="G1013" s="880"/>
    </row>
    <row r="1014" spans="1:7" ht="14.25" hidden="1" customHeight="1">
      <c r="A1014" s="2066" t="s">
        <v>2043</v>
      </c>
      <c r="B1014" s="1967"/>
      <c r="C1014" s="489" t="s">
        <v>120</v>
      </c>
      <c r="D1014" s="969">
        <v>70500</v>
      </c>
      <c r="E1014" s="491">
        <v>0.4</v>
      </c>
      <c r="F1014" s="969">
        <f t="shared" ref="F1014:F1018" si="50">(D1014*E1014)</f>
        <v>28200</v>
      </c>
      <c r="G1014" s="970"/>
    </row>
    <row r="1015" spans="1:7" ht="14.25" hidden="1" customHeight="1">
      <c r="A1015" s="2067" t="s">
        <v>2044</v>
      </c>
      <c r="B1015" s="1611"/>
      <c r="C1015" s="493" t="s">
        <v>120</v>
      </c>
      <c r="D1015" s="982">
        <v>6100</v>
      </c>
      <c r="E1015" s="495">
        <v>4.5</v>
      </c>
      <c r="F1015" s="982">
        <f t="shared" si="50"/>
        <v>27450</v>
      </c>
      <c r="G1015" s="975"/>
    </row>
    <row r="1016" spans="1:7" ht="14.25" hidden="1" customHeight="1">
      <c r="A1016" s="2067" t="s">
        <v>2045</v>
      </c>
      <c r="B1016" s="1611"/>
      <c r="C1016" s="493" t="s">
        <v>1569</v>
      </c>
      <c r="D1016" s="982">
        <v>38000</v>
      </c>
      <c r="E1016" s="495">
        <v>0.1</v>
      </c>
      <c r="F1016" s="982">
        <f t="shared" si="50"/>
        <v>3800</v>
      </c>
      <c r="G1016" s="975"/>
    </row>
    <row r="1017" spans="1:7" ht="14.25" hidden="1" customHeight="1">
      <c r="A1017" s="2058" t="s">
        <v>2046</v>
      </c>
      <c r="B1017" s="1611"/>
      <c r="C1017" s="921" t="s">
        <v>127</v>
      </c>
      <c r="D1017" s="922">
        <v>62000</v>
      </c>
      <c r="E1017" s="953">
        <v>1</v>
      </c>
      <c r="F1017" s="982">
        <f t="shared" si="50"/>
        <v>62000</v>
      </c>
      <c r="G1017" s="483"/>
    </row>
    <row r="1018" spans="1:7" ht="16.5" hidden="1" customHeight="1">
      <c r="A1018" s="2057" t="str">
        <f>'ANALISIS BASICOS'!A36</f>
        <v xml:space="preserve">CONCRETO NORMAL - 3000 PSI (210 KG/CM2) </v>
      </c>
      <c r="B1018" s="1611"/>
      <c r="C1018" s="921" t="str">
        <f>'ANALISIS BASICOS'!E12</f>
        <v>M3</v>
      </c>
      <c r="D1018" s="922">
        <f>'ANALISIS BASICOS'!G36</f>
        <v>468441</v>
      </c>
      <c r="E1018" s="923">
        <v>0.09</v>
      </c>
      <c r="F1018" s="982">
        <f t="shared" si="50"/>
        <v>42159.689999999995</v>
      </c>
      <c r="G1018" s="483"/>
    </row>
    <row r="1019" spans="1:7" ht="14.25" hidden="1" customHeight="1">
      <c r="A1019" s="2065"/>
      <c r="B1019" s="1819"/>
      <c r="C1019" s="926"/>
      <c r="D1019" s="927"/>
      <c r="E1019" s="928"/>
      <c r="F1019" s="983"/>
      <c r="G1019" s="501"/>
    </row>
    <row r="1020" spans="1:7" ht="14.25" hidden="1" customHeight="1">
      <c r="A1020" s="2056" t="s">
        <v>1560</v>
      </c>
      <c r="B1020" s="1817"/>
      <c r="C1020" s="1817"/>
      <c r="D1020" s="1817"/>
      <c r="E1020" s="1817"/>
      <c r="F1020" s="2000"/>
      <c r="G1020" s="976">
        <f>SUM(F1014:F1019)</f>
        <v>163609.69</v>
      </c>
    </row>
    <row r="1021" spans="1:7" ht="14.25" hidden="1" customHeight="1">
      <c r="A1021" s="471" t="s">
        <v>1563</v>
      </c>
      <c r="B1021" s="469"/>
      <c r="C1021" s="469"/>
      <c r="D1021" s="469"/>
      <c r="E1021" s="469"/>
      <c r="F1021" s="469"/>
      <c r="G1021" s="977"/>
    </row>
    <row r="1022" spans="1:7" ht="14.25" hidden="1" customHeight="1">
      <c r="A1022" s="2011" t="s">
        <v>1556</v>
      </c>
      <c r="B1022" s="1801"/>
      <c r="C1022" s="474" t="s">
        <v>6</v>
      </c>
      <c r="D1022" s="474" t="s">
        <v>1562</v>
      </c>
      <c r="E1022" s="474" t="s">
        <v>7</v>
      </c>
      <c r="F1022" s="474" t="s">
        <v>1559</v>
      </c>
      <c r="G1022" s="978"/>
    </row>
    <row r="1023" spans="1:7" ht="14.25" hidden="1" customHeight="1">
      <c r="A1023" s="2060"/>
      <c r="B1023" s="1967"/>
      <c r="C1023" s="504"/>
      <c r="D1023" s="478"/>
      <c r="E1023" s="505"/>
      <c r="F1023" s="482"/>
      <c r="G1023" s="934"/>
    </row>
    <row r="1024" spans="1:7" ht="14.25" hidden="1" customHeight="1">
      <c r="A1024" s="2052"/>
      <c r="B1024" s="1819"/>
      <c r="C1024" s="504"/>
      <c r="D1024" s="506"/>
      <c r="E1024" s="507"/>
      <c r="F1024" s="506"/>
      <c r="G1024" s="976"/>
    </row>
    <row r="1025" spans="1:7" ht="14.25" hidden="1" customHeight="1">
      <c r="A1025" s="2053" t="s">
        <v>1560</v>
      </c>
      <c r="B1025" s="1601"/>
      <c r="C1025" s="1601"/>
      <c r="D1025" s="1601"/>
      <c r="E1025" s="1601"/>
      <c r="F1025" s="1801"/>
      <c r="G1025" s="979"/>
    </row>
    <row r="1026" spans="1:7" ht="14.25" hidden="1" customHeight="1">
      <c r="A1026" s="471" t="s">
        <v>1564</v>
      </c>
      <c r="B1026" s="469"/>
      <c r="C1026" s="469"/>
      <c r="D1026" s="469"/>
      <c r="E1026" s="469"/>
      <c r="F1026" s="469"/>
      <c r="G1026" s="977"/>
    </row>
    <row r="1027" spans="1:7" ht="14.25" hidden="1" customHeight="1">
      <c r="A1027" s="2054" t="s">
        <v>1565</v>
      </c>
      <c r="B1027" s="1932"/>
      <c r="C1027" s="509" t="s">
        <v>1566</v>
      </c>
      <c r="D1027" s="509" t="s">
        <v>6</v>
      </c>
      <c r="E1027" s="509" t="s">
        <v>7</v>
      </c>
      <c r="F1027" s="509" t="s">
        <v>1559</v>
      </c>
      <c r="G1027" s="978"/>
    </row>
    <row r="1028" spans="1:7" ht="14.25" hidden="1" customHeight="1">
      <c r="A1028" s="2055" t="s">
        <v>1574</v>
      </c>
      <c r="B1028" s="1967"/>
      <c r="C1028" s="510">
        <v>7410.96</v>
      </c>
      <c r="D1028" s="511">
        <v>1</v>
      </c>
      <c r="E1028" s="511">
        <v>0.56399999999999995</v>
      </c>
      <c r="F1028" s="512">
        <f t="shared" ref="F1028:F1029" si="51">(C1028*D1028)/E1028</f>
        <v>13140.000000000002</v>
      </c>
      <c r="G1028" s="934"/>
    </row>
    <row r="1029" spans="1:7" ht="14.25" hidden="1" customHeight="1">
      <c r="A1029" s="513" t="s">
        <v>1576</v>
      </c>
      <c r="B1029" s="514"/>
      <c r="C1029" s="515">
        <v>4550.79</v>
      </c>
      <c r="D1029" s="516">
        <v>3</v>
      </c>
      <c r="E1029" s="516">
        <f>E1028</f>
        <v>0.56399999999999995</v>
      </c>
      <c r="F1029" s="517">
        <f t="shared" si="51"/>
        <v>24206.329787234044</v>
      </c>
      <c r="G1029" s="742"/>
    </row>
    <row r="1030" spans="1:7" ht="14.25" hidden="1" customHeight="1">
      <c r="A1030" s="2056" t="str">
        <f>+A1025</f>
        <v>SUB-TOTAL</v>
      </c>
      <c r="B1030" s="1817"/>
      <c r="C1030" s="1817"/>
      <c r="D1030" s="1817"/>
      <c r="E1030" s="1817"/>
      <c r="F1030" s="2000"/>
      <c r="G1030" s="980">
        <f>SUM(F1028:F1029)</f>
        <v>37346.329787234048</v>
      </c>
    </row>
    <row r="1031" spans="1:7" ht="14.25" hidden="1" customHeight="1">
      <c r="A1031" s="469"/>
      <c r="B1031" s="469"/>
      <c r="C1031" s="469"/>
      <c r="D1031" s="469"/>
      <c r="E1031" s="469"/>
      <c r="F1031" s="519"/>
      <c r="G1031" s="977"/>
    </row>
    <row r="1032" spans="1:7" ht="14.25" hidden="1" customHeight="1">
      <c r="A1032" s="2053" t="s">
        <v>1567</v>
      </c>
      <c r="B1032" s="1601"/>
      <c r="C1032" s="1601"/>
      <c r="D1032" s="1601"/>
      <c r="E1032" s="1601"/>
      <c r="F1032" s="1801"/>
      <c r="G1032" s="981">
        <f>ROUND(G1011+G1020+G1025+G1030,0)</f>
        <v>203467</v>
      </c>
    </row>
    <row r="1033" spans="1:7" ht="14.25" hidden="1" customHeight="1">
      <c r="A1033" s="468"/>
      <c r="B1033" s="468"/>
      <c r="C1033" s="468"/>
      <c r="D1033" s="468"/>
      <c r="E1033" s="468"/>
      <c r="F1033" s="468"/>
      <c r="G1033" s="468"/>
    </row>
    <row r="1034" spans="1:7" ht="25.5" hidden="1" customHeight="1">
      <c r="A1034" s="2054" t="s">
        <v>1604</v>
      </c>
      <c r="B1034" s="1616"/>
      <c r="C1034" s="1624"/>
      <c r="D1034" s="879"/>
      <c r="E1034" s="879"/>
      <c r="F1034" s="879"/>
      <c r="G1034" s="880"/>
    </row>
    <row r="1035" spans="1:7" ht="25.5" hidden="1" customHeight="1">
      <c r="A1035" s="1971"/>
      <c r="B1035" s="1817"/>
      <c r="C1035" s="1972"/>
      <c r="D1035" s="881"/>
      <c r="E1035" s="881"/>
      <c r="F1035" s="881"/>
      <c r="G1035" s="882"/>
    </row>
    <row r="1036" spans="1:7" ht="14.25" hidden="1" customHeight="1">
      <c r="A1036" s="469"/>
      <c r="B1036" s="469"/>
      <c r="C1036" s="469"/>
      <c r="D1036" s="469"/>
      <c r="E1036" s="469"/>
      <c r="F1036" s="469"/>
      <c r="G1036" s="469"/>
    </row>
    <row r="1037" spans="1:7" ht="43.5" hidden="1" customHeight="1">
      <c r="A1037" s="2061" t="str">
        <f>A5</f>
        <v>PRECIOS UNITARIOS OFICIALES 2014</v>
      </c>
      <c r="B1037" s="1601"/>
      <c r="C1037" s="1602"/>
      <c r="D1037" s="2062" t="s">
        <v>2047</v>
      </c>
      <c r="E1037" s="1601"/>
      <c r="F1037" s="1601"/>
      <c r="G1037" s="1602"/>
    </row>
    <row r="1038" spans="1:7" ht="14.25" hidden="1" customHeight="1">
      <c r="A1038" s="470"/>
      <c r="B1038" s="470"/>
      <c r="C1038" s="470"/>
      <c r="D1038" s="470"/>
      <c r="E1038" s="470"/>
      <c r="F1038" s="470"/>
      <c r="G1038" s="470"/>
    </row>
    <row r="1039" spans="1:7" ht="14.25" hidden="1" customHeight="1">
      <c r="A1039" s="471"/>
      <c r="B1039" s="469"/>
      <c r="C1039" s="469"/>
      <c r="D1039" s="472" t="s">
        <v>1553</v>
      </c>
      <c r="E1039" s="473" t="s">
        <v>127</v>
      </c>
      <c r="F1039" s="883"/>
      <c r="G1039" s="883"/>
    </row>
    <row r="1040" spans="1:7" ht="14.25" hidden="1" customHeight="1">
      <c r="A1040" s="471" t="s">
        <v>1555</v>
      </c>
      <c r="B1040" s="469"/>
      <c r="C1040" s="469"/>
      <c r="D1040" s="469"/>
      <c r="E1040" s="469"/>
      <c r="F1040" s="469"/>
      <c r="G1040" s="469"/>
    </row>
    <row r="1041" spans="1:7" ht="14.25" hidden="1" customHeight="1">
      <c r="A1041" s="2011" t="s">
        <v>1556</v>
      </c>
      <c r="B1041" s="1601"/>
      <c r="C1041" s="1801"/>
      <c r="D1041" s="474" t="s">
        <v>1557</v>
      </c>
      <c r="E1041" s="474" t="s">
        <v>1558</v>
      </c>
      <c r="F1041" s="474" t="s">
        <v>1559</v>
      </c>
      <c r="G1041" s="475"/>
    </row>
    <row r="1042" spans="1:7" ht="14.25" hidden="1" customHeight="1">
      <c r="A1042" s="2060" t="s">
        <v>209</v>
      </c>
      <c r="B1042" s="1811"/>
      <c r="C1042" s="1967"/>
      <c r="D1042" s="476" t="s">
        <v>899</v>
      </c>
      <c r="E1042" s="477"/>
      <c r="F1042" s="478">
        <v>5000</v>
      </c>
      <c r="G1042" s="479"/>
    </row>
    <row r="1043" spans="1:7" ht="14.25" hidden="1" customHeight="1">
      <c r="A1043" s="2063"/>
      <c r="B1043" s="1610"/>
      <c r="C1043" s="1611"/>
      <c r="D1043" s="480"/>
      <c r="E1043" s="481"/>
      <c r="F1043" s="482"/>
      <c r="G1043" s="483"/>
    </row>
    <row r="1044" spans="1:7" ht="14.25" hidden="1" customHeight="1">
      <c r="A1044" s="2064"/>
      <c r="B1044" s="1807"/>
      <c r="C1044" s="1819"/>
      <c r="D1044" s="484"/>
      <c r="E1044" s="485"/>
      <c r="F1044" s="486"/>
      <c r="G1044" s="487"/>
    </row>
    <row r="1045" spans="1:7" ht="14.25" hidden="1" customHeight="1">
      <c r="A1045" s="2053" t="s">
        <v>1560</v>
      </c>
      <c r="B1045" s="1601"/>
      <c r="C1045" s="1601"/>
      <c r="D1045" s="1601"/>
      <c r="E1045" s="1601"/>
      <c r="F1045" s="1801"/>
      <c r="G1045" s="488">
        <f>SUM(F1042:F1044)</f>
        <v>5000</v>
      </c>
    </row>
    <row r="1046" spans="1:7" ht="14.25" hidden="1" customHeight="1">
      <c r="A1046" s="471" t="s">
        <v>1561</v>
      </c>
      <c r="B1046" s="469"/>
      <c r="C1046" s="469"/>
      <c r="D1046" s="469"/>
      <c r="E1046" s="469"/>
      <c r="F1046" s="469"/>
      <c r="G1046" s="469"/>
    </row>
    <row r="1047" spans="1:7" ht="14.25" hidden="1" customHeight="1">
      <c r="A1047" s="2011" t="s">
        <v>1556</v>
      </c>
      <c r="B1047" s="1602"/>
      <c r="C1047" s="472" t="s">
        <v>6</v>
      </c>
      <c r="D1047" s="984" t="s">
        <v>1562</v>
      </c>
      <c r="E1047" s="472" t="s">
        <v>7</v>
      </c>
      <c r="F1047" s="472" t="s">
        <v>1559</v>
      </c>
      <c r="G1047" s="985"/>
    </row>
    <row r="1048" spans="1:7" ht="14.25" hidden="1" customHeight="1">
      <c r="A1048" s="2074" t="str">
        <f>'ANALISIS BASICOS'!$A$36</f>
        <v xml:space="preserve">CONCRETO NORMAL - 3000 PSI (210 KG/CM2) </v>
      </c>
      <c r="B1048" s="1888"/>
      <c r="C1048" s="959" t="str">
        <f>'ANALISIS BASICOS'!$E$12</f>
        <v>M3</v>
      </c>
      <c r="D1048" s="960">
        <f>'ANALISIS BASICOS'!$G$36</f>
        <v>468441</v>
      </c>
      <c r="E1048" s="986">
        <v>0.192</v>
      </c>
      <c r="F1048" s="967">
        <f t="shared" ref="F1048:F1052" si="52">(D1048*E1048)</f>
        <v>89940.672000000006</v>
      </c>
      <c r="G1048" s="962"/>
    </row>
    <row r="1049" spans="1:7" ht="14.25" hidden="1" customHeight="1">
      <c r="A1049" s="2067" t="str">
        <f>'LISTADO MATERIALES'!$C$10</f>
        <v xml:space="preserve">ACERO Fy= 4200 Kg/cm2   </v>
      </c>
      <c r="B1049" s="1611"/>
      <c r="C1049" s="493" t="str">
        <f>'LISTADO MATERIALES'!$D$10</f>
        <v>KG</v>
      </c>
      <c r="D1049" s="494">
        <f>'LISTADO MATERIALES'!$E$10</f>
        <v>2800</v>
      </c>
      <c r="E1049" s="961">
        <v>5.59</v>
      </c>
      <c r="F1049" s="496">
        <f t="shared" si="52"/>
        <v>15652</v>
      </c>
      <c r="G1049" s="962"/>
    </row>
    <row r="1050" spans="1:7" ht="14.25" hidden="1" customHeight="1">
      <c r="A1050" s="2067" t="str">
        <f>'LISTADO MATERIALES'!$C$16</f>
        <v>ALAMBRE NEGRO No. 18</v>
      </c>
      <c r="B1050" s="1611"/>
      <c r="C1050" s="493" t="str">
        <f>'LISTADO MATERIALES'!$D$16</f>
        <v>KG</v>
      </c>
      <c r="D1050" s="494">
        <f>'LISTADO MATERIALES'!$E$16</f>
        <v>3150</v>
      </c>
      <c r="E1050" s="961">
        <v>0.17</v>
      </c>
      <c r="F1050" s="496">
        <f t="shared" si="52"/>
        <v>535.5</v>
      </c>
      <c r="G1050" s="962"/>
    </row>
    <row r="1051" spans="1:7" ht="14.25" hidden="1" customHeight="1">
      <c r="A1051" s="2067" t="str">
        <f>'ANALISIS BASICOS'!$A$228</f>
        <v>MORTERO 1:4</v>
      </c>
      <c r="B1051" s="1611"/>
      <c r="C1051" s="493" t="str">
        <f>'ANALISIS BASICOS'!$E$204</f>
        <v>M3</v>
      </c>
      <c r="D1051" s="494">
        <f>'ANALISIS BASICOS'!$G$228</f>
        <v>384656</v>
      </c>
      <c r="E1051" s="961">
        <v>0.14099999999999999</v>
      </c>
      <c r="F1051" s="496">
        <f t="shared" si="52"/>
        <v>54236.495999999992</v>
      </c>
      <c r="G1051" s="962"/>
    </row>
    <row r="1052" spans="1:7" ht="14.25" hidden="1" customHeight="1">
      <c r="A1052" s="2067" t="str">
        <f>'LISTADO MATERIALES'!$C$22</f>
        <v>ÁNGULO 1/8"x1"</v>
      </c>
      <c r="B1052" s="1611"/>
      <c r="C1052" s="493" t="str">
        <f>'LISTADO MATERIALES'!$D$22</f>
        <v>ML</v>
      </c>
      <c r="D1052" s="494">
        <f>'LISTADO MATERIALES'!$E$22</f>
        <v>3486</v>
      </c>
      <c r="E1052" s="961">
        <v>6.4</v>
      </c>
      <c r="F1052" s="496">
        <f t="shared" si="52"/>
        <v>22310.400000000001</v>
      </c>
      <c r="G1052" s="962"/>
    </row>
    <row r="1053" spans="1:7" ht="14.25" hidden="1" customHeight="1">
      <c r="A1053" s="2067"/>
      <c r="B1053" s="1611"/>
      <c r="C1053" s="493"/>
      <c r="D1053" s="494"/>
      <c r="E1053" s="961"/>
      <c r="F1053" s="496"/>
      <c r="G1053" s="962"/>
    </row>
    <row r="1054" spans="1:7" ht="14.25" hidden="1" customHeight="1">
      <c r="A1054" s="2067"/>
      <c r="B1054" s="1611"/>
      <c r="C1054" s="493"/>
      <c r="D1054" s="494"/>
      <c r="E1054" s="961"/>
      <c r="F1054" s="496"/>
      <c r="G1054" s="962"/>
    </row>
    <row r="1055" spans="1:7" ht="14.25" hidden="1" customHeight="1">
      <c r="A1055" s="2067"/>
      <c r="B1055" s="1611"/>
      <c r="C1055" s="493"/>
      <c r="D1055" s="494"/>
      <c r="E1055" s="961"/>
      <c r="F1055" s="496"/>
      <c r="G1055" s="962"/>
    </row>
    <row r="1056" spans="1:7" ht="14.25" hidden="1" customHeight="1">
      <c r="A1056" s="2067"/>
      <c r="B1056" s="1611"/>
      <c r="C1056" s="493"/>
      <c r="D1056" s="494"/>
      <c r="E1056" s="497"/>
      <c r="F1056" s="496"/>
      <c r="G1056" s="483"/>
    </row>
    <row r="1057" spans="1:7" ht="14.25" hidden="1" customHeight="1">
      <c r="A1057" s="2077"/>
      <c r="B1057" s="2078"/>
      <c r="C1057" s="987"/>
      <c r="D1057" s="988"/>
      <c r="E1057" s="989"/>
      <c r="F1057" s="990"/>
      <c r="G1057" s="991"/>
    </row>
    <row r="1058" spans="1:7" ht="14.25" hidden="1" customHeight="1">
      <c r="A1058" s="2053" t="s">
        <v>1560</v>
      </c>
      <c r="B1058" s="1601"/>
      <c r="C1058" s="1601"/>
      <c r="D1058" s="1601"/>
      <c r="E1058" s="1601"/>
      <c r="F1058" s="1801"/>
      <c r="G1058" s="488">
        <f>SUM(F1048:F1057)</f>
        <v>182675.068</v>
      </c>
    </row>
    <row r="1059" spans="1:7" ht="14.25" hidden="1" customHeight="1">
      <c r="A1059" s="471" t="s">
        <v>1563</v>
      </c>
      <c r="B1059" s="469"/>
      <c r="C1059" s="469"/>
      <c r="D1059" s="469"/>
      <c r="E1059" s="469"/>
      <c r="F1059" s="469"/>
      <c r="G1059" s="469"/>
    </row>
    <row r="1060" spans="1:7" ht="14.25" hidden="1" customHeight="1">
      <c r="A1060" s="2011" t="s">
        <v>1556</v>
      </c>
      <c r="B1060" s="1801"/>
      <c r="C1060" s="474" t="s">
        <v>6</v>
      </c>
      <c r="D1060" s="474" t="s">
        <v>1562</v>
      </c>
      <c r="E1060" s="474" t="s">
        <v>7</v>
      </c>
      <c r="F1060" s="474" t="s">
        <v>1559</v>
      </c>
      <c r="G1060" s="503"/>
    </row>
    <row r="1061" spans="1:7" ht="14.25" hidden="1" customHeight="1">
      <c r="A1061" s="2060"/>
      <c r="B1061" s="1967"/>
      <c r="C1061" s="504"/>
      <c r="D1061" s="478"/>
      <c r="E1061" s="505"/>
      <c r="F1061" s="482"/>
      <c r="G1061" s="479"/>
    </row>
    <row r="1062" spans="1:7" ht="14.25" hidden="1" customHeight="1">
      <c r="A1062" s="2052"/>
      <c r="B1062" s="1819"/>
      <c r="C1062" s="504"/>
      <c r="D1062" s="506"/>
      <c r="E1062" s="507"/>
      <c r="F1062" s="506"/>
      <c r="G1062" s="508"/>
    </row>
    <row r="1063" spans="1:7" ht="14.25" hidden="1" customHeight="1">
      <c r="A1063" s="2053" t="s">
        <v>1560</v>
      </c>
      <c r="B1063" s="1601"/>
      <c r="C1063" s="1601"/>
      <c r="D1063" s="1601"/>
      <c r="E1063" s="1601"/>
      <c r="F1063" s="1801"/>
      <c r="G1063" s="488"/>
    </row>
    <row r="1064" spans="1:7" ht="14.25" hidden="1" customHeight="1">
      <c r="A1064" s="471" t="s">
        <v>1564</v>
      </c>
      <c r="B1064" s="469"/>
      <c r="C1064" s="469"/>
      <c r="D1064" s="469"/>
      <c r="E1064" s="469"/>
      <c r="F1064" s="469"/>
      <c r="G1064" s="469"/>
    </row>
    <row r="1065" spans="1:7" ht="14.25" hidden="1" customHeight="1">
      <c r="A1065" s="2054" t="s">
        <v>1565</v>
      </c>
      <c r="B1065" s="1932"/>
      <c r="C1065" s="509" t="s">
        <v>1566</v>
      </c>
      <c r="D1065" s="509" t="s">
        <v>6</v>
      </c>
      <c r="E1065" s="509" t="s">
        <v>7</v>
      </c>
      <c r="F1065" s="509" t="s">
        <v>1559</v>
      </c>
      <c r="G1065" s="503"/>
    </row>
    <row r="1066" spans="1:7" ht="14.25" hidden="1" customHeight="1">
      <c r="A1066" s="2055" t="s">
        <v>1574</v>
      </c>
      <c r="B1066" s="1967"/>
      <c r="C1066" s="510">
        <v>7410.96</v>
      </c>
      <c r="D1066" s="511" t="s">
        <v>1575</v>
      </c>
      <c r="E1066" s="511">
        <v>0.3</v>
      </c>
      <c r="F1066" s="512">
        <f t="shared" ref="F1066:F1067" si="53">C1066/E1066</f>
        <v>24703.200000000001</v>
      </c>
      <c r="G1066" s="479"/>
    </row>
    <row r="1067" spans="1:7" ht="14.25" hidden="1" customHeight="1">
      <c r="A1067" s="513" t="s">
        <v>1576</v>
      </c>
      <c r="B1067" s="514"/>
      <c r="C1067" s="515">
        <v>4550.79</v>
      </c>
      <c r="D1067" s="516" t="s">
        <v>1575</v>
      </c>
      <c r="E1067" s="516">
        <f>E1066</f>
        <v>0.3</v>
      </c>
      <c r="F1067" s="517">
        <f t="shared" si="53"/>
        <v>15169.300000000001</v>
      </c>
      <c r="G1067" s="501"/>
    </row>
    <row r="1068" spans="1:7" ht="14.25" hidden="1" customHeight="1">
      <c r="A1068" s="2056" t="str">
        <f>+A1063</f>
        <v>SUB-TOTAL</v>
      </c>
      <c r="B1068" s="1817"/>
      <c r="C1068" s="1817"/>
      <c r="D1068" s="1817"/>
      <c r="E1068" s="1817"/>
      <c r="F1068" s="2000"/>
      <c r="G1068" s="518">
        <f>SUM(F1066:F1067)</f>
        <v>39872.5</v>
      </c>
    </row>
    <row r="1069" spans="1:7" ht="14.25" hidden="1" customHeight="1">
      <c r="A1069" s="469"/>
      <c r="B1069" s="469"/>
      <c r="C1069" s="469"/>
      <c r="D1069" s="469"/>
      <c r="E1069" s="469"/>
      <c r="F1069" s="519"/>
      <c r="G1069" s="469"/>
    </row>
    <row r="1070" spans="1:7" ht="14.25" hidden="1" customHeight="1">
      <c r="A1070" s="2053" t="s">
        <v>1567</v>
      </c>
      <c r="B1070" s="1601"/>
      <c r="C1070" s="1601"/>
      <c r="D1070" s="1601"/>
      <c r="E1070" s="1601"/>
      <c r="F1070" s="1801"/>
      <c r="G1070" s="520">
        <f>ROUND(G1045+G1058+G1063+G1068,0)</f>
        <v>227548</v>
      </c>
    </row>
    <row r="1073" spans="1:7" ht="23.25" hidden="1" customHeight="1">
      <c r="A1073" s="2054" t="s">
        <v>1604</v>
      </c>
      <c r="B1073" s="1616"/>
      <c r="C1073" s="1624"/>
      <c r="D1073" s="879"/>
      <c r="E1073" s="879"/>
      <c r="F1073" s="879"/>
      <c r="G1073" s="880"/>
    </row>
    <row r="1074" spans="1:7" ht="30.75" hidden="1" customHeight="1">
      <c r="A1074" s="1971"/>
      <c r="B1074" s="1817"/>
      <c r="C1074" s="1972"/>
      <c r="D1074" s="881"/>
      <c r="E1074" s="881"/>
      <c r="F1074" s="881"/>
      <c r="G1074" s="882"/>
    </row>
    <row r="1075" spans="1:7" ht="14.25" hidden="1" customHeight="1">
      <c r="A1075" s="469"/>
      <c r="B1075" s="469"/>
      <c r="C1075" s="469"/>
      <c r="D1075" s="469"/>
      <c r="E1075" s="469"/>
      <c r="F1075" s="469"/>
      <c r="G1075" s="469"/>
    </row>
    <row r="1076" spans="1:7" ht="33" hidden="1" customHeight="1">
      <c r="A1076" s="2061" t="str">
        <f>A5</f>
        <v>PRECIOS UNITARIOS OFICIALES 2014</v>
      </c>
      <c r="B1076" s="1601"/>
      <c r="C1076" s="1602"/>
      <c r="D1076" s="2062" t="s">
        <v>2048</v>
      </c>
      <c r="E1076" s="1601"/>
      <c r="F1076" s="1601"/>
      <c r="G1076" s="1602"/>
    </row>
    <row r="1077" spans="1:7" ht="14.25" hidden="1" customHeight="1">
      <c r="A1077" s="470"/>
      <c r="B1077" s="470"/>
      <c r="C1077" s="470"/>
      <c r="D1077" s="470"/>
      <c r="E1077" s="470"/>
      <c r="F1077" s="470"/>
      <c r="G1077" s="470"/>
    </row>
    <row r="1078" spans="1:7" ht="14.25" hidden="1" customHeight="1">
      <c r="A1078" s="471"/>
      <c r="B1078" s="469"/>
      <c r="C1078" s="469"/>
      <c r="D1078" s="472" t="s">
        <v>1553</v>
      </c>
      <c r="E1078" s="473" t="s">
        <v>228</v>
      </c>
      <c r="F1078" s="883"/>
      <c r="G1078" s="883"/>
    </row>
    <row r="1079" spans="1:7" ht="14.25" hidden="1" customHeight="1">
      <c r="A1079" s="471" t="s">
        <v>1555</v>
      </c>
      <c r="B1079" s="469"/>
      <c r="C1079" s="469"/>
      <c r="D1079" s="469"/>
      <c r="E1079" s="469"/>
      <c r="F1079" s="469"/>
      <c r="G1079" s="469"/>
    </row>
    <row r="1080" spans="1:7" ht="14.25" hidden="1" customHeight="1">
      <c r="A1080" s="2011" t="s">
        <v>1556</v>
      </c>
      <c r="B1080" s="1601"/>
      <c r="C1080" s="1801"/>
      <c r="D1080" s="474" t="s">
        <v>1557</v>
      </c>
      <c r="E1080" s="474" t="s">
        <v>1558</v>
      </c>
      <c r="F1080" s="474" t="s">
        <v>1559</v>
      </c>
      <c r="G1080" s="475"/>
    </row>
    <row r="1081" spans="1:7" ht="14.25" hidden="1" customHeight="1">
      <c r="A1081" s="2060" t="s">
        <v>209</v>
      </c>
      <c r="B1081" s="1811"/>
      <c r="C1081" s="1967"/>
      <c r="D1081" s="476" t="s">
        <v>899</v>
      </c>
      <c r="E1081" s="477"/>
      <c r="F1081" s="478">
        <v>200</v>
      </c>
      <c r="G1081" s="479"/>
    </row>
    <row r="1082" spans="1:7" ht="14.25" hidden="1" customHeight="1">
      <c r="A1082" s="2063"/>
      <c r="B1082" s="1610"/>
      <c r="C1082" s="1611"/>
      <c r="D1082" s="480"/>
      <c r="E1082" s="481"/>
      <c r="F1082" s="482"/>
      <c r="G1082" s="483"/>
    </row>
    <row r="1083" spans="1:7" ht="14.25" hidden="1" customHeight="1">
      <c r="A1083" s="2064"/>
      <c r="B1083" s="1807"/>
      <c r="C1083" s="1819"/>
      <c r="D1083" s="484"/>
      <c r="E1083" s="485"/>
      <c r="F1083" s="486"/>
      <c r="G1083" s="487"/>
    </row>
    <row r="1084" spans="1:7" ht="14.25" hidden="1" customHeight="1">
      <c r="A1084" s="2053" t="s">
        <v>1560</v>
      </c>
      <c r="B1084" s="1601"/>
      <c r="C1084" s="1601"/>
      <c r="D1084" s="1601"/>
      <c r="E1084" s="1601"/>
      <c r="F1084" s="1801"/>
      <c r="G1084" s="488">
        <f>SUM(F1081:F1083)</f>
        <v>200</v>
      </c>
    </row>
    <row r="1085" spans="1:7" ht="14.25" hidden="1" customHeight="1">
      <c r="A1085" s="471" t="s">
        <v>1561</v>
      </c>
      <c r="B1085" s="469"/>
      <c r="C1085" s="469"/>
      <c r="D1085" s="469"/>
      <c r="E1085" s="469"/>
      <c r="F1085" s="469"/>
      <c r="G1085" s="469"/>
    </row>
    <row r="1086" spans="1:7" ht="14.25" hidden="1" customHeight="1">
      <c r="A1086" s="2054" t="s">
        <v>1556</v>
      </c>
      <c r="B1086" s="1624"/>
      <c r="C1086" s="886" t="s">
        <v>6</v>
      </c>
      <c r="D1086" s="917" t="s">
        <v>1562</v>
      </c>
      <c r="E1086" s="886" t="s">
        <v>7</v>
      </c>
      <c r="F1086" s="886" t="s">
        <v>1559</v>
      </c>
      <c r="G1086" s="880"/>
    </row>
    <row r="1087" spans="1:7" ht="14.25" hidden="1" customHeight="1">
      <c r="A1087" s="2067" t="str">
        <f>'LISTADO MATERIALES'!C401</f>
        <v>VIDRIO 4mm</v>
      </c>
      <c r="B1087" s="1611"/>
      <c r="C1087" s="493" t="str">
        <f>'LISTADO MATERIALES'!D401</f>
        <v>M2</v>
      </c>
      <c r="D1087" s="494">
        <f>'LISTADO MATERIALES'!E401</f>
        <v>22050</v>
      </c>
      <c r="E1087" s="491">
        <v>1</v>
      </c>
      <c r="F1087" s="492">
        <f t="shared" ref="F1087:F1088" si="54">D1087*E1087</f>
        <v>22050</v>
      </c>
      <c r="G1087" s="479"/>
    </row>
    <row r="1088" spans="1:7" ht="14.25" hidden="1" customHeight="1">
      <c r="A1088" s="2067" t="str">
        <f>'LISTADO MATERIALES'!C761</f>
        <v>SILICONA</v>
      </c>
      <c r="B1088" s="1611"/>
      <c r="C1088" s="493" t="s">
        <v>1873</v>
      </c>
      <c r="D1088" s="494">
        <f>'LISTADO MATERIALES'!E761</f>
        <v>9975</v>
      </c>
      <c r="E1088" s="961">
        <v>0.25</v>
      </c>
      <c r="F1088" s="492">
        <f t="shared" si="54"/>
        <v>2493.75</v>
      </c>
      <c r="G1088" s="962"/>
    </row>
    <row r="1089" spans="1:7" ht="14.25" hidden="1" customHeight="1">
      <c r="A1089" s="2067"/>
      <c r="B1089" s="1611"/>
      <c r="C1089" s="493"/>
      <c r="D1089" s="494"/>
      <c r="E1089" s="961"/>
      <c r="F1089" s="496"/>
      <c r="G1089" s="962"/>
    </row>
    <row r="1090" spans="1:7" ht="14.25" hidden="1" customHeight="1">
      <c r="A1090" s="2067"/>
      <c r="B1090" s="1611"/>
      <c r="C1090" s="493"/>
      <c r="D1090" s="494"/>
      <c r="E1090" s="961"/>
      <c r="F1090" s="496"/>
      <c r="G1090" s="962"/>
    </row>
    <row r="1091" spans="1:7" ht="14.25" hidden="1" customHeight="1">
      <c r="A1091" s="2067"/>
      <c r="B1091" s="1611"/>
      <c r="C1091" s="493"/>
      <c r="D1091" s="494"/>
      <c r="E1091" s="497"/>
      <c r="F1091" s="496"/>
      <c r="G1091" s="483"/>
    </row>
    <row r="1092" spans="1:7" ht="14.25" hidden="1" customHeight="1">
      <c r="A1092" s="2057"/>
      <c r="B1092" s="1611"/>
      <c r="C1092" s="493"/>
      <c r="D1092" s="494"/>
      <c r="E1092" s="965"/>
      <c r="F1092" s="496"/>
      <c r="G1092" s="483"/>
    </row>
    <row r="1093" spans="1:7" ht="14.25" hidden="1" customHeight="1">
      <c r="A1093" s="2056" t="s">
        <v>1560</v>
      </c>
      <c r="B1093" s="1817"/>
      <c r="C1093" s="1817"/>
      <c r="D1093" s="1817"/>
      <c r="E1093" s="1817"/>
      <c r="F1093" s="2000"/>
      <c r="G1093" s="502">
        <f>SUM(F1087:F1092)</f>
        <v>24543.75</v>
      </c>
    </row>
    <row r="1094" spans="1:7" ht="14.25" hidden="1" customHeight="1">
      <c r="A1094" s="471" t="s">
        <v>1563</v>
      </c>
      <c r="B1094" s="469"/>
      <c r="C1094" s="469"/>
      <c r="D1094" s="469"/>
      <c r="E1094" s="469"/>
      <c r="F1094" s="469"/>
      <c r="G1094" s="469"/>
    </row>
    <row r="1095" spans="1:7" ht="14.25" hidden="1" customHeight="1">
      <c r="A1095" s="2011" t="s">
        <v>1556</v>
      </c>
      <c r="B1095" s="1801"/>
      <c r="C1095" s="474" t="s">
        <v>6</v>
      </c>
      <c r="D1095" s="474" t="s">
        <v>1562</v>
      </c>
      <c r="E1095" s="474" t="s">
        <v>7</v>
      </c>
      <c r="F1095" s="474" t="s">
        <v>1559</v>
      </c>
      <c r="G1095" s="503"/>
    </row>
    <row r="1096" spans="1:7" ht="14.25" hidden="1" customHeight="1">
      <c r="A1096" s="2060" t="s">
        <v>2049</v>
      </c>
      <c r="B1096" s="1967"/>
      <c r="C1096" s="504" t="s">
        <v>1569</v>
      </c>
      <c r="D1096" s="478"/>
      <c r="E1096" s="505"/>
      <c r="F1096" s="482"/>
      <c r="G1096" s="479"/>
    </row>
    <row r="1097" spans="1:7" ht="14.25" hidden="1" customHeight="1">
      <c r="A1097" s="2052"/>
      <c r="B1097" s="1819"/>
      <c r="C1097" s="504"/>
      <c r="D1097" s="506"/>
      <c r="E1097" s="507"/>
      <c r="F1097" s="506"/>
      <c r="G1097" s="508"/>
    </row>
    <row r="1098" spans="1:7" ht="14.25" hidden="1" customHeight="1">
      <c r="A1098" s="2053" t="s">
        <v>1560</v>
      </c>
      <c r="B1098" s="1601"/>
      <c r="C1098" s="1601"/>
      <c r="D1098" s="1601"/>
      <c r="E1098" s="1601"/>
      <c r="F1098" s="1801"/>
      <c r="G1098" s="488"/>
    </row>
    <row r="1099" spans="1:7" ht="14.25" hidden="1" customHeight="1">
      <c r="A1099" s="471" t="s">
        <v>1564</v>
      </c>
      <c r="B1099" s="469"/>
      <c r="C1099" s="469"/>
      <c r="D1099" s="469"/>
      <c r="E1099" s="469"/>
      <c r="F1099" s="469"/>
      <c r="G1099" s="469"/>
    </row>
    <row r="1100" spans="1:7" ht="14.25" hidden="1" customHeight="1">
      <c r="A1100" s="2054" t="s">
        <v>1565</v>
      </c>
      <c r="B1100" s="1932"/>
      <c r="C1100" s="509" t="s">
        <v>1566</v>
      </c>
      <c r="D1100" s="509" t="s">
        <v>6</v>
      </c>
      <c r="E1100" s="509" t="s">
        <v>7</v>
      </c>
      <c r="F1100" s="509" t="s">
        <v>1559</v>
      </c>
      <c r="G1100" s="503"/>
    </row>
    <row r="1101" spans="1:7" ht="14.25" hidden="1" customHeight="1">
      <c r="A1101" s="2055" t="s">
        <v>1574</v>
      </c>
      <c r="B1101" s="1967"/>
      <c r="C1101" s="510">
        <v>7410.96</v>
      </c>
      <c r="D1101" s="511" t="s">
        <v>1575</v>
      </c>
      <c r="E1101" s="511">
        <v>1.3</v>
      </c>
      <c r="F1101" s="512">
        <f t="shared" ref="F1101:F1102" si="55">C1101/E1101</f>
        <v>5700.7384615384617</v>
      </c>
      <c r="G1101" s="479"/>
    </row>
    <row r="1102" spans="1:7" ht="14.25" hidden="1" customHeight="1">
      <c r="A1102" s="513" t="s">
        <v>1576</v>
      </c>
      <c r="B1102" s="514"/>
      <c r="C1102" s="515">
        <v>4550.79</v>
      </c>
      <c r="D1102" s="516" t="s">
        <v>1575</v>
      </c>
      <c r="E1102" s="516">
        <f>E1101</f>
        <v>1.3</v>
      </c>
      <c r="F1102" s="517">
        <f t="shared" si="55"/>
        <v>3500.6076923076921</v>
      </c>
      <c r="G1102" s="501"/>
    </row>
    <row r="1103" spans="1:7" ht="14.25" hidden="1" customHeight="1">
      <c r="A1103" s="2056" t="str">
        <f>+A1098</f>
        <v>SUB-TOTAL</v>
      </c>
      <c r="B1103" s="1817"/>
      <c r="C1103" s="1817"/>
      <c r="D1103" s="1817"/>
      <c r="E1103" s="1817"/>
      <c r="F1103" s="2000"/>
      <c r="G1103" s="518">
        <f>SUM(F1101:F1102)</f>
        <v>9201.3461538461543</v>
      </c>
    </row>
    <row r="1105" spans="1:7" ht="14.25" hidden="1" customHeight="1">
      <c r="A1105" s="2053" t="s">
        <v>1567</v>
      </c>
      <c r="B1105" s="1601"/>
      <c r="C1105" s="1601"/>
      <c r="D1105" s="1601"/>
      <c r="E1105" s="1601"/>
      <c r="F1105" s="1801"/>
      <c r="G1105" s="520">
        <f>ROUND(G1084+G1093+G1098+G1103,0)</f>
        <v>33945</v>
      </c>
    </row>
    <row r="1106" spans="1:7" ht="14.25" hidden="1" customHeight="1">
      <c r="A1106" s="468"/>
      <c r="B1106" s="468"/>
      <c r="C1106" s="468"/>
      <c r="D1106" s="468"/>
      <c r="E1106" s="468"/>
      <c r="F1106" s="468"/>
      <c r="G1106" s="468"/>
    </row>
    <row r="1107" spans="1:7" ht="14.25" hidden="1" customHeight="1">
      <c r="A1107" s="468"/>
      <c r="B1107" s="468"/>
      <c r="C1107" s="468"/>
      <c r="D1107" s="468"/>
      <c r="E1107" s="468"/>
      <c r="F1107" s="468"/>
      <c r="G1107" s="468"/>
    </row>
    <row r="1108" spans="1:7" ht="13.5" hidden="1" customHeight="1">
      <c r="A1108" s="1994" t="e">
        <f>+'ANALISIS BASICOS'!$A$7</f>
        <v>#REF!</v>
      </c>
      <c r="B1108" s="1616"/>
      <c r="C1108" s="1624"/>
      <c r="D1108" s="2069"/>
      <c r="E1108" s="1616"/>
      <c r="F1108" s="1616"/>
      <c r="G1108" s="1624"/>
    </row>
    <row r="1109" spans="1:7" ht="39" hidden="1" customHeight="1">
      <c r="A1109" s="1971"/>
      <c r="B1109" s="1817"/>
      <c r="C1109" s="1972"/>
      <c r="D1109" s="1971"/>
      <c r="E1109" s="1817"/>
      <c r="F1109" s="1817"/>
      <c r="G1109" s="1972"/>
    </row>
    <row r="1110" spans="1:7" ht="14.25" hidden="1" customHeight="1">
      <c r="A1110" s="469"/>
      <c r="B1110" s="469"/>
      <c r="C1110" s="469"/>
      <c r="D1110" s="469"/>
      <c r="E1110" s="469"/>
      <c r="F1110" s="469"/>
      <c r="G1110" s="469"/>
    </row>
    <row r="1111" spans="1:7" ht="53.25" hidden="1" customHeight="1">
      <c r="A1111" s="2070" t="e">
        <f ca="1">+A1147</f>
        <v>#NAME?</v>
      </c>
      <c r="B1111" s="1601"/>
      <c r="C1111" s="1602"/>
      <c r="D1111" s="2062" t="s">
        <v>2050</v>
      </c>
      <c r="E1111" s="1601"/>
      <c r="F1111" s="1601"/>
      <c r="G1111" s="1602"/>
    </row>
    <row r="1112" spans="1:7" ht="14.25" hidden="1" customHeight="1">
      <c r="A1112" s="470"/>
      <c r="B1112" s="470"/>
      <c r="C1112" s="470"/>
      <c r="D1112" s="470"/>
      <c r="E1112" s="470"/>
      <c r="F1112" s="470"/>
      <c r="G1112" s="470"/>
    </row>
    <row r="1113" spans="1:7" ht="14.25" hidden="1" customHeight="1">
      <c r="A1113" s="471"/>
      <c r="B1113" s="469"/>
      <c r="C1113" s="469"/>
      <c r="D1113" s="472" t="s">
        <v>1553</v>
      </c>
      <c r="E1113" s="473" t="s">
        <v>1614</v>
      </c>
      <c r="F1113" s="421" t="s">
        <v>1554</v>
      </c>
      <c r="G1113" s="422" t="s">
        <v>479</v>
      </c>
    </row>
    <row r="1114" spans="1:7" ht="14.25" hidden="1" customHeight="1">
      <c r="A1114" s="471" t="s">
        <v>1555</v>
      </c>
      <c r="B1114" s="469"/>
      <c r="C1114" s="469"/>
      <c r="D1114" s="469"/>
      <c r="E1114" s="469"/>
      <c r="F1114" s="469"/>
      <c r="G1114" s="469"/>
    </row>
    <row r="1115" spans="1:7" ht="14.25" hidden="1" customHeight="1">
      <c r="A1115" s="2011" t="s">
        <v>1556</v>
      </c>
      <c r="B1115" s="1601"/>
      <c r="C1115" s="1801"/>
      <c r="D1115" s="474" t="s">
        <v>1557</v>
      </c>
      <c r="E1115" s="474" t="s">
        <v>1558</v>
      </c>
      <c r="F1115" s="474" t="s">
        <v>1559</v>
      </c>
      <c r="G1115" s="475"/>
    </row>
    <row r="1116" spans="1:7" ht="14.25" hidden="1" customHeight="1">
      <c r="A1116" s="2060" t="s">
        <v>2010</v>
      </c>
      <c r="B1116" s="1811"/>
      <c r="C1116" s="1967"/>
      <c r="D1116" s="478">
        <f>+'LISTADO EQUIPOS'!$E$22/8</f>
        <v>2850</v>
      </c>
      <c r="E1116" s="477">
        <f>+E1136</f>
        <v>9.0753330530078213E-4</v>
      </c>
      <c r="F1116" s="478">
        <f>D1116*E1116</f>
        <v>2.5864699201072292</v>
      </c>
      <c r="G1116" s="479"/>
    </row>
    <row r="1117" spans="1:7" ht="14.25" hidden="1" customHeight="1">
      <c r="A1117" s="2063"/>
      <c r="B1117" s="1610"/>
      <c r="C1117" s="1611"/>
      <c r="D1117" s="480"/>
      <c r="E1117" s="481"/>
      <c r="F1117" s="482"/>
      <c r="G1117" s="483"/>
    </row>
    <row r="1118" spans="1:7" ht="14.25" hidden="1" customHeight="1">
      <c r="A1118" s="2064"/>
      <c r="B1118" s="1807"/>
      <c r="C1118" s="1819"/>
      <c r="D1118" s="484"/>
      <c r="E1118" s="485"/>
      <c r="F1118" s="486"/>
      <c r="G1118" s="487"/>
    </row>
    <row r="1119" spans="1:7" ht="14.25" hidden="1" customHeight="1">
      <c r="A1119" s="2053" t="s">
        <v>1560</v>
      </c>
      <c r="B1119" s="1601"/>
      <c r="C1119" s="1601"/>
      <c r="D1119" s="1601"/>
      <c r="E1119" s="1601"/>
      <c r="F1119" s="1801"/>
      <c r="G1119" s="488">
        <f>SUM(F1116:F1118)</f>
        <v>2.5864699201072292</v>
      </c>
    </row>
    <row r="1120" spans="1:7" ht="14.25" hidden="1" customHeight="1">
      <c r="A1120" s="471" t="s">
        <v>1561</v>
      </c>
      <c r="B1120" s="469"/>
      <c r="C1120" s="469"/>
      <c r="D1120" s="469"/>
      <c r="E1120" s="469"/>
      <c r="F1120" s="469"/>
      <c r="G1120" s="469"/>
    </row>
    <row r="1121" spans="1:7" ht="14.25" hidden="1" customHeight="1">
      <c r="A1121" s="2011" t="s">
        <v>1556</v>
      </c>
      <c r="B1121" s="1801"/>
      <c r="C1121" s="474" t="s">
        <v>6</v>
      </c>
      <c r="D1121" s="474" t="s">
        <v>1562</v>
      </c>
      <c r="E1121" s="474" t="s">
        <v>7</v>
      </c>
      <c r="F1121" s="474" t="s">
        <v>1559</v>
      </c>
      <c r="G1121" s="475"/>
    </row>
    <row r="1122" spans="1:7" ht="14.25" hidden="1" customHeight="1">
      <c r="A1122" s="2066" t="s">
        <v>2051</v>
      </c>
      <c r="B1122" s="1967"/>
      <c r="C1122" s="489" t="s">
        <v>1614</v>
      </c>
      <c r="D1122" s="490">
        <v>32450000</v>
      </c>
      <c r="E1122" s="491">
        <v>1</v>
      </c>
      <c r="F1122" s="492">
        <f>D1122*E1122</f>
        <v>32450000</v>
      </c>
      <c r="G1122" s="479"/>
    </row>
    <row r="1123" spans="1:7" ht="14.25" hidden="1" customHeight="1">
      <c r="A1123" s="2067"/>
      <c r="B1123" s="1611"/>
      <c r="C1123" s="493"/>
      <c r="D1123" s="494"/>
      <c r="E1123" s="966"/>
      <c r="F1123" s="496"/>
      <c r="G1123" s="483"/>
    </row>
    <row r="1124" spans="1:7" ht="14.25" hidden="1" customHeight="1">
      <c r="A1124" s="2067"/>
      <c r="B1124" s="1611"/>
      <c r="C1124" s="493"/>
      <c r="D1124" s="494"/>
      <c r="E1124" s="966"/>
      <c r="F1124" s="496"/>
      <c r="G1124" s="483"/>
    </row>
    <row r="1125" spans="1:7" ht="14.25" hidden="1" customHeight="1">
      <c r="A1125" s="2067"/>
      <c r="B1125" s="1611"/>
      <c r="C1125" s="493"/>
      <c r="D1125" s="494"/>
      <c r="E1125" s="966"/>
      <c r="F1125" s="496"/>
      <c r="G1125" s="483"/>
    </row>
    <row r="1126" spans="1:7" ht="14.25" hidden="1" customHeight="1">
      <c r="A1126" s="2067"/>
      <c r="B1126" s="1611"/>
      <c r="C1126" s="493"/>
      <c r="D1126" s="494"/>
      <c r="E1126" s="497"/>
      <c r="F1126" s="496"/>
      <c r="G1126" s="483"/>
    </row>
    <row r="1127" spans="1:7" ht="14.25" hidden="1" customHeight="1">
      <c r="A1127" s="2065"/>
      <c r="B1127" s="1819"/>
      <c r="C1127" s="498"/>
      <c r="D1127" s="499"/>
      <c r="E1127" s="500"/>
      <c r="F1127" s="486"/>
      <c r="G1127" s="501"/>
    </row>
    <row r="1128" spans="1:7" ht="14.25" hidden="1" customHeight="1">
      <c r="A1128" s="2056" t="s">
        <v>1560</v>
      </c>
      <c r="B1128" s="1817"/>
      <c r="C1128" s="1817"/>
      <c r="D1128" s="1817"/>
      <c r="E1128" s="1817"/>
      <c r="F1128" s="2000"/>
      <c r="G1128" s="502">
        <f>SUM(F1122:F1127)</f>
        <v>32450000</v>
      </c>
    </row>
    <row r="1129" spans="1:7" ht="14.25" hidden="1" customHeight="1">
      <c r="A1129" s="471" t="s">
        <v>1563</v>
      </c>
      <c r="B1129" s="469"/>
      <c r="C1129" s="469"/>
      <c r="D1129" s="469"/>
      <c r="E1129" s="469"/>
      <c r="F1129" s="469"/>
      <c r="G1129" s="469"/>
    </row>
    <row r="1130" spans="1:7" ht="14.25" hidden="1" customHeight="1">
      <c r="A1130" s="2011" t="s">
        <v>1556</v>
      </c>
      <c r="B1130" s="1801"/>
      <c r="C1130" s="474" t="s">
        <v>6</v>
      </c>
      <c r="D1130" s="474" t="s">
        <v>1562</v>
      </c>
      <c r="E1130" s="474" t="s">
        <v>7</v>
      </c>
      <c r="F1130" s="474" t="s">
        <v>1559</v>
      </c>
      <c r="G1130" s="503"/>
    </row>
    <row r="1131" spans="1:7" ht="14.25" hidden="1" customHeight="1">
      <c r="A1131" s="2060" t="s">
        <v>2049</v>
      </c>
      <c r="B1131" s="1967"/>
      <c r="C1131" s="504" t="s">
        <v>1569</v>
      </c>
      <c r="D1131" s="478"/>
      <c r="E1131" s="505"/>
      <c r="F1131" s="482"/>
      <c r="G1131" s="479"/>
    </row>
    <row r="1132" spans="1:7" ht="14.25" hidden="1" customHeight="1">
      <c r="A1132" s="2052"/>
      <c r="B1132" s="1819"/>
      <c r="C1132" s="504"/>
      <c r="D1132" s="506"/>
      <c r="E1132" s="507"/>
      <c r="F1132" s="506"/>
      <c r="G1132" s="508"/>
    </row>
    <row r="1133" spans="1:7" ht="14.25" hidden="1" customHeight="1">
      <c r="A1133" s="2053" t="s">
        <v>1560</v>
      </c>
      <c r="B1133" s="1601"/>
      <c r="C1133" s="1601"/>
      <c r="D1133" s="1601"/>
      <c r="E1133" s="1601"/>
      <c r="F1133" s="1801"/>
      <c r="G1133" s="488"/>
    </row>
    <row r="1134" spans="1:7" ht="14.25" hidden="1" customHeight="1">
      <c r="A1134" s="471" t="s">
        <v>1564</v>
      </c>
      <c r="B1134" s="469"/>
      <c r="C1134" s="469"/>
      <c r="D1134" s="469"/>
      <c r="E1134" s="469"/>
      <c r="F1134" s="469"/>
      <c r="G1134" s="469"/>
    </row>
    <row r="1135" spans="1:7" ht="14.25" hidden="1" customHeight="1">
      <c r="A1135" s="2054" t="s">
        <v>1565</v>
      </c>
      <c r="B1135" s="1932"/>
      <c r="C1135" s="509" t="s">
        <v>1566</v>
      </c>
      <c r="D1135" s="509" t="s">
        <v>6</v>
      </c>
      <c r="E1135" s="509" t="s">
        <v>7</v>
      </c>
      <c r="F1135" s="509" t="s">
        <v>1559</v>
      </c>
      <c r="G1135" s="503"/>
    </row>
    <row r="1136" spans="1:7" ht="14.25" hidden="1" customHeight="1">
      <c r="A1136" s="2055" t="s">
        <v>1574</v>
      </c>
      <c r="B1136" s="1967"/>
      <c r="C1136" s="510">
        <f>+'MANO DE OBRA'!$E$64</f>
        <v>15031.25</v>
      </c>
      <c r="D1136" s="511" t="s">
        <v>1575</v>
      </c>
      <c r="E1136" s="511">
        <v>9.0753330530078213E-4</v>
      </c>
      <c r="F1136" s="512">
        <f t="shared" ref="F1136:F1137" si="56">C1136/E1136</f>
        <v>16562753.027579764</v>
      </c>
      <c r="G1136" s="479"/>
    </row>
    <row r="1137" spans="1:7" ht="16.5" hidden="1" customHeight="1">
      <c r="A1137" s="513" t="s">
        <v>1576</v>
      </c>
      <c r="B1137" s="514"/>
      <c r="C1137" s="515">
        <f>+'MANO DE OBRA'!$E$65</f>
        <v>10972.8125</v>
      </c>
      <c r="D1137" s="516" t="s">
        <v>1575</v>
      </c>
      <c r="E1137" s="516">
        <f>E1136</f>
        <v>9.0753330530078213E-4</v>
      </c>
      <c r="F1137" s="517">
        <f t="shared" si="56"/>
        <v>12090809.710133228</v>
      </c>
      <c r="G1137" s="501"/>
    </row>
    <row r="1138" spans="1:7" ht="14.25" hidden="1" customHeight="1">
      <c r="A1138" s="2056" t="str">
        <f>+A1133</f>
        <v>SUB-TOTAL</v>
      </c>
      <c r="B1138" s="1817"/>
      <c r="C1138" s="1817"/>
      <c r="D1138" s="1817"/>
      <c r="E1138" s="1817"/>
      <c r="F1138" s="2000"/>
      <c r="G1138" s="518">
        <f>SUM(F1136:F1137)</f>
        <v>28653562.737712994</v>
      </c>
    </row>
    <row r="1139" spans="1:7" ht="14.25" hidden="1" customHeight="1">
      <c r="A1139" s="469"/>
      <c r="B1139" s="469"/>
      <c r="C1139" s="469"/>
      <c r="D1139" s="469"/>
      <c r="E1139" s="469"/>
      <c r="F1139" s="519"/>
      <c r="G1139" s="469"/>
    </row>
    <row r="1140" spans="1:7" ht="14.25" hidden="1" customHeight="1">
      <c r="A1140" s="2053" t="s">
        <v>1567</v>
      </c>
      <c r="B1140" s="1601"/>
      <c r="C1140" s="1601"/>
      <c r="D1140" s="1601"/>
      <c r="E1140" s="1601"/>
      <c r="F1140" s="1801"/>
      <c r="G1140" s="520">
        <f>ROUND(G1119+G1128+G1133+G1138,0)</f>
        <v>61103565</v>
      </c>
    </row>
    <row r="1141" spans="1:7" ht="14.25" hidden="1" customHeight="1">
      <c r="A1141" s="468"/>
      <c r="B1141" s="468"/>
      <c r="C1141" s="468"/>
      <c r="D1141" s="468"/>
      <c r="E1141" s="468" t="s">
        <v>1206</v>
      </c>
      <c r="F1141" s="468"/>
      <c r="G1141" s="468"/>
    </row>
    <row r="1142" spans="1:7" ht="14.25" hidden="1" customHeight="1"/>
    <row r="1143" spans="1:7" ht="14.25" hidden="1" customHeight="1">
      <c r="A1143" s="468"/>
      <c r="B1143" s="468"/>
      <c r="C1143" s="468"/>
      <c r="D1143" s="468"/>
      <c r="E1143" s="468"/>
      <c r="F1143" s="468"/>
      <c r="G1143" s="468"/>
    </row>
    <row r="1144" spans="1:7" ht="13.5" hidden="1" customHeight="1">
      <c r="A1144" s="1994" t="e">
        <f>+'ANALISIS BASICOS'!$A$7</f>
        <v>#REF!</v>
      </c>
      <c r="B1144" s="1616"/>
      <c r="C1144" s="1624"/>
      <c r="D1144" s="2069"/>
      <c r="E1144" s="1616"/>
      <c r="F1144" s="1616"/>
      <c r="G1144" s="1624"/>
    </row>
    <row r="1145" spans="1:7" ht="42.75" hidden="1" customHeight="1">
      <c r="A1145" s="1971"/>
      <c r="B1145" s="1817"/>
      <c r="C1145" s="1972"/>
      <c r="D1145" s="1971"/>
      <c r="E1145" s="1817"/>
      <c r="F1145" s="1817"/>
      <c r="G1145" s="1972"/>
    </row>
    <row r="1146" spans="1:7" ht="14.25" hidden="1" customHeight="1">
      <c r="A1146" s="469"/>
      <c r="B1146" s="469"/>
      <c r="C1146" s="469"/>
      <c r="D1146" s="469"/>
      <c r="E1146" s="469"/>
      <c r="F1146" s="469"/>
      <c r="G1146" s="469"/>
    </row>
    <row r="1147" spans="1:7" ht="40.5" hidden="1" customHeight="1">
      <c r="A1147" s="2070" t="e">
        <f ca="1">+A1182</f>
        <v>#NAME?</v>
      </c>
      <c r="B1147" s="1601"/>
      <c r="C1147" s="1602"/>
      <c r="D1147" s="2062" t="s">
        <v>2052</v>
      </c>
      <c r="E1147" s="1601"/>
      <c r="F1147" s="1601"/>
      <c r="G1147" s="1602"/>
    </row>
    <row r="1148" spans="1:7" ht="14.25" hidden="1" customHeight="1">
      <c r="A1148" s="470"/>
      <c r="B1148" s="470"/>
      <c r="C1148" s="470"/>
      <c r="D1148" s="470"/>
      <c r="E1148" s="470"/>
      <c r="F1148" s="470"/>
      <c r="G1148" s="470"/>
    </row>
    <row r="1149" spans="1:7" ht="14.25" hidden="1" customHeight="1">
      <c r="A1149" s="471"/>
      <c r="B1149" s="469"/>
      <c r="C1149" s="469"/>
      <c r="D1149" s="472" t="s">
        <v>1553</v>
      </c>
      <c r="E1149" s="473" t="s">
        <v>127</v>
      </c>
      <c r="F1149" s="421" t="s">
        <v>1554</v>
      </c>
      <c r="G1149" s="422" t="s">
        <v>128</v>
      </c>
    </row>
    <row r="1150" spans="1:7" ht="14.25" hidden="1" customHeight="1">
      <c r="A1150" s="471" t="s">
        <v>1555</v>
      </c>
      <c r="B1150" s="469"/>
      <c r="C1150" s="469"/>
      <c r="D1150" s="469"/>
      <c r="E1150" s="469"/>
      <c r="F1150" s="469"/>
      <c r="G1150" s="469"/>
    </row>
    <row r="1151" spans="1:7" ht="14.25" hidden="1" customHeight="1">
      <c r="A1151" s="2011" t="s">
        <v>1556</v>
      </c>
      <c r="B1151" s="1601"/>
      <c r="C1151" s="1801"/>
      <c r="D1151" s="474" t="s">
        <v>1557</v>
      </c>
      <c r="E1151" s="474" t="s">
        <v>1558</v>
      </c>
      <c r="F1151" s="474" t="s">
        <v>1559</v>
      </c>
      <c r="G1151" s="475"/>
    </row>
    <row r="1152" spans="1:7" ht="14.25" hidden="1" customHeight="1">
      <c r="A1152" s="2060" t="s">
        <v>209</v>
      </c>
      <c r="B1152" s="1811"/>
      <c r="C1152" s="1967"/>
      <c r="D1152" s="476" t="s">
        <v>899</v>
      </c>
      <c r="E1152" s="477"/>
      <c r="F1152" s="478">
        <v>600</v>
      </c>
      <c r="G1152" s="479"/>
    </row>
    <row r="1153" spans="1:7" ht="14.25" hidden="1" customHeight="1">
      <c r="A1153" s="2063"/>
      <c r="B1153" s="1610"/>
      <c r="C1153" s="1611"/>
      <c r="D1153" s="480"/>
      <c r="E1153" s="481"/>
      <c r="F1153" s="482"/>
      <c r="G1153" s="483"/>
    </row>
    <row r="1154" spans="1:7" ht="14.25" hidden="1" customHeight="1">
      <c r="A1154" s="2064"/>
      <c r="B1154" s="1807"/>
      <c r="C1154" s="1819"/>
      <c r="D1154" s="484"/>
      <c r="E1154" s="485"/>
      <c r="F1154" s="486"/>
      <c r="G1154" s="487"/>
    </row>
    <row r="1155" spans="1:7" ht="14.25" hidden="1" customHeight="1">
      <c r="A1155" s="2053" t="s">
        <v>1560</v>
      </c>
      <c r="B1155" s="1601"/>
      <c r="C1155" s="1601"/>
      <c r="D1155" s="1601"/>
      <c r="E1155" s="1601"/>
      <c r="F1155" s="1801"/>
      <c r="G1155" s="488">
        <f>SUM(F1152:F1154)</f>
        <v>600</v>
      </c>
    </row>
    <row r="1156" spans="1:7" ht="14.25" hidden="1" customHeight="1">
      <c r="A1156" s="471" t="s">
        <v>1561</v>
      </c>
      <c r="B1156" s="469"/>
      <c r="C1156" s="469"/>
      <c r="D1156" s="469"/>
      <c r="E1156" s="469"/>
      <c r="F1156" s="469"/>
      <c r="G1156" s="469"/>
    </row>
    <row r="1157" spans="1:7" ht="14.25" hidden="1" customHeight="1">
      <c r="A1157" s="2011" t="s">
        <v>1556</v>
      </c>
      <c r="B1157" s="1801"/>
      <c r="C1157" s="474" t="s">
        <v>6</v>
      </c>
      <c r="D1157" s="474" t="s">
        <v>1562</v>
      </c>
      <c r="E1157" s="474" t="s">
        <v>7</v>
      </c>
      <c r="F1157" s="474" t="s">
        <v>1559</v>
      </c>
      <c r="G1157" s="475"/>
    </row>
    <row r="1158" spans="1:7" ht="14.25" hidden="1" customHeight="1">
      <c r="A1158" s="2066" t="s">
        <v>2053</v>
      </c>
      <c r="B1158" s="1967"/>
      <c r="C1158" s="489" t="s">
        <v>127</v>
      </c>
      <c r="D1158" s="490">
        <v>35250</v>
      </c>
      <c r="E1158" s="491">
        <v>1</v>
      </c>
      <c r="F1158" s="492">
        <f t="shared" ref="F1158:F1160" si="57">D1158*E1158</f>
        <v>35250</v>
      </c>
      <c r="G1158" s="479"/>
    </row>
    <row r="1159" spans="1:7" ht="14.25" hidden="1" customHeight="1">
      <c r="A1159" s="2067" t="s">
        <v>2054</v>
      </c>
      <c r="B1159" s="1611"/>
      <c r="C1159" s="493" t="s">
        <v>1569</v>
      </c>
      <c r="D1159" s="494">
        <v>1500</v>
      </c>
      <c r="E1159" s="966">
        <v>1</v>
      </c>
      <c r="F1159" s="496">
        <f t="shared" si="57"/>
        <v>1500</v>
      </c>
      <c r="G1159" s="483"/>
    </row>
    <row r="1160" spans="1:7" ht="14.25" hidden="1" customHeight="1">
      <c r="A1160" s="2067" t="s">
        <v>2055</v>
      </c>
      <c r="B1160" s="1611"/>
      <c r="C1160" s="493" t="s">
        <v>127</v>
      </c>
      <c r="D1160" s="494">
        <v>7000</v>
      </c>
      <c r="E1160" s="966">
        <v>1</v>
      </c>
      <c r="F1160" s="496">
        <f t="shared" si="57"/>
        <v>7000</v>
      </c>
      <c r="G1160" s="483"/>
    </row>
    <row r="1161" spans="1:7" ht="14.25" hidden="1" customHeight="1">
      <c r="A1161" s="2067"/>
      <c r="B1161" s="1611"/>
      <c r="C1161" s="493"/>
      <c r="D1161" s="494"/>
      <c r="E1161" s="966"/>
      <c r="F1161" s="496"/>
      <c r="G1161" s="483"/>
    </row>
    <row r="1162" spans="1:7" ht="14.25" hidden="1" customHeight="1">
      <c r="A1162" s="2067"/>
      <c r="B1162" s="1611"/>
      <c r="C1162" s="493"/>
      <c r="D1162" s="494"/>
      <c r="E1162" s="497"/>
      <c r="F1162" s="496"/>
      <c r="G1162" s="483"/>
    </row>
    <row r="1163" spans="1:7" ht="14.25" hidden="1" customHeight="1">
      <c r="A1163" s="2065"/>
      <c r="B1163" s="1819"/>
      <c r="C1163" s="498"/>
      <c r="D1163" s="499"/>
      <c r="E1163" s="500"/>
      <c r="F1163" s="486"/>
      <c r="G1163" s="501"/>
    </row>
    <row r="1164" spans="1:7" ht="14.25" hidden="1" customHeight="1">
      <c r="A1164" s="2056" t="s">
        <v>1560</v>
      </c>
      <c r="B1164" s="1817"/>
      <c r="C1164" s="1817"/>
      <c r="D1164" s="1817"/>
      <c r="E1164" s="1817"/>
      <c r="F1164" s="2000"/>
      <c r="G1164" s="502">
        <f>SUM(F1158:F1163)</f>
        <v>43750</v>
      </c>
    </row>
    <row r="1165" spans="1:7" ht="14.25" hidden="1" customHeight="1">
      <c r="A1165" s="471" t="s">
        <v>1563</v>
      </c>
      <c r="B1165" s="469"/>
      <c r="C1165" s="469"/>
      <c r="D1165" s="469"/>
      <c r="E1165" s="469"/>
      <c r="F1165" s="469"/>
      <c r="G1165" s="469"/>
    </row>
    <row r="1166" spans="1:7" ht="14.25" hidden="1" customHeight="1">
      <c r="A1166" s="2011" t="s">
        <v>1556</v>
      </c>
      <c r="B1166" s="1801"/>
      <c r="C1166" s="474" t="s">
        <v>6</v>
      </c>
      <c r="D1166" s="474" t="s">
        <v>1562</v>
      </c>
      <c r="E1166" s="474" t="s">
        <v>7</v>
      </c>
      <c r="F1166" s="474" t="s">
        <v>1559</v>
      </c>
      <c r="G1166" s="503"/>
    </row>
    <row r="1167" spans="1:7" ht="14.25" hidden="1" customHeight="1">
      <c r="A1167" s="2060" t="s">
        <v>2049</v>
      </c>
      <c r="B1167" s="1967"/>
      <c r="C1167" s="504" t="s">
        <v>1569</v>
      </c>
      <c r="D1167" s="478"/>
      <c r="E1167" s="505"/>
      <c r="F1167" s="482"/>
      <c r="G1167" s="479"/>
    </row>
    <row r="1168" spans="1:7" ht="14.25" hidden="1" customHeight="1">
      <c r="A1168" s="2052"/>
      <c r="B1168" s="1819"/>
      <c r="C1168" s="504"/>
      <c r="D1168" s="506"/>
      <c r="E1168" s="507"/>
      <c r="F1168" s="506"/>
      <c r="G1168" s="508"/>
    </row>
    <row r="1169" spans="1:7" ht="14.25" hidden="1" customHeight="1">
      <c r="A1169" s="2053" t="s">
        <v>1560</v>
      </c>
      <c r="B1169" s="1601"/>
      <c r="C1169" s="1601"/>
      <c r="D1169" s="1601"/>
      <c r="E1169" s="1601"/>
      <c r="F1169" s="1801"/>
      <c r="G1169" s="488"/>
    </row>
    <row r="1170" spans="1:7" ht="14.25" hidden="1" customHeight="1">
      <c r="A1170" s="471" t="s">
        <v>1564</v>
      </c>
      <c r="B1170" s="469"/>
      <c r="C1170" s="469"/>
      <c r="D1170" s="469"/>
      <c r="E1170" s="469"/>
      <c r="F1170" s="469"/>
      <c r="G1170" s="469"/>
    </row>
    <row r="1171" spans="1:7" ht="14.25" hidden="1" customHeight="1">
      <c r="A1171" s="2054" t="s">
        <v>1565</v>
      </c>
      <c r="B1171" s="1932"/>
      <c r="C1171" s="509" t="s">
        <v>1566</v>
      </c>
      <c r="D1171" s="509" t="s">
        <v>6</v>
      </c>
      <c r="E1171" s="509" t="s">
        <v>7</v>
      </c>
      <c r="F1171" s="509" t="s">
        <v>1559</v>
      </c>
      <c r="G1171" s="503"/>
    </row>
    <row r="1172" spans="1:7" ht="18.75" hidden="1" customHeight="1">
      <c r="A1172" s="2055" t="s">
        <v>1574</v>
      </c>
      <c r="B1172" s="1967"/>
      <c r="C1172" s="510">
        <f>+'MANO DE OBRA'!$E$64</f>
        <v>15031.25</v>
      </c>
      <c r="D1172" s="511" t="s">
        <v>1575</v>
      </c>
      <c r="E1172" s="511">
        <v>1.5</v>
      </c>
      <c r="F1172" s="512">
        <f t="shared" ref="F1172:F1173" si="58">C1172/E1172</f>
        <v>10020.833333333334</v>
      </c>
      <c r="G1172" s="479"/>
    </row>
    <row r="1173" spans="1:7" ht="18" hidden="1" customHeight="1">
      <c r="A1173" s="513" t="s">
        <v>1576</v>
      </c>
      <c r="B1173" s="514"/>
      <c r="C1173" s="515">
        <f>+'MANO DE OBRA'!$E$65</f>
        <v>10972.8125</v>
      </c>
      <c r="D1173" s="516" t="s">
        <v>1575</v>
      </c>
      <c r="E1173" s="516">
        <f>E1172</f>
        <v>1.5</v>
      </c>
      <c r="F1173" s="517">
        <f t="shared" si="58"/>
        <v>7315.208333333333</v>
      </c>
      <c r="G1173" s="501"/>
    </row>
    <row r="1174" spans="1:7" ht="14.25" hidden="1" customHeight="1">
      <c r="A1174" s="2056" t="str">
        <f>+A1169</f>
        <v>SUB-TOTAL</v>
      </c>
      <c r="B1174" s="1817"/>
      <c r="C1174" s="1817"/>
      <c r="D1174" s="1817"/>
      <c r="E1174" s="1817"/>
      <c r="F1174" s="2000"/>
      <c r="G1174" s="518">
        <f>SUM(F1172:F1173)</f>
        <v>17336.041666666668</v>
      </c>
    </row>
    <row r="1175" spans="1:7" ht="14.25" hidden="1" customHeight="1">
      <c r="A1175" s="469"/>
      <c r="B1175" s="469"/>
      <c r="C1175" s="469"/>
      <c r="D1175" s="469"/>
      <c r="E1175" s="469"/>
      <c r="F1175" s="519"/>
      <c r="G1175" s="469"/>
    </row>
    <row r="1176" spans="1:7" ht="14.25" hidden="1" customHeight="1">
      <c r="A1176" s="2053" t="s">
        <v>1567</v>
      </c>
      <c r="B1176" s="1601"/>
      <c r="C1176" s="1601"/>
      <c r="D1176" s="1601"/>
      <c r="E1176" s="1601"/>
      <c r="F1176" s="1801"/>
      <c r="G1176" s="520">
        <f>ROUND(G1155+G1164+G1169+G1174,0)</f>
        <v>61686</v>
      </c>
    </row>
    <row r="1177" spans="1:7" ht="14.25" hidden="1" customHeight="1"/>
    <row r="1178" spans="1:7" ht="14.25" hidden="1" customHeight="1">
      <c r="A1178" s="468"/>
      <c r="B1178" s="468"/>
      <c r="C1178" s="468"/>
      <c r="D1178" s="468"/>
      <c r="E1178" s="468"/>
      <c r="F1178" s="468"/>
      <c r="G1178" s="468"/>
    </row>
    <row r="1179" spans="1:7" ht="13.5" hidden="1" customHeight="1">
      <c r="A1179" s="1994" t="e">
        <f>+'ANALISIS BASICOS'!$A$7</f>
        <v>#REF!</v>
      </c>
      <c r="B1179" s="1616"/>
      <c r="C1179" s="1624"/>
      <c r="D1179" s="2069"/>
      <c r="E1179" s="1616"/>
      <c r="F1179" s="1616"/>
      <c r="G1179" s="1624"/>
    </row>
    <row r="1180" spans="1:7" ht="46.5" hidden="1" customHeight="1">
      <c r="A1180" s="1971"/>
      <c r="B1180" s="1817"/>
      <c r="C1180" s="1972"/>
      <c r="D1180" s="1971"/>
      <c r="E1180" s="1817"/>
      <c r="F1180" s="1817"/>
      <c r="G1180" s="1972"/>
    </row>
    <row r="1181" spans="1:7" ht="14.25" hidden="1" customHeight="1">
      <c r="A1181" s="469"/>
      <c r="B1181" s="469"/>
      <c r="C1181" s="469"/>
      <c r="D1181" s="469"/>
      <c r="E1181" s="469"/>
      <c r="F1181" s="469"/>
      <c r="G1181" s="469"/>
    </row>
    <row r="1182" spans="1:7" ht="51" hidden="1" customHeight="1">
      <c r="A1182" s="2070" t="e">
        <f ca="1">+A1217</f>
        <v>#NAME?</v>
      </c>
      <c r="B1182" s="1601"/>
      <c r="C1182" s="1602"/>
      <c r="D1182" s="2062" t="s">
        <v>2056</v>
      </c>
      <c r="E1182" s="1601"/>
      <c r="F1182" s="1601"/>
      <c r="G1182" s="1602"/>
    </row>
    <row r="1183" spans="1:7" ht="14.25" hidden="1" customHeight="1">
      <c r="A1183" s="470"/>
      <c r="B1183" s="470"/>
      <c r="C1183" s="470"/>
      <c r="D1183" s="470"/>
      <c r="E1183" s="470"/>
      <c r="F1183" s="470"/>
      <c r="G1183" s="470"/>
    </row>
    <row r="1184" spans="1:7" ht="14.25" hidden="1" customHeight="1">
      <c r="A1184" s="471"/>
      <c r="B1184" s="469"/>
      <c r="C1184" s="469"/>
      <c r="D1184" s="472" t="s">
        <v>1553</v>
      </c>
      <c r="E1184" s="473" t="s">
        <v>127</v>
      </c>
      <c r="F1184" s="421" t="s">
        <v>1554</v>
      </c>
      <c r="G1184" s="422" t="s">
        <v>475</v>
      </c>
    </row>
    <row r="1185" spans="1:7" ht="14.25" hidden="1" customHeight="1">
      <c r="A1185" s="471" t="s">
        <v>1555</v>
      </c>
      <c r="B1185" s="469"/>
      <c r="C1185" s="469"/>
      <c r="D1185" s="469"/>
      <c r="E1185" s="469"/>
      <c r="F1185" s="469"/>
      <c r="G1185" s="469"/>
    </row>
    <row r="1186" spans="1:7" ht="14.25" hidden="1" customHeight="1">
      <c r="A1186" s="2011" t="s">
        <v>1556</v>
      </c>
      <c r="B1186" s="1601"/>
      <c r="C1186" s="1801"/>
      <c r="D1186" s="474" t="s">
        <v>1557</v>
      </c>
      <c r="E1186" s="474" t="s">
        <v>1558</v>
      </c>
      <c r="F1186" s="474" t="s">
        <v>1559</v>
      </c>
      <c r="G1186" s="475"/>
    </row>
    <row r="1187" spans="1:7" ht="14.25" hidden="1" customHeight="1">
      <c r="A1187" s="2060" t="s">
        <v>209</v>
      </c>
      <c r="B1187" s="1811"/>
      <c r="C1187" s="1967"/>
      <c r="D1187" s="476" t="s">
        <v>899</v>
      </c>
      <c r="E1187" s="477"/>
      <c r="F1187" s="478">
        <v>2000</v>
      </c>
      <c r="G1187" s="479"/>
    </row>
    <row r="1188" spans="1:7" ht="14.25" hidden="1" customHeight="1">
      <c r="A1188" s="2063"/>
      <c r="B1188" s="1610"/>
      <c r="C1188" s="1611"/>
      <c r="D1188" s="480"/>
      <c r="E1188" s="481"/>
      <c r="F1188" s="482"/>
      <c r="G1188" s="483"/>
    </row>
    <row r="1189" spans="1:7" ht="14.25" hidden="1" customHeight="1">
      <c r="A1189" s="2064"/>
      <c r="B1189" s="1807"/>
      <c r="C1189" s="1819"/>
      <c r="D1189" s="484"/>
      <c r="E1189" s="485"/>
      <c r="F1189" s="486"/>
      <c r="G1189" s="487"/>
    </row>
    <row r="1190" spans="1:7" ht="14.25" hidden="1" customHeight="1">
      <c r="A1190" s="2053" t="s">
        <v>1560</v>
      </c>
      <c r="B1190" s="1601"/>
      <c r="C1190" s="1601"/>
      <c r="D1190" s="1601"/>
      <c r="E1190" s="1601"/>
      <c r="F1190" s="1801"/>
      <c r="G1190" s="488">
        <f>SUM(F1187:F1189)</f>
        <v>2000</v>
      </c>
    </row>
    <row r="1191" spans="1:7" ht="14.25" hidden="1" customHeight="1">
      <c r="A1191" s="471" t="s">
        <v>1561</v>
      </c>
      <c r="B1191" s="469"/>
      <c r="C1191" s="469"/>
      <c r="D1191" s="469"/>
      <c r="E1191" s="469"/>
      <c r="F1191" s="469"/>
      <c r="G1191" s="469"/>
    </row>
    <row r="1192" spans="1:7" ht="14.25" hidden="1" customHeight="1">
      <c r="A1192" s="2011" t="s">
        <v>1556</v>
      </c>
      <c r="B1192" s="1801"/>
      <c r="C1192" s="474" t="s">
        <v>6</v>
      </c>
      <c r="D1192" s="474" t="s">
        <v>1562</v>
      </c>
      <c r="E1192" s="474" t="s">
        <v>7</v>
      </c>
      <c r="F1192" s="474" t="s">
        <v>1559</v>
      </c>
      <c r="G1192" s="475"/>
    </row>
    <row r="1193" spans="1:7" ht="14.25" hidden="1" customHeight="1">
      <c r="A1193" s="2066" t="s">
        <v>2057</v>
      </c>
      <c r="B1193" s="1967"/>
      <c r="C1193" s="489" t="s">
        <v>127</v>
      </c>
      <c r="D1193" s="490">
        <v>75000</v>
      </c>
      <c r="E1193" s="491">
        <v>1</v>
      </c>
      <c r="F1193" s="492">
        <f t="shared" ref="F1193:F1196" si="59">D1193*E1193</f>
        <v>75000</v>
      </c>
      <c r="G1193" s="479"/>
    </row>
    <row r="1194" spans="1:7" ht="14.25" hidden="1" customHeight="1">
      <c r="A1194" s="2067" t="s">
        <v>2058</v>
      </c>
      <c r="B1194" s="1611"/>
      <c r="C1194" s="493" t="s">
        <v>127</v>
      </c>
      <c r="D1194" s="494">
        <v>7000</v>
      </c>
      <c r="E1194" s="966">
        <v>1</v>
      </c>
      <c r="F1194" s="496">
        <f t="shared" si="59"/>
        <v>7000</v>
      </c>
      <c r="G1194" s="483"/>
    </row>
    <row r="1195" spans="1:7" ht="14.25" hidden="1" customHeight="1">
      <c r="A1195" s="2067" t="s">
        <v>2059</v>
      </c>
      <c r="B1195" s="1611"/>
      <c r="C1195" s="493" t="s">
        <v>127</v>
      </c>
      <c r="D1195" s="494">
        <v>22000</v>
      </c>
      <c r="E1195" s="966">
        <v>1</v>
      </c>
      <c r="F1195" s="496">
        <f t="shared" si="59"/>
        <v>22000</v>
      </c>
      <c r="G1195" s="483"/>
    </row>
    <row r="1196" spans="1:7" ht="14.25" hidden="1" customHeight="1">
      <c r="A1196" s="2067" t="s">
        <v>2060</v>
      </c>
      <c r="B1196" s="1611"/>
      <c r="C1196" s="493" t="s">
        <v>127</v>
      </c>
      <c r="D1196" s="494">
        <v>12000</v>
      </c>
      <c r="E1196" s="966">
        <v>1</v>
      </c>
      <c r="F1196" s="496">
        <f t="shared" si="59"/>
        <v>12000</v>
      </c>
      <c r="G1196" s="483"/>
    </row>
    <row r="1197" spans="1:7" ht="14.25" hidden="1" customHeight="1">
      <c r="A1197" s="2067"/>
      <c r="B1197" s="1611"/>
      <c r="C1197" s="493"/>
      <c r="D1197" s="494"/>
      <c r="E1197" s="497"/>
      <c r="F1197" s="496"/>
      <c r="G1197" s="483"/>
    </row>
    <row r="1198" spans="1:7" ht="14.25" hidden="1" customHeight="1">
      <c r="A1198" s="2065"/>
      <c r="B1198" s="1819"/>
      <c r="C1198" s="498"/>
      <c r="D1198" s="499"/>
      <c r="E1198" s="500"/>
      <c r="F1198" s="486"/>
      <c r="G1198" s="501"/>
    </row>
    <row r="1199" spans="1:7" ht="14.25" hidden="1" customHeight="1">
      <c r="A1199" s="2056" t="s">
        <v>1560</v>
      </c>
      <c r="B1199" s="1817"/>
      <c r="C1199" s="1817"/>
      <c r="D1199" s="1817"/>
      <c r="E1199" s="1817"/>
      <c r="F1199" s="2000"/>
      <c r="G1199" s="502">
        <f>SUM(F1193:F1198)</f>
        <v>116000</v>
      </c>
    </row>
    <row r="1200" spans="1:7" ht="14.25" hidden="1" customHeight="1">
      <c r="A1200" s="471" t="s">
        <v>1563</v>
      </c>
      <c r="B1200" s="469"/>
      <c r="C1200" s="469"/>
      <c r="D1200" s="469"/>
      <c r="E1200" s="469"/>
      <c r="F1200" s="469"/>
      <c r="G1200" s="469"/>
    </row>
    <row r="1201" spans="1:7" ht="14.25" hidden="1" customHeight="1">
      <c r="A1201" s="2011" t="s">
        <v>1556</v>
      </c>
      <c r="B1201" s="1801"/>
      <c r="C1201" s="474" t="s">
        <v>6</v>
      </c>
      <c r="D1201" s="474" t="s">
        <v>1562</v>
      </c>
      <c r="E1201" s="474" t="s">
        <v>7</v>
      </c>
      <c r="F1201" s="474" t="s">
        <v>1559</v>
      </c>
      <c r="G1201" s="503"/>
    </row>
    <row r="1202" spans="1:7" ht="14.25" hidden="1" customHeight="1">
      <c r="A1202" s="2060"/>
      <c r="B1202" s="1967"/>
      <c r="C1202" s="504"/>
      <c r="D1202" s="478"/>
      <c r="E1202" s="505"/>
      <c r="F1202" s="482"/>
      <c r="G1202" s="479"/>
    </row>
    <row r="1203" spans="1:7" ht="14.25" hidden="1" customHeight="1">
      <c r="A1203" s="2052"/>
      <c r="B1203" s="1819"/>
      <c r="C1203" s="504"/>
      <c r="D1203" s="506"/>
      <c r="E1203" s="507"/>
      <c r="F1203" s="506"/>
      <c r="G1203" s="508"/>
    </row>
    <row r="1204" spans="1:7" ht="14.25" hidden="1" customHeight="1">
      <c r="A1204" s="2053" t="s">
        <v>1560</v>
      </c>
      <c r="B1204" s="1601"/>
      <c r="C1204" s="1601"/>
      <c r="D1204" s="1601"/>
      <c r="E1204" s="1601"/>
      <c r="F1204" s="1801"/>
      <c r="G1204" s="488"/>
    </row>
    <row r="1205" spans="1:7" ht="14.25" hidden="1" customHeight="1">
      <c r="A1205" s="471" t="s">
        <v>1564</v>
      </c>
      <c r="B1205" s="469"/>
      <c r="C1205" s="469"/>
      <c r="D1205" s="469"/>
      <c r="E1205" s="469"/>
      <c r="F1205" s="469"/>
      <c r="G1205" s="469"/>
    </row>
    <row r="1206" spans="1:7" ht="14.25" hidden="1" customHeight="1">
      <c r="A1206" s="2054" t="s">
        <v>1565</v>
      </c>
      <c r="B1206" s="1932"/>
      <c r="C1206" s="509" t="s">
        <v>1566</v>
      </c>
      <c r="D1206" s="509" t="s">
        <v>6</v>
      </c>
      <c r="E1206" s="509" t="s">
        <v>7</v>
      </c>
      <c r="F1206" s="509" t="s">
        <v>1559</v>
      </c>
      <c r="G1206" s="503"/>
    </row>
    <row r="1207" spans="1:7" ht="14.25" hidden="1" customHeight="1">
      <c r="A1207" s="2055" t="s">
        <v>1574</v>
      </c>
      <c r="B1207" s="1967"/>
      <c r="C1207" s="510">
        <f>+'MANO DE OBRA'!$E$64</f>
        <v>15031.25</v>
      </c>
      <c r="D1207" s="511" t="s">
        <v>1575</v>
      </c>
      <c r="E1207" s="511">
        <v>2</v>
      </c>
      <c r="F1207" s="512">
        <f t="shared" ref="F1207:F1208" si="60">C1207/E1207</f>
        <v>7515.625</v>
      </c>
      <c r="G1207" s="479"/>
    </row>
    <row r="1208" spans="1:7" ht="14.25" hidden="1" customHeight="1">
      <c r="A1208" s="513" t="s">
        <v>1576</v>
      </c>
      <c r="B1208" s="514"/>
      <c r="C1208" s="515">
        <f>+'MANO DE OBRA'!$E$65</f>
        <v>10972.8125</v>
      </c>
      <c r="D1208" s="516" t="s">
        <v>1575</v>
      </c>
      <c r="E1208" s="516">
        <f>E1207</f>
        <v>2</v>
      </c>
      <c r="F1208" s="517">
        <f t="shared" si="60"/>
        <v>5486.40625</v>
      </c>
      <c r="G1208" s="501"/>
    </row>
    <row r="1209" spans="1:7" ht="14.25" hidden="1" customHeight="1">
      <c r="A1209" s="2056" t="str">
        <f>+A1204</f>
        <v>SUB-TOTAL</v>
      </c>
      <c r="B1209" s="1817"/>
      <c r="C1209" s="1817"/>
      <c r="D1209" s="1817"/>
      <c r="E1209" s="1817"/>
      <c r="F1209" s="2000"/>
      <c r="G1209" s="518">
        <f>SUM(F1207:F1208)</f>
        <v>13002.03125</v>
      </c>
    </row>
    <row r="1210" spans="1:7" ht="14.25" hidden="1" customHeight="1">
      <c r="A1210" s="469"/>
      <c r="B1210" s="469"/>
      <c r="C1210" s="469"/>
      <c r="D1210" s="469"/>
      <c r="E1210" s="469"/>
      <c r="F1210" s="519"/>
      <c r="G1210" s="469"/>
    </row>
    <row r="1211" spans="1:7" ht="14.25" hidden="1" customHeight="1">
      <c r="A1211" s="2053" t="s">
        <v>1567</v>
      </c>
      <c r="B1211" s="1601"/>
      <c r="C1211" s="1601"/>
      <c r="D1211" s="1601"/>
      <c r="E1211" s="1601"/>
      <c r="F1211" s="1801"/>
      <c r="G1211" s="520">
        <f>ROUND(G1190+G1199+G1204+G1209,0)</f>
        <v>131002</v>
      </c>
    </row>
    <row r="1212" spans="1:7" ht="14.25" hidden="1" customHeight="1"/>
    <row r="1213" spans="1:7" ht="14.25" customHeight="1">
      <c r="A1213" s="468"/>
      <c r="B1213" s="468"/>
      <c r="C1213" s="468"/>
      <c r="D1213" s="468"/>
      <c r="E1213" s="468"/>
      <c r="F1213" s="468"/>
      <c r="G1213" s="468"/>
    </row>
    <row r="1214" spans="1:7" ht="13.5" customHeight="1">
      <c r="A1214" s="1994" t="e">
        <f>+'ANALISIS BASICOS'!$A$7</f>
        <v>#REF!</v>
      </c>
      <c r="B1214" s="1616"/>
      <c r="C1214" s="1624"/>
      <c r="D1214" s="2069"/>
      <c r="E1214" s="1616"/>
      <c r="F1214" s="1616"/>
      <c r="G1214" s="1624"/>
    </row>
    <row r="1215" spans="1:7" ht="40.5" customHeight="1">
      <c r="A1215" s="1971"/>
      <c r="B1215" s="1817"/>
      <c r="C1215" s="1972"/>
      <c r="D1215" s="1971"/>
      <c r="E1215" s="1817"/>
      <c r="F1215" s="1817"/>
      <c r="G1215" s="1972"/>
    </row>
    <row r="1217" spans="1:7" ht="36" customHeight="1">
      <c r="A1217" s="2070" t="e">
        <f ca="1">+A1351</f>
        <v>#NAME?</v>
      </c>
      <c r="B1217" s="1601"/>
      <c r="C1217" s="1602"/>
      <c r="D1217" s="2062" t="s">
        <v>2061</v>
      </c>
      <c r="E1217" s="1601"/>
      <c r="F1217" s="1601"/>
      <c r="G1217" s="1602"/>
    </row>
    <row r="1218" spans="1:7" ht="14.25" customHeight="1">
      <c r="A1218" s="470"/>
      <c r="B1218" s="470"/>
      <c r="C1218" s="470"/>
      <c r="D1218" s="470"/>
      <c r="E1218" s="470"/>
      <c r="F1218" s="470"/>
      <c r="G1218" s="470"/>
    </row>
    <row r="1219" spans="1:7" ht="14.25" customHeight="1">
      <c r="A1219" s="471"/>
      <c r="B1219" s="469"/>
      <c r="C1219" s="469"/>
      <c r="D1219" s="472" t="s">
        <v>1553</v>
      </c>
      <c r="E1219" s="473" t="s">
        <v>127</v>
      </c>
      <c r="F1219" s="421" t="s">
        <v>1554</v>
      </c>
      <c r="G1219" s="422" t="s">
        <v>317</v>
      </c>
    </row>
    <row r="1220" spans="1:7" ht="14.25" customHeight="1">
      <c r="A1220" s="471" t="s">
        <v>1555</v>
      </c>
      <c r="B1220" s="469"/>
      <c r="C1220" s="469"/>
      <c r="D1220" s="469"/>
      <c r="E1220" s="469"/>
      <c r="F1220" s="469"/>
      <c r="G1220" s="469"/>
    </row>
    <row r="1221" spans="1:7" ht="14.25" customHeight="1">
      <c r="A1221" s="2011" t="s">
        <v>1556</v>
      </c>
      <c r="B1221" s="1601"/>
      <c r="C1221" s="1801"/>
      <c r="D1221" s="474" t="s">
        <v>1557</v>
      </c>
      <c r="E1221" s="474" t="s">
        <v>1558</v>
      </c>
      <c r="F1221" s="474" t="s">
        <v>1559</v>
      </c>
      <c r="G1221" s="475"/>
    </row>
    <row r="1222" spans="1:7" ht="14.25" customHeight="1">
      <c r="A1222" s="2060" t="s">
        <v>209</v>
      </c>
      <c r="B1222" s="1811"/>
      <c r="C1222" s="1967"/>
      <c r="D1222" s="476" t="s">
        <v>899</v>
      </c>
      <c r="E1222" s="477">
        <v>1</v>
      </c>
      <c r="F1222" s="478">
        <v>1000</v>
      </c>
      <c r="G1222" s="479"/>
    </row>
    <row r="1223" spans="1:7" ht="14.25" customHeight="1">
      <c r="A1223" s="2063"/>
      <c r="B1223" s="1610"/>
      <c r="C1223" s="1611"/>
      <c r="D1223" s="480"/>
      <c r="E1223" s="481"/>
      <c r="F1223" s="482"/>
      <c r="G1223" s="483"/>
    </row>
    <row r="1224" spans="1:7" ht="14.25" customHeight="1">
      <c r="A1224" s="2064"/>
      <c r="B1224" s="1807"/>
      <c r="C1224" s="1819"/>
      <c r="D1224" s="484"/>
      <c r="E1224" s="485"/>
      <c r="F1224" s="486"/>
      <c r="G1224" s="487"/>
    </row>
    <row r="1225" spans="1:7" ht="14.25" customHeight="1">
      <c r="A1225" s="2053" t="s">
        <v>1560</v>
      </c>
      <c r="B1225" s="1601"/>
      <c r="C1225" s="1601"/>
      <c r="D1225" s="1601"/>
      <c r="E1225" s="1601"/>
      <c r="F1225" s="1801"/>
      <c r="G1225" s="488">
        <f>SUM(F1222:F1224)</f>
        <v>1000</v>
      </c>
    </row>
    <row r="1226" spans="1:7" ht="14.25" customHeight="1">
      <c r="A1226" s="471" t="s">
        <v>1561</v>
      </c>
      <c r="B1226" s="469"/>
      <c r="C1226" s="469"/>
      <c r="D1226" s="469"/>
      <c r="E1226" s="469"/>
      <c r="F1226" s="469"/>
      <c r="G1226" s="469"/>
    </row>
    <row r="1227" spans="1:7" ht="14.25" customHeight="1">
      <c r="A1227" s="2011" t="s">
        <v>1556</v>
      </c>
      <c r="B1227" s="1801"/>
      <c r="C1227" s="474" t="s">
        <v>6</v>
      </c>
      <c r="D1227" s="474" t="s">
        <v>1562</v>
      </c>
      <c r="E1227" s="474" t="s">
        <v>7</v>
      </c>
      <c r="F1227" s="474" t="s">
        <v>1559</v>
      </c>
      <c r="G1227" s="475"/>
    </row>
    <row r="1228" spans="1:7" ht="41.25" customHeight="1">
      <c r="A1228" s="2074" t="s">
        <v>2062</v>
      </c>
      <c r="B1228" s="1888"/>
      <c r="C1228" s="959" t="s">
        <v>127</v>
      </c>
      <c r="D1228" s="960">
        <v>415000</v>
      </c>
      <c r="E1228" s="961">
        <v>1</v>
      </c>
      <c r="F1228" s="967">
        <f t="shared" ref="F1228:F1229" si="61">(D1228*E1228)</f>
        <v>415000</v>
      </c>
      <c r="G1228" s="962"/>
    </row>
    <row r="1229" spans="1:7" ht="14.25" customHeight="1">
      <c r="A1229" s="2067" t="s">
        <v>2063</v>
      </c>
      <c r="B1229" s="1611"/>
      <c r="C1229" s="493" t="s">
        <v>127</v>
      </c>
      <c r="D1229" s="494">
        <v>17000</v>
      </c>
      <c r="E1229" s="497">
        <v>1</v>
      </c>
      <c r="F1229" s="496">
        <f t="shared" si="61"/>
        <v>17000</v>
      </c>
      <c r="G1229" s="483"/>
    </row>
    <row r="1230" spans="1:7" ht="14.25" customHeight="1">
      <c r="A1230" s="2058"/>
      <c r="B1230" s="1611"/>
      <c r="C1230" s="921"/>
      <c r="D1230" s="922"/>
      <c r="E1230" s="953"/>
      <c r="F1230" s="482"/>
      <c r="G1230" s="483"/>
    </row>
    <row r="1231" spans="1:7" ht="14.25" customHeight="1">
      <c r="A1231" s="2076" t="s">
        <v>1560</v>
      </c>
      <c r="B1231" s="1807"/>
      <c r="C1231" s="1807"/>
      <c r="D1231" s="1807"/>
      <c r="E1231" s="1807"/>
      <c r="F1231" s="1819"/>
      <c r="G1231" s="992">
        <f>SUM(F1228:F1230)</f>
        <v>432000</v>
      </c>
    </row>
    <row r="1232" spans="1:7" ht="14.25" customHeight="1">
      <c r="A1232" s="471" t="s">
        <v>1563</v>
      </c>
      <c r="B1232" s="469"/>
      <c r="C1232" s="469"/>
      <c r="D1232" s="469"/>
      <c r="E1232" s="469"/>
      <c r="F1232" s="469"/>
      <c r="G1232" s="469"/>
    </row>
    <row r="1233" spans="1:7" ht="14.25" customHeight="1">
      <c r="A1233" s="2011" t="s">
        <v>1556</v>
      </c>
      <c r="B1233" s="1801"/>
      <c r="C1233" s="474" t="s">
        <v>6</v>
      </c>
      <c r="D1233" s="474" t="s">
        <v>1562</v>
      </c>
      <c r="E1233" s="474" t="s">
        <v>7</v>
      </c>
      <c r="F1233" s="474" t="s">
        <v>1559</v>
      </c>
      <c r="G1233" s="503"/>
    </row>
    <row r="1234" spans="1:7" ht="14.25" customHeight="1">
      <c r="A1234" s="2060"/>
      <c r="B1234" s="1967"/>
      <c r="C1234" s="504"/>
      <c r="D1234" s="478"/>
      <c r="E1234" s="505"/>
      <c r="F1234" s="482"/>
      <c r="G1234" s="479"/>
    </row>
    <row r="1235" spans="1:7" ht="14.25" customHeight="1">
      <c r="A1235" s="2052"/>
      <c r="B1235" s="1819"/>
      <c r="C1235" s="504"/>
      <c r="D1235" s="506"/>
      <c r="E1235" s="507"/>
      <c r="F1235" s="506"/>
      <c r="G1235" s="508"/>
    </row>
    <row r="1236" spans="1:7" ht="14.25" customHeight="1">
      <c r="A1236" s="2053" t="s">
        <v>1560</v>
      </c>
      <c r="B1236" s="1601"/>
      <c r="C1236" s="1601"/>
      <c r="D1236" s="1601"/>
      <c r="E1236" s="1601"/>
      <c r="F1236" s="1801"/>
      <c r="G1236" s="488"/>
    </row>
    <row r="1237" spans="1:7" ht="14.25" customHeight="1">
      <c r="A1237" s="471" t="s">
        <v>1564</v>
      </c>
      <c r="B1237" s="469"/>
      <c r="C1237" s="469"/>
      <c r="D1237" s="469"/>
      <c r="E1237" s="469"/>
      <c r="F1237" s="469"/>
      <c r="G1237" s="469"/>
    </row>
    <row r="1238" spans="1:7" ht="14.25" customHeight="1">
      <c r="A1238" s="2054" t="s">
        <v>1565</v>
      </c>
      <c r="B1238" s="1932"/>
      <c r="C1238" s="509" t="s">
        <v>1566</v>
      </c>
      <c r="D1238" s="509" t="s">
        <v>6</v>
      </c>
      <c r="E1238" s="509" t="s">
        <v>7</v>
      </c>
      <c r="F1238" s="509" t="s">
        <v>1559</v>
      </c>
      <c r="G1238" s="503"/>
    </row>
    <row r="1239" spans="1:7" ht="14.25" customHeight="1">
      <c r="A1239" s="2055" t="s">
        <v>1574</v>
      </c>
      <c r="B1239" s="1967"/>
      <c r="C1239" s="510">
        <f>+'MANO DE OBRA'!$E$64</f>
        <v>15031.25</v>
      </c>
      <c r="D1239" s="511" t="s">
        <v>1575</v>
      </c>
      <c r="E1239" s="511">
        <v>0.37338851063953488</v>
      </c>
      <c r="F1239" s="512">
        <f t="shared" ref="F1239:F1240" si="62">C1239/E1239</f>
        <v>40256.327047274899</v>
      </c>
      <c r="G1239" s="479"/>
    </row>
    <row r="1240" spans="1:7" ht="14.25" customHeight="1">
      <c r="A1240" s="513" t="s">
        <v>1576</v>
      </c>
      <c r="B1240" s="514"/>
      <c r="C1240" s="515">
        <f>+'MANO DE OBRA'!$E$65</f>
        <v>10972.8125</v>
      </c>
      <c r="D1240" s="516" t="s">
        <v>1575</v>
      </c>
      <c r="E1240" s="516">
        <f>E1239</f>
        <v>0.37338851063953488</v>
      </c>
      <c r="F1240" s="517">
        <f t="shared" si="62"/>
        <v>29387.118744510677</v>
      </c>
      <c r="G1240" s="501"/>
    </row>
    <row r="1241" spans="1:7" ht="14.25" customHeight="1">
      <c r="A1241" s="2056" t="str">
        <f>+A1236</f>
        <v>SUB-TOTAL</v>
      </c>
      <c r="B1241" s="1817"/>
      <c r="C1241" s="1817"/>
      <c r="D1241" s="1817"/>
      <c r="E1241" s="1817"/>
      <c r="F1241" s="2000"/>
      <c r="G1241" s="518">
        <f>SUM(F1239:F1240)</f>
        <v>69643.445791785576</v>
      </c>
    </row>
    <row r="1242" spans="1:7" ht="14.25" customHeight="1">
      <c r="A1242" s="469"/>
      <c r="B1242" s="469"/>
      <c r="C1242" s="469"/>
      <c r="D1242" s="469"/>
      <c r="E1242" s="469"/>
      <c r="F1242" s="519"/>
      <c r="G1242" s="469"/>
    </row>
    <row r="1243" spans="1:7" ht="14.25" customHeight="1">
      <c r="A1243" s="2053" t="s">
        <v>1567</v>
      </c>
      <c r="B1243" s="1601"/>
      <c r="C1243" s="1601"/>
      <c r="D1243" s="1601"/>
      <c r="E1243" s="1601"/>
      <c r="F1243" s="1801"/>
      <c r="G1243" s="520">
        <f>ROUND(G1225+G1231+G1236+G1241,0)</f>
        <v>502643</v>
      </c>
    </row>
    <row r="1244" spans="1:7" ht="14.25" customHeight="1"/>
    <row r="1245" spans="1:7" ht="14.25" hidden="1" customHeight="1">
      <c r="A1245" s="468"/>
      <c r="B1245" s="468"/>
      <c r="C1245" s="468"/>
      <c r="D1245" s="468"/>
      <c r="E1245" s="468"/>
      <c r="F1245" s="468"/>
      <c r="G1245" s="468"/>
    </row>
    <row r="1246" spans="1:7" ht="20.25" hidden="1" customHeight="1">
      <c r="A1246" s="2054" t="s">
        <v>1604</v>
      </c>
      <c r="B1246" s="1616"/>
      <c r="C1246" s="1624"/>
      <c r="D1246" s="879"/>
      <c r="E1246" s="879"/>
      <c r="F1246" s="879"/>
      <c r="G1246" s="880"/>
    </row>
    <row r="1247" spans="1:7" ht="21.75" hidden="1" customHeight="1">
      <c r="A1247" s="1971"/>
      <c r="B1247" s="1817"/>
      <c r="C1247" s="1972"/>
      <c r="D1247" s="881"/>
      <c r="E1247" s="881"/>
      <c r="F1247" s="881"/>
      <c r="G1247" s="882"/>
    </row>
    <row r="1249" spans="1:7" ht="28.5" hidden="1" customHeight="1">
      <c r="A1249" s="2061" t="str">
        <f>A5</f>
        <v>PRECIOS UNITARIOS OFICIALES 2014</v>
      </c>
      <c r="B1249" s="1601"/>
      <c r="C1249" s="1602"/>
      <c r="D1249" s="2062" t="s">
        <v>2064</v>
      </c>
      <c r="E1249" s="1601"/>
      <c r="F1249" s="1601"/>
      <c r="G1249" s="1602"/>
    </row>
    <row r="1250" spans="1:7" ht="14.25" hidden="1" customHeight="1">
      <c r="A1250" s="470"/>
      <c r="B1250" s="470"/>
      <c r="C1250" s="470"/>
      <c r="D1250" s="470"/>
      <c r="E1250" s="470"/>
      <c r="F1250" s="470"/>
      <c r="G1250" s="470"/>
    </row>
    <row r="1251" spans="1:7" ht="14.25" hidden="1" customHeight="1">
      <c r="A1251" s="471"/>
      <c r="B1251" s="469"/>
      <c r="C1251" s="469"/>
      <c r="D1251" s="472" t="s">
        <v>1553</v>
      </c>
      <c r="E1251" s="473" t="s">
        <v>127</v>
      </c>
      <c r="F1251" s="883"/>
      <c r="G1251" s="883"/>
    </row>
    <row r="1252" spans="1:7" ht="14.25" hidden="1" customHeight="1">
      <c r="A1252" s="471" t="s">
        <v>1555</v>
      </c>
      <c r="B1252" s="469"/>
      <c r="C1252" s="469"/>
      <c r="D1252" s="469"/>
      <c r="E1252" s="469"/>
      <c r="F1252" s="469"/>
      <c r="G1252" s="469"/>
    </row>
    <row r="1253" spans="1:7" ht="14.25" hidden="1" customHeight="1">
      <c r="A1253" s="2011" t="s">
        <v>1556</v>
      </c>
      <c r="B1253" s="1601"/>
      <c r="C1253" s="1801"/>
      <c r="D1253" s="474" t="s">
        <v>1557</v>
      </c>
      <c r="E1253" s="474" t="s">
        <v>1558</v>
      </c>
      <c r="F1253" s="474" t="s">
        <v>1559</v>
      </c>
      <c r="G1253" s="475"/>
    </row>
    <row r="1254" spans="1:7" ht="20.25" hidden="1" customHeight="1">
      <c r="A1254" s="2075" t="s">
        <v>1568</v>
      </c>
      <c r="B1254" s="1811"/>
      <c r="C1254" s="1967"/>
      <c r="D1254" s="993" t="s">
        <v>899</v>
      </c>
      <c r="E1254" s="994">
        <v>1</v>
      </c>
      <c r="F1254" s="492">
        <v>845</v>
      </c>
      <c r="G1254" s="479"/>
    </row>
    <row r="1255" spans="1:7" ht="14.25" hidden="1" customHeight="1">
      <c r="A1255" s="2063" t="str">
        <f>'LISTADO EQUIPOS'!$C$79</f>
        <v>FORMALETA MADERA</v>
      </c>
      <c r="B1255" s="1610"/>
      <c r="C1255" s="1611"/>
      <c r="D1255" s="480">
        <v>7000</v>
      </c>
      <c r="E1255" s="481">
        <v>0.3</v>
      </c>
      <c r="F1255" s="482">
        <f>D1255*E1255</f>
        <v>2100</v>
      </c>
      <c r="G1255" s="483"/>
    </row>
    <row r="1256" spans="1:7" ht="14.25" hidden="1" customHeight="1">
      <c r="A1256" s="2064"/>
      <c r="B1256" s="1807"/>
      <c r="C1256" s="1819"/>
      <c r="D1256" s="484"/>
      <c r="E1256" s="485"/>
      <c r="F1256" s="486"/>
      <c r="G1256" s="487"/>
    </row>
    <row r="1257" spans="1:7" ht="14.25" hidden="1" customHeight="1">
      <c r="A1257" s="2053" t="s">
        <v>1560</v>
      </c>
      <c r="B1257" s="1601"/>
      <c r="C1257" s="1601"/>
      <c r="D1257" s="1601"/>
      <c r="E1257" s="1601"/>
      <c r="F1257" s="1801"/>
      <c r="G1257" s="995">
        <f>SUM(F1254:F1256)</f>
        <v>2945</v>
      </c>
    </row>
    <row r="1258" spans="1:7" ht="14.25" hidden="1" customHeight="1">
      <c r="A1258" s="471" t="s">
        <v>1561</v>
      </c>
      <c r="B1258" s="469"/>
      <c r="C1258" s="469"/>
      <c r="D1258" s="469"/>
      <c r="E1258" s="469"/>
      <c r="F1258" s="469"/>
      <c r="G1258" s="977"/>
    </row>
    <row r="1259" spans="1:7" ht="14.25" hidden="1" customHeight="1">
      <c r="A1259" s="2054" t="s">
        <v>1556</v>
      </c>
      <c r="B1259" s="1624"/>
      <c r="C1259" s="886" t="s">
        <v>6</v>
      </c>
      <c r="D1259" s="917" t="s">
        <v>1562</v>
      </c>
      <c r="E1259" s="886" t="s">
        <v>7</v>
      </c>
      <c r="F1259" s="886" t="s">
        <v>1559</v>
      </c>
      <c r="G1259" s="996"/>
    </row>
    <row r="1260" spans="1:7" ht="18" hidden="1" customHeight="1">
      <c r="A1260" s="2067" t="str">
        <f>'LISTADO MATERIALES'!$C$152</f>
        <v>GRANITO # 2 (BLANCO) 25 Kg</v>
      </c>
      <c r="B1260" s="1611"/>
      <c r="C1260" s="493" t="str">
        <f>'LISTADO MATERIALES'!$D$152</f>
        <v>BTO</v>
      </c>
      <c r="D1260" s="494">
        <f>'LISTADO MATERIALES'!$E$152</f>
        <v>9450</v>
      </c>
      <c r="E1260" s="491">
        <v>0.7</v>
      </c>
      <c r="F1260" s="490">
        <f t="shared" ref="F1260:F1263" si="63">(D1260*E1260)</f>
        <v>6615</v>
      </c>
      <c r="G1260" s="934"/>
    </row>
    <row r="1261" spans="1:7" ht="16.5" hidden="1" customHeight="1">
      <c r="A1261" s="2067" t="str">
        <f>'LISTADO MATERIALES'!$C$140</f>
        <v>CEMENTO BLANCO</v>
      </c>
      <c r="B1261" s="1611"/>
      <c r="C1261" s="493" t="str">
        <f>'LISTADO MATERIALES'!$D$140</f>
        <v>KG</v>
      </c>
      <c r="D1261" s="493">
        <f>'LISTADO MATERIALES'!$E$140</f>
        <v>1103</v>
      </c>
      <c r="E1261" s="495">
        <v>10</v>
      </c>
      <c r="F1261" s="494">
        <f t="shared" si="63"/>
        <v>11030</v>
      </c>
      <c r="G1261" s="937"/>
    </row>
    <row r="1262" spans="1:7" ht="16.5" hidden="1" customHeight="1">
      <c r="A1262" s="2067" t="str">
        <f>'LISTADO MATERIALES'!$C$723</f>
        <v>AGUA</v>
      </c>
      <c r="B1262" s="1611"/>
      <c r="C1262" s="493" t="str">
        <f>'LISTADO MATERIALES'!$D$723</f>
        <v>LT</v>
      </c>
      <c r="D1262" s="494">
        <f>'LISTADO MATERIALES'!$E$723</f>
        <v>21</v>
      </c>
      <c r="E1262" s="495">
        <v>10</v>
      </c>
      <c r="F1262" s="494">
        <f t="shared" si="63"/>
        <v>210</v>
      </c>
      <c r="G1262" s="937"/>
    </row>
    <row r="1263" spans="1:7" ht="16.5" hidden="1" customHeight="1">
      <c r="A1263" s="2067" t="str">
        <f>'LISTADO MATERIALES'!$C$755</f>
        <v>PIRLAN DE COBRE</v>
      </c>
      <c r="B1263" s="1611"/>
      <c r="C1263" s="493" t="str">
        <f>'LISTADO MATERIALES'!$D$755</f>
        <v>ML</v>
      </c>
      <c r="D1263" s="494">
        <f>'LISTADO MATERIALES'!$E$755</f>
        <v>8348</v>
      </c>
      <c r="E1263" s="495">
        <v>1</v>
      </c>
      <c r="F1263" s="494">
        <f t="shared" si="63"/>
        <v>8348</v>
      </c>
      <c r="G1263" s="937"/>
    </row>
    <row r="1264" spans="1:7" ht="14.25" hidden="1" customHeight="1">
      <c r="A1264" s="2058"/>
      <c r="B1264" s="1611"/>
      <c r="C1264" s="921"/>
      <c r="D1264" s="922"/>
      <c r="E1264" s="953"/>
      <c r="F1264" s="997"/>
      <c r="G1264" s="937"/>
    </row>
    <row r="1265" spans="1:7" ht="14.25" hidden="1" customHeight="1">
      <c r="A1265" s="2056" t="s">
        <v>1560</v>
      </c>
      <c r="B1265" s="1817"/>
      <c r="C1265" s="1817"/>
      <c r="D1265" s="1817"/>
      <c r="E1265" s="1817"/>
      <c r="F1265" s="2000"/>
      <c r="G1265" s="980">
        <f>SUM(F1260:F1264)</f>
        <v>26203</v>
      </c>
    </row>
    <row r="1266" spans="1:7" ht="14.25" hidden="1" customHeight="1">
      <c r="A1266" s="471" t="s">
        <v>1563</v>
      </c>
      <c r="B1266" s="469"/>
      <c r="C1266" s="469"/>
      <c r="D1266" s="469"/>
      <c r="E1266" s="469"/>
      <c r="F1266" s="469"/>
      <c r="G1266" s="977"/>
    </row>
    <row r="1267" spans="1:7" ht="14.25" hidden="1" customHeight="1">
      <c r="A1267" s="2011" t="s">
        <v>1556</v>
      </c>
      <c r="B1267" s="1801"/>
      <c r="C1267" s="474" t="s">
        <v>6</v>
      </c>
      <c r="D1267" s="474" t="s">
        <v>1562</v>
      </c>
      <c r="E1267" s="474" t="s">
        <v>7</v>
      </c>
      <c r="F1267" s="474" t="s">
        <v>1559</v>
      </c>
      <c r="G1267" s="978"/>
    </row>
    <row r="1268" spans="1:7" ht="14.25" hidden="1" customHeight="1">
      <c r="A1268" s="2060"/>
      <c r="B1268" s="1967"/>
      <c r="C1268" s="504"/>
      <c r="D1268" s="478"/>
      <c r="E1268" s="505"/>
      <c r="F1268" s="482"/>
      <c r="G1268" s="934"/>
    </row>
    <row r="1269" spans="1:7" ht="14.25" hidden="1" customHeight="1">
      <c r="A1269" s="2052"/>
      <c r="B1269" s="1819"/>
      <c r="C1269" s="504"/>
      <c r="D1269" s="506"/>
      <c r="E1269" s="507"/>
      <c r="F1269" s="506"/>
      <c r="G1269" s="976"/>
    </row>
    <row r="1270" spans="1:7" ht="14.25" hidden="1" customHeight="1">
      <c r="A1270" s="2053" t="s">
        <v>1560</v>
      </c>
      <c r="B1270" s="1601"/>
      <c r="C1270" s="1601"/>
      <c r="D1270" s="1601"/>
      <c r="E1270" s="1601"/>
      <c r="F1270" s="1801"/>
      <c r="G1270" s="979"/>
    </row>
    <row r="1271" spans="1:7" ht="14.25" hidden="1" customHeight="1">
      <c r="A1271" s="471" t="s">
        <v>1564</v>
      </c>
      <c r="B1271" s="469"/>
      <c r="C1271" s="469"/>
      <c r="D1271" s="469"/>
      <c r="E1271" s="469"/>
      <c r="F1271" s="469"/>
      <c r="G1271" s="977"/>
    </row>
    <row r="1272" spans="1:7" ht="14.25" hidden="1" customHeight="1">
      <c r="A1272" s="2054" t="s">
        <v>1565</v>
      </c>
      <c r="B1272" s="1932"/>
      <c r="C1272" s="509" t="s">
        <v>1566</v>
      </c>
      <c r="D1272" s="509" t="s">
        <v>7</v>
      </c>
      <c r="E1272" s="509" t="s">
        <v>1571</v>
      </c>
      <c r="F1272" s="509" t="s">
        <v>1559</v>
      </c>
      <c r="G1272" s="978"/>
    </row>
    <row r="1273" spans="1:7" ht="21.75" hidden="1" customHeight="1">
      <c r="A1273" s="2055" t="s">
        <v>1574</v>
      </c>
      <c r="B1273" s="1967"/>
      <c r="C1273" s="946">
        <v>7410.96</v>
      </c>
      <c r="D1273" s="511">
        <v>1</v>
      </c>
      <c r="E1273" s="511">
        <v>0.55000000000000004</v>
      </c>
      <c r="F1273" s="512">
        <f t="shared" ref="F1273:F1274" si="64">(C1273*D1273)/E1273</f>
        <v>13474.472727272727</v>
      </c>
      <c r="G1273" s="934"/>
    </row>
    <row r="1274" spans="1:7" ht="21.75" hidden="1" customHeight="1">
      <c r="A1274" s="513" t="s">
        <v>1576</v>
      </c>
      <c r="B1274" s="514"/>
      <c r="C1274" s="998">
        <v>4550.79</v>
      </c>
      <c r="D1274" s="999">
        <v>1</v>
      </c>
      <c r="E1274" s="999">
        <f>E1273</f>
        <v>0.55000000000000004</v>
      </c>
      <c r="F1274" s="517">
        <f t="shared" si="64"/>
        <v>8274.1636363636353</v>
      </c>
      <c r="G1274" s="742"/>
    </row>
    <row r="1275" spans="1:7" ht="20.25" hidden="1" customHeight="1">
      <c r="A1275" s="2056" t="str">
        <f>+A1270</f>
        <v>SUB-TOTAL</v>
      </c>
      <c r="B1275" s="1817"/>
      <c r="C1275" s="1817"/>
      <c r="D1275" s="1817"/>
      <c r="E1275" s="1817"/>
      <c r="F1275" s="2000"/>
      <c r="G1275" s="980">
        <f>SUM(F1273:F1274)</f>
        <v>21748.63636363636</v>
      </c>
    </row>
    <row r="1276" spans="1:7" ht="14.25" hidden="1" customHeight="1">
      <c r="A1276" s="469"/>
      <c r="B1276" s="469"/>
      <c r="C1276" s="469"/>
      <c r="D1276" s="469"/>
      <c r="E1276" s="469"/>
      <c r="F1276" s="519"/>
      <c r="G1276" s="977"/>
    </row>
    <row r="1277" spans="1:7" ht="23.25" hidden="1" customHeight="1">
      <c r="A1277" s="2053" t="s">
        <v>1567</v>
      </c>
      <c r="B1277" s="1601"/>
      <c r="C1277" s="1601"/>
      <c r="D1277" s="1601"/>
      <c r="E1277" s="1601"/>
      <c r="F1277" s="1801"/>
      <c r="G1277" s="981">
        <f>ROUND(G1257+G1265+G1270+G1275,0)</f>
        <v>50897</v>
      </c>
    </row>
    <row r="1278" spans="1:7" ht="14.25" hidden="1" customHeight="1">
      <c r="A1278" s="468"/>
      <c r="B1278" s="468"/>
      <c r="C1278" s="468"/>
      <c r="D1278" s="468"/>
      <c r="E1278" s="468"/>
      <c r="F1278" s="468"/>
      <c r="G1278" s="468"/>
    </row>
    <row r="1279" spans="1:7" ht="14.25" hidden="1" customHeight="1">
      <c r="A1279" s="468"/>
      <c r="B1279" s="468"/>
      <c r="C1279" s="468"/>
      <c r="D1279" s="468"/>
      <c r="E1279" s="468"/>
      <c r="F1279" s="468"/>
      <c r="G1279" s="468"/>
    </row>
    <row r="1280" spans="1:7" ht="20.25" hidden="1" customHeight="1">
      <c r="A1280" s="2054" t="s">
        <v>1604</v>
      </c>
      <c r="B1280" s="1616"/>
      <c r="C1280" s="1624"/>
      <c r="D1280" s="879"/>
      <c r="E1280" s="879"/>
      <c r="F1280" s="879"/>
      <c r="G1280" s="880"/>
    </row>
    <row r="1281" spans="1:7" ht="21" hidden="1" customHeight="1">
      <c r="A1281" s="1971"/>
      <c r="B1281" s="1817"/>
      <c r="C1281" s="1972"/>
      <c r="D1281" s="881"/>
      <c r="E1281" s="881"/>
      <c r="F1281" s="881"/>
      <c r="G1281" s="882"/>
    </row>
    <row r="1282" spans="1:7" ht="14.25" hidden="1" customHeight="1">
      <c r="A1282" s="469"/>
      <c r="B1282" s="469"/>
      <c r="C1282" s="469"/>
      <c r="D1282" s="469"/>
      <c r="E1282" s="469"/>
      <c r="F1282" s="469"/>
      <c r="G1282" s="469"/>
    </row>
    <row r="1283" spans="1:7" ht="21" hidden="1" customHeight="1">
      <c r="A1283" s="2061" t="str">
        <f>A5</f>
        <v>PRECIOS UNITARIOS OFICIALES 2014</v>
      </c>
      <c r="B1283" s="1601"/>
      <c r="C1283" s="1602"/>
      <c r="D1283" s="2062" t="s">
        <v>2065</v>
      </c>
      <c r="E1283" s="1601"/>
      <c r="F1283" s="1601"/>
      <c r="G1283" s="1602"/>
    </row>
    <row r="1284" spans="1:7" ht="14.25" hidden="1" customHeight="1">
      <c r="A1284" s="470"/>
      <c r="B1284" s="470"/>
      <c r="C1284" s="470"/>
      <c r="D1284" s="470"/>
      <c r="E1284" s="470"/>
      <c r="F1284" s="470"/>
      <c r="G1284" s="470"/>
    </row>
    <row r="1285" spans="1:7" ht="14.25" hidden="1" customHeight="1">
      <c r="A1285" s="471"/>
      <c r="B1285" s="469"/>
      <c r="C1285" s="469"/>
      <c r="D1285" s="472" t="s">
        <v>1553</v>
      </c>
      <c r="E1285" s="473" t="s">
        <v>120</v>
      </c>
      <c r="F1285" s="883"/>
      <c r="G1285" s="883"/>
    </row>
    <row r="1286" spans="1:7" ht="14.25" hidden="1" customHeight="1">
      <c r="A1286" s="471" t="s">
        <v>1555</v>
      </c>
      <c r="B1286" s="469"/>
      <c r="C1286" s="469"/>
      <c r="D1286" s="469"/>
      <c r="E1286" s="469"/>
      <c r="F1286" s="469"/>
      <c r="G1286" s="469"/>
    </row>
    <row r="1287" spans="1:7" ht="14.25" hidden="1" customHeight="1">
      <c r="A1287" s="2011" t="s">
        <v>1556</v>
      </c>
      <c r="B1287" s="1601"/>
      <c r="C1287" s="1801"/>
      <c r="D1287" s="474" t="s">
        <v>1557</v>
      </c>
      <c r="E1287" s="474" t="s">
        <v>1558</v>
      </c>
      <c r="F1287" s="474" t="s">
        <v>1559</v>
      </c>
      <c r="G1287" s="475"/>
    </row>
    <row r="1288" spans="1:7" ht="14.25" hidden="1" customHeight="1">
      <c r="A1288" s="2075" t="s">
        <v>1568</v>
      </c>
      <c r="B1288" s="1811"/>
      <c r="C1288" s="1967"/>
      <c r="D1288" s="993" t="s">
        <v>899</v>
      </c>
      <c r="E1288" s="994"/>
      <c r="F1288" s="490">
        <v>845</v>
      </c>
      <c r="G1288" s="479"/>
    </row>
    <row r="1289" spans="1:7" ht="14.25" hidden="1" customHeight="1">
      <c r="A1289" s="2063" t="str">
        <f>'LISTADO EQUIPOS'!$C$79</f>
        <v>FORMALETA MADERA</v>
      </c>
      <c r="B1289" s="1610"/>
      <c r="C1289" s="1611"/>
      <c r="D1289" s="1000" t="str">
        <f>'LISTADO EQUIPOS'!$D$79</f>
        <v>GLOB</v>
      </c>
      <c r="E1289" s="481"/>
      <c r="F1289" s="997">
        <v>7000</v>
      </c>
      <c r="G1289" s="483"/>
    </row>
    <row r="1290" spans="1:7" ht="14.25" hidden="1" customHeight="1">
      <c r="A1290" s="2064" t="str">
        <f>'LISTADO EQUIPOS'!C32</f>
        <v>PULIDORA PARA PISO + OPERARIO</v>
      </c>
      <c r="B1290" s="1807"/>
      <c r="C1290" s="1819"/>
      <c r="D1290" s="983">
        <f>'LISTADO EQUIPOS'!$E$32</f>
        <v>9060</v>
      </c>
      <c r="E1290" s="485">
        <v>30</v>
      </c>
      <c r="F1290" s="997">
        <f>D1290/E1290</f>
        <v>302</v>
      </c>
      <c r="G1290" s="487"/>
    </row>
    <row r="1291" spans="1:7" ht="14.25" hidden="1" customHeight="1">
      <c r="A1291" s="2053" t="s">
        <v>1560</v>
      </c>
      <c r="B1291" s="1601"/>
      <c r="C1291" s="1601"/>
      <c r="D1291" s="1601"/>
      <c r="E1291" s="1601"/>
      <c r="F1291" s="1801"/>
      <c r="G1291" s="995">
        <f>SUM(F1288:F1290)</f>
        <v>8147</v>
      </c>
    </row>
    <row r="1292" spans="1:7" ht="14.25" hidden="1" customHeight="1">
      <c r="A1292" s="471" t="s">
        <v>1561</v>
      </c>
      <c r="B1292" s="469"/>
      <c r="C1292" s="469"/>
      <c r="D1292" s="469"/>
      <c r="E1292" s="469"/>
      <c r="F1292" s="469"/>
      <c r="G1292" s="977"/>
    </row>
    <row r="1293" spans="1:7" ht="14.25" hidden="1" customHeight="1">
      <c r="A1293" s="2011" t="s">
        <v>1556</v>
      </c>
      <c r="B1293" s="1602"/>
      <c r="C1293" s="472" t="s">
        <v>6</v>
      </c>
      <c r="D1293" s="1001" t="s">
        <v>1562</v>
      </c>
      <c r="E1293" s="886" t="s">
        <v>7</v>
      </c>
      <c r="F1293" s="886" t="s">
        <v>1559</v>
      </c>
      <c r="G1293" s="996"/>
    </row>
    <row r="1294" spans="1:7" ht="14.25" hidden="1" customHeight="1">
      <c r="A1294" s="2074" t="str">
        <f>'LISTADO MATERIALES'!$C$152</f>
        <v>GRANITO # 2 (BLANCO) 25 Kg</v>
      </c>
      <c r="B1294" s="1888"/>
      <c r="C1294" s="959" t="str">
        <f>'LISTADO MATERIALES'!$D$152</f>
        <v>BTO</v>
      </c>
      <c r="D1294" s="960">
        <f>'LISTADO MATERIALES'!$E$152</f>
        <v>9450</v>
      </c>
      <c r="E1294" s="491">
        <v>0.7</v>
      </c>
      <c r="F1294" s="490">
        <f t="shared" ref="F1294:F1298" si="65">(D1294*E1294)</f>
        <v>6615</v>
      </c>
      <c r="G1294" s="934"/>
    </row>
    <row r="1295" spans="1:7" ht="14.25" hidden="1" customHeight="1">
      <c r="A1295" s="2067" t="str">
        <f>'LISTADO MATERIALES'!$C$140</f>
        <v>CEMENTO BLANCO</v>
      </c>
      <c r="B1295" s="1611"/>
      <c r="C1295" s="493" t="str">
        <f>'LISTADO MATERIALES'!$D$140</f>
        <v>KG</v>
      </c>
      <c r="D1295" s="493">
        <f>'LISTADO MATERIALES'!$E$140</f>
        <v>1103</v>
      </c>
      <c r="E1295" s="495">
        <v>10</v>
      </c>
      <c r="F1295" s="494">
        <f t="shared" si="65"/>
        <v>11030</v>
      </c>
      <c r="G1295" s="937"/>
    </row>
    <row r="1296" spans="1:7" ht="14.25" hidden="1" customHeight="1">
      <c r="A1296" s="2067" t="str">
        <f>'LISTADO MATERIALES'!$C$723</f>
        <v>AGUA</v>
      </c>
      <c r="B1296" s="1611"/>
      <c r="C1296" s="493" t="str">
        <f>'LISTADO MATERIALES'!$D$723</f>
        <v>LT</v>
      </c>
      <c r="D1296" s="494">
        <f>'LISTADO MATERIALES'!$E$723</f>
        <v>21</v>
      </c>
      <c r="E1296" s="495">
        <v>10</v>
      </c>
      <c r="F1296" s="494">
        <f t="shared" si="65"/>
        <v>210</v>
      </c>
      <c r="G1296" s="937"/>
    </row>
    <row r="1297" spans="1:7" ht="14.25" hidden="1" customHeight="1">
      <c r="A1297" s="2067" t="str">
        <f>'LISTADO MATERIALES'!$C$755</f>
        <v>PIRLAN DE COBRE</v>
      </c>
      <c r="B1297" s="1611"/>
      <c r="C1297" s="493" t="str">
        <f>'LISTADO MATERIALES'!$D$755</f>
        <v>ML</v>
      </c>
      <c r="D1297" s="494">
        <f>'LISTADO MATERIALES'!$E$755</f>
        <v>8348</v>
      </c>
      <c r="E1297" s="495">
        <v>1</v>
      </c>
      <c r="F1297" s="494">
        <f t="shared" si="65"/>
        <v>8348</v>
      </c>
      <c r="G1297" s="937"/>
    </row>
    <row r="1298" spans="1:7" ht="14.25" hidden="1" customHeight="1">
      <c r="A1298" s="2058" t="str">
        <f>'LISTADO MATERIALES'!C10</f>
        <v xml:space="preserve">ACERO Fy= 4200 Kg/cm2   </v>
      </c>
      <c r="B1298" s="1611"/>
      <c r="C1298" s="921" t="str">
        <f>'LISTADO MATERIALES'!D10</f>
        <v>KG</v>
      </c>
      <c r="D1298" s="922">
        <f>'LISTADO MATERIALES'!E10</f>
        <v>2800</v>
      </c>
      <c r="E1298" s="953">
        <v>8</v>
      </c>
      <c r="F1298" s="997">
        <f t="shared" si="65"/>
        <v>22400</v>
      </c>
      <c r="G1298" s="937"/>
    </row>
    <row r="1299" spans="1:7" ht="14.25" hidden="1" customHeight="1">
      <c r="A1299" s="2056" t="s">
        <v>1560</v>
      </c>
      <c r="B1299" s="1817"/>
      <c r="C1299" s="1817"/>
      <c r="D1299" s="1817"/>
      <c r="E1299" s="1817"/>
      <c r="F1299" s="2000"/>
      <c r="G1299" s="980">
        <f>SUM(F1294:F1298)</f>
        <v>48603</v>
      </c>
    </row>
    <row r="1300" spans="1:7" ht="14.25" hidden="1" customHeight="1">
      <c r="A1300" s="471" t="s">
        <v>1563</v>
      </c>
      <c r="B1300" s="469"/>
      <c r="C1300" s="469"/>
      <c r="D1300" s="469"/>
      <c r="E1300" s="469"/>
      <c r="F1300" s="469"/>
      <c r="G1300" s="977"/>
    </row>
    <row r="1301" spans="1:7" ht="14.25" hidden="1" customHeight="1">
      <c r="A1301" s="2011" t="s">
        <v>1556</v>
      </c>
      <c r="B1301" s="1801"/>
      <c r="C1301" s="474" t="s">
        <v>6</v>
      </c>
      <c r="D1301" s="474" t="s">
        <v>1562</v>
      </c>
      <c r="E1301" s="474" t="s">
        <v>7</v>
      </c>
      <c r="F1301" s="474" t="s">
        <v>1559</v>
      </c>
      <c r="G1301" s="978"/>
    </row>
    <row r="1302" spans="1:7" ht="14.25" hidden="1" customHeight="1">
      <c r="A1302" s="2060"/>
      <c r="B1302" s="1967"/>
      <c r="C1302" s="504"/>
      <c r="D1302" s="478"/>
      <c r="E1302" s="505"/>
      <c r="F1302" s="482"/>
      <c r="G1302" s="934"/>
    </row>
    <row r="1303" spans="1:7" ht="14.25" hidden="1" customHeight="1">
      <c r="A1303" s="2052"/>
      <c r="B1303" s="1819"/>
      <c r="C1303" s="504"/>
      <c r="D1303" s="506"/>
      <c r="E1303" s="507"/>
      <c r="F1303" s="506"/>
      <c r="G1303" s="976"/>
    </row>
    <row r="1304" spans="1:7" ht="14.25" hidden="1" customHeight="1">
      <c r="A1304" s="2053" t="s">
        <v>1560</v>
      </c>
      <c r="B1304" s="1601"/>
      <c r="C1304" s="1601"/>
      <c r="D1304" s="1601"/>
      <c r="E1304" s="1601"/>
      <c r="F1304" s="1801"/>
      <c r="G1304" s="979"/>
    </row>
    <row r="1305" spans="1:7" ht="14.25" hidden="1" customHeight="1">
      <c r="A1305" s="471" t="s">
        <v>1564</v>
      </c>
      <c r="B1305" s="469"/>
      <c r="C1305" s="469"/>
      <c r="D1305" s="469"/>
      <c r="E1305" s="469"/>
      <c r="F1305" s="469"/>
      <c r="G1305" s="977"/>
    </row>
    <row r="1306" spans="1:7" ht="14.25" hidden="1" customHeight="1">
      <c r="A1306" s="2054" t="s">
        <v>1565</v>
      </c>
      <c r="B1306" s="1932"/>
      <c r="C1306" s="509" t="s">
        <v>1566</v>
      </c>
      <c r="D1306" s="509" t="s">
        <v>7</v>
      </c>
      <c r="E1306" s="509" t="s">
        <v>1571</v>
      </c>
      <c r="F1306" s="509" t="s">
        <v>1559</v>
      </c>
      <c r="G1306" s="978"/>
    </row>
    <row r="1307" spans="1:7" ht="14.25" hidden="1" customHeight="1">
      <c r="A1307" s="2055" t="s">
        <v>1574</v>
      </c>
      <c r="B1307" s="1967"/>
      <c r="C1307" s="946">
        <v>7410.96</v>
      </c>
      <c r="D1307" s="511">
        <v>1</v>
      </c>
      <c r="E1307" s="511">
        <v>0.6</v>
      </c>
      <c r="F1307" s="512">
        <f t="shared" ref="F1307:F1308" si="66">(C1307*D1307)/E1307</f>
        <v>12351.6</v>
      </c>
      <c r="G1307" s="934"/>
    </row>
    <row r="1308" spans="1:7" ht="14.25" hidden="1" customHeight="1">
      <c r="A1308" s="513" t="s">
        <v>1576</v>
      </c>
      <c r="B1308" s="514"/>
      <c r="C1308" s="998">
        <v>4550.79</v>
      </c>
      <c r="D1308" s="999">
        <v>1</v>
      </c>
      <c r="E1308" s="999">
        <f>E1307</f>
        <v>0.6</v>
      </c>
      <c r="F1308" s="517">
        <f t="shared" si="66"/>
        <v>7584.6500000000005</v>
      </c>
      <c r="G1308" s="742"/>
    </row>
    <row r="1309" spans="1:7" ht="14.25" hidden="1" customHeight="1">
      <c r="A1309" s="2056" t="str">
        <f>+A1304</f>
        <v>SUB-TOTAL</v>
      </c>
      <c r="B1309" s="1817"/>
      <c r="C1309" s="1817"/>
      <c r="D1309" s="1817"/>
      <c r="E1309" s="1817"/>
      <c r="F1309" s="2000"/>
      <c r="G1309" s="980">
        <f>SUM(F1307:F1308)</f>
        <v>19936.25</v>
      </c>
    </row>
    <row r="1310" spans="1:7" ht="14.25" hidden="1" customHeight="1">
      <c r="A1310" s="469"/>
      <c r="B1310" s="469"/>
      <c r="C1310" s="469"/>
      <c r="D1310" s="469"/>
      <c r="E1310" s="469"/>
      <c r="F1310" s="519"/>
      <c r="G1310" s="977"/>
    </row>
    <row r="1311" spans="1:7" ht="14.25" hidden="1" customHeight="1">
      <c r="A1311" s="2053" t="s">
        <v>1567</v>
      </c>
      <c r="B1311" s="1601"/>
      <c r="C1311" s="1601"/>
      <c r="D1311" s="1601"/>
      <c r="E1311" s="1601"/>
      <c r="F1311" s="1801"/>
      <c r="G1311" s="981">
        <f>ROUND(G1291+G1299+G1304+G1309,0)</f>
        <v>76686</v>
      </c>
    </row>
    <row r="1314" spans="1:7" ht="24" hidden="1" customHeight="1">
      <c r="A1314" s="2054" t="s">
        <v>1604</v>
      </c>
      <c r="B1314" s="1616"/>
      <c r="C1314" s="1624"/>
      <c r="D1314" s="879"/>
      <c r="E1314" s="879"/>
      <c r="F1314" s="879"/>
      <c r="G1314" s="880"/>
    </row>
    <row r="1315" spans="1:7" ht="21.75" hidden="1" customHeight="1">
      <c r="A1315" s="1971"/>
      <c r="B1315" s="1817"/>
      <c r="C1315" s="1972"/>
      <c r="D1315" s="881"/>
      <c r="E1315" s="881"/>
      <c r="F1315" s="881"/>
      <c r="G1315" s="882"/>
    </row>
    <row r="1316" spans="1:7" ht="14.25" hidden="1" customHeight="1">
      <c r="A1316" s="469"/>
      <c r="B1316" s="469"/>
      <c r="C1316" s="469"/>
      <c r="D1316" s="469"/>
      <c r="E1316" s="469"/>
      <c r="F1316" s="469"/>
      <c r="G1316" s="469"/>
    </row>
    <row r="1317" spans="1:7" ht="29.25" hidden="1" customHeight="1">
      <c r="A1317" s="2061" t="str">
        <f>A5</f>
        <v>PRECIOS UNITARIOS OFICIALES 2014</v>
      </c>
      <c r="B1317" s="1601"/>
      <c r="C1317" s="1602"/>
      <c r="D1317" s="2062" t="s">
        <v>2066</v>
      </c>
      <c r="E1317" s="1601"/>
      <c r="F1317" s="1601"/>
      <c r="G1317" s="1602"/>
    </row>
    <row r="1318" spans="1:7" ht="14.25" hidden="1" customHeight="1">
      <c r="A1318" s="470"/>
      <c r="B1318" s="470"/>
      <c r="C1318" s="470"/>
      <c r="D1318" s="470"/>
      <c r="E1318" s="470"/>
      <c r="F1318" s="470"/>
      <c r="G1318" s="470"/>
    </row>
    <row r="1319" spans="1:7" ht="14.25" hidden="1" customHeight="1">
      <c r="A1319" s="471"/>
      <c r="B1319" s="469"/>
      <c r="C1319" s="469"/>
      <c r="D1319" s="472" t="s">
        <v>1553</v>
      </c>
      <c r="E1319" s="473" t="s">
        <v>1569</v>
      </c>
      <c r="F1319" s="883"/>
      <c r="G1319" s="883"/>
    </row>
    <row r="1320" spans="1:7" ht="14.25" hidden="1" customHeight="1">
      <c r="A1320" s="471" t="s">
        <v>1555</v>
      </c>
      <c r="B1320" s="469"/>
      <c r="C1320" s="469"/>
      <c r="D1320" s="469"/>
      <c r="E1320" s="469"/>
      <c r="F1320" s="469"/>
      <c r="G1320" s="469"/>
    </row>
    <row r="1321" spans="1:7" ht="14.25" hidden="1" customHeight="1">
      <c r="A1321" s="2011" t="s">
        <v>1556</v>
      </c>
      <c r="B1321" s="1601"/>
      <c r="C1321" s="1801"/>
      <c r="D1321" s="474" t="s">
        <v>1557</v>
      </c>
      <c r="E1321" s="474" t="s">
        <v>1558</v>
      </c>
      <c r="F1321" s="474" t="s">
        <v>1559</v>
      </c>
      <c r="G1321" s="475"/>
    </row>
    <row r="1322" spans="1:7" ht="14.25" hidden="1" customHeight="1">
      <c r="A1322" s="2075" t="s">
        <v>1568</v>
      </c>
      <c r="B1322" s="1811"/>
      <c r="C1322" s="1967"/>
      <c r="D1322" s="993" t="s">
        <v>899</v>
      </c>
      <c r="E1322" s="994"/>
      <c r="F1322" s="490">
        <v>10000</v>
      </c>
      <c r="G1322" s="479"/>
    </row>
    <row r="1323" spans="1:7" ht="14.25" hidden="1" customHeight="1">
      <c r="A1323" s="2063"/>
      <c r="B1323" s="1610"/>
      <c r="C1323" s="1611"/>
      <c r="D1323" s="1000"/>
      <c r="E1323" s="481"/>
      <c r="F1323" s="997"/>
      <c r="G1323" s="483"/>
    </row>
    <row r="1324" spans="1:7" ht="27.75" hidden="1" customHeight="1">
      <c r="A1324" s="2064"/>
      <c r="B1324" s="1807"/>
      <c r="C1324" s="1819"/>
      <c r="D1324" s="983"/>
      <c r="E1324" s="485"/>
      <c r="F1324" s="997"/>
      <c r="G1324" s="487"/>
    </row>
    <row r="1325" spans="1:7" ht="14.25" hidden="1" customHeight="1">
      <c r="A1325" s="2053" t="s">
        <v>1560</v>
      </c>
      <c r="B1325" s="1601"/>
      <c r="C1325" s="1601"/>
      <c r="D1325" s="1601"/>
      <c r="E1325" s="1601"/>
      <c r="F1325" s="1801"/>
      <c r="G1325" s="995">
        <f>SUM(F1322:F1324)</f>
        <v>10000</v>
      </c>
    </row>
    <row r="1326" spans="1:7" ht="14.25" hidden="1" customHeight="1">
      <c r="A1326" s="471" t="s">
        <v>1561</v>
      </c>
      <c r="B1326" s="469"/>
      <c r="C1326" s="469"/>
      <c r="D1326" s="469"/>
      <c r="E1326" s="469"/>
      <c r="F1326" s="469"/>
      <c r="G1326" s="977"/>
    </row>
    <row r="1327" spans="1:7" ht="14.25" hidden="1" customHeight="1">
      <c r="A1327" s="2011" t="s">
        <v>1556</v>
      </c>
      <c r="B1327" s="1602"/>
      <c r="C1327" s="472" t="s">
        <v>6</v>
      </c>
      <c r="D1327" s="1001" t="s">
        <v>1562</v>
      </c>
      <c r="E1327" s="886" t="s">
        <v>7</v>
      </c>
      <c r="F1327" s="886" t="s">
        <v>1559</v>
      </c>
      <c r="G1327" s="996"/>
    </row>
    <row r="1328" spans="1:7" ht="14.25" hidden="1" customHeight="1">
      <c r="A1328" s="2074"/>
      <c r="B1328" s="1888"/>
      <c r="C1328" s="959"/>
      <c r="D1328" s="960"/>
      <c r="E1328" s="491"/>
      <c r="F1328" s="490"/>
      <c r="G1328" s="934"/>
    </row>
    <row r="1329" spans="1:7" ht="14.25" hidden="1" customHeight="1">
      <c r="A1329" s="2067"/>
      <c r="B1329" s="1611"/>
      <c r="C1329" s="493"/>
      <c r="D1329" s="493"/>
      <c r="E1329" s="495"/>
      <c r="F1329" s="494"/>
      <c r="G1329" s="937"/>
    </row>
    <row r="1330" spans="1:7" ht="14.25" hidden="1" customHeight="1">
      <c r="A1330" s="2067"/>
      <c r="B1330" s="1611"/>
      <c r="C1330" s="493"/>
      <c r="D1330" s="494"/>
      <c r="E1330" s="495"/>
      <c r="F1330" s="494"/>
      <c r="G1330" s="937"/>
    </row>
    <row r="1331" spans="1:7" ht="14.25" hidden="1" customHeight="1">
      <c r="A1331" s="2067"/>
      <c r="B1331" s="1611"/>
      <c r="C1331" s="493"/>
      <c r="D1331" s="494"/>
      <c r="E1331" s="495"/>
      <c r="F1331" s="494"/>
      <c r="G1331" s="937"/>
    </row>
    <row r="1332" spans="1:7" ht="14.25" hidden="1" customHeight="1">
      <c r="A1332" s="2058"/>
      <c r="B1332" s="1611"/>
      <c r="C1332" s="921"/>
      <c r="D1332" s="922"/>
      <c r="E1332" s="953"/>
      <c r="F1332" s="997"/>
      <c r="G1332" s="937"/>
    </row>
    <row r="1333" spans="1:7" ht="14.25" hidden="1" customHeight="1">
      <c r="A1333" s="2056" t="s">
        <v>1560</v>
      </c>
      <c r="B1333" s="1817"/>
      <c r="C1333" s="1817"/>
      <c r="D1333" s="1817"/>
      <c r="E1333" s="1817"/>
      <c r="F1333" s="2000"/>
      <c r="G1333" s="980"/>
    </row>
    <row r="1334" spans="1:7" ht="14.25" hidden="1" customHeight="1">
      <c r="A1334" s="471" t="s">
        <v>1563</v>
      </c>
      <c r="B1334" s="469"/>
      <c r="C1334" s="469"/>
      <c r="D1334" s="469"/>
      <c r="E1334" s="469"/>
      <c r="F1334" s="469"/>
      <c r="G1334" s="977"/>
    </row>
    <row r="1335" spans="1:7" ht="14.25" hidden="1" customHeight="1">
      <c r="A1335" s="2011" t="s">
        <v>1556</v>
      </c>
      <c r="B1335" s="1801"/>
      <c r="C1335" s="474" t="s">
        <v>6</v>
      </c>
      <c r="D1335" s="474" t="s">
        <v>1562</v>
      </c>
      <c r="E1335" s="474" t="s">
        <v>7</v>
      </c>
      <c r="F1335" s="474" t="s">
        <v>1559</v>
      </c>
      <c r="G1335" s="978"/>
    </row>
    <row r="1336" spans="1:7" ht="14.25" hidden="1" customHeight="1">
      <c r="A1336" s="2060" t="s">
        <v>2067</v>
      </c>
      <c r="B1336" s="1967"/>
      <c r="C1336" s="504" t="s">
        <v>1573</v>
      </c>
      <c r="D1336" s="478"/>
      <c r="E1336" s="505"/>
      <c r="F1336" s="482">
        <v>110000</v>
      </c>
      <c r="G1336" s="934"/>
    </row>
    <row r="1337" spans="1:7" ht="14.25" hidden="1" customHeight="1">
      <c r="A1337" s="2052"/>
      <c r="B1337" s="1819"/>
      <c r="C1337" s="504"/>
      <c r="D1337" s="506"/>
      <c r="E1337" s="507"/>
      <c r="F1337" s="506"/>
      <c r="G1337" s="976"/>
    </row>
    <row r="1338" spans="1:7" ht="14.25" hidden="1" customHeight="1">
      <c r="A1338" s="2053" t="s">
        <v>1560</v>
      </c>
      <c r="B1338" s="1601"/>
      <c r="C1338" s="1601"/>
      <c r="D1338" s="1601"/>
      <c r="E1338" s="1601"/>
      <c r="F1338" s="1801"/>
      <c r="G1338" s="979">
        <f>SUM(F1336:F1337)</f>
        <v>110000</v>
      </c>
    </row>
    <row r="1339" spans="1:7" ht="14.25" hidden="1" customHeight="1">
      <c r="A1339" s="471" t="s">
        <v>1564</v>
      </c>
      <c r="B1339" s="469"/>
      <c r="C1339" s="469"/>
      <c r="D1339" s="469"/>
      <c r="E1339" s="469"/>
      <c r="F1339" s="469"/>
      <c r="G1339" s="977"/>
    </row>
    <row r="1340" spans="1:7" ht="14.25" hidden="1" customHeight="1">
      <c r="A1340" s="2054" t="s">
        <v>1565</v>
      </c>
      <c r="B1340" s="1932"/>
      <c r="C1340" s="509" t="s">
        <v>1566</v>
      </c>
      <c r="D1340" s="509" t="s">
        <v>7</v>
      </c>
      <c r="E1340" s="509" t="s">
        <v>1571</v>
      </c>
      <c r="F1340" s="509" t="s">
        <v>1559</v>
      </c>
      <c r="G1340" s="978"/>
    </row>
    <row r="1341" spans="1:7" ht="14.25" hidden="1" customHeight="1">
      <c r="A1341" s="2055"/>
      <c r="B1341" s="1967"/>
      <c r="C1341" s="946"/>
      <c r="D1341" s="511"/>
      <c r="E1341" s="511"/>
      <c r="F1341" s="512"/>
      <c r="G1341" s="934"/>
    </row>
    <row r="1342" spans="1:7" ht="14.25" hidden="1" customHeight="1">
      <c r="A1342" s="513" t="s">
        <v>1576</v>
      </c>
      <c r="B1342" s="514"/>
      <c r="C1342" s="998" t="s">
        <v>1573</v>
      </c>
      <c r="D1342" s="999">
        <v>3</v>
      </c>
      <c r="E1342" s="999"/>
      <c r="F1342" s="517">
        <v>80000</v>
      </c>
      <c r="G1342" s="742"/>
    </row>
    <row r="1343" spans="1:7" ht="14.25" hidden="1" customHeight="1">
      <c r="A1343" s="2056" t="str">
        <f>+A1338</f>
        <v>SUB-TOTAL</v>
      </c>
      <c r="B1343" s="1817"/>
      <c r="C1343" s="1817"/>
      <c r="D1343" s="1817"/>
      <c r="E1343" s="1817"/>
      <c r="F1343" s="2000"/>
      <c r="G1343" s="980">
        <f>SUM(F1341:F1342)</f>
        <v>80000</v>
      </c>
    </row>
    <row r="1345" spans="1:7" ht="14.25" hidden="1" customHeight="1">
      <c r="A1345" s="2053" t="s">
        <v>1567</v>
      </c>
      <c r="B1345" s="1601"/>
      <c r="C1345" s="1601"/>
      <c r="D1345" s="1601"/>
      <c r="E1345" s="1601"/>
      <c r="F1345" s="1801"/>
      <c r="G1345" s="981">
        <f>ROUND(G1325+G1333+G1338+G1343,0)</f>
        <v>200000</v>
      </c>
    </row>
    <row r="1346" spans="1:7" ht="14.25" hidden="1" customHeight="1">
      <c r="A1346" s="468"/>
      <c r="B1346" s="468"/>
      <c r="C1346" s="468"/>
      <c r="D1346" s="468"/>
      <c r="E1346" s="468"/>
      <c r="F1346" s="468"/>
      <c r="G1346" s="468"/>
    </row>
    <row r="1347" spans="1:7" ht="14.25" hidden="1" customHeight="1">
      <c r="A1347" s="468"/>
      <c r="B1347" s="468"/>
      <c r="C1347" s="468"/>
      <c r="D1347" s="468"/>
      <c r="E1347" s="468"/>
      <c r="F1347" s="468"/>
      <c r="G1347" s="468"/>
    </row>
    <row r="1348" spans="1:7" ht="25.5" hidden="1" customHeight="1">
      <c r="A1348" s="1994" t="e">
        <f>+'ANALISIS BASICOS'!$A$7</f>
        <v>#REF!</v>
      </c>
      <c r="B1348" s="1616"/>
      <c r="C1348" s="1624"/>
      <c r="D1348" s="2069"/>
      <c r="E1348" s="1616"/>
      <c r="F1348" s="1616"/>
      <c r="G1348" s="1624"/>
    </row>
    <row r="1349" spans="1:7" ht="32.25" hidden="1" customHeight="1">
      <c r="A1349" s="1971"/>
      <c r="B1349" s="1817"/>
      <c r="C1349" s="1972"/>
      <c r="D1349" s="1971"/>
      <c r="E1349" s="1817"/>
      <c r="F1349" s="1817"/>
      <c r="G1349" s="1972"/>
    </row>
    <row r="1350" spans="1:7" ht="14.25" hidden="1" customHeight="1">
      <c r="A1350" s="469"/>
      <c r="B1350" s="469"/>
      <c r="C1350" s="469"/>
      <c r="D1350" s="469"/>
      <c r="E1350" s="469"/>
      <c r="F1350" s="469"/>
      <c r="G1350" s="469"/>
    </row>
    <row r="1351" spans="1:7" ht="45" hidden="1" customHeight="1">
      <c r="A1351" s="2070" t="e">
        <f ca="1">+'10-ACABADOS'!A37:C37</f>
        <v>#NAME?</v>
      </c>
      <c r="B1351" s="1601"/>
      <c r="C1351" s="1602"/>
      <c r="D1351" s="2062" t="s">
        <v>2068</v>
      </c>
      <c r="E1351" s="1601"/>
      <c r="F1351" s="1601"/>
      <c r="G1351" s="1602"/>
    </row>
    <row r="1352" spans="1:7" ht="14.25" hidden="1" customHeight="1">
      <c r="A1352" s="470"/>
      <c r="B1352" s="470"/>
      <c r="C1352" s="470"/>
      <c r="D1352" s="470"/>
      <c r="E1352" s="470"/>
      <c r="F1352" s="470"/>
      <c r="G1352" s="470"/>
    </row>
    <row r="1353" spans="1:7" ht="14.25" hidden="1" customHeight="1">
      <c r="A1353" s="471"/>
      <c r="B1353" s="469"/>
      <c r="C1353" s="469"/>
      <c r="D1353" s="472" t="s">
        <v>1553</v>
      </c>
      <c r="E1353" s="473" t="s">
        <v>228</v>
      </c>
      <c r="F1353" s="421" t="s">
        <v>1554</v>
      </c>
      <c r="G1353" s="422" t="s">
        <v>62</v>
      </c>
    </row>
    <row r="1354" spans="1:7" ht="14.25" hidden="1" customHeight="1">
      <c r="A1354" s="471" t="s">
        <v>1555</v>
      </c>
      <c r="B1354" s="469"/>
      <c r="C1354" s="469"/>
      <c r="D1354" s="469"/>
      <c r="E1354" s="469"/>
      <c r="F1354" s="469"/>
      <c r="G1354" s="469"/>
    </row>
    <row r="1355" spans="1:7" ht="14.25" hidden="1" customHeight="1">
      <c r="A1355" s="2011" t="s">
        <v>1556</v>
      </c>
      <c r="B1355" s="1601"/>
      <c r="C1355" s="1801"/>
      <c r="D1355" s="474" t="s">
        <v>1557</v>
      </c>
      <c r="E1355" s="474" t="s">
        <v>1558</v>
      </c>
      <c r="F1355" s="474" t="s">
        <v>1559</v>
      </c>
      <c r="G1355" s="475"/>
    </row>
    <row r="1356" spans="1:7" ht="14.25" hidden="1" customHeight="1">
      <c r="A1356" s="2075" t="s">
        <v>1568</v>
      </c>
      <c r="B1356" s="1811"/>
      <c r="C1356" s="1967"/>
      <c r="D1356" s="993" t="s">
        <v>899</v>
      </c>
      <c r="E1356" s="994"/>
      <c r="F1356" s="490">
        <v>1000</v>
      </c>
      <c r="G1356" s="479"/>
    </row>
    <row r="1357" spans="1:7" ht="14.25" hidden="1" customHeight="1">
      <c r="A1357" s="2063" t="s">
        <v>2069</v>
      </c>
      <c r="B1357" s="1610"/>
      <c r="C1357" s="1611"/>
      <c r="D1357" s="1000" t="s">
        <v>2070</v>
      </c>
      <c r="E1357" s="481"/>
      <c r="F1357" s="997">
        <v>1000</v>
      </c>
      <c r="G1357" s="483"/>
    </row>
    <row r="1358" spans="1:7" ht="14.25" hidden="1" customHeight="1">
      <c r="A1358" s="2064"/>
      <c r="B1358" s="1807"/>
      <c r="C1358" s="1819"/>
      <c r="D1358" s="983"/>
      <c r="E1358" s="485"/>
      <c r="F1358" s="997"/>
      <c r="G1358" s="487"/>
    </row>
    <row r="1359" spans="1:7" ht="14.25" hidden="1" customHeight="1">
      <c r="A1359" s="2053" t="s">
        <v>1560</v>
      </c>
      <c r="B1359" s="1601"/>
      <c r="C1359" s="1601"/>
      <c r="D1359" s="1601"/>
      <c r="E1359" s="1601"/>
      <c r="F1359" s="1801"/>
      <c r="G1359" s="995">
        <f>SUM(F1356:F1358)</f>
        <v>2000</v>
      </c>
    </row>
    <row r="1360" spans="1:7" ht="14.25" hidden="1" customHeight="1">
      <c r="A1360" s="471" t="s">
        <v>1561</v>
      </c>
      <c r="B1360" s="469"/>
      <c r="C1360" s="469"/>
      <c r="D1360" s="469"/>
      <c r="E1360" s="469"/>
      <c r="F1360" s="469"/>
      <c r="G1360" s="977"/>
    </row>
    <row r="1361" spans="1:7" ht="14.25" hidden="1" customHeight="1">
      <c r="A1361" s="2011" t="s">
        <v>1556</v>
      </c>
      <c r="B1361" s="1801"/>
      <c r="C1361" s="474" t="s">
        <v>6</v>
      </c>
      <c r="D1361" s="474" t="s">
        <v>1562</v>
      </c>
      <c r="E1361" s="474" t="s">
        <v>7</v>
      </c>
      <c r="F1361" s="474" t="s">
        <v>1559</v>
      </c>
      <c r="G1361" s="1002"/>
    </row>
    <row r="1362" spans="1:7" ht="14.25" hidden="1" customHeight="1">
      <c r="A1362" s="2066" t="s">
        <v>2071</v>
      </c>
      <c r="B1362" s="1967"/>
      <c r="C1362" s="489" t="s">
        <v>228</v>
      </c>
      <c r="D1362" s="490">
        <v>13000</v>
      </c>
      <c r="E1362" s="491">
        <v>1.05</v>
      </c>
      <c r="F1362" s="490">
        <f t="shared" ref="F1362:F1363" si="67">D1362*E1362</f>
        <v>13650</v>
      </c>
      <c r="G1362" s="934"/>
    </row>
    <row r="1363" spans="1:7" ht="36.75" hidden="1" customHeight="1">
      <c r="A1363" s="2067" t="s">
        <v>2072</v>
      </c>
      <c r="B1363" s="1611"/>
      <c r="C1363" s="493" t="s">
        <v>2070</v>
      </c>
      <c r="D1363" s="1003">
        <v>8000</v>
      </c>
      <c r="E1363" s="495">
        <v>1</v>
      </c>
      <c r="F1363" s="494">
        <f t="shared" si="67"/>
        <v>8000</v>
      </c>
      <c r="G1363" s="937"/>
    </row>
    <row r="1364" spans="1:7" ht="14.25" hidden="1" customHeight="1">
      <c r="A1364" s="2067"/>
      <c r="B1364" s="1611"/>
      <c r="C1364" s="493"/>
      <c r="D1364" s="494"/>
      <c r="E1364" s="495"/>
      <c r="F1364" s="494"/>
      <c r="G1364" s="937"/>
    </row>
    <row r="1365" spans="1:7" ht="14.25" hidden="1" customHeight="1">
      <c r="A1365" s="2067"/>
      <c r="B1365" s="1611"/>
      <c r="C1365" s="493"/>
      <c r="D1365" s="494"/>
      <c r="E1365" s="495"/>
      <c r="F1365" s="494"/>
      <c r="G1365" s="937"/>
    </row>
    <row r="1366" spans="1:7" ht="14.25" hidden="1" customHeight="1">
      <c r="A1366" s="2073"/>
      <c r="B1366" s="1819"/>
      <c r="C1366" s="963"/>
      <c r="D1366" s="964"/>
      <c r="E1366" s="956"/>
      <c r="F1366" s="927"/>
      <c r="G1366" s="742"/>
    </row>
    <row r="1367" spans="1:7" ht="14.25" hidden="1" customHeight="1">
      <c r="A1367" s="2056" t="s">
        <v>1560</v>
      </c>
      <c r="B1367" s="1817"/>
      <c r="C1367" s="1817"/>
      <c r="D1367" s="1817"/>
      <c r="E1367" s="1817"/>
      <c r="F1367" s="2000"/>
      <c r="G1367" s="980">
        <f>SUM(F1362:F1366)</f>
        <v>21650</v>
      </c>
    </row>
    <row r="1368" spans="1:7" ht="14.25" hidden="1" customHeight="1">
      <c r="A1368" s="471" t="s">
        <v>1563</v>
      </c>
      <c r="B1368" s="469"/>
      <c r="C1368" s="469"/>
      <c r="D1368" s="469"/>
      <c r="E1368" s="469"/>
      <c r="F1368" s="469"/>
      <c r="G1368" s="977"/>
    </row>
    <row r="1369" spans="1:7" ht="14.25" hidden="1" customHeight="1">
      <c r="A1369" s="2011" t="s">
        <v>1556</v>
      </c>
      <c r="B1369" s="1801"/>
      <c r="C1369" s="474" t="s">
        <v>6</v>
      </c>
      <c r="D1369" s="474" t="s">
        <v>1562</v>
      </c>
      <c r="E1369" s="474" t="s">
        <v>7</v>
      </c>
      <c r="F1369" s="474" t="s">
        <v>1559</v>
      </c>
      <c r="G1369" s="978"/>
    </row>
    <row r="1370" spans="1:7" ht="14.25" hidden="1" customHeight="1">
      <c r="A1370" s="2060" t="s">
        <v>2067</v>
      </c>
      <c r="B1370" s="1967"/>
      <c r="C1370" s="504" t="s">
        <v>1573</v>
      </c>
      <c r="D1370" s="478"/>
      <c r="E1370" s="505"/>
      <c r="F1370" s="482">
        <v>1000</v>
      </c>
      <c r="G1370" s="934"/>
    </row>
    <row r="1371" spans="1:7" ht="14.25" hidden="1" customHeight="1">
      <c r="A1371" s="2052"/>
      <c r="B1371" s="1819"/>
      <c r="C1371" s="504"/>
      <c r="D1371" s="506"/>
      <c r="E1371" s="507"/>
      <c r="F1371" s="506"/>
      <c r="G1371" s="976"/>
    </row>
    <row r="1372" spans="1:7" ht="14.25" hidden="1" customHeight="1">
      <c r="A1372" s="2053" t="s">
        <v>1560</v>
      </c>
      <c r="B1372" s="1601"/>
      <c r="C1372" s="1601"/>
      <c r="D1372" s="1601"/>
      <c r="E1372" s="1601"/>
      <c r="F1372" s="1801"/>
      <c r="G1372" s="979">
        <f>SUM(F1370:F1371)</f>
        <v>1000</v>
      </c>
    </row>
    <row r="1373" spans="1:7" ht="14.25" hidden="1" customHeight="1">
      <c r="A1373" s="471" t="s">
        <v>1564</v>
      </c>
      <c r="B1373" s="469"/>
      <c r="C1373" s="469"/>
      <c r="D1373" s="469"/>
      <c r="E1373" s="469"/>
      <c r="F1373" s="469"/>
      <c r="G1373" s="977"/>
    </row>
    <row r="1374" spans="1:7" ht="14.25" hidden="1" customHeight="1">
      <c r="A1374" s="2011" t="s">
        <v>1565</v>
      </c>
      <c r="B1374" s="1801"/>
      <c r="C1374" s="474" t="s">
        <v>1566</v>
      </c>
      <c r="D1374" s="474" t="s">
        <v>7</v>
      </c>
      <c r="E1374" s="474" t="s">
        <v>1571</v>
      </c>
      <c r="F1374" s="474" t="s">
        <v>1559</v>
      </c>
      <c r="G1374" s="1004"/>
    </row>
    <row r="1375" spans="1:7" ht="14.25" hidden="1" customHeight="1">
      <c r="A1375" s="2071" t="str">
        <f>'MANO DE OBRA'!$A$85</f>
        <v>Oficial (Incl. Prestaciones)</v>
      </c>
      <c r="B1375" s="1967"/>
      <c r="C1375" s="946">
        <f>+'MANO DE OBRA'!$E$64</f>
        <v>15031.25</v>
      </c>
      <c r="D1375" s="511">
        <v>1</v>
      </c>
      <c r="E1375" s="511">
        <v>1.7</v>
      </c>
      <c r="F1375" s="930">
        <f t="shared" ref="F1375:F1376" si="68">(C1375*D1375)/E1375</f>
        <v>8841.9117647058829</v>
      </c>
      <c r="G1375" s="934"/>
    </row>
    <row r="1376" spans="1:7" ht="14.25" hidden="1" customHeight="1">
      <c r="A1376" s="2072" t="str">
        <f>'MANO DE OBRA'!$A$86</f>
        <v>Ayudante (Incl. Prestaciones)</v>
      </c>
      <c r="B1376" s="1819"/>
      <c r="C1376" s="515">
        <f>+'MANO DE OBRA'!$E$65</f>
        <v>10972.8125</v>
      </c>
      <c r="D1376" s="999">
        <v>2</v>
      </c>
      <c r="E1376" s="999">
        <f>E1375</f>
        <v>1.7</v>
      </c>
      <c r="F1376" s="1005">
        <f t="shared" si="68"/>
        <v>12909.191176470589</v>
      </c>
      <c r="G1376" s="742"/>
    </row>
    <row r="1377" spans="1:7" ht="14.25" hidden="1" customHeight="1">
      <c r="A1377" s="2056" t="str">
        <f>+A1372</f>
        <v>SUB-TOTAL</v>
      </c>
      <c r="B1377" s="1817"/>
      <c r="C1377" s="1817"/>
      <c r="D1377" s="1817"/>
      <c r="E1377" s="1817"/>
      <c r="F1377" s="2000"/>
      <c r="G1377" s="980">
        <f>SUM(F1375:F1376)</f>
        <v>21751.102941176472</v>
      </c>
    </row>
    <row r="1378" spans="1:7" ht="14.25" hidden="1" customHeight="1">
      <c r="A1378" s="469"/>
      <c r="B1378" s="469"/>
      <c r="C1378" s="469"/>
      <c r="D1378" s="469"/>
      <c r="E1378" s="469"/>
      <c r="F1378" s="519"/>
      <c r="G1378" s="977"/>
    </row>
    <row r="1379" spans="1:7" ht="14.25" hidden="1" customHeight="1">
      <c r="A1379" s="2053" t="s">
        <v>1567</v>
      </c>
      <c r="B1379" s="1601"/>
      <c r="C1379" s="1601"/>
      <c r="D1379" s="1601"/>
      <c r="E1379" s="1601"/>
      <c r="F1379" s="1801"/>
      <c r="G1379" s="981">
        <f>ROUND(G1359+G1367+G1372+G1377,0)</f>
        <v>46401</v>
      </c>
    </row>
    <row r="1380" spans="1:7" ht="14.25" hidden="1" customHeight="1">
      <c r="A1380" s="468"/>
      <c r="B1380" s="468"/>
      <c r="C1380" s="468"/>
      <c r="D1380" s="468"/>
      <c r="E1380" s="468"/>
      <c r="F1380" s="468"/>
      <c r="G1380" s="468"/>
    </row>
    <row r="1381" spans="1:7" ht="14.25" hidden="1" customHeight="1">
      <c r="A1381" s="468"/>
      <c r="B1381" s="468"/>
      <c r="C1381" s="468"/>
      <c r="D1381" s="468"/>
      <c r="E1381" s="468"/>
      <c r="F1381" s="468"/>
      <c r="G1381" s="468"/>
    </row>
    <row r="1382" spans="1:7" ht="21" hidden="1" customHeight="1">
      <c r="A1382" s="2054" t="s">
        <v>1604</v>
      </c>
      <c r="B1382" s="1616"/>
      <c r="C1382" s="1624"/>
      <c r="D1382" s="879"/>
      <c r="E1382" s="879"/>
      <c r="F1382" s="879"/>
      <c r="G1382" s="880"/>
    </row>
    <row r="1383" spans="1:7" ht="23.25" hidden="1" customHeight="1">
      <c r="A1383" s="1971"/>
      <c r="B1383" s="1817"/>
      <c r="C1383" s="1972"/>
      <c r="D1383" s="881"/>
      <c r="E1383" s="881"/>
      <c r="F1383" s="881"/>
      <c r="G1383" s="882"/>
    </row>
    <row r="1384" spans="1:7" ht="14.25" hidden="1" customHeight="1">
      <c r="A1384" s="469"/>
      <c r="B1384" s="469"/>
      <c r="C1384" s="469"/>
      <c r="D1384" s="469"/>
      <c r="E1384" s="469"/>
      <c r="F1384" s="469"/>
      <c r="G1384" s="469"/>
    </row>
    <row r="1385" spans="1:7" ht="32.25" hidden="1" customHeight="1">
      <c r="A1385" s="2061" t="str">
        <f>A5</f>
        <v>PRECIOS UNITARIOS OFICIALES 2014</v>
      </c>
      <c r="B1385" s="1601"/>
      <c r="C1385" s="1602"/>
      <c r="D1385" s="2062" t="s">
        <v>2073</v>
      </c>
      <c r="E1385" s="1601"/>
      <c r="F1385" s="1601"/>
      <c r="G1385" s="1602"/>
    </row>
    <row r="1386" spans="1:7" ht="14.25" hidden="1" customHeight="1">
      <c r="A1386" s="470"/>
      <c r="B1386" s="470"/>
      <c r="C1386" s="470"/>
      <c r="D1386" s="470"/>
      <c r="E1386" s="470"/>
      <c r="F1386" s="470"/>
      <c r="G1386" s="470"/>
    </row>
    <row r="1387" spans="1:7" ht="14.25" hidden="1" customHeight="1">
      <c r="A1387" s="471"/>
      <c r="B1387" s="469"/>
      <c r="C1387" s="469"/>
      <c r="D1387" s="472" t="s">
        <v>1553</v>
      </c>
      <c r="E1387" s="473" t="s">
        <v>127</v>
      </c>
      <c r="F1387" s="883"/>
      <c r="G1387" s="883"/>
    </row>
    <row r="1388" spans="1:7" ht="14.25" hidden="1" customHeight="1">
      <c r="A1388" s="471" t="s">
        <v>1555</v>
      </c>
      <c r="B1388" s="469"/>
      <c r="C1388" s="469"/>
      <c r="D1388" s="469"/>
      <c r="E1388" s="469"/>
      <c r="F1388" s="469"/>
      <c r="G1388" s="469"/>
    </row>
    <row r="1389" spans="1:7" ht="14.25" hidden="1" customHeight="1">
      <c r="A1389" s="2011" t="s">
        <v>1556</v>
      </c>
      <c r="B1389" s="1601"/>
      <c r="C1389" s="1801"/>
      <c r="D1389" s="474" t="s">
        <v>1557</v>
      </c>
      <c r="E1389" s="474" t="s">
        <v>1558</v>
      </c>
      <c r="F1389" s="474" t="s">
        <v>1559</v>
      </c>
      <c r="G1389" s="475"/>
    </row>
    <row r="1390" spans="1:7" ht="14.25" hidden="1" customHeight="1">
      <c r="A1390" s="2060" t="s">
        <v>209</v>
      </c>
      <c r="B1390" s="1811"/>
      <c r="C1390" s="1967"/>
      <c r="D1390" s="476" t="s">
        <v>899</v>
      </c>
      <c r="E1390" s="477">
        <v>1</v>
      </c>
      <c r="F1390" s="1006">
        <v>500</v>
      </c>
      <c r="G1390" s="479"/>
    </row>
    <row r="1391" spans="1:7" ht="14.25" hidden="1" customHeight="1">
      <c r="A1391" s="2063" t="str">
        <f>'LISTADO EQUIPOS'!$C$19</f>
        <v>EQUIPO ELÉCTRICO SOLDADURA</v>
      </c>
      <c r="B1391" s="1610"/>
      <c r="C1391" s="1611"/>
      <c r="D1391" s="1007">
        <f>'LISTADO EQUIPOS'!$E$19</f>
        <v>9750</v>
      </c>
      <c r="E1391" s="481">
        <v>2</v>
      </c>
      <c r="F1391" s="494">
        <f>D1391/E1391</f>
        <v>4875</v>
      </c>
      <c r="G1391" s="483"/>
    </row>
    <row r="1392" spans="1:7" ht="14.25" hidden="1" customHeight="1">
      <c r="A1392" s="2064"/>
      <c r="B1392" s="1807"/>
      <c r="C1392" s="1819"/>
      <c r="D1392" s="484"/>
      <c r="E1392" s="485"/>
      <c r="F1392" s="1008"/>
      <c r="G1392" s="487"/>
    </row>
    <row r="1393" spans="1:7" ht="14.25" hidden="1" customHeight="1">
      <c r="A1393" s="2053" t="s">
        <v>1560</v>
      </c>
      <c r="B1393" s="1601"/>
      <c r="C1393" s="1601"/>
      <c r="D1393" s="1601"/>
      <c r="E1393" s="1601"/>
      <c r="F1393" s="1801"/>
      <c r="G1393" s="979">
        <f>SUM(F1390:F1392)</f>
        <v>5375</v>
      </c>
    </row>
    <row r="1394" spans="1:7" ht="14.25" hidden="1" customHeight="1">
      <c r="A1394" s="471" t="s">
        <v>1561</v>
      </c>
      <c r="B1394" s="469"/>
      <c r="C1394" s="469"/>
      <c r="D1394" s="469"/>
      <c r="E1394" s="469"/>
      <c r="F1394" s="469"/>
      <c r="G1394" s="977"/>
    </row>
    <row r="1395" spans="1:7" ht="14.25" hidden="1" customHeight="1">
      <c r="A1395" s="2054" t="s">
        <v>1556</v>
      </c>
      <c r="B1395" s="1624"/>
      <c r="C1395" s="886" t="s">
        <v>6</v>
      </c>
      <c r="D1395" s="917" t="s">
        <v>1562</v>
      </c>
      <c r="E1395" s="886" t="s">
        <v>7</v>
      </c>
      <c r="F1395" s="886" t="s">
        <v>1559</v>
      </c>
      <c r="G1395" s="996"/>
    </row>
    <row r="1396" spans="1:7" ht="14.25" hidden="1" customHeight="1">
      <c r="A1396" s="2059" t="str">
        <f>'LISTADO MATERIALES'!$C$394</f>
        <v>LIJA PLIEGO 9"X11"</v>
      </c>
      <c r="B1396" s="1967"/>
      <c r="C1396" s="932" t="str">
        <f>'LISTADO MATERIALES'!$D$394</f>
        <v>UND</v>
      </c>
      <c r="D1396" s="1009">
        <f>'LISTADO MATERIALES'!$E$394</f>
        <v>1260</v>
      </c>
      <c r="E1396" s="958">
        <v>0.3</v>
      </c>
      <c r="F1396" s="490">
        <f t="shared" ref="F1396:F1402" si="69">(D1396*E1396)</f>
        <v>378</v>
      </c>
      <c r="G1396" s="934"/>
    </row>
    <row r="1397" spans="1:7" ht="14.25" hidden="1" customHeight="1">
      <c r="A1397" s="2057" t="str">
        <f>'LISTADO MATERIALES'!$C$772</f>
        <v>MASILLA PARA METAL</v>
      </c>
      <c r="B1397" s="1611"/>
      <c r="C1397" s="935" t="str">
        <f>'LISTADO MATERIALES'!$D$772</f>
        <v>CTE</v>
      </c>
      <c r="D1397" s="955">
        <f>'LISTADO MATERIALES'!$E$407</f>
        <v>39755</v>
      </c>
      <c r="E1397" s="1010">
        <v>0.02</v>
      </c>
      <c r="F1397" s="494">
        <f t="shared" si="69"/>
        <v>795.1</v>
      </c>
      <c r="G1397" s="937"/>
    </row>
    <row r="1398" spans="1:7" ht="14.25" hidden="1" customHeight="1">
      <c r="A1398" s="2057" t="str">
        <f>'LISTADO MATERIALES'!$C$379</f>
        <v>DISOLVENTE THINER</v>
      </c>
      <c r="B1398" s="1611"/>
      <c r="C1398" s="935" t="str">
        <f>'LISTADO MATERIALES'!$D$379</f>
        <v>GAL</v>
      </c>
      <c r="D1398" s="955">
        <f>'LISTADO MATERIALES'!$E$379</f>
        <v>16275</v>
      </c>
      <c r="E1398" s="1010">
        <f>0.01</f>
        <v>0.01</v>
      </c>
      <c r="F1398" s="494">
        <f t="shared" si="69"/>
        <v>162.75</v>
      </c>
      <c r="G1398" s="937"/>
    </row>
    <row r="1399" spans="1:7" ht="14.25" hidden="1" customHeight="1">
      <c r="A1399" s="2057" t="str">
        <f>'LISTADO MATERIALES'!$C$380</f>
        <v>ESMALTE</v>
      </c>
      <c r="B1399" s="1611"/>
      <c r="C1399" s="935" t="str">
        <f>'LISTADO MATERIALES'!$D$380</f>
        <v>GAL</v>
      </c>
      <c r="D1399" s="955">
        <f>'LISTADO MATERIALES'!$E$380</f>
        <v>51450</v>
      </c>
      <c r="E1399" s="1010">
        <v>0.05</v>
      </c>
      <c r="F1399" s="494">
        <f t="shared" si="69"/>
        <v>2572.5</v>
      </c>
      <c r="G1399" s="937"/>
    </row>
    <row r="1400" spans="1:7" ht="14.25" hidden="1" customHeight="1">
      <c r="A1400" s="2057" t="str">
        <f>'LISTADO MATERIALES'!$C$389</f>
        <v>Lámina cold rolled c.20 de 122*244 cms</v>
      </c>
      <c r="B1400" s="1611"/>
      <c r="C1400" s="935" t="str">
        <f>'LISTADO MATERIALES'!$D$389</f>
        <v>UND</v>
      </c>
      <c r="D1400" s="955">
        <f>'LISTADO MATERIALES'!$E$389</f>
        <v>89838</v>
      </c>
      <c r="E1400" s="1010">
        <v>0.15</v>
      </c>
      <c r="F1400" s="494">
        <f t="shared" si="69"/>
        <v>13475.699999999999</v>
      </c>
      <c r="G1400" s="937"/>
    </row>
    <row r="1401" spans="1:7" ht="14.25" hidden="1" customHeight="1">
      <c r="A1401" s="2057" t="str">
        <f>'LISTADO MATERIALES'!$C$368</f>
        <v>ANTICORROSIVO</v>
      </c>
      <c r="B1401" s="1611"/>
      <c r="C1401" s="935" t="str">
        <f>'LISTADO MATERIALES'!$D$368</f>
        <v>GAL</v>
      </c>
      <c r="D1401" s="955">
        <f>'LISTADO MATERIALES'!$E$368</f>
        <v>33600</v>
      </c>
      <c r="E1401" s="965">
        <v>0.05</v>
      </c>
      <c r="F1401" s="494">
        <f t="shared" si="69"/>
        <v>1680</v>
      </c>
      <c r="G1401" s="937"/>
    </row>
    <row r="1402" spans="1:7" ht="14.25" hidden="1" customHeight="1">
      <c r="A1402" s="2057" t="str">
        <f>'LISTADO MATERIALES'!$C$86</f>
        <v>SOLDADURA WEST ARCO 6013X1/8</v>
      </c>
      <c r="B1402" s="1611"/>
      <c r="C1402" s="935" t="str">
        <f>'LISTADO MATERIALES'!$D$86</f>
        <v>KG</v>
      </c>
      <c r="D1402" s="955">
        <f>'LISTADO MATERIALES'!$E$86</f>
        <v>9975</v>
      </c>
      <c r="E1402" s="965">
        <v>0.1</v>
      </c>
      <c r="F1402" s="494">
        <f t="shared" si="69"/>
        <v>997.5</v>
      </c>
      <c r="G1402" s="937"/>
    </row>
    <row r="1403" spans="1:7" ht="14.25" hidden="1" customHeight="1">
      <c r="A1403" s="2057" t="str">
        <f>'LISTADO MATERIALES'!C49</f>
        <v>MALLA EN ACERO HUECO = 4,5 mm.</v>
      </c>
      <c r="B1403" s="1611"/>
      <c r="C1403" s="935" t="str">
        <f>'LISTADO MATERIALES'!D49</f>
        <v>M2</v>
      </c>
      <c r="D1403" s="955">
        <f>'LISTADO MATERIALES'!E49</f>
        <v>28684</v>
      </c>
      <c r="E1403" s="1010">
        <v>0.1</v>
      </c>
      <c r="F1403" s="494">
        <f t="shared" ref="F1403:F1405" si="70">D1403*E1403</f>
        <v>2868.4</v>
      </c>
      <c r="G1403" s="937"/>
    </row>
    <row r="1404" spans="1:7" ht="14.25" hidden="1" customHeight="1">
      <c r="A1404" s="2057" t="str">
        <f>'LISTADO MATERIALES'!$C$41</f>
        <v>DISCO PARA CORTE</v>
      </c>
      <c r="B1404" s="1611"/>
      <c r="C1404" s="935" t="str">
        <f>'LISTADO MATERIALES'!$D$41</f>
        <v>UND</v>
      </c>
      <c r="D1404" s="955">
        <f>'LISTADO MATERIALES'!$E$41</f>
        <v>10500</v>
      </c>
      <c r="E1404" s="1010">
        <v>0.1</v>
      </c>
      <c r="F1404" s="494">
        <f t="shared" si="70"/>
        <v>1050</v>
      </c>
      <c r="G1404" s="937"/>
    </row>
    <row r="1405" spans="1:7" ht="14.25" hidden="1" customHeight="1">
      <c r="A1405" s="2058" t="str">
        <f>'ANALISIS BASICOS'!A164</f>
        <v xml:space="preserve">MORTERO 1:3 </v>
      </c>
      <c r="B1405" s="1611"/>
      <c r="C1405" s="921" t="str">
        <f>'ANALISIS BASICOS'!E140</f>
        <v>M3</v>
      </c>
      <c r="D1405" s="922">
        <f>'ANALISIS BASICOS'!G164</f>
        <v>434608</v>
      </c>
      <c r="E1405" s="923">
        <v>0.01</v>
      </c>
      <c r="F1405" s="494">
        <f t="shared" si="70"/>
        <v>4346.08</v>
      </c>
      <c r="G1405" s="937"/>
    </row>
    <row r="1406" spans="1:7" ht="14.25" hidden="1" customHeight="1">
      <c r="A1406" s="2058"/>
      <c r="B1406" s="1611"/>
      <c r="C1406" s="926"/>
      <c r="D1406" s="927"/>
      <c r="E1406" s="928"/>
      <c r="F1406" s="927"/>
      <c r="G1406" s="742"/>
    </row>
    <row r="1407" spans="1:7" ht="14.25" hidden="1" customHeight="1">
      <c r="A1407" s="2056" t="s">
        <v>1560</v>
      </c>
      <c r="B1407" s="1817"/>
      <c r="C1407" s="1817"/>
      <c r="D1407" s="1817"/>
      <c r="E1407" s="1817"/>
      <c r="F1407" s="2000"/>
      <c r="G1407" s="976">
        <f>SUM(F1396:F1406)</f>
        <v>28326.03</v>
      </c>
    </row>
    <row r="1408" spans="1:7" ht="14.25" hidden="1" customHeight="1">
      <c r="A1408" s="471" t="s">
        <v>1563</v>
      </c>
      <c r="B1408" s="469"/>
      <c r="C1408" s="469"/>
      <c r="D1408" s="469"/>
      <c r="E1408" s="469"/>
      <c r="F1408" s="469"/>
      <c r="G1408" s="977"/>
    </row>
    <row r="1409" spans="1:7" ht="14.25" hidden="1" customHeight="1">
      <c r="A1409" s="2011" t="s">
        <v>1556</v>
      </c>
      <c r="B1409" s="1801"/>
      <c r="C1409" s="474" t="s">
        <v>6</v>
      </c>
      <c r="D1409" s="474" t="s">
        <v>1562</v>
      </c>
      <c r="E1409" s="474" t="s">
        <v>7</v>
      </c>
      <c r="F1409" s="474" t="s">
        <v>1559</v>
      </c>
      <c r="G1409" s="978"/>
    </row>
    <row r="1410" spans="1:7" ht="14.25" hidden="1" customHeight="1">
      <c r="A1410" s="2060" t="s">
        <v>2074</v>
      </c>
      <c r="B1410" s="1967"/>
      <c r="C1410" s="504" t="s">
        <v>1569</v>
      </c>
      <c r="D1410" s="478"/>
      <c r="E1410" s="505"/>
      <c r="F1410" s="997">
        <v>1000</v>
      </c>
      <c r="G1410" s="934"/>
    </row>
    <row r="1411" spans="1:7" ht="14.25" hidden="1" customHeight="1">
      <c r="A1411" s="2052"/>
      <c r="B1411" s="1819"/>
      <c r="C1411" s="504"/>
      <c r="D1411" s="506"/>
      <c r="E1411" s="507"/>
      <c r="F1411" s="506"/>
      <c r="G1411" s="976"/>
    </row>
    <row r="1412" spans="1:7" ht="14.25" hidden="1" customHeight="1">
      <c r="A1412" s="2053" t="s">
        <v>1560</v>
      </c>
      <c r="B1412" s="1601"/>
      <c r="C1412" s="1601"/>
      <c r="D1412" s="1601"/>
      <c r="E1412" s="1601"/>
      <c r="F1412" s="1801"/>
      <c r="G1412" s="979">
        <f>SUM(F1410:F1411)</f>
        <v>1000</v>
      </c>
    </row>
    <row r="1413" spans="1:7" ht="14.25" hidden="1" customHeight="1">
      <c r="A1413" s="471" t="s">
        <v>1564</v>
      </c>
      <c r="B1413" s="469"/>
      <c r="C1413" s="469"/>
      <c r="D1413" s="469"/>
      <c r="E1413" s="469"/>
      <c r="F1413" s="469"/>
      <c r="G1413" s="977"/>
    </row>
    <row r="1414" spans="1:7" ht="14.25" hidden="1" customHeight="1">
      <c r="A1414" s="2054" t="s">
        <v>1565</v>
      </c>
      <c r="B1414" s="1932"/>
      <c r="C1414" s="509" t="s">
        <v>1566</v>
      </c>
      <c r="D1414" s="509" t="s">
        <v>7</v>
      </c>
      <c r="E1414" s="509" t="s">
        <v>1571</v>
      </c>
      <c r="F1414" s="509" t="s">
        <v>1559</v>
      </c>
      <c r="G1414" s="503"/>
    </row>
    <row r="1415" spans="1:7" ht="15.75" hidden="1" customHeight="1">
      <c r="A1415" s="2055" t="s">
        <v>1574</v>
      </c>
      <c r="B1415" s="1967"/>
      <c r="C1415" s="510">
        <v>7410.96</v>
      </c>
      <c r="D1415" s="511">
        <v>1</v>
      </c>
      <c r="E1415" s="511">
        <v>0.5</v>
      </c>
      <c r="F1415" s="982">
        <f t="shared" ref="F1415:F1416" si="71">(C1415*D1415)/E1415</f>
        <v>14821.92</v>
      </c>
      <c r="G1415" s="479"/>
    </row>
    <row r="1416" spans="1:7" ht="17.25" hidden="1" customHeight="1">
      <c r="A1416" s="513" t="s">
        <v>1576</v>
      </c>
      <c r="B1416" s="514"/>
      <c r="C1416" s="515">
        <v>4550.79</v>
      </c>
      <c r="D1416" s="516">
        <v>2</v>
      </c>
      <c r="E1416" s="516">
        <f>E1415</f>
        <v>0.5</v>
      </c>
      <c r="F1416" s="982">
        <f t="shared" si="71"/>
        <v>18203.16</v>
      </c>
      <c r="G1416" s="501"/>
    </row>
    <row r="1417" spans="1:7" ht="14.25" hidden="1" customHeight="1">
      <c r="A1417" s="2056" t="str">
        <f>+A1412</f>
        <v>SUB-TOTAL</v>
      </c>
      <c r="B1417" s="1817"/>
      <c r="C1417" s="1817"/>
      <c r="D1417" s="1817"/>
      <c r="E1417" s="1817"/>
      <c r="F1417" s="2000"/>
      <c r="G1417" s="976">
        <f>SUM(F1415:F1416)</f>
        <v>33025.08</v>
      </c>
    </row>
    <row r="1418" spans="1:7" ht="14.25" hidden="1" customHeight="1">
      <c r="A1418" s="469"/>
      <c r="B1418" s="469"/>
      <c r="C1418" s="469"/>
      <c r="D1418" s="469"/>
      <c r="E1418" s="469"/>
      <c r="F1418" s="519"/>
      <c r="G1418" s="977"/>
    </row>
    <row r="1419" spans="1:7" ht="14.25" hidden="1" customHeight="1">
      <c r="A1419" s="2053" t="s">
        <v>1567</v>
      </c>
      <c r="B1419" s="1601"/>
      <c r="C1419" s="1601"/>
      <c r="D1419" s="1601"/>
      <c r="E1419" s="1601"/>
      <c r="F1419" s="1801"/>
      <c r="G1419" s="981">
        <f>ROUND(G1393+G1407+G1412+G1417,0)</f>
        <v>67726</v>
      </c>
    </row>
  </sheetData>
  <mergeCells count="992">
    <mergeCell ref="A320:F320"/>
    <mergeCell ref="A322:B322"/>
    <mergeCell ref="A323:B323"/>
    <mergeCell ref="A325:F325"/>
    <mergeCell ref="A327:F327"/>
    <mergeCell ref="A330:C331"/>
    <mergeCell ref="A299:C299"/>
    <mergeCell ref="A300:C300"/>
    <mergeCell ref="A301:C301"/>
    <mergeCell ref="A302:C302"/>
    <mergeCell ref="A303:F303"/>
    <mergeCell ref="A305:B305"/>
    <mergeCell ref="A306:B306"/>
    <mergeCell ref="A314:B314"/>
    <mergeCell ref="A315:F315"/>
    <mergeCell ref="A307:B307"/>
    <mergeCell ref="A308:B308"/>
    <mergeCell ref="A309:B309"/>
    <mergeCell ref="A310:B310"/>
    <mergeCell ref="A311:B311"/>
    <mergeCell ref="A312:B312"/>
    <mergeCell ref="A313:B313"/>
    <mergeCell ref="A369:C370"/>
    <mergeCell ref="D369:G370"/>
    <mergeCell ref="A372:C372"/>
    <mergeCell ref="D372:G372"/>
    <mergeCell ref="A376:C376"/>
    <mergeCell ref="A377:C377"/>
    <mergeCell ref="A353:F353"/>
    <mergeCell ref="A355:B355"/>
    <mergeCell ref="A356:B356"/>
    <mergeCell ref="A357:B357"/>
    <mergeCell ref="A358:F358"/>
    <mergeCell ref="A360:B360"/>
    <mergeCell ref="A361:B361"/>
    <mergeCell ref="A363:F363"/>
    <mergeCell ref="A365:F365"/>
    <mergeCell ref="A378:C378"/>
    <mergeCell ref="A379:C379"/>
    <mergeCell ref="A380:F380"/>
    <mergeCell ref="A382:B382"/>
    <mergeCell ref="A383:B383"/>
    <mergeCell ref="A384:B384"/>
    <mergeCell ref="A385:B385"/>
    <mergeCell ref="A386:B386"/>
    <mergeCell ref="A387:B387"/>
    <mergeCell ref="A388:F388"/>
    <mergeCell ref="A390:B390"/>
    <mergeCell ref="A391:B391"/>
    <mergeCell ref="A392:B392"/>
    <mergeCell ref="A393:F393"/>
    <mergeCell ref="A395:B395"/>
    <mergeCell ref="A396:B396"/>
    <mergeCell ref="A397:B397"/>
    <mergeCell ref="A398:F398"/>
    <mergeCell ref="A400:F400"/>
    <mergeCell ref="A403:C404"/>
    <mergeCell ref="D403:G404"/>
    <mergeCell ref="D406:G406"/>
    <mergeCell ref="A406:C406"/>
    <mergeCell ref="A410:C410"/>
    <mergeCell ref="A411:C411"/>
    <mergeCell ref="A412:C412"/>
    <mergeCell ref="A413:C413"/>
    <mergeCell ref="A414:F414"/>
    <mergeCell ref="A416:B416"/>
    <mergeCell ref="A417:B417"/>
    <mergeCell ref="A418:B418"/>
    <mergeCell ref="A419:B419"/>
    <mergeCell ref="A420:B420"/>
    <mergeCell ref="A421:B421"/>
    <mergeCell ref="A422:F422"/>
    <mergeCell ref="A424:B424"/>
    <mergeCell ref="A425:B425"/>
    <mergeCell ref="A426:B426"/>
    <mergeCell ref="A427:F427"/>
    <mergeCell ref="A429:B429"/>
    <mergeCell ref="A430:B430"/>
    <mergeCell ref="A432:F432"/>
    <mergeCell ref="A434:F434"/>
    <mergeCell ref="A431:B431"/>
    <mergeCell ref="A437:C438"/>
    <mergeCell ref="D437:G438"/>
    <mergeCell ref="A440:C440"/>
    <mergeCell ref="D440:G440"/>
    <mergeCell ref="A444:C444"/>
    <mergeCell ref="A445:C445"/>
    <mergeCell ref="A2:C3"/>
    <mergeCell ref="A5:C5"/>
    <mergeCell ref="D5:G5"/>
    <mergeCell ref="A9:C9"/>
    <mergeCell ref="Q9:S9"/>
    <mergeCell ref="A10:C10"/>
    <mergeCell ref="A11:C11"/>
    <mergeCell ref="A12:C12"/>
    <mergeCell ref="A13:F13"/>
    <mergeCell ref="A15:B15"/>
    <mergeCell ref="A16:B16"/>
    <mergeCell ref="A17:B17"/>
    <mergeCell ref="A18:B18"/>
    <mergeCell ref="A19:B19"/>
    <mergeCell ref="A20:B20"/>
    <mergeCell ref="A21:B21"/>
    <mergeCell ref="A22:B22"/>
    <mergeCell ref="A23:B23"/>
    <mergeCell ref="A24:B24"/>
    <mergeCell ref="A25:B25"/>
    <mergeCell ref="A26:F26"/>
    <mergeCell ref="A28:B28"/>
    <mergeCell ref="A29:B29"/>
    <mergeCell ref="A30:B30"/>
    <mergeCell ref="A31:F31"/>
    <mergeCell ref="A33:B33"/>
    <mergeCell ref="A34:B34"/>
    <mergeCell ref="A35:B35"/>
    <mergeCell ref="A36:F36"/>
    <mergeCell ref="A38:F38"/>
    <mergeCell ref="A41:C42"/>
    <mergeCell ref="A44:C44"/>
    <mergeCell ref="D44:G44"/>
    <mergeCell ref="A48:C48"/>
    <mergeCell ref="A49:C49"/>
    <mergeCell ref="A50:C50"/>
    <mergeCell ref="A51:C51"/>
    <mergeCell ref="A52:F52"/>
    <mergeCell ref="A54:B54"/>
    <mergeCell ref="A55:B55"/>
    <mergeCell ref="A56:B56"/>
    <mergeCell ref="A57:B57"/>
    <mergeCell ref="A58:B58"/>
    <mergeCell ref="A59:B59"/>
    <mergeCell ref="A60:F60"/>
    <mergeCell ref="A62:B62"/>
    <mergeCell ref="A63:B63"/>
    <mergeCell ref="A64:B64"/>
    <mergeCell ref="A65:F65"/>
    <mergeCell ref="A67:B67"/>
    <mergeCell ref="A68:B68"/>
    <mergeCell ref="A69:B69"/>
    <mergeCell ref="A70:F70"/>
    <mergeCell ref="A72:F72"/>
    <mergeCell ref="A75:C76"/>
    <mergeCell ref="D78:G78"/>
    <mergeCell ref="A78:C78"/>
    <mergeCell ref="A82:C82"/>
    <mergeCell ref="A83:C83"/>
    <mergeCell ref="A84:C84"/>
    <mergeCell ref="A85:C85"/>
    <mergeCell ref="A86:F86"/>
    <mergeCell ref="A88:B88"/>
    <mergeCell ref="A99:B99"/>
    <mergeCell ref="A100:F100"/>
    <mergeCell ref="A89:B89"/>
    <mergeCell ref="A90:B90"/>
    <mergeCell ref="A91:B91"/>
    <mergeCell ref="A92:B92"/>
    <mergeCell ref="A93:B93"/>
    <mergeCell ref="A95:B95"/>
    <mergeCell ref="A97:B97"/>
    <mergeCell ref="A102:B102"/>
    <mergeCell ref="A103:B103"/>
    <mergeCell ref="A104:B104"/>
    <mergeCell ref="A105:F105"/>
    <mergeCell ref="A107:B107"/>
    <mergeCell ref="A108:B108"/>
    <mergeCell ref="A110:F110"/>
    <mergeCell ref="A112:F112"/>
    <mergeCell ref="A115:C116"/>
    <mergeCell ref="A168:F168"/>
    <mergeCell ref="A170:B170"/>
    <mergeCell ref="A171:B171"/>
    <mergeCell ref="A172:B172"/>
    <mergeCell ref="A173:F173"/>
    <mergeCell ref="A175:B175"/>
    <mergeCell ref="A118:C118"/>
    <mergeCell ref="D118:G118"/>
    <mergeCell ref="A122:C122"/>
    <mergeCell ref="A123:C123"/>
    <mergeCell ref="A124:C124"/>
    <mergeCell ref="A125:C125"/>
    <mergeCell ref="A126:F126"/>
    <mergeCell ref="A128:B128"/>
    <mergeCell ref="A129:B129"/>
    <mergeCell ref="A158:C158"/>
    <mergeCell ref="A159:C159"/>
    <mergeCell ref="A160:F160"/>
    <mergeCell ref="A162:B162"/>
    <mergeCell ref="A163:B163"/>
    <mergeCell ref="A164:B164"/>
    <mergeCell ref="A165:B165"/>
    <mergeCell ref="A166:B166"/>
    <mergeCell ref="A167:B167"/>
    <mergeCell ref="A146:F146"/>
    <mergeCell ref="A149:C150"/>
    <mergeCell ref="D149:G150"/>
    <mergeCell ref="A152:C152"/>
    <mergeCell ref="D152:G152"/>
    <mergeCell ref="A156:C156"/>
    <mergeCell ref="A157:C157"/>
    <mergeCell ref="A130:B130"/>
    <mergeCell ref="A131:B131"/>
    <mergeCell ref="A132:B132"/>
    <mergeCell ref="A133:B133"/>
    <mergeCell ref="A134:F134"/>
    <mergeCell ref="A136:B136"/>
    <mergeCell ref="A137:B137"/>
    <mergeCell ref="A138:B138"/>
    <mergeCell ref="A139:F139"/>
    <mergeCell ref="A141:B141"/>
    <mergeCell ref="A142:B142"/>
    <mergeCell ref="A144:F144"/>
    <mergeCell ref="A176:B176"/>
    <mergeCell ref="A177:B177"/>
    <mergeCell ref="A178:F178"/>
    <mergeCell ref="A180:F180"/>
    <mergeCell ref="A183:C184"/>
    <mergeCell ref="D183:G184"/>
    <mergeCell ref="A186:C186"/>
    <mergeCell ref="D186:G186"/>
    <mergeCell ref="A190:C190"/>
    <mergeCell ref="A191:C191"/>
    <mergeCell ref="A192:C192"/>
    <mergeCell ref="A210:B210"/>
    <mergeCell ref="A211:B211"/>
    <mergeCell ref="A212:F212"/>
    <mergeCell ref="A214:F214"/>
    <mergeCell ref="A218:C219"/>
    <mergeCell ref="A221:C221"/>
    <mergeCell ref="D221:G221"/>
    <mergeCell ref="A200:B200"/>
    <mergeCell ref="A201:B201"/>
    <mergeCell ref="A202:F202"/>
    <mergeCell ref="A204:B204"/>
    <mergeCell ref="A205:B205"/>
    <mergeCell ref="A206:B206"/>
    <mergeCell ref="A207:F207"/>
    <mergeCell ref="A209:B209"/>
    <mergeCell ref="A193:C193"/>
    <mergeCell ref="A194:F194"/>
    <mergeCell ref="A196:B196"/>
    <mergeCell ref="A197:B197"/>
    <mergeCell ref="A198:B198"/>
    <mergeCell ref="A199:B199"/>
    <mergeCell ref="A225:C225"/>
    <mergeCell ref="A226:C226"/>
    <mergeCell ref="A227:C227"/>
    <mergeCell ref="A228:C228"/>
    <mergeCell ref="A229:F229"/>
    <mergeCell ref="A231:B231"/>
    <mergeCell ref="A232:B232"/>
    <mergeCell ref="A233:B233"/>
    <mergeCell ref="A234:B234"/>
    <mergeCell ref="A235:B235"/>
    <mergeCell ref="A236:B236"/>
    <mergeCell ref="A237:F237"/>
    <mergeCell ref="A239:B239"/>
    <mergeCell ref="A240:B240"/>
    <mergeCell ref="A241:B241"/>
    <mergeCell ref="A242:F242"/>
    <mergeCell ref="A244:B244"/>
    <mergeCell ref="A245:B245"/>
    <mergeCell ref="A246:B246"/>
    <mergeCell ref="A247:F247"/>
    <mergeCell ref="A249:F249"/>
    <mergeCell ref="A253:C254"/>
    <mergeCell ref="A256:C256"/>
    <mergeCell ref="D256:G256"/>
    <mergeCell ref="A260:C260"/>
    <mergeCell ref="A261:C261"/>
    <mergeCell ref="A262:C262"/>
    <mergeCell ref="A264:F264"/>
    <mergeCell ref="A263:C263"/>
    <mergeCell ref="A266:B266"/>
    <mergeCell ref="A267:B267"/>
    <mergeCell ref="A268:B268"/>
    <mergeCell ref="A269:B269"/>
    <mergeCell ref="A270:B270"/>
    <mergeCell ref="A272:B272"/>
    <mergeCell ref="A274:B274"/>
    <mergeCell ref="A275:B275"/>
    <mergeCell ref="A276:F276"/>
    <mergeCell ref="A278:B278"/>
    <mergeCell ref="A279:B279"/>
    <mergeCell ref="A280:B280"/>
    <mergeCell ref="A281:F281"/>
    <mergeCell ref="A283:B283"/>
    <mergeCell ref="A284:B284"/>
    <mergeCell ref="A286:F286"/>
    <mergeCell ref="A288:F288"/>
    <mergeCell ref="A292:C293"/>
    <mergeCell ref="A295:C295"/>
    <mergeCell ref="D295:G295"/>
    <mergeCell ref="A348:B348"/>
    <mergeCell ref="A349:B349"/>
    <mergeCell ref="A350:B350"/>
    <mergeCell ref="A351:B351"/>
    <mergeCell ref="A352:B352"/>
    <mergeCell ref="A345:B345"/>
    <mergeCell ref="A346:B346"/>
    <mergeCell ref="A347:B347"/>
    <mergeCell ref="A333:C333"/>
    <mergeCell ref="D333:G333"/>
    <mergeCell ref="A337:C337"/>
    <mergeCell ref="A338:C338"/>
    <mergeCell ref="A339:C339"/>
    <mergeCell ref="A340:C340"/>
    <mergeCell ref="A341:F341"/>
    <mergeCell ref="A343:B343"/>
    <mergeCell ref="A344:B344"/>
    <mergeCell ref="A317:B317"/>
    <mergeCell ref="A318:B318"/>
    <mergeCell ref="A319:B319"/>
    <mergeCell ref="A446:C446"/>
    <mergeCell ref="A447:C447"/>
    <mergeCell ref="A448:F448"/>
    <mergeCell ref="A450:B450"/>
    <mergeCell ref="A451:B451"/>
    <mergeCell ref="A452:B452"/>
    <mergeCell ref="A453:B453"/>
    <mergeCell ref="A454:B454"/>
    <mergeCell ref="A455:B455"/>
    <mergeCell ref="A456:F456"/>
    <mergeCell ref="A458:B458"/>
    <mergeCell ref="A459:B459"/>
    <mergeCell ref="A460:B460"/>
    <mergeCell ref="A461:F461"/>
    <mergeCell ref="A463:B463"/>
    <mergeCell ref="A464:B464"/>
    <mergeCell ref="A465:B465"/>
    <mergeCell ref="A466:F466"/>
    <mergeCell ref="A468:F468"/>
    <mergeCell ref="A471:C472"/>
    <mergeCell ref="D471:G472"/>
    <mergeCell ref="A474:C474"/>
    <mergeCell ref="D474:G474"/>
    <mergeCell ref="A478:C478"/>
    <mergeCell ref="A479:C479"/>
    <mergeCell ref="A480:C480"/>
    <mergeCell ref="A481:C481"/>
    <mergeCell ref="A482:F482"/>
    <mergeCell ref="A484:B484"/>
    <mergeCell ref="A485:B485"/>
    <mergeCell ref="A486:B486"/>
    <mergeCell ref="A487:B487"/>
    <mergeCell ref="A488:B488"/>
    <mergeCell ref="A489:B489"/>
    <mergeCell ref="A490:F490"/>
    <mergeCell ref="A492:B492"/>
    <mergeCell ref="A493:B493"/>
    <mergeCell ref="A494:B494"/>
    <mergeCell ref="A495:F495"/>
    <mergeCell ref="A497:B497"/>
    <mergeCell ref="A498:B498"/>
    <mergeCell ref="A499:B499"/>
    <mergeCell ref="A500:F500"/>
    <mergeCell ref="A502:F502"/>
    <mergeCell ref="A505:C506"/>
    <mergeCell ref="D505:G506"/>
    <mergeCell ref="A508:C508"/>
    <mergeCell ref="D508:G508"/>
    <mergeCell ref="A512:C512"/>
    <mergeCell ref="A573:C573"/>
    <mergeCell ref="A577:C577"/>
    <mergeCell ref="A578:C578"/>
    <mergeCell ref="A579:C579"/>
    <mergeCell ref="A580:C580"/>
    <mergeCell ref="A581:F581"/>
    <mergeCell ref="D540:G540"/>
    <mergeCell ref="A544:C544"/>
    <mergeCell ref="A545:C545"/>
    <mergeCell ref="A546:C546"/>
    <mergeCell ref="A547:C547"/>
    <mergeCell ref="A548:F548"/>
    <mergeCell ref="A550:B550"/>
    <mergeCell ref="A551:B551"/>
    <mergeCell ref="A552:B552"/>
    <mergeCell ref="A553:B553"/>
    <mergeCell ref="A554:F554"/>
    <mergeCell ref="A556:B556"/>
    <mergeCell ref="A557:B557"/>
    <mergeCell ref="A558:B558"/>
    <mergeCell ref="A559:F559"/>
    <mergeCell ref="A583:B583"/>
    <mergeCell ref="A584:B584"/>
    <mergeCell ref="A585:B585"/>
    <mergeCell ref="A586:B586"/>
    <mergeCell ref="A587:B587"/>
    <mergeCell ref="A588:B588"/>
    <mergeCell ref="A589:B589"/>
    <mergeCell ref="A590:F590"/>
    <mergeCell ref="A592:B592"/>
    <mergeCell ref="A593:B593"/>
    <mergeCell ref="A594:B594"/>
    <mergeCell ref="A595:F595"/>
    <mergeCell ref="A597:B597"/>
    <mergeCell ref="A600:F600"/>
    <mergeCell ref="A602:F602"/>
    <mergeCell ref="A598:B598"/>
    <mergeCell ref="A606:C607"/>
    <mergeCell ref="A609:C609"/>
    <mergeCell ref="D609:G609"/>
    <mergeCell ref="A540:C540"/>
    <mergeCell ref="A634:B634"/>
    <mergeCell ref="A636:F636"/>
    <mergeCell ref="A638:F638"/>
    <mergeCell ref="A642:C643"/>
    <mergeCell ref="D642:G643"/>
    <mergeCell ref="D645:G645"/>
    <mergeCell ref="A645:C645"/>
    <mergeCell ref="A649:C649"/>
    <mergeCell ref="A623:B623"/>
    <mergeCell ref="A624:B624"/>
    <mergeCell ref="A625:B625"/>
    <mergeCell ref="A626:F626"/>
    <mergeCell ref="A628:B628"/>
    <mergeCell ref="A629:B629"/>
    <mergeCell ref="A630:B630"/>
    <mergeCell ref="A631:F631"/>
    <mergeCell ref="A633:B633"/>
    <mergeCell ref="A613:C613"/>
    <mergeCell ref="A614:C614"/>
    <mergeCell ref="A615:C615"/>
    <mergeCell ref="A616:C616"/>
    <mergeCell ref="A617:F617"/>
    <mergeCell ref="A619:B619"/>
    <mergeCell ref="A524:B524"/>
    <mergeCell ref="A525:B525"/>
    <mergeCell ref="A526:B526"/>
    <mergeCell ref="A527:F527"/>
    <mergeCell ref="A529:B529"/>
    <mergeCell ref="A530:B530"/>
    <mergeCell ref="A532:F532"/>
    <mergeCell ref="A534:F534"/>
    <mergeCell ref="A537:C538"/>
    <mergeCell ref="D537:G538"/>
    <mergeCell ref="A513:C513"/>
    <mergeCell ref="A514:C514"/>
    <mergeCell ref="A515:C515"/>
    <mergeCell ref="A516:F516"/>
    <mergeCell ref="A518:B518"/>
    <mergeCell ref="A519:B519"/>
    <mergeCell ref="A520:B520"/>
    <mergeCell ref="A521:B521"/>
    <mergeCell ref="A522:F522"/>
    <mergeCell ref="A561:B561"/>
    <mergeCell ref="A562:B562"/>
    <mergeCell ref="A564:F564"/>
    <mergeCell ref="A566:F566"/>
    <mergeCell ref="A570:C571"/>
    <mergeCell ref="D570:G571"/>
    <mergeCell ref="D573:G573"/>
    <mergeCell ref="A662:B662"/>
    <mergeCell ref="A665:B665"/>
    <mergeCell ref="A656:B656"/>
    <mergeCell ref="A657:B657"/>
    <mergeCell ref="A658:B658"/>
    <mergeCell ref="A659:B659"/>
    <mergeCell ref="A660:B660"/>
    <mergeCell ref="A661:B661"/>
    <mergeCell ref="A663:F663"/>
    <mergeCell ref="A651:C651"/>
    <mergeCell ref="A652:C652"/>
    <mergeCell ref="A653:F653"/>
    <mergeCell ref="A655:B655"/>
    <mergeCell ref="A650:C650"/>
    <mergeCell ref="A620:B620"/>
    <mergeCell ref="A621:B621"/>
    <mergeCell ref="A622:B622"/>
    <mergeCell ref="A666:B666"/>
    <mergeCell ref="A667:B667"/>
    <mergeCell ref="A670:B670"/>
    <mergeCell ref="A671:B671"/>
    <mergeCell ref="A718:C718"/>
    <mergeCell ref="A719:C719"/>
    <mergeCell ref="A720:C720"/>
    <mergeCell ref="A721:C721"/>
    <mergeCell ref="A722:F722"/>
    <mergeCell ref="A668:F668"/>
    <mergeCell ref="A673:F673"/>
    <mergeCell ref="A675:F675"/>
    <mergeCell ref="A679:C680"/>
    <mergeCell ref="A682:C682"/>
    <mergeCell ref="D682:G682"/>
    <mergeCell ref="A686:C686"/>
    <mergeCell ref="A687:C687"/>
    <mergeCell ref="A688:C688"/>
    <mergeCell ref="A689:C689"/>
    <mergeCell ref="A690:F690"/>
    <mergeCell ref="A692:B692"/>
    <mergeCell ref="A693:B693"/>
    <mergeCell ref="A694:B694"/>
    <mergeCell ref="A695:B695"/>
    <mergeCell ref="A696:F696"/>
    <mergeCell ref="A698:B698"/>
    <mergeCell ref="A699:B699"/>
    <mergeCell ref="A700:B700"/>
    <mergeCell ref="A701:F701"/>
    <mergeCell ref="A703:B703"/>
    <mergeCell ref="A704:B704"/>
    <mergeCell ref="A706:F706"/>
    <mergeCell ref="A708:F708"/>
    <mergeCell ref="A711:C712"/>
    <mergeCell ref="D711:G712"/>
    <mergeCell ref="A714:C714"/>
    <mergeCell ref="D714:G714"/>
    <mergeCell ref="A733:B733"/>
    <mergeCell ref="A736:B736"/>
    <mergeCell ref="A737:B737"/>
    <mergeCell ref="A739:F739"/>
    <mergeCell ref="A741:F741"/>
    <mergeCell ref="A724:B724"/>
    <mergeCell ref="A725:B725"/>
    <mergeCell ref="A726:B726"/>
    <mergeCell ref="A727:B727"/>
    <mergeCell ref="A728:B728"/>
    <mergeCell ref="A729:F729"/>
    <mergeCell ref="A731:B731"/>
    <mergeCell ref="A732:B732"/>
    <mergeCell ref="A734:F734"/>
    <mergeCell ref="A744:C745"/>
    <mergeCell ref="A747:C747"/>
    <mergeCell ref="D747:G747"/>
    <mergeCell ref="A751:C751"/>
    <mergeCell ref="A752:C752"/>
    <mergeCell ref="A990:F990"/>
    <mergeCell ref="A995:F995"/>
    <mergeCell ref="A997:F997"/>
    <mergeCell ref="A1000:C1001"/>
    <mergeCell ref="A848:B848"/>
    <mergeCell ref="A831:B831"/>
    <mergeCell ref="A832:B832"/>
    <mergeCell ref="A833:B833"/>
    <mergeCell ref="A834:B834"/>
    <mergeCell ref="A835:B835"/>
    <mergeCell ref="A836:B836"/>
    <mergeCell ref="A837:B837"/>
    <mergeCell ref="A753:C753"/>
    <mergeCell ref="A754:C754"/>
    <mergeCell ref="A755:F755"/>
    <mergeCell ref="A757:B757"/>
    <mergeCell ref="A758:B758"/>
    <mergeCell ref="A759:B759"/>
    <mergeCell ref="A760:B760"/>
    <mergeCell ref="A1003:C1003"/>
    <mergeCell ref="D1003:G1003"/>
    <mergeCell ref="A1007:C1007"/>
    <mergeCell ref="A1008:C1008"/>
    <mergeCell ref="A1009:C1009"/>
    <mergeCell ref="A1010:C1010"/>
    <mergeCell ref="A1011:F1011"/>
    <mergeCell ref="A1013:B1013"/>
    <mergeCell ref="A1014:B1014"/>
    <mergeCell ref="A1015:B1015"/>
    <mergeCell ref="A1016:B1016"/>
    <mergeCell ref="A1017:B1017"/>
    <mergeCell ref="A1018:B1018"/>
    <mergeCell ref="A1019:B1019"/>
    <mergeCell ref="A1020:F1020"/>
    <mergeCell ref="A1022:B1022"/>
    <mergeCell ref="A1023:B1023"/>
    <mergeCell ref="A1024:B1024"/>
    <mergeCell ref="A1025:F1025"/>
    <mergeCell ref="A1027:B1027"/>
    <mergeCell ref="A1028:B1028"/>
    <mergeCell ref="A1030:F1030"/>
    <mergeCell ref="A1032:F1032"/>
    <mergeCell ref="A1034:C1035"/>
    <mergeCell ref="A1037:C1037"/>
    <mergeCell ref="D1037:G1037"/>
    <mergeCell ref="A1041:C1041"/>
    <mergeCell ref="A1042:C1042"/>
    <mergeCell ref="A1043:C1043"/>
    <mergeCell ref="A1044:C1044"/>
    <mergeCell ref="A1045:F1045"/>
    <mergeCell ref="A1047:B1047"/>
    <mergeCell ref="A1048:B1048"/>
    <mergeCell ref="A1049:B1049"/>
    <mergeCell ref="A1050:B1050"/>
    <mergeCell ref="A1051:B1051"/>
    <mergeCell ref="A1052:B1052"/>
    <mergeCell ref="A1053:B1053"/>
    <mergeCell ref="A1076:C1076"/>
    <mergeCell ref="D1076:G1076"/>
    <mergeCell ref="A1080:C1080"/>
    <mergeCell ref="A1081:C1081"/>
    <mergeCell ref="A1082:C1082"/>
    <mergeCell ref="A1083:C1083"/>
    <mergeCell ref="A1084:F1084"/>
    <mergeCell ref="A1054:B1054"/>
    <mergeCell ref="A1055:B1055"/>
    <mergeCell ref="A1056:B1056"/>
    <mergeCell ref="A1057:B1057"/>
    <mergeCell ref="A1058:F1058"/>
    <mergeCell ref="A1060:B1060"/>
    <mergeCell ref="A1061:B1061"/>
    <mergeCell ref="A1062:B1062"/>
    <mergeCell ref="A1063:F1063"/>
    <mergeCell ref="A1065:B1065"/>
    <mergeCell ref="A1066:B1066"/>
    <mergeCell ref="A1068:F1068"/>
    <mergeCell ref="A1070:F1070"/>
    <mergeCell ref="A1073:C1074"/>
    <mergeCell ref="A1092:B1092"/>
    <mergeCell ref="A1095:B1095"/>
    <mergeCell ref="A1096:B1096"/>
    <mergeCell ref="A1097:B1097"/>
    <mergeCell ref="A1100:B1100"/>
    <mergeCell ref="A1101:B1101"/>
    <mergeCell ref="A1086:B1086"/>
    <mergeCell ref="A1087:B1087"/>
    <mergeCell ref="A1088:B1088"/>
    <mergeCell ref="A1089:B1089"/>
    <mergeCell ref="A1090:B1090"/>
    <mergeCell ref="A1091:B1091"/>
    <mergeCell ref="A1093:F1093"/>
    <mergeCell ref="A1098:F1098"/>
    <mergeCell ref="A1103:F1103"/>
    <mergeCell ref="A1105:F1105"/>
    <mergeCell ref="A1108:C1109"/>
    <mergeCell ref="D1108:G1109"/>
    <mergeCell ref="A1111:C1111"/>
    <mergeCell ref="D1111:G1111"/>
    <mergeCell ref="A1115:C1115"/>
    <mergeCell ref="A1116:C1116"/>
    <mergeCell ref="A1117:C1117"/>
    <mergeCell ref="A1118:C1118"/>
    <mergeCell ref="A1119:F1119"/>
    <mergeCell ref="A1121:B1121"/>
    <mergeCell ref="A1122:B1122"/>
    <mergeCell ref="A1123:B1123"/>
    <mergeCell ref="A1124:B1124"/>
    <mergeCell ref="A1125:B1125"/>
    <mergeCell ref="A1126:B1126"/>
    <mergeCell ref="A1127:B1127"/>
    <mergeCell ref="A1128:F1128"/>
    <mergeCell ref="A1130:B1130"/>
    <mergeCell ref="A1131:B1131"/>
    <mergeCell ref="A1132:B1132"/>
    <mergeCell ref="A1133:F1133"/>
    <mergeCell ref="A1135:B1135"/>
    <mergeCell ref="A1136:B1136"/>
    <mergeCell ref="A1138:F1138"/>
    <mergeCell ref="A1140:F1140"/>
    <mergeCell ref="A1144:C1145"/>
    <mergeCell ref="D1144:G1145"/>
    <mergeCell ref="A1147:C1147"/>
    <mergeCell ref="D1147:G1147"/>
    <mergeCell ref="A1151:C1151"/>
    <mergeCell ref="A1152:C1152"/>
    <mergeCell ref="A1153:C1153"/>
    <mergeCell ref="A1154:C1154"/>
    <mergeCell ref="A1155:F1155"/>
    <mergeCell ref="A1157:B1157"/>
    <mergeCell ref="A1158:B1158"/>
    <mergeCell ref="A1159:B1159"/>
    <mergeCell ref="A1160:B1160"/>
    <mergeCell ref="A1161:B1161"/>
    <mergeCell ref="A1162:B1162"/>
    <mergeCell ref="A1163:B1163"/>
    <mergeCell ref="A1164:F1164"/>
    <mergeCell ref="A1166:B1166"/>
    <mergeCell ref="A1167:B1167"/>
    <mergeCell ref="A1168:B1168"/>
    <mergeCell ref="A1169:F1169"/>
    <mergeCell ref="A1171:B1171"/>
    <mergeCell ref="A1172:B1172"/>
    <mergeCell ref="A1174:F1174"/>
    <mergeCell ref="A1176:F1176"/>
    <mergeCell ref="A1179:C1180"/>
    <mergeCell ref="D1179:G1180"/>
    <mergeCell ref="D1182:G1182"/>
    <mergeCell ref="A1182:C1182"/>
    <mergeCell ref="A1186:C1186"/>
    <mergeCell ref="A1187:C1187"/>
    <mergeCell ref="A1188:C1188"/>
    <mergeCell ref="A1189:C1189"/>
    <mergeCell ref="A1190:F1190"/>
    <mergeCell ref="A1192:B1192"/>
    <mergeCell ref="A1193:B1193"/>
    <mergeCell ref="A1194:B1194"/>
    <mergeCell ref="A1195:B1195"/>
    <mergeCell ref="A1196:B1196"/>
    <mergeCell ref="A1197:B1197"/>
    <mergeCell ref="A1198:B1198"/>
    <mergeCell ref="A1199:F1199"/>
    <mergeCell ref="A1201:B1201"/>
    <mergeCell ref="A1202:B1202"/>
    <mergeCell ref="A1203:B1203"/>
    <mergeCell ref="A1204:F1204"/>
    <mergeCell ref="A1206:B1206"/>
    <mergeCell ref="A1207:B1207"/>
    <mergeCell ref="A1209:F1209"/>
    <mergeCell ref="A1211:F1211"/>
    <mergeCell ref="A1214:C1215"/>
    <mergeCell ref="D1214:G1215"/>
    <mergeCell ref="A1217:C1217"/>
    <mergeCell ref="D1217:G1217"/>
    <mergeCell ref="A1221:C1221"/>
    <mergeCell ref="A1222:C1222"/>
    <mergeCell ref="A1230:B1230"/>
    <mergeCell ref="A1233:B1233"/>
    <mergeCell ref="A1234:B1234"/>
    <mergeCell ref="A1235:B1235"/>
    <mergeCell ref="A1238:B1238"/>
    <mergeCell ref="A1239:B1239"/>
    <mergeCell ref="A1223:C1223"/>
    <mergeCell ref="A1224:C1224"/>
    <mergeCell ref="A1225:F1225"/>
    <mergeCell ref="A1227:B1227"/>
    <mergeCell ref="A1228:B1228"/>
    <mergeCell ref="A1229:B1229"/>
    <mergeCell ref="A1231:F1231"/>
    <mergeCell ref="A1236:F1236"/>
    <mergeCell ref="A1241:F1241"/>
    <mergeCell ref="A1243:F1243"/>
    <mergeCell ref="A1246:C1247"/>
    <mergeCell ref="A1249:C1249"/>
    <mergeCell ref="D1249:G1249"/>
    <mergeCell ref="A1253:C1253"/>
    <mergeCell ref="A1254:C1254"/>
    <mergeCell ref="A1255:C1255"/>
    <mergeCell ref="A1256:C1256"/>
    <mergeCell ref="A1257:F1257"/>
    <mergeCell ref="A1259:B1259"/>
    <mergeCell ref="A1260:B1260"/>
    <mergeCell ref="A1261:B1261"/>
    <mergeCell ref="A1269:B1269"/>
    <mergeCell ref="A1272:B1272"/>
    <mergeCell ref="A1273:B1273"/>
    <mergeCell ref="A1262:B1262"/>
    <mergeCell ref="A1263:B1263"/>
    <mergeCell ref="A1264:B1264"/>
    <mergeCell ref="A1265:F1265"/>
    <mergeCell ref="A1267:B1267"/>
    <mergeCell ref="A1268:B1268"/>
    <mergeCell ref="A1270:F1270"/>
    <mergeCell ref="A1275:F1275"/>
    <mergeCell ref="A1277:F1277"/>
    <mergeCell ref="A1280:C1281"/>
    <mergeCell ref="A1283:C1283"/>
    <mergeCell ref="D1283:G1283"/>
    <mergeCell ref="A1287:C1287"/>
    <mergeCell ref="A1288:C1288"/>
    <mergeCell ref="A1348:C1349"/>
    <mergeCell ref="A1351:C1351"/>
    <mergeCell ref="A1321:C1321"/>
    <mergeCell ref="A1322:C1322"/>
    <mergeCell ref="A1323:C1323"/>
    <mergeCell ref="A1324:C1324"/>
    <mergeCell ref="A1325:F1325"/>
    <mergeCell ref="A1327:B1327"/>
    <mergeCell ref="A1328:B1328"/>
    <mergeCell ref="A1329:B1329"/>
    <mergeCell ref="A1330:B1330"/>
    <mergeCell ref="A1331:B1331"/>
    <mergeCell ref="A1332:B1332"/>
    <mergeCell ref="A1333:F1333"/>
    <mergeCell ref="A1335:B1335"/>
    <mergeCell ref="A1336:B1336"/>
    <mergeCell ref="A1337:B1337"/>
    <mergeCell ref="A1314:C1315"/>
    <mergeCell ref="A1317:C1317"/>
    <mergeCell ref="D1317:G1317"/>
    <mergeCell ref="A1355:C1355"/>
    <mergeCell ref="A1356:C1356"/>
    <mergeCell ref="A1357:C1357"/>
    <mergeCell ref="A1358:C1358"/>
    <mergeCell ref="A1359:F1359"/>
    <mergeCell ref="A1361:B1361"/>
    <mergeCell ref="A1338:F1338"/>
    <mergeCell ref="A1340:B1340"/>
    <mergeCell ref="A1341:B1341"/>
    <mergeCell ref="A1343:F1343"/>
    <mergeCell ref="A1345:F1345"/>
    <mergeCell ref="D1348:G1349"/>
    <mergeCell ref="D1351:G1351"/>
    <mergeCell ref="A1299:F1299"/>
    <mergeCell ref="A1301:B1301"/>
    <mergeCell ref="A1302:B1302"/>
    <mergeCell ref="A1303:B1303"/>
    <mergeCell ref="A1304:F1304"/>
    <mergeCell ref="A1306:B1306"/>
    <mergeCell ref="A1307:B1307"/>
    <mergeCell ref="A1309:F1309"/>
    <mergeCell ref="A1311:F1311"/>
    <mergeCell ref="A1289:C1289"/>
    <mergeCell ref="A1290:C1290"/>
    <mergeCell ref="A1291:F1291"/>
    <mergeCell ref="A1293:B1293"/>
    <mergeCell ref="A1294:B1294"/>
    <mergeCell ref="A1295:B1295"/>
    <mergeCell ref="A1296:B1296"/>
    <mergeCell ref="A1297:B1297"/>
    <mergeCell ref="A1298:B1298"/>
    <mergeCell ref="A1369:B1369"/>
    <mergeCell ref="A1370:B1370"/>
    <mergeCell ref="A1365:B1365"/>
    <mergeCell ref="A1366:B1366"/>
    <mergeCell ref="A1367:F1367"/>
    <mergeCell ref="A1362:B1362"/>
    <mergeCell ref="A1363:B1363"/>
    <mergeCell ref="A1364:B1364"/>
    <mergeCell ref="A1371:B1371"/>
    <mergeCell ref="A1372:F1372"/>
    <mergeCell ref="A1374:B1374"/>
    <mergeCell ref="A1375:B1375"/>
    <mergeCell ref="A1376:B1376"/>
    <mergeCell ref="A807:B807"/>
    <mergeCell ref="A808:F808"/>
    <mergeCell ref="A810:B810"/>
    <mergeCell ref="A811:B811"/>
    <mergeCell ref="A813:F813"/>
    <mergeCell ref="A815:F815"/>
    <mergeCell ref="D818:G819"/>
    <mergeCell ref="D821:G821"/>
    <mergeCell ref="A818:C819"/>
    <mergeCell ref="A821:C821"/>
    <mergeCell ref="A825:C825"/>
    <mergeCell ref="A826:C826"/>
    <mergeCell ref="A827:C827"/>
    <mergeCell ref="A828:C828"/>
    <mergeCell ref="A829:F829"/>
    <mergeCell ref="A842:B842"/>
    <mergeCell ref="A843:B843"/>
    <mergeCell ref="A844:B844"/>
    <mergeCell ref="A847:B847"/>
    <mergeCell ref="A839:B839"/>
    <mergeCell ref="A761:B761"/>
    <mergeCell ref="A762:B762"/>
    <mergeCell ref="A763:B763"/>
    <mergeCell ref="A764:B764"/>
    <mergeCell ref="A765:B765"/>
    <mergeCell ref="A766:F766"/>
    <mergeCell ref="A768:B768"/>
    <mergeCell ref="A769:B769"/>
    <mergeCell ref="A770:B770"/>
    <mergeCell ref="A771:F771"/>
    <mergeCell ref="A773:B773"/>
    <mergeCell ref="A774:B774"/>
    <mergeCell ref="A776:F776"/>
    <mergeCell ref="A778:F778"/>
    <mergeCell ref="A781:C782"/>
    <mergeCell ref="D781:G782"/>
    <mergeCell ref="A784:C784"/>
    <mergeCell ref="D784:G784"/>
    <mergeCell ref="A788:C788"/>
    <mergeCell ref="A789:C789"/>
    <mergeCell ref="A790:C790"/>
    <mergeCell ref="A791:C791"/>
    <mergeCell ref="A792:F792"/>
    <mergeCell ref="A794:B794"/>
    <mergeCell ref="A795:B795"/>
    <mergeCell ref="A796:B796"/>
    <mergeCell ref="A797:B797"/>
    <mergeCell ref="A798:B798"/>
    <mergeCell ref="A799:B799"/>
    <mergeCell ref="A800:B800"/>
    <mergeCell ref="A801:B801"/>
    <mergeCell ref="A802:B802"/>
    <mergeCell ref="A803:F803"/>
    <mergeCell ref="A805:B805"/>
    <mergeCell ref="A806:B806"/>
    <mergeCell ref="A838:B838"/>
    <mergeCell ref="A840:F840"/>
    <mergeCell ref="A845:F845"/>
    <mergeCell ref="A850:F850"/>
    <mergeCell ref="A852:F852"/>
    <mergeCell ref="A855:C856"/>
    <mergeCell ref="A858:C858"/>
    <mergeCell ref="D858:G858"/>
    <mergeCell ref="A862:C862"/>
    <mergeCell ref="A863:C863"/>
    <mergeCell ref="A864:C864"/>
    <mergeCell ref="A865:C865"/>
    <mergeCell ref="A866:F866"/>
    <mergeCell ref="A875:B875"/>
    <mergeCell ref="A876:B876"/>
    <mergeCell ref="A877:F877"/>
    <mergeCell ref="A868:B868"/>
    <mergeCell ref="A869:B869"/>
    <mergeCell ref="A870:B870"/>
    <mergeCell ref="A871:B871"/>
    <mergeCell ref="A872:B872"/>
    <mergeCell ref="A873:B873"/>
    <mergeCell ref="A874:B874"/>
    <mergeCell ref="A879:B879"/>
    <mergeCell ref="A880:B880"/>
    <mergeCell ref="A881:B881"/>
    <mergeCell ref="A882:F882"/>
    <mergeCell ref="A884:B884"/>
    <mergeCell ref="A885:B885"/>
    <mergeCell ref="A887:F887"/>
    <mergeCell ref="A889:F889"/>
    <mergeCell ref="A892:C893"/>
    <mergeCell ref="A895:C895"/>
    <mergeCell ref="D895:G895"/>
    <mergeCell ref="A899:C899"/>
    <mergeCell ref="A900:C900"/>
    <mergeCell ref="A901:C901"/>
    <mergeCell ref="A902:C902"/>
    <mergeCell ref="A903:F903"/>
    <mergeCell ref="A905:B905"/>
    <mergeCell ref="A906:B906"/>
    <mergeCell ref="A907:B907"/>
    <mergeCell ref="A908:B908"/>
    <mergeCell ref="A909:F909"/>
    <mergeCell ref="A911:B911"/>
    <mergeCell ref="A912:B912"/>
    <mergeCell ref="A913:B913"/>
    <mergeCell ref="A914:F914"/>
    <mergeCell ref="A916:B916"/>
    <mergeCell ref="A917:B917"/>
    <mergeCell ref="A919:F919"/>
    <mergeCell ref="A921:F921"/>
    <mergeCell ref="A924:C925"/>
    <mergeCell ref="A927:C927"/>
    <mergeCell ref="D927:G927"/>
    <mergeCell ref="A931:C931"/>
    <mergeCell ref="A932:C932"/>
    <mergeCell ref="A933:C933"/>
    <mergeCell ref="A934:C934"/>
    <mergeCell ref="A935:F935"/>
    <mergeCell ref="A937:B937"/>
    <mergeCell ref="A938:B938"/>
    <mergeCell ref="A939:B939"/>
    <mergeCell ref="A940:B940"/>
    <mergeCell ref="A941:B941"/>
    <mergeCell ref="A942:B942"/>
    <mergeCell ref="A944:B944"/>
    <mergeCell ref="A946:B946"/>
    <mergeCell ref="A948:B948"/>
    <mergeCell ref="A949:F949"/>
    <mergeCell ref="A951:B951"/>
    <mergeCell ref="A952:B952"/>
    <mergeCell ref="A953:B953"/>
    <mergeCell ref="A954:F954"/>
    <mergeCell ref="A956:B956"/>
    <mergeCell ref="A957:B957"/>
    <mergeCell ref="A959:F959"/>
    <mergeCell ref="A961:F961"/>
    <mergeCell ref="A965:C966"/>
    <mergeCell ref="A968:C968"/>
    <mergeCell ref="D968:G968"/>
    <mergeCell ref="A972:C972"/>
    <mergeCell ref="A973:C973"/>
    <mergeCell ref="A974:C974"/>
    <mergeCell ref="A975:C975"/>
    <mergeCell ref="A976:F976"/>
    <mergeCell ref="A984:B984"/>
    <mergeCell ref="A987:B987"/>
    <mergeCell ref="A988:B988"/>
    <mergeCell ref="A989:B989"/>
    <mergeCell ref="A992:B992"/>
    <mergeCell ref="A993:B993"/>
    <mergeCell ref="A978:B978"/>
    <mergeCell ref="A979:B979"/>
    <mergeCell ref="A980:B980"/>
    <mergeCell ref="A981:B981"/>
    <mergeCell ref="A982:B982"/>
    <mergeCell ref="A983:B983"/>
    <mergeCell ref="A985:F985"/>
    <mergeCell ref="A1377:F1377"/>
    <mergeCell ref="A1379:F1379"/>
    <mergeCell ref="A1382:C1383"/>
    <mergeCell ref="A1385:C1385"/>
    <mergeCell ref="D1385:G1385"/>
    <mergeCell ref="A1389:C1389"/>
    <mergeCell ref="A1390:C1390"/>
    <mergeCell ref="A1391:C1391"/>
    <mergeCell ref="A1392:C1392"/>
    <mergeCell ref="A1393:F1393"/>
    <mergeCell ref="A1395:B1395"/>
    <mergeCell ref="A1396:B1396"/>
    <mergeCell ref="A1397:B1397"/>
    <mergeCell ref="A1398:B1398"/>
    <mergeCell ref="A1406:B1406"/>
    <mergeCell ref="A1407:F1407"/>
    <mergeCell ref="A1409:B1409"/>
    <mergeCell ref="A1410:B1410"/>
    <mergeCell ref="A1411:B1411"/>
    <mergeCell ref="A1412:F1412"/>
    <mergeCell ref="A1414:B1414"/>
    <mergeCell ref="A1415:B1415"/>
    <mergeCell ref="A1417:F1417"/>
    <mergeCell ref="A1419:F1419"/>
    <mergeCell ref="A1399:B1399"/>
    <mergeCell ref="A1400:B1400"/>
    <mergeCell ref="A1401:B1401"/>
    <mergeCell ref="A1402:B1402"/>
    <mergeCell ref="A1403:B1403"/>
    <mergeCell ref="A1404:B1404"/>
    <mergeCell ref="A1405:B1405"/>
  </mergeCells>
  <printOptions horizontalCentered="1"/>
  <pageMargins left="0.47244094488188981" right="0.43307086614173229" top="0.86614173228346458" bottom="0.74803149606299213" header="0" footer="0"/>
  <pageSetup orientation="portrait"/>
  <headerFooter>
    <oddFooter>&amp;LJohan Javier Oñate N. INGECAG LTDA M.P. 70202-222387 TLM&amp;RVoBo. FEDERICO GARCIA A. Interventor</oddFooter>
  </headerFooter>
  <rowBreaks count="3" manualBreakCount="3">
    <brk id="961" man="1"/>
    <brk id="567" man="1"/>
    <brk id="535" man="1"/>
  </rowBreaks>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7:G676"/>
  <sheetViews>
    <sheetView workbookViewId="0">
      <pane ySplit="5" topLeftCell="A6" activePane="bottomLeft" state="frozen"/>
      <selection pane="bottomLeft" activeCell="B7" sqref="B7"/>
    </sheetView>
  </sheetViews>
  <sheetFormatPr baseColWidth="10" defaultColWidth="14.44140625" defaultRowHeight="15" customHeight="1"/>
  <cols>
    <col min="1" max="1" width="20.6640625" customWidth="1"/>
    <col min="2" max="2" width="11.33203125" customWidth="1"/>
    <col min="3" max="3" width="11.109375" customWidth="1"/>
    <col min="4" max="4" width="12.109375" customWidth="1"/>
    <col min="5" max="5" width="12.5546875" customWidth="1"/>
    <col min="6" max="6" width="11" customWidth="1"/>
    <col min="7" max="7" width="12.33203125" customWidth="1"/>
    <col min="8" max="26" width="11.44140625" customWidth="1"/>
  </cols>
  <sheetData>
    <row r="7" spans="1:7" ht="27" hidden="1" customHeight="1">
      <c r="A7" s="2005" t="s">
        <v>1604</v>
      </c>
      <c r="B7" s="1616"/>
      <c r="C7" s="1624"/>
      <c r="D7" s="567"/>
      <c r="E7" s="567"/>
      <c r="F7" s="567"/>
      <c r="G7" s="668"/>
    </row>
    <row r="8" spans="1:7" ht="24" hidden="1" customHeight="1">
      <c r="A8" s="1971"/>
      <c r="B8" s="1817"/>
      <c r="C8" s="1972"/>
      <c r="D8" s="669"/>
      <c r="E8" s="669"/>
      <c r="F8" s="669"/>
      <c r="G8" s="670"/>
    </row>
    <row r="9" spans="1:7" ht="13.5" hidden="1" customHeight="1">
      <c r="A9" s="416"/>
      <c r="B9" s="416"/>
      <c r="C9" s="416"/>
      <c r="D9" s="416"/>
      <c r="E9" s="416"/>
      <c r="F9" s="416"/>
      <c r="G9" s="416"/>
    </row>
    <row r="10" spans="1:7" ht="30.75" hidden="1" customHeight="1">
      <c r="A10" s="1973" t="s">
        <v>1646</v>
      </c>
      <c r="B10" s="1601"/>
      <c r="C10" s="1602"/>
      <c r="D10" s="1974" t="s">
        <v>1666</v>
      </c>
      <c r="E10" s="1601"/>
      <c r="F10" s="1601"/>
      <c r="G10" s="1602"/>
    </row>
    <row r="11" spans="1:7" ht="13.5" hidden="1" customHeight="1">
      <c r="A11" s="418"/>
      <c r="B11" s="418"/>
      <c r="C11" s="418"/>
      <c r="D11" s="418"/>
      <c r="E11" s="418"/>
      <c r="F11" s="418"/>
      <c r="G11" s="418"/>
    </row>
    <row r="12" spans="1:7" ht="12.75" hidden="1" customHeight="1">
      <c r="A12" s="419"/>
      <c r="B12" s="416"/>
      <c r="C12" s="420"/>
      <c r="D12" s="421" t="s">
        <v>1553</v>
      </c>
      <c r="E12" s="422" t="s">
        <v>228</v>
      </c>
      <c r="F12" s="572"/>
      <c r="G12" s="572"/>
    </row>
    <row r="13" spans="1:7" ht="13.5" hidden="1" customHeight="1">
      <c r="A13" s="423" t="s">
        <v>1555</v>
      </c>
      <c r="B13" s="416"/>
      <c r="C13" s="416"/>
      <c r="D13" s="416"/>
      <c r="E13" s="416"/>
      <c r="F13" s="416"/>
      <c r="G13" s="416"/>
    </row>
    <row r="14" spans="1:7" ht="13.5" hidden="1" customHeight="1">
      <c r="A14" s="1975" t="s">
        <v>1556</v>
      </c>
      <c r="B14" s="1601"/>
      <c r="C14" s="1801"/>
      <c r="D14" s="424" t="s">
        <v>208</v>
      </c>
      <c r="E14" s="424" t="s">
        <v>1558</v>
      </c>
      <c r="F14" s="424" t="s">
        <v>1559</v>
      </c>
      <c r="G14" s="425"/>
    </row>
    <row r="15" spans="1:7" ht="13.5" hidden="1" customHeight="1">
      <c r="A15" s="1981" t="str">
        <f>+'LISTADO EQUIPOS'!$C$22</f>
        <v>HERRAMIENTA MENOR.</v>
      </c>
      <c r="B15" s="1811"/>
      <c r="C15" s="1967"/>
      <c r="D15" s="449">
        <f>+'LISTADO EQUIPOS'!$E$22/8</f>
        <v>2850</v>
      </c>
      <c r="E15" s="427">
        <v>13</v>
      </c>
      <c r="F15" s="428">
        <f>+D15/E15</f>
        <v>219.23076923076923</v>
      </c>
      <c r="G15" s="429"/>
    </row>
    <row r="16" spans="1:7" ht="13.5" hidden="1" customHeight="1">
      <c r="A16" s="1982" t="str">
        <f>+'LISTADO EQUIPOS'!$C$47</f>
        <v>ANDAMIO TUBULAR. 1.5 x 1.5 SECCIÓN</v>
      </c>
      <c r="B16" s="1807"/>
      <c r="C16" s="1819"/>
      <c r="D16" s="451">
        <f>+'LISTADO EQUIPOS'!$E$47</f>
        <v>1750</v>
      </c>
      <c r="E16" s="671">
        <v>0.11</v>
      </c>
      <c r="F16" s="698">
        <f>+E16*D16</f>
        <v>192.5</v>
      </c>
      <c r="G16" s="672"/>
    </row>
    <row r="17" spans="1:7" ht="13.5" hidden="1" customHeight="1">
      <c r="A17" s="2003" t="s">
        <v>1560</v>
      </c>
      <c r="B17" s="1601"/>
      <c r="C17" s="1601"/>
      <c r="D17" s="1601"/>
      <c r="E17" s="1601"/>
      <c r="F17" s="1801"/>
      <c r="G17" s="436">
        <f>SUM(F15:F16)</f>
        <v>411.73076923076923</v>
      </c>
    </row>
    <row r="18" spans="1:7" ht="13.5" hidden="1" customHeight="1">
      <c r="A18" s="423" t="s">
        <v>1561</v>
      </c>
      <c r="B18" s="416"/>
      <c r="C18" s="416"/>
      <c r="D18" s="416"/>
      <c r="E18" s="416"/>
      <c r="F18" s="416"/>
      <c r="G18" s="437"/>
    </row>
    <row r="19" spans="1:7" ht="13.5" hidden="1" customHeight="1">
      <c r="A19" s="1975" t="s">
        <v>1556</v>
      </c>
      <c r="B19" s="1801"/>
      <c r="C19" s="424" t="s">
        <v>6</v>
      </c>
      <c r="D19" s="424" t="s">
        <v>1562</v>
      </c>
      <c r="E19" s="424" t="s">
        <v>7</v>
      </c>
      <c r="F19" s="424" t="s">
        <v>1559</v>
      </c>
      <c r="G19" s="673"/>
    </row>
    <row r="20" spans="1:7" ht="13.5" hidden="1" customHeight="1">
      <c r="A20" s="1987" t="str">
        <f>+'LISTADO MATERIALES'!$C$387</f>
        <v>LADRILLO TOLETE COMÚN</v>
      </c>
      <c r="B20" s="1967"/>
      <c r="C20" s="674" t="str">
        <f>+'LISTADO MATERIALES'!$D$387</f>
        <v>UND</v>
      </c>
      <c r="D20" s="675">
        <f>+'LISTADO MATERIALES'!$E$387</f>
        <v>368</v>
      </c>
      <c r="E20" s="687">
        <v>35</v>
      </c>
      <c r="F20" s="442">
        <f t="shared" ref="F20:F22" si="0">+E20*D20</f>
        <v>12880</v>
      </c>
      <c r="G20" s="676"/>
    </row>
    <row r="21" spans="1:7" ht="13.5" hidden="1" customHeight="1">
      <c r="A21" s="1988" t="str">
        <f>+'ANALISIS BASICOS'!$A$164</f>
        <v xml:space="preserve">MORTERO 1:3 </v>
      </c>
      <c r="B21" s="1611"/>
      <c r="C21" s="677" t="str">
        <f>+'ANALISIS BASICOS'!$E$140</f>
        <v>M3</v>
      </c>
      <c r="D21" s="431">
        <f>+'ANALISIS BASICOS'!$G$164</f>
        <v>434608</v>
      </c>
      <c r="E21" s="737">
        <v>8.0000000000000002E-3</v>
      </c>
      <c r="F21" s="689">
        <f t="shared" si="0"/>
        <v>3476.864</v>
      </c>
      <c r="G21" s="445"/>
    </row>
    <row r="22" spans="1:7" ht="13.5" hidden="1" customHeight="1">
      <c r="A22" s="1988" t="str">
        <f>+'LISTADO MATERIALES'!$C$723</f>
        <v>AGUA</v>
      </c>
      <c r="B22" s="1611"/>
      <c r="C22" s="677" t="str">
        <f>+'LISTADO MATERIALES'!$D$723</f>
        <v>LT</v>
      </c>
      <c r="D22" s="431">
        <f>+'LISTADO MATERIALES'!$E$723</f>
        <v>21</v>
      </c>
      <c r="E22" s="430">
        <v>5</v>
      </c>
      <c r="F22" s="689">
        <f t="shared" si="0"/>
        <v>105</v>
      </c>
      <c r="G22" s="445"/>
    </row>
    <row r="23" spans="1:7" ht="13.5" hidden="1" customHeight="1">
      <c r="A23" s="1982"/>
      <c r="B23" s="1819"/>
      <c r="C23" s="678"/>
      <c r="D23" s="451"/>
      <c r="E23" s="678"/>
      <c r="F23" s="451"/>
      <c r="G23" s="456"/>
    </row>
    <row r="24" spans="1:7" ht="13.5" hidden="1" customHeight="1">
      <c r="A24" s="2003" t="s">
        <v>1560</v>
      </c>
      <c r="B24" s="1601"/>
      <c r="C24" s="1601"/>
      <c r="D24" s="1601"/>
      <c r="E24" s="1601"/>
      <c r="F24" s="1801"/>
      <c r="G24" s="436">
        <f>SUM(F20:F23)</f>
        <v>16461.864000000001</v>
      </c>
    </row>
    <row r="25" spans="1:7" ht="13.5" hidden="1" customHeight="1">
      <c r="A25" s="423" t="s">
        <v>1563</v>
      </c>
      <c r="B25" s="416"/>
      <c r="C25" s="416"/>
      <c r="D25" s="416"/>
      <c r="E25" s="416"/>
      <c r="F25" s="416"/>
      <c r="G25" s="437"/>
    </row>
    <row r="26" spans="1:7" ht="13.5" hidden="1" customHeight="1">
      <c r="A26" s="1975" t="s">
        <v>1556</v>
      </c>
      <c r="B26" s="1801"/>
      <c r="C26" s="424" t="s">
        <v>6</v>
      </c>
      <c r="D26" s="424" t="s">
        <v>1562</v>
      </c>
      <c r="E26" s="424" t="s">
        <v>7</v>
      </c>
      <c r="F26" s="424" t="s">
        <v>1559</v>
      </c>
      <c r="G26" s="438"/>
    </row>
    <row r="27" spans="1:7" ht="13.5" hidden="1" customHeight="1">
      <c r="A27" s="1981"/>
      <c r="B27" s="1967"/>
      <c r="C27" s="448"/>
      <c r="D27" s="449"/>
      <c r="E27" s="450"/>
      <c r="F27" s="431"/>
      <c r="G27" s="443"/>
    </row>
    <row r="28" spans="1:7" ht="13.5" hidden="1" customHeight="1">
      <c r="A28" s="1982"/>
      <c r="B28" s="1819"/>
      <c r="C28" s="448"/>
      <c r="D28" s="451"/>
      <c r="E28" s="452"/>
      <c r="F28" s="451"/>
      <c r="G28" s="447"/>
    </row>
    <row r="29" spans="1:7" ht="13.5" hidden="1" customHeight="1">
      <c r="A29" s="2003" t="s">
        <v>1560</v>
      </c>
      <c r="B29" s="1601"/>
      <c r="C29" s="1601"/>
      <c r="D29" s="1601"/>
      <c r="E29" s="1601"/>
      <c r="F29" s="1801"/>
      <c r="G29" s="436"/>
    </row>
    <row r="30" spans="1:7" ht="13.5" hidden="1" customHeight="1">
      <c r="A30" s="423" t="s">
        <v>1564</v>
      </c>
      <c r="B30" s="416"/>
      <c r="C30" s="416"/>
      <c r="D30" s="416"/>
      <c r="E30" s="416"/>
      <c r="F30" s="416"/>
      <c r="G30" s="437"/>
    </row>
    <row r="31" spans="1:7" ht="13.5" hidden="1" customHeight="1">
      <c r="A31" s="1975" t="s">
        <v>1565</v>
      </c>
      <c r="B31" s="1801"/>
      <c r="C31" s="424" t="s">
        <v>1566</v>
      </c>
      <c r="D31" s="424" t="s">
        <v>6</v>
      </c>
      <c r="E31" s="424" t="s">
        <v>7</v>
      </c>
      <c r="F31" s="424" t="s">
        <v>1559</v>
      </c>
      <c r="G31" s="462"/>
    </row>
    <row r="32" spans="1:7" ht="13.5" hidden="1" customHeight="1">
      <c r="A32" s="2004" t="str">
        <f>+'MANO DE OBRA'!$A$64</f>
        <v>Oficial (Incl. Prestaciones)</v>
      </c>
      <c r="B32" s="1888"/>
      <c r="C32" s="679">
        <f>+'MANO DE OBRA'!$E$64</f>
        <v>15031.25</v>
      </c>
      <c r="D32" s="680">
        <v>1</v>
      </c>
      <c r="E32" s="680">
        <v>1.4</v>
      </c>
      <c r="F32" s="454">
        <f t="shared" ref="F32:F33" si="1">+(C32*D32)/E32</f>
        <v>10736.607142857143</v>
      </c>
      <c r="G32" s="443"/>
    </row>
    <row r="33" spans="1:7" ht="13.5" hidden="1" customHeight="1">
      <c r="A33" s="1968" t="str">
        <f>+'MANO DE OBRA'!$A$65</f>
        <v>Ayudante (Incl. Prestaciones)</v>
      </c>
      <c r="B33" s="1819"/>
      <c r="C33" s="681">
        <f>+'MANO DE OBRA'!$E$65</f>
        <v>10972.8125</v>
      </c>
      <c r="D33" s="562">
        <v>2</v>
      </c>
      <c r="E33" s="562">
        <f>+E32</f>
        <v>1.4</v>
      </c>
      <c r="F33" s="455">
        <f t="shared" si="1"/>
        <v>15675.446428571429</v>
      </c>
      <c r="G33" s="456"/>
    </row>
    <row r="34" spans="1:7" ht="13.5" hidden="1" customHeight="1">
      <c r="A34" s="2003" t="str">
        <f>+A29</f>
        <v>SUB-TOTAL</v>
      </c>
      <c r="B34" s="1601"/>
      <c r="C34" s="1601"/>
      <c r="D34" s="1601"/>
      <c r="E34" s="1601"/>
      <c r="F34" s="1801"/>
      <c r="G34" s="436">
        <f>SUM(F32:F33)</f>
        <v>26412.053571428572</v>
      </c>
    </row>
    <row r="35" spans="1:7" ht="11.25" hidden="1" customHeight="1">
      <c r="A35" s="416"/>
      <c r="B35" s="416"/>
      <c r="C35" s="416"/>
      <c r="D35" s="416"/>
      <c r="E35" s="416"/>
      <c r="F35" s="458"/>
      <c r="G35" s="437"/>
    </row>
    <row r="36" spans="1:7" ht="13.5" hidden="1" customHeight="1">
      <c r="A36" s="2003" t="s">
        <v>1567</v>
      </c>
      <c r="B36" s="1601"/>
      <c r="C36" s="1601"/>
      <c r="D36" s="1601"/>
      <c r="E36" s="1601"/>
      <c r="F36" s="1801"/>
      <c r="G36" s="682">
        <f>ROUND(G17+G24+G29+G34,0)</f>
        <v>43286</v>
      </c>
    </row>
    <row r="37" spans="1:7" ht="13.5" hidden="1" customHeight="1">
      <c r="A37" s="420"/>
      <c r="B37" s="420"/>
      <c r="C37" s="420"/>
      <c r="D37" s="420"/>
      <c r="E37" s="420"/>
      <c r="F37" s="420"/>
      <c r="G37" s="420"/>
    </row>
    <row r="38" spans="1:7" ht="3.75" customHeight="1">
      <c r="A38" s="420"/>
      <c r="B38" s="420"/>
      <c r="C38" s="420"/>
      <c r="D38" s="420"/>
      <c r="E38" s="420"/>
      <c r="F38" s="420"/>
      <c r="G38" s="420"/>
    </row>
    <row r="39" spans="1:7" ht="24.75" customHeight="1">
      <c r="A39" s="1994" t="e">
        <f>+'ANALISIS BASICOS'!$A$7</f>
        <v>#REF!</v>
      </c>
      <c r="B39" s="1616"/>
      <c r="C39" s="1624"/>
      <c r="D39" s="1990"/>
      <c r="E39" s="1616"/>
      <c r="F39" s="1616"/>
      <c r="G39" s="1624"/>
    </row>
    <row r="40" spans="1:7" ht="26.25" customHeight="1">
      <c r="A40" s="1971"/>
      <c r="B40" s="1817"/>
      <c r="C40" s="1972"/>
      <c r="D40" s="1971"/>
      <c r="E40" s="1817"/>
      <c r="F40" s="1817"/>
      <c r="G40" s="1972"/>
    </row>
    <row r="41" spans="1:7" ht="13.5" customHeight="1">
      <c r="A41" s="416"/>
      <c r="B41" s="416"/>
      <c r="C41" s="416"/>
      <c r="D41" s="416"/>
      <c r="E41" s="416"/>
      <c r="F41" s="416"/>
      <c r="G41" s="416"/>
    </row>
    <row r="42" spans="1:7" ht="44.25" customHeight="1">
      <c r="A42" s="1991" t="e">
        <f ca="1">+_xlfn.SINGLE(#REF!)</f>
        <v>#NAME?</v>
      </c>
      <c r="B42" s="1601"/>
      <c r="C42" s="1602"/>
      <c r="D42" s="1974" t="s">
        <v>2075</v>
      </c>
      <c r="E42" s="1601"/>
      <c r="F42" s="1601"/>
      <c r="G42" s="1602"/>
    </row>
    <row r="43" spans="1:7" ht="7.5" customHeight="1">
      <c r="A43" s="418"/>
      <c r="B43" s="418"/>
      <c r="C43" s="418"/>
      <c r="D43" s="418"/>
      <c r="E43" s="418"/>
      <c r="F43" s="418"/>
      <c r="G43" s="418"/>
    </row>
    <row r="44" spans="1:7" ht="12.75" customHeight="1">
      <c r="A44" s="419"/>
      <c r="B44" s="416"/>
      <c r="C44" s="420"/>
      <c r="D44" s="421" t="s">
        <v>1553</v>
      </c>
      <c r="E44" s="422" t="s">
        <v>228</v>
      </c>
      <c r="F44" s="421" t="s">
        <v>1554</v>
      </c>
      <c r="G44" s="422" t="s">
        <v>529</v>
      </c>
    </row>
    <row r="45" spans="1:7" ht="13.5" customHeight="1">
      <c r="A45" s="423" t="s">
        <v>1555</v>
      </c>
      <c r="B45" s="416"/>
      <c r="C45" s="416"/>
      <c r="D45" s="416"/>
      <c r="E45" s="416"/>
      <c r="F45" s="416"/>
      <c r="G45" s="416"/>
    </row>
    <row r="46" spans="1:7" ht="13.5" customHeight="1">
      <c r="A46" s="1975" t="s">
        <v>1556</v>
      </c>
      <c r="B46" s="1601"/>
      <c r="C46" s="1801"/>
      <c r="D46" s="424" t="s">
        <v>208</v>
      </c>
      <c r="E46" s="424" t="s">
        <v>1558</v>
      </c>
      <c r="F46" s="424" t="s">
        <v>1559</v>
      </c>
      <c r="G46" s="425"/>
    </row>
    <row r="47" spans="1:7" ht="13.5" customHeight="1">
      <c r="A47" s="1981" t="str">
        <f>+'LISTADO EQUIPOS'!$C$22</f>
        <v>HERRAMIENTA MENOR.</v>
      </c>
      <c r="B47" s="1811"/>
      <c r="C47" s="1967"/>
      <c r="D47" s="449">
        <f>+'LISTADO EQUIPOS'!$E$22/8</f>
        <v>2850</v>
      </c>
      <c r="E47" s="427">
        <v>13</v>
      </c>
      <c r="F47" s="428">
        <f>+D47/E47</f>
        <v>219.23076923076923</v>
      </c>
      <c r="G47" s="429"/>
    </row>
    <row r="48" spans="1:7" ht="13.5" customHeight="1">
      <c r="A48" s="1982" t="str">
        <f>+'LISTADO EQUIPOS'!$C$47</f>
        <v>ANDAMIO TUBULAR. 1.5 x 1.5 SECCIÓN</v>
      </c>
      <c r="B48" s="1807"/>
      <c r="C48" s="1819"/>
      <c r="D48" s="451">
        <f>+'LISTADO EQUIPOS'!$E$47</f>
        <v>1750</v>
      </c>
      <c r="E48" s="671">
        <v>0.11</v>
      </c>
      <c r="F48" s="698">
        <f>+D48*E48</f>
        <v>192.5</v>
      </c>
      <c r="G48" s="672"/>
    </row>
    <row r="49" spans="1:7" ht="13.5" customHeight="1">
      <c r="A49" s="2003" t="s">
        <v>1560</v>
      </c>
      <c r="B49" s="1601"/>
      <c r="C49" s="1601"/>
      <c r="D49" s="1601"/>
      <c r="E49" s="1601"/>
      <c r="F49" s="1801"/>
      <c r="G49" s="436">
        <f>SUM(F47:F48)</f>
        <v>411.73076923076923</v>
      </c>
    </row>
    <row r="50" spans="1:7" ht="13.5" customHeight="1">
      <c r="A50" s="423" t="s">
        <v>1561</v>
      </c>
      <c r="B50" s="416"/>
      <c r="C50" s="416"/>
      <c r="D50" s="416"/>
      <c r="E50" s="416"/>
      <c r="F50" s="416"/>
      <c r="G50" s="437"/>
    </row>
    <row r="51" spans="1:7" ht="13.5" customHeight="1">
      <c r="A51" s="1975" t="s">
        <v>1556</v>
      </c>
      <c r="B51" s="1801"/>
      <c r="C51" s="424" t="s">
        <v>6</v>
      </c>
      <c r="D51" s="424" t="s">
        <v>1562</v>
      </c>
      <c r="E51" s="424" t="s">
        <v>7</v>
      </c>
      <c r="F51" s="424" t="s">
        <v>1559</v>
      </c>
      <c r="G51" s="673"/>
    </row>
    <row r="52" spans="1:7" ht="21.75" customHeight="1">
      <c r="A52" s="1987" t="s">
        <v>2076</v>
      </c>
      <c r="B52" s="1967"/>
      <c r="C52" s="674" t="str">
        <f>+'LISTADO MATERIALES'!$D$387</f>
        <v>UND</v>
      </c>
      <c r="D52" s="675">
        <v>10500000</v>
      </c>
      <c r="E52" s="687">
        <v>1</v>
      </c>
      <c r="F52" s="442">
        <f t="shared" ref="F52:F76" si="2">+E52*D52</f>
        <v>10500000</v>
      </c>
      <c r="G52" s="676"/>
    </row>
    <row r="53" spans="1:7" ht="22.5" customHeight="1">
      <c r="A53" s="1988" t="s">
        <v>2077</v>
      </c>
      <c r="B53" s="1611"/>
      <c r="C53" s="444" t="s">
        <v>127</v>
      </c>
      <c r="D53" s="431">
        <v>8250000</v>
      </c>
      <c r="E53" s="737">
        <v>1</v>
      </c>
      <c r="F53" s="689">
        <f t="shared" si="2"/>
        <v>8250000</v>
      </c>
      <c r="G53" s="445"/>
    </row>
    <row r="54" spans="1:7" ht="13.5" customHeight="1">
      <c r="A54" s="1988" t="s">
        <v>2078</v>
      </c>
      <c r="B54" s="1611"/>
      <c r="C54" s="444" t="s">
        <v>127</v>
      </c>
      <c r="D54" s="431">
        <v>455000</v>
      </c>
      <c r="E54" s="430">
        <v>1</v>
      </c>
      <c r="F54" s="689">
        <f t="shared" si="2"/>
        <v>455000</v>
      </c>
      <c r="G54" s="445"/>
    </row>
    <row r="55" spans="1:7" ht="13.5" customHeight="1">
      <c r="A55" s="1988" t="s">
        <v>2079</v>
      </c>
      <c r="B55" s="1611"/>
      <c r="C55" s="444" t="s">
        <v>127</v>
      </c>
      <c r="D55" s="431">
        <v>455000</v>
      </c>
      <c r="E55" s="430">
        <v>1</v>
      </c>
      <c r="F55" s="689">
        <f t="shared" si="2"/>
        <v>455000</v>
      </c>
      <c r="G55" s="445"/>
    </row>
    <row r="56" spans="1:7" ht="13.5" customHeight="1">
      <c r="A56" s="1988" t="s">
        <v>2080</v>
      </c>
      <c r="B56" s="1611"/>
      <c r="C56" s="444" t="s">
        <v>127</v>
      </c>
      <c r="D56" s="431">
        <v>380000</v>
      </c>
      <c r="E56" s="737">
        <v>4</v>
      </c>
      <c r="F56" s="689">
        <f t="shared" si="2"/>
        <v>1520000</v>
      </c>
      <c r="G56" s="445"/>
    </row>
    <row r="57" spans="1:7" ht="13.5" customHeight="1">
      <c r="A57" s="1988" t="s">
        <v>2081</v>
      </c>
      <c r="B57" s="1611"/>
      <c r="C57" s="444" t="s">
        <v>127</v>
      </c>
      <c r="D57" s="431">
        <v>84000</v>
      </c>
      <c r="E57" s="430">
        <v>3</v>
      </c>
      <c r="F57" s="689">
        <f t="shared" si="2"/>
        <v>252000</v>
      </c>
      <c r="G57" s="445"/>
    </row>
    <row r="58" spans="1:7" ht="13.5" customHeight="1">
      <c r="A58" s="1988" t="s">
        <v>2082</v>
      </c>
      <c r="B58" s="1611"/>
      <c r="C58" s="444" t="s">
        <v>127</v>
      </c>
      <c r="D58" s="431">
        <v>448000</v>
      </c>
      <c r="E58" s="430">
        <v>1</v>
      </c>
      <c r="F58" s="689">
        <f t="shared" si="2"/>
        <v>448000</v>
      </c>
      <c r="G58" s="445"/>
    </row>
    <row r="59" spans="1:7" ht="13.5" customHeight="1">
      <c r="A59" s="1988" t="s">
        <v>2083</v>
      </c>
      <c r="B59" s="1611"/>
      <c r="C59" s="444" t="s">
        <v>127</v>
      </c>
      <c r="D59" s="431">
        <v>210000</v>
      </c>
      <c r="E59" s="737">
        <v>1</v>
      </c>
      <c r="F59" s="689">
        <f t="shared" si="2"/>
        <v>210000</v>
      </c>
      <c r="G59" s="445"/>
    </row>
    <row r="60" spans="1:7" ht="13.5" customHeight="1">
      <c r="A60" s="1988" t="s">
        <v>2084</v>
      </c>
      <c r="B60" s="1611"/>
      <c r="C60" s="444" t="s">
        <v>127</v>
      </c>
      <c r="D60" s="431">
        <v>53000</v>
      </c>
      <c r="E60" s="430">
        <v>12</v>
      </c>
      <c r="F60" s="689">
        <f t="shared" si="2"/>
        <v>636000</v>
      </c>
      <c r="G60" s="445"/>
    </row>
    <row r="61" spans="1:7" ht="13.5" customHeight="1">
      <c r="A61" s="1988" t="s">
        <v>2085</v>
      </c>
      <c r="B61" s="1611"/>
      <c r="C61" s="444" t="s">
        <v>127</v>
      </c>
      <c r="D61" s="431">
        <v>34000</v>
      </c>
      <c r="E61" s="430">
        <v>1</v>
      </c>
      <c r="F61" s="689">
        <f t="shared" si="2"/>
        <v>34000</v>
      </c>
      <c r="G61" s="445"/>
    </row>
    <row r="62" spans="1:7" ht="13.5" customHeight="1">
      <c r="A62" s="1988" t="s">
        <v>2086</v>
      </c>
      <c r="B62" s="1611"/>
      <c r="C62" s="444" t="s">
        <v>127</v>
      </c>
      <c r="D62" s="431">
        <v>25270</v>
      </c>
      <c r="E62" s="737">
        <v>2</v>
      </c>
      <c r="F62" s="689">
        <f t="shared" si="2"/>
        <v>50540</v>
      </c>
      <c r="G62" s="445"/>
    </row>
    <row r="63" spans="1:7" ht="13.5" customHeight="1">
      <c r="A63" s="1988" t="s">
        <v>2087</v>
      </c>
      <c r="B63" s="1611"/>
      <c r="C63" s="444" t="s">
        <v>127</v>
      </c>
      <c r="D63" s="431">
        <v>567000</v>
      </c>
      <c r="E63" s="430">
        <v>1</v>
      </c>
      <c r="F63" s="689">
        <f t="shared" si="2"/>
        <v>567000</v>
      </c>
      <c r="G63" s="445"/>
    </row>
    <row r="64" spans="1:7" ht="13.5" customHeight="1">
      <c r="A64" s="1988" t="s">
        <v>2088</v>
      </c>
      <c r="B64" s="1611"/>
      <c r="C64" s="444" t="s">
        <v>127</v>
      </c>
      <c r="D64" s="431">
        <v>385000</v>
      </c>
      <c r="E64" s="430">
        <v>1</v>
      </c>
      <c r="F64" s="689">
        <f t="shared" si="2"/>
        <v>385000</v>
      </c>
      <c r="G64" s="445"/>
    </row>
    <row r="65" spans="1:7" ht="13.5" customHeight="1">
      <c r="A65" s="1988" t="s">
        <v>2089</v>
      </c>
      <c r="B65" s="1611"/>
      <c r="C65" s="444" t="s">
        <v>127</v>
      </c>
      <c r="D65" s="431">
        <v>3200</v>
      </c>
      <c r="E65" s="737">
        <v>20</v>
      </c>
      <c r="F65" s="689">
        <f t="shared" si="2"/>
        <v>64000</v>
      </c>
      <c r="G65" s="445"/>
    </row>
    <row r="66" spans="1:7" ht="13.5" customHeight="1">
      <c r="A66" s="1988" t="s">
        <v>2090</v>
      </c>
      <c r="B66" s="1611"/>
      <c r="C66" s="444" t="s">
        <v>127</v>
      </c>
      <c r="D66" s="431">
        <v>399000</v>
      </c>
      <c r="E66" s="430">
        <v>1</v>
      </c>
      <c r="F66" s="689">
        <f t="shared" si="2"/>
        <v>399000</v>
      </c>
      <c r="G66" s="445"/>
    </row>
    <row r="67" spans="1:7" ht="13.5" customHeight="1">
      <c r="A67" s="1988" t="s">
        <v>2091</v>
      </c>
      <c r="B67" s="1611"/>
      <c r="C67" s="444" t="s">
        <v>127</v>
      </c>
      <c r="D67" s="431">
        <v>165000</v>
      </c>
      <c r="E67" s="430">
        <v>1</v>
      </c>
      <c r="F67" s="689">
        <f t="shared" si="2"/>
        <v>165000</v>
      </c>
      <c r="G67" s="445"/>
    </row>
    <row r="68" spans="1:7" ht="13.5" customHeight="1">
      <c r="A68" s="1988" t="s">
        <v>2092</v>
      </c>
      <c r="B68" s="1611"/>
      <c r="C68" s="444" t="s">
        <v>127</v>
      </c>
      <c r="D68" s="431">
        <v>25000</v>
      </c>
      <c r="E68" s="430">
        <v>20</v>
      </c>
      <c r="F68" s="689">
        <f t="shared" si="2"/>
        <v>500000</v>
      </c>
      <c r="G68" s="445"/>
    </row>
    <row r="69" spans="1:7" ht="13.5" customHeight="1">
      <c r="A69" s="1988" t="s">
        <v>2093</v>
      </c>
      <c r="B69" s="1611"/>
      <c r="C69" s="444" t="s">
        <v>127</v>
      </c>
      <c r="D69" s="431">
        <v>360000</v>
      </c>
      <c r="E69" s="430">
        <v>1</v>
      </c>
      <c r="F69" s="689">
        <f t="shared" si="2"/>
        <v>360000</v>
      </c>
      <c r="G69" s="445"/>
    </row>
    <row r="70" spans="1:7" ht="13.5" customHeight="1">
      <c r="A70" s="1988" t="s">
        <v>2094</v>
      </c>
      <c r="B70" s="1611"/>
      <c r="C70" s="444" t="s">
        <v>127</v>
      </c>
      <c r="D70" s="431">
        <v>1678000</v>
      </c>
      <c r="E70" s="430">
        <v>1</v>
      </c>
      <c r="F70" s="689">
        <f t="shared" si="2"/>
        <v>1678000</v>
      </c>
      <c r="G70" s="445"/>
    </row>
    <row r="71" spans="1:7" ht="13.5" customHeight="1">
      <c r="A71" s="1988" t="s">
        <v>2095</v>
      </c>
      <c r="B71" s="1611"/>
      <c r="C71" s="444" t="s">
        <v>127</v>
      </c>
      <c r="D71" s="431">
        <v>350000</v>
      </c>
      <c r="E71" s="430">
        <v>1</v>
      </c>
      <c r="F71" s="689">
        <f t="shared" si="2"/>
        <v>350000</v>
      </c>
      <c r="G71" s="445"/>
    </row>
    <row r="72" spans="1:7" ht="13.5" customHeight="1">
      <c r="A72" s="1988" t="s">
        <v>2096</v>
      </c>
      <c r="B72" s="1611"/>
      <c r="C72" s="677" t="s">
        <v>120</v>
      </c>
      <c r="D72" s="431">
        <v>2600</v>
      </c>
      <c r="E72" s="430">
        <v>200</v>
      </c>
      <c r="F72" s="689">
        <f t="shared" si="2"/>
        <v>520000</v>
      </c>
      <c r="G72" s="445"/>
    </row>
    <row r="73" spans="1:7" ht="13.5" customHeight="1">
      <c r="A73" s="1988" t="s">
        <v>2097</v>
      </c>
      <c r="B73" s="1611"/>
      <c r="C73" s="677" t="s">
        <v>120</v>
      </c>
      <c r="D73" s="431">
        <v>3800</v>
      </c>
      <c r="E73" s="430">
        <v>120</v>
      </c>
      <c r="F73" s="689">
        <f t="shared" si="2"/>
        <v>456000</v>
      </c>
      <c r="G73" s="445"/>
    </row>
    <row r="74" spans="1:7" ht="13.5" customHeight="1">
      <c r="A74" s="1988" t="s">
        <v>2098</v>
      </c>
      <c r="B74" s="1611"/>
      <c r="C74" s="677" t="s">
        <v>127</v>
      </c>
      <c r="D74" s="431">
        <v>1300</v>
      </c>
      <c r="E74" s="430">
        <v>30</v>
      </c>
      <c r="F74" s="689">
        <f t="shared" si="2"/>
        <v>39000</v>
      </c>
      <c r="G74" s="445"/>
    </row>
    <row r="75" spans="1:7" ht="13.5" customHeight="1">
      <c r="A75" s="1988" t="s">
        <v>2099</v>
      </c>
      <c r="B75" s="1611"/>
      <c r="C75" s="677" t="s">
        <v>120</v>
      </c>
      <c r="D75" s="431">
        <v>2750</v>
      </c>
      <c r="E75" s="430">
        <v>250</v>
      </c>
      <c r="F75" s="689">
        <f t="shared" si="2"/>
        <v>687500</v>
      </c>
      <c r="G75" s="445"/>
    </row>
    <row r="76" spans="1:7" ht="13.5" customHeight="1">
      <c r="A76" s="1988" t="s">
        <v>2100</v>
      </c>
      <c r="B76" s="1611"/>
      <c r="C76" s="677" t="s">
        <v>120</v>
      </c>
      <c r="D76" s="431">
        <v>2750</v>
      </c>
      <c r="E76" s="430">
        <v>250</v>
      </c>
      <c r="F76" s="689">
        <f t="shared" si="2"/>
        <v>687500</v>
      </c>
      <c r="G76" s="445"/>
    </row>
    <row r="77" spans="1:7" ht="13.5" customHeight="1">
      <c r="A77" s="2003" t="s">
        <v>1560</v>
      </c>
      <c r="B77" s="1601"/>
      <c r="C77" s="1601"/>
      <c r="D77" s="1601"/>
      <c r="E77" s="1601"/>
      <c r="F77" s="1801"/>
      <c r="G77" s="436">
        <f>SUM(F52:F76)</f>
        <v>29668540</v>
      </c>
    </row>
    <row r="78" spans="1:7" ht="13.5" customHeight="1">
      <c r="A78" s="423" t="s">
        <v>1563</v>
      </c>
      <c r="B78" s="416"/>
      <c r="C78" s="416"/>
      <c r="D78" s="416"/>
      <c r="E78" s="416"/>
      <c r="F78" s="416"/>
      <c r="G78" s="437"/>
    </row>
    <row r="79" spans="1:7" ht="13.5" customHeight="1">
      <c r="A79" s="1975" t="s">
        <v>1556</v>
      </c>
      <c r="B79" s="1801"/>
      <c r="C79" s="424" t="s">
        <v>6</v>
      </c>
      <c r="D79" s="424" t="s">
        <v>1562</v>
      </c>
      <c r="E79" s="424" t="s">
        <v>7</v>
      </c>
      <c r="F79" s="424" t="s">
        <v>1559</v>
      </c>
      <c r="G79" s="462"/>
    </row>
    <row r="80" spans="1:7" ht="13.5" customHeight="1">
      <c r="A80" s="1982"/>
      <c r="B80" s="1819"/>
      <c r="C80" s="448"/>
      <c r="D80" s="451"/>
      <c r="E80" s="452"/>
      <c r="F80" s="451"/>
      <c r="G80" s="447"/>
    </row>
    <row r="81" spans="1:7" ht="13.5" customHeight="1">
      <c r="A81" s="2003" t="s">
        <v>1560</v>
      </c>
      <c r="B81" s="1601"/>
      <c r="C81" s="1601"/>
      <c r="D81" s="1601"/>
      <c r="E81" s="1601"/>
      <c r="F81" s="1801"/>
      <c r="G81" s="436"/>
    </row>
    <row r="82" spans="1:7" ht="13.5" customHeight="1">
      <c r="A82" s="423" t="s">
        <v>1564</v>
      </c>
      <c r="B82" s="416"/>
      <c r="C82" s="416"/>
      <c r="D82" s="416"/>
      <c r="E82" s="416"/>
      <c r="F82" s="416"/>
      <c r="G82" s="437"/>
    </row>
    <row r="83" spans="1:7" ht="13.5" customHeight="1">
      <c r="A83" s="1975" t="s">
        <v>1565</v>
      </c>
      <c r="B83" s="1801"/>
      <c r="C83" s="424" t="s">
        <v>1566</v>
      </c>
      <c r="D83" s="424" t="s">
        <v>6</v>
      </c>
      <c r="E83" s="424" t="s">
        <v>7</v>
      </c>
      <c r="F83" s="424" t="s">
        <v>1559</v>
      </c>
      <c r="G83" s="462"/>
    </row>
    <row r="84" spans="1:7" ht="12.75" customHeight="1">
      <c r="A84" s="2004" t="str">
        <f>+'MANO DE OBRA'!$A$64</f>
        <v>Oficial (Incl. Prestaciones)</v>
      </c>
      <c r="B84" s="1888"/>
      <c r="C84" s="679">
        <f>+'MANO DE OBRA'!$E$64</f>
        <v>15031.25</v>
      </c>
      <c r="D84" s="680">
        <v>1</v>
      </c>
      <c r="E84" s="1011">
        <v>2.41168755419289E-3</v>
      </c>
      <c r="F84" s="694">
        <f t="shared" ref="F84:F85" si="3">+(C84*D84)/E84</f>
        <v>6232668.8935584156</v>
      </c>
      <c r="G84" s="443"/>
    </row>
    <row r="85" spans="1:7" ht="13.5" customHeight="1">
      <c r="A85" s="1968" t="str">
        <f>+'MANO DE OBRA'!$A$65</f>
        <v>Ayudante (Incl. Prestaciones)</v>
      </c>
      <c r="B85" s="1819"/>
      <c r="C85" s="681">
        <f>+'MANO DE OBRA'!$E$65</f>
        <v>10972.8125</v>
      </c>
      <c r="D85" s="562">
        <v>2</v>
      </c>
      <c r="E85" s="1012">
        <f>+E84</f>
        <v>2.41168755419289E-3</v>
      </c>
      <c r="F85" s="695">
        <f t="shared" si="3"/>
        <v>9099696.5845952854</v>
      </c>
      <c r="G85" s="456"/>
    </row>
    <row r="86" spans="1:7" ht="13.5" customHeight="1">
      <c r="A86" s="2003" t="str">
        <f>+A81</f>
        <v>SUB-TOTAL</v>
      </c>
      <c r="B86" s="1601"/>
      <c r="C86" s="1601"/>
      <c r="D86" s="1601"/>
      <c r="E86" s="1601"/>
      <c r="F86" s="1801"/>
      <c r="G86" s="436">
        <f>SUM(F84:F85)</f>
        <v>15332365.478153702</v>
      </c>
    </row>
    <row r="87" spans="1:7" ht="11.25" customHeight="1">
      <c r="A87" s="416"/>
      <c r="B87" s="416"/>
      <c r="C87" s="416"/>
      <c r="D87" s="416"/>
      <c r="E87" s="416"/>
      <c r="F87" s="458"/>
      <c r="G87" s="437"/>
    </row>
    <row r="88" spans="1:7" ht="13.5" customHeight="1">
      <c r="A88" s="2003" t="s">
        <v>1567</v>
      </c>
      <c r="B88" s="1601"/>
      <c r="C88" s="1601"/>
      <c r="D88" s="1601"/>
      <c r="E88" s="1601"/>
      <c r="F88" s="1801"/>
      <c r="G88" s="682">
        <f>ROUND(G49+G77+G81+G86,0)</f>
        <v>45001317</v>
      </c>
    </row>
    <row r="89" spans="1:7" ht="13.5" customHeight="1"/>
    <row r="90" spans="1:7" ht="13.5" hidden="1" customHeight="1">
      <c r="A90" s="420"/>
      <c r="B90" s="420"/>
      <c r="C90" s="420"/>
      <c r="D90" s="420"/>
      <c r="E90" s="420"/>
      <c r="F90" s="420"/>
      <c r="G90" s="420"/>
    </row>
    <row r="91" spans="1:7" ht="27" hidden="1" customHeight="1">
      <c r="A91" s="2005" t="s">
        <v>1604</v>
      </c>
      <c r="B91" s="1616"/>
      <c r="C91" s="1624"/>
      <c r="D91" s="567"/>
      <c r="E91" s="567"/>
      <c r="F91" s="567"/>
      <c r="G91" s="668"/>
    </row>
    <row r="92" spans="1:7" ht="24" hidden="1" customHeight="1">
      <c r="A92" s="1971"/>
      <c r="B92" s="1817"/>
      <c r="C92" s="1972"/>
      <c r="D92" s="669"/>
      <c r="E92" s="669"/>
      <c r="F92" s="669"/>
      <c r="G92" s="670"/>
    </row>
    <row r="93" spans="1:7" ht="13.5" hidden="1" customHeight="1">
      <c r="A93" s="416"/>
      <c r="B93" s="416"/>
      <c r="C93" s="416"/>
      <c r="D93" s="416"/>
      <c r="E93" s="416"/>
      <c r="F93" s="416"/>
      <c r="G93" s="416"/>
    </row>
    <row r="94" spans="1:7" ht="30.75" hidden="1" customHeight="1">
      <c r="A94" s="1973" t="str">
        <f>A10</f>
        <v>PRECIOS UNITARIOS OFICIALES 2014</v>
      </c>
      <c r="B94" s="1601"/>
      <c r="C94" s="1602"/>
      <c r="D94" s="1974" t="s">
        <v>1668</v>
      </c>
      <c r="E94" s="1601"/>
      <c r="F94" s="1601"/>
      <c r="G94" s="1602"/>
    </row>
    <row r="95" spans="1:7" ht="13.5" hidden="1" customHeight="1">
      <c r="A95" s="418"/>
      <c r="B95" s="418"/>
      <c r="C95" s="418"/>
      <c r="D95" s="418"/>
      <c r="E95" s="418"/>
      <c r="F95" s="418"/>
      <c r="G95" s="418"/>
    </row>
    <row r="96" spans="1:7" ht="12.75" hidden="1" customHeight="1">
      <c r="A96" s="419"/>
      <c r="B96" s="416"/>
      <c r="C96" s="420"/>
      <c r="D96" s="421" t="s">
        <v>1553</v>
      </c>
      <c r="E96" s="422" t="s">
        <v>228</v>
      </c>
      <c r="F96" s="572"/>
      <c r="G96" s="572"/>
    </row>
    <row r="97" spans="1:7" ht="13.5" hidden="1" customHeight="1">
      <c r="A97" s="423" t="s">
        <v>1555</v>
      </c>
      <c r="B97" s="416"/>
      <c r="C97" s="416"/>
      <c r="D97" s="416"/>
      <c r="E97" s="416"/>
      <c r="F97" s="416"/>
      <c r="G97" s="416"/>
    </row>
    <row r="98" spans="1:7" ht="13.5" hidden="1" customHeight="1">
      <c r="A98" s="1975" t="s">
        <v>1556</v>
      </c>
      <c r="B98" s="1601"/>
      <c r="C98" s="1801"/>
      <c r="D98" s="424" t="s">
        <v>208</v>
      </c>
      <c r="E98" s="424" t="s">
        <v>1558</v>
      </c>
      <c r="F98" s="424" t="s">
        <v>1559</v>
      </c>
      <c r="G98" s="425"/>
    </row>
    <row r="99" spans="1:7" ht="13.5" hidden="1" customHeight="1">
      <c r="A99" s="1981" t="str">
        <f>+'LISTADO EQUIPOS'!$C$22</f>
        <v>HERRAMIENTA MENOR.</v>
      </c>
      <c r="B99" s="1811"/>
      <c r="C99" s="1967"/>
      <c r="D99" s="449">
        <f>+'LISTADO EQUIPOS'!$E$22/8</f>
        <v>2850</v>
      </c>
      <c r="E99" s="427">
        <v>0.05</v>
      </c>
      <c r="F99" s="428">
        <f t="shared" ref="F99:F100" si="4">+E99*D99</f>
        <v>142.5</v>
      </c>
      <c r="G99" s="429"/>
    </row>
    <row r="100" spans="1:7" ht="13.5" hidden="1" customHeight="1">
      <c r="A100" s="1988" t="str">
        <f>+'LISTADO EQUIPOS'!$C$47</f>
        <v>ANDAMIO TUBULAR. 1.5 x 1.5 SECCIÓN</v>
      </c>
      <c r="B100" s="1610"/>
      <c r="C100" s="1611"/>
      <c r="D100" s="431">
        <f>+'LISTADO EQUIPOS'!$E$47</f>
        <v>1750</v>
      </c>
      <c r="E100" s="430">
        <v>0.3</v>
      </c>
      <c r="F100" s="689">
        <f t="shared" si="4"/>
        <v>525</v>
      </c>
      <c r="G100" s="432"/>
    </row>
    <row r="101" spans="1:7" ht="13.5" hidden="1" customHeight="1">
      <c r="A101" s="2003" t="s">
        <v>1560</v>
      </c>
      <c r="B101" s="1601"/>
      <c r="C101" s="1601"/>
      <c r="D101" s="1601"/>
      <c r="E101" s="1601"/>
      <c r="F101" s="1801"/>
      <c r="G101" s="436">
        <f>SUM(F99:F100)</f>
        <v>667.5</v>
      </c>
    </row>
    <row r="102" spans="1:7" ht="13.5" hidden="1" customHeight="1">
      <c r="A102" s="423" t="s">
        <v>1561</v>
      </c>
      <c r="B102" s="416"/>
      <c r="C102" s="416"/>
      <c r="D102" s="416"/>
      <c r="E102" s="416"/>
      <c r="F102" s="416"/>
      <c r="G102" s="437"/>
    </row>
    <row r="103" spans="1:7" ht="13.5" hidden="1" customHeight="1">
      <c r="A103" s="1975" t="s">
        <v>1556</v>
      </c>
      <c r="B103" s="1801"/>
      <c r="C103" s="424" t="s">
        <v>6</v>
      </c>
      <c r="D103" s="424" t="s">
        <v>1562</v>
      </c>
      <c r="E103" s="424" t="s">
        <v>7</v>
      </c>
      <c r="F103" s="424" t="s">
        <v>1559</v>
      </c>
      <c r="G103" s="673"/>
    </row>
    <row r="104" spans="1:7" ht="13.5" hidden="1" customHeight="1">
      <c r="A104" s="1987" t="str">
        <f>+'LISTADO MATERIALES'!$C$387</f>
        <v>LADRILLO TOLETE COMÚN</v>
      </c>
      <c r="B104" s="1967"/>
      <c r="C104" s="674" t="str">
        <f>+'LISTADO MATERIALES'!$D$387</f>
        <v>UND</v>
      </c>
      <c r="D104" s="675">
        <f>+'LISTADO MATERIALES'!$E$387</f>
        <v>368</v>
      </c>
      <c r="E104" s="687">
        <v>105</v>
      </c>
      <c r="F104" s="442">
        <f t="shared" ref="F104:F106" si="5">+E104*D104</f>
        <v>38640</v>
      </c>
      <c r="G104" s="676"/>
    </row>
    <row r="105" spans="1:7" ht="13.5" hidden="1" customHeight="1">
      <c r="A105" s="2013" t="str">
        <f>+'ANALISIS BASICOS'!$A$228</f>
        <v>MORTERO 1:4</v>
      </c>
      <c r="B105" s="1611"/>
      <c r="C105" s="677" t="str">
        <f>+'ANALISIS BASICOS'!$E$140</f>
        <v>M3</v>
      </c>
      <c r="D105" s="431">
        <f>+'ANALISIS BASICOS'!$G$228</f>
        <v>384656</v>
      </c>
      <c r="E105" s="737">
        <v>5.0999999999999997E-2</v>
      </c>
      <c r="F105" s="689">
        <f t="shared" si="5"/>
        <v>19617.455999999998</v>
      </c>
      <c r="G105" s="445"/>
    </row>
    <row r="106" spans="1:7" ht="13.5" hidden="1" customHeight="1">
      <c r="A106" s="1988" t="str">
        <f>+'LISTADO MATERIALES'!$C$723</f>
        <v>AGUA</v>
      </c>
      <c r="B106" s="1611"/>
      <c r="C106" s="677" t="str">
        <f>+'LISTADO MATERIALES'!$D$723</f>
        <v>LT</v>
      </c>
      <c r="D106" s="431">
        <f>+'LISTADO MATERIALES'!$E$723</f>
        <v>21</v>
      </c>
      <c r="E106" s="430">
        <v>5</v>
      </c>
      <c r="F106" s="689">
        <f t="shared" si="5"/>
        <v>105</v>
      </c>
      <c r="G106" s="445"/>
    </row>
    <row r="107" spans="1:7" ht="13.5" hidden="1" customHeight="1">
      <c r="A107" s="1982"/>
      <c r="B107" s="1819"/>
      <c r="C107" s="678"/>
      <c r="D107" s="451"/>
      <c r="E107" s="678"/>
      <c r="F107" s="451"/>
      <c r="G107" s="456"/>
    </row>
    <row r="108" spans="1:7" ht="13.5" hidden="1" customHeight="1">
      <c r="A108" s="2003" t="s">
        <v>1560</v>
      </c>
      <c r="B108" s="1601"/>
      <c r="C108" s="1601"/>
      <c r="D108" s="1601"/>
      <c r="E108" s="1601"/>
      <c r="F108" s="1801"/>
      <c r="G108" s="436">
        <f>SUM(F104:F107)</f>
        <v>58362.455999999998</v>
      </c>
    </row>
    <row r="109" spans="1:7" ht="13.5" hidden="1" customHeight="1">
      <c r="A109" s="423" t="s">
        <v>1563</v>
      </c>
      <c r="B109" s="416"/>
      <c r="C109" s="416"/>
      <c r="D109" s="416"/>
      <c r="E109" s="416"/>
      <c r="F109" s="416"/>
      <c r="G109" s="437"/>
    </row>
    <row r="110" spans="1:7" ht="13.5" hidden="1" customHeight="1">
      <c r="A110" s="1975" t="s">
        <v>1556</v>
      </c>
      <c r="B110" s="1801"/>
      <c r="C110" s="424" t="s">
        <v>6</v>
      </c>
      <c r="D110" s="424" t="s">
        <v>1562</v>
      </c>
      <c r="E110" s="424" t="s">
        <v>7</v>
      </c>
      <c r="F110" s="424" t="s">
        <v>1559</v>
      </c>
      <c r="G110" s="438"/>
    </row>
    <row r="111" spans="1:7" ht="13.5" hidden="1" customHeight="1">
      <c r="A111" s="1981"/>
      <c r="B111" s="1967"/>
      <c r="C111" s="448"/>
      <c r="D111" s="449"/>
      <c r="E111" s="450"/>
      <c r="F111" s="431"/>
      <c r="G111" s="443"/>
    </row>
    <row r="112" spans="1:7" ht="13.5" hidden="1" customHeight="1">
      <c r="A112" s="1982"/>
      <c r="B112" s="1819"/>
      <c r="C112" s="448"/>
      <c r="D112" s="451"/>
      <c r="E112" s="452"/>
      <c r="F112" s="451"/>
      <c r="G112" s="447"/>
    </row>
    <row r="113" spans="1:7" ht="13.5" hidden="1" customHeight="1">
      <c r="A113" s="2003" t="s">
        <v>1560</v>
      </c>
      <c r="B113" s="1601"/>
      <c r="C113" s="1601"/>
      <c r="D113" s="1601"/>
      <c r="E113" s="1601"/>
      <c r="F113" s="1801"/>
      <c r="G113" s="436"/>
    </row>
    <row r="114" spans="1:7" ht="13.5" hidden="1" customHeight="1">
      <c r="A114" s="423" t="s">
        <v>1564</v>
      </c>
      <c r="B114" s="416"/>
      <c r="C114" s="416"/>
      <c r="D114" s="416"/>
      <c r="E114" s="416"/>
      <c r="F114" s="416"/>
      <c r="G114" s="437"/>
    </row>
    <row r="115" spans="1:7" ht="13.5" hidden="1" customHeight="1">
      <c r="A115" s="1975" t="s">
        <v>1565</v>
      </c>
      <c r="B115" s="1801"/>
      <c r="C115" s="424" t="s">
        <v>1566</v>
      </c>
      <c r="D115" s="424" t="s">
        <v>6</v>
      </c>
      <c r="E115" s="424" t="s">
        <v>7</v>
      </c>
      <c r="F115" s="424" t="s">
        <v>1559</v>
      </c>
      <c r="G115" s="462"/>
    </row>
    <row r="116" spans="1:7" ht="13.5" hidden="1" customHeight="1">
      <c r="A116" s="2004" t="str">
        <f>+'MANO DE OBRA'!$A$64</f>
        <v>Oficial (Incl. Prestaciones)</v>
      </c>
      <c r="B116" s="1888"/>
      <c r="C116" s="679">
        <f>+'MANO DE OBRA'!$E$64</f>
        <v>15031.25</v>
      </c>
      <c r="D116" s="680">
        <v>1</v>
      </c>
      <c r="E116" s="680">
        <v>0.8</v>
      </c>
      <c r="F116" s="694">
        <f t="shared" ref="F116:F117" si="6">+(C116*D116)*E116</f>
        <v>12025</v>
      </c>
      <c r="G116" s="443"/>
    </row>
    <row r="117" spans="1:7" ht="13.5" hidden="1" customHeight="1">
      <c r="A117" s="1968" t="str">
        <f>+'MANO DE OBRA'!$A$65</f>
        <v>Ayudante (Incl. Prestaciones)</v>
      </c>
      <c r="B117" s="1819"/>
      <c r="C117" s="681">
        <f>+'MANO DE OBRA'!$E$65</f>
        <v>10972.8125</v>
      </c>
      <c r="D117" s="562">
        <v>1</v>
      </c>
      <c r="E117" s="562">
        <f>+E116</f>
        <v>0.8</v>
      </c>
      <c r="F117" s="695">
        <f t="shared" si="6"/>
        <v>8778.25</v>
      </c>
      <c r="G117" s="456"/>
    </row>
    <row r="118" spans="1:7" ht="13.5" hidden="1" customHeight="1">
      <c r="A118" s="2003" t="str">
        <f>+A113</f>
        <v>SUB-TOTAL</v>
      </c>
      <c r="B118" s="1601"/>
      <c r="C118" s="1601"/>
      <c r="D118" s="1601"/>
      <c r="E118" s="1601"/>
      <c r="F118" s="1801"/>
      <c r="G118" s="436">
        <f>SUM(F116:F117)</f>
        <v>20803.25</v>
      </c>
    </row>
    <row r="119" spans="1:7" ht="11.25" hidden="1" customHeight="1">
      <c r="A119" s="416"/>
      <c r="B119" s="416"/>
      <c r="C119" s="416"/>
      <c r="D119" s="416"/>
      <c r="E119" s="416"/>
      <c r="F119" s="458"/>
      <c r="G119" s="437"/>
    </row>
    <row r="120" spans="1:7" ht="13.5" hidden="1" customHeight="1">
      <c r="A120" s="2003" t="s">
        <v>1567</v>
      </c>
      <c r="B120" s="1601"/>
      <c r="C120" s="1601"/>
      <c r="D120" s="1601"/>
      <c r="E120" s="1601"/>
      <c r="F120" s="1801"/>
      <c r="G120" s="682">
        <f>ROUND(G101+G108+G113+G118,0)</f>
        <v>79833</v>
      </c>
    </row>
    <row r="121" spans="1:7" ht="13.5" hidden="1" customHeight="1">
      <c r="A121" s="420"/>
      <c r="B121" s="420"/>
      <c r="C121" s="420"/>
      <c r="D121" s="420"/>
      <c r="E121" s="420"/>
      <c r="F121" s="420"/>
      <c r="G121" s="420"/>
    </row>
    <row r="122" spans="1:7" ht="13.5" hidden="1" customHeight="1">
      <c r="A122" s="420"/>
      <c r="B122" s="420"/>
      <c r="C122" s="420"/>
      <c r="D122" s="420"/>
      <c r="E122" s="420"/>
      <c r="F122" s="420"/>
      <c r="G122" s="420"/>
    </row>
    <row r="123" spans="1:7" ht="27" hidden="1" customHeight="1">
      <c r="A123" s="2005" t="s">
        <v>1604</v>
      </c>
      <c r="B123" s="1616"/>
      <c r="C123" s="1624"/>
      <c r="D123" s="567"/>
      <c r="E123" s="567"/>
      <c r="F123" s="567"/>
      <c r="G123" s="668"/>
    </row>
    <row r="124" spans="1:7" ht="24" hidden="1" customHeight="1">
      <c r="A124" s="1971"/>
      <c r="B124" s="1817"/>
      <c r="C124" s="1972"/>
      <c r="D124" s="669"/>
      <c r="E124" s="669"/>
      <c r="F124" s="669"/>
      <c r="G124" s="670"/>
    </row>
    <row r="125" spans="1:7" ht="13.5" hidden="1" customHeight="1">
      <c r="A125" s="416"/>
      <c r="B125" s="416"/>
      <c r="C125" s="416"/>
      <c r="D125" s="416"/>
      <c r="E125" s="416"/>
      <c r="F125" s="416"/>
      <c r="G125" s="416"/>
    </row>
    <row r="126" spans="1:7" ht="30.75" hidden="1" customHeight="1">
      <c r="A126" s="1973" t="str">
        <f>A10</f>
        <v>PRECIOS UNITARIOS OFICIALES 2014</v>
      </c>
      <c r="B126" s="1601"/>
      <c r="C126" s="1602"/>
      <c r="D126" s="1974" t="s">
        <v>1669</v>
      </c>
      <c r="E126" s="1601"/>
      <c r="F126" s="1601"/>
      <c r="G126" s="1602"/>
    </row>
    <row r="127" spans="1:7" ht="13.5" hidden="1" customHeight="1">
      <c r="A127" s="418"/>
      <c r="B127" s="418"/>
      <c r="C127" s="418"/>
      <c r="D127" s="418"/>
      <c r="E127" s="418"/>
      <c r="F127" s="418"/>
      <c r="G127" s="418"/>
    </row>
    <row r="128" spans="1:7" ht="12.75" hidden="1" customHeight="1">
      <c r="A128" s="419"/>
      <c r="B128" s="416"/>
      <c r="C128" s="420"/>
      <c r="D128" s="421" t="s">
        <v>1553</v>
      </c>
      <c r="E128" s="422" t="s">
        <v>228</v>
      </c>
      <c r="F128" s="572"/>
      <c r="G128" s="572"/>
    </row>
    <row r="129" spans="1:7" ht="13.5" hidden="1" customHeight="1">
      <c r="A129" s="423" t="s">
        <v>1555</v>
      </c>
      <c r="B129" s="416"/>
      <c r="C129" s="416"/>
      <c r="D129" s="416"/>
      <c r="E129" s="416"/>
      <c r="F129" s="416"/>
      <c r="G129" s="416"/>
    </row>
    <row r="130" spans="1:7" ht="13.5" hidden="1" customHeight="1">
      <c r="A130" s="1975" t="s">
        <v>1556</v>
      </c>
      <c r="B130" s="1601"/>
      <c r="C130" s="1801"/>
      <c r="D130" s="424" t="s">
        <v>208</v>
      </c>
      <c r="E130" s="424" t="s">
        <v>1558</v>
      </c>
      <c r="F130" s="424" t="s">
        <v>1559</v>
      </c>
      <c r="G130" s="425"/>
    </row>
    <row r="131" spans="1:7" ht="13.5" hidden="1" customHeight="1">
      <c r="A131" s="1981" t="str">
        <f>+'LISTADO EQUIPOS'!$C$22</f>
        <v>HERRAMIENTA MENOR.</v>
      </c>
      <c r="B131" s="1811"/>
      <c r="C131" s="1967"/>
      <c r="D131" s="449">
        <f>+'LISTADO EQUIPOS'!$E$22/8</f>
        <v>2850</v>
      </c>
      <c r="E131" s="427">
        <v>0.05</v>
      </c>
      <c r="F131" s="428">
        <f t="shared" ref="F131:F132" si="7">+E131*D131</f>
        <v>142.5</v>
      </c>
      <c r="G131" s="429"/>
    </row>
    <row r="132" spans="1:7" ht="13.5" hidden="1" customHeight="1">
      <c r="A132" s="1988" t="str">
        <f>+'LISTADO EQUIPOS'!$C$47</f>
        <v>ANDAMIO TUBULAR. 1.5 x 1.5 SECCIÓN</v>
      </c>
      <c r="B132" s="1610"/>
      <c r="C132" s="1611"/>
      <c r="D132" s="431">
        <f>+'LISTADO EQUIPOS'!$E$47</f>
        <v>1750</v>
      </c>
      <c r="E132" s="430">
        <v>0.11</v>
      </c>
      <c r="F132" s="689">
        <f t="shared" si="7"/>
        <v>192.5</v>
      </c>
      <c r="G132" s="672"/>
    </row>
    <row r="133" spans="1:7" ht="13.5" hidden="1" customHeight="1">
      <c r="A133" s="2003" t="s">
        <v>1560</v>
      </c>
      <c r="B133" s="1601"/>
      <c r="C133" s="1601"/>
      <c r="D133" s="1601"/>
      <c r="E133" s="1601"/>
      <c r="F133" s="1801"/>
      <c r="G133" s="436">
        <f>SUM(F131:F132)</f>
        <v>335</v>
      </c>
    </row>
    <row r="134" spans="1:7" ht="13.5" hidden="1" customHeight="1">
      <c r="A134" s="423" t="s">
        <v>1561</v>
      </c>
      <c r="B134" s="416"/>
      <c r="C134" s="416"/>
      <c r="D134" s="416"/>
      <c r="E134" s="416"/>
      <c r="F134" s="416"/>
      <c r="G134" s="437"/>
    </row>
    <row r="135" spans="1:7" ht="13.5" hidden="1" customHeight="1">
      <c r="A135" s="1975" t="s">
        <v>1556</v>
      </c>
      <c r="B135" s="1801"/>
      <c r="C135" s="424" t="s">
        <v>6</v>
      </c>
      <c r="D135" s="424" t="s">
        <v>1562</v>
      </c>
      <c r="E135" s="424" t="s">
        <v>7</v>
      </c>
      <c r="F135" s="424" t="s">
        <v>1559</v>
      </c>
      <c r="G135" s="673"/>
    </row>
    <row r="136" spans="1:7" ht="13.5" hidden="1" customHeight="1">
      <c r="A136" s="1987" t="str">
        <f>+'LISTADO MATERIALES'!$C$370</f>
        <v>BLOQUE CEMENTO ESTRUCTURAL 12X20X40</v>
      </c>
      <c r="B136" s="1967"/>
      <c r="C136" s="674" t="str">
        <f>+'LISTADO MATERIALES'!$D$370</f>
        <v>UN</v>
      </c>
      <c r="D136" s="675">
        <f>+'LISTADO MATERIALES'!$E$370</f>
        <v>3150</v>
      </c>
      <c r="E136" s="687">
        <v>12.5</v>
      </c>
      <c r="F136" s="442">
        <f t="shared" ref="F136:F138" si="8">+E136*D136</f>
        <v>39375</v>
      </c>
      <c r="G136" s="676"/>
    </row>
    <row r="137" spans="1:7" ht="13.5" hidden="1" customHeight="1">
      <c r="A137" s="1988" t="str">
        <f>+'ANALISIS BASICOS'!$A$228</f>
        <v>MORTERO 1:4</v>
      </c>
      <c r="B137" s="1611"/>
      <c r="C137" s="677" t="str">
        <f>+'ANALISIS BASICOS'!$E$204</f>
        <v>M3</v>
      </c>
      <c r="D137" s="431">
        <f>+'ANALISIS BASICOS'!$G$228</f>
        <v>384656</v>
      </c>
      <c r="E137" s="430">
        <v>5.5E-2</v>
      </c>
      <c r="F137" s="689">
        <f t="shared" si="8"/>
        <v>21156.080000000002</v>
      </c>
      <c r="G137" s="445"/>
    </row>
    <row r="138" spans="1:7" ht="13.5" hidden="1" customHeight="1">
      <c r="A138" s="1988" t="str">
        <f>+'LISTADO MATERIALES'!$C$723</f>
        <v>AGUA</v>
      </c>
      <c r="B138" s="1611"/>
      <c r="C138" s="677" t="str">
        <f>+'LISTADO MATERIALES'!$D$723</f>
        <v>LT</v>
      </c>
      <c r="D138" s="431">
        <f>+'LISTADO MATERIALES'!$E$723</f>
        <v>21</v>
      </c>
      <c r="E138" s="430">
        <v>5</v>
      </c>
      <c r="F138" s="689">
        <f t="shared" si="8"/>
        <v>105</v>
      </c>
      <c r="G138" s="445"/>
    </row>
    <row r="139" spans="1:7" ht="13.5" hidden="1" customHeight="1">
      <c r="A139" s="1982"/>
      <c r="B139" s="1819"/>
      <c r="C139" s="678"/>
      <c r="D139" s="451"/>
      <c r="E139" s="678"/>
      <c r="F139" s="451"/>
      <c r="G139" s="456"/>
    </row>
    <row r="140" spans="1:7" ht="13.5" hidden="1" customHeight="1">
      <c r="A140" s="2003" t="s">
        <v>1560</v>
      </c>
      <c r="B140" s="1601"/>
      <c r="C140" s="1601"/>
      <c r="D140" s="1601"/>
      <c r="E140" s="1601"/>
      <c r="F140" s="1801"/>
      <c r="G140" s="436">
        <f>SUM(F136:F139)</f>
        <v>60636.08</v>
      </c>
    </row>
    <row r="141" spans="1:7" ht="13.5" hidden="1" customHeight="1">
      <c r="A141" s="423" t="s">
        <v>1563</v>
      </c>
      <c r="B141" s="416"/>
      <c r="C141" s="416"/>
      <c r="D141" s="416"/>
      <c r="E141" s="416"/>
      <c r="F141" s="416"/>
      <c r="G141" s="437"/>
    </row>
    <row r="142" spans="1:7" ht="13.5" hidden="1" customHeight="1">
      <c r="A142" s="1975" t="s">
        <v>1556</v>
      </c>
      <c r="B142" s="1801"/>
      <c r="C142" s="424" t="s">
        <v>6</v>
      </c>
      <c r="D142" s="424" t="s">
        <v>1562</v>
      </c>
      <c r="E142" s="424" t="s">
        <v>7</v>
      </c>
      <c r="F142" s="424" t="s">
        <v>1559</v>
      </c>
      <c r="G142" s="438"/>
    </row>
    <row r="143" spans="1:7" ht="13.5" hidden="1" customHeight="1">
      <c r="A143" s="1981"/>
      <c r="B143" s="1967"/>
      <c r="C143" s="448"/>
      <c r="D143" s="449"/>
      <c r="E143" s="450"/>
      <c r="F143" s="431"/>
      <c r="G143" s="443"/>
    </row>
    <row r="144" spans="1:7" ht="13.5" hidden="1" customHeight="1">
      <c r="A144" s="1982"/>
      <c r="B144" s="1819"/>
      <c r="C144" s="448"/>
      <c r="D144" s="451"/>
      <c r="E144" s="452"/>
      <c r="F144" s="451"/>
      <c r="G144" s="447"/>
    </row>
    <row r="145" spans="1:7" ht="13.5" hidden="1" customHeight="1">
      <c r="A145" s="2003" t="s">
        <v>1560</v>
      </c>
      <c r="B145" s="1601"/>
      <c r="C145" s="1601"/>
      <c r="D145" s="1601"/>
      <c r="E145" s="1601"/>
      <c r="F145" s="1801"/>
      <c r="G145" s="436"/>
    </row>
    <row r="146" spans="1:7" ht="13.5" hidden="1" customHeight="1">
      <c r="A146" s="423" t="s">
        <v>1564</v>
      </c>
      <c r="B146" s="416"/>
      <c r="C146" s="416"/>
      <c r="D146" s="416"/>
      <c r="E146" s="416"/>
      <c r="F146" s="416"/>
      <c r="G146" s="437"/>
    </row>
    <row r="147" spans="1:7" ht="13.5" hidden="1" customHeight="1">
      <c r="A147" s="1975" t="s">
        <v>1565</v>
      </c>
      <c r="B147" s="1801"/>
      <c r="C147" s="424" t="s">
        <v>1566</v>
      </c>
      <c r="D147" s="424" t="s">
        <v>6</v>
      </c>
      <c r="E147" s="424" t="s">
        <v>7</v>
      </c>
      <c r="F147" s="424" t="s">
        <v>1559</v>
      </c>
      <c r="G147" s="462"/>
    </row>
    <row r="148" spans="1:7" ht="13.5" hidden="1" customHeight="1">
      <c r="A148" s="2004" t="str">
        <f>+'MANO DE OBRA'!$A$64</f>
        <v>Oficial (Incl. Prestaciones)</v>
      </c>
      <c r="B148" s="1888"/>
      <c r="C148" s="679">
        <f>+'MANO DE OBRA'!$E$64</f>
        <v>15031.25</v>
      </c>
      <c r="D148" s="680">
        <v>1</v>
      </c>
      <c r="E148" s="680">
        <v>1.1499999999999999</v>
      </c>
      <c r="F148" s="454">
        <f t="shared" ref="F148:F149" si="9">+(C148*D148)/E148</f>
        <v>13070.652173913044</v>
      </c>
      <c r="G148" s="443"/>
    </row>
    <row r="149" spans="1:7" ht="13.5" hidden="1" customHeight="1">
      <c r="A149" s="1968" t="str">
        <f>+'MANO DE OBRA'!$A$65</f>
        <v>Ayudante (Incl. Prestaciones)</v>
      </c>
      <c r="B149" s="1819"/>
      <c r="C149" s="681">
        <f>+'MANO DE OBRA'!$E$65</f>
        <v>10972.8125</v>
      </c>
      <c r="D149" s="562">
        <v>1</v>
      </c>
      <c r="E149" s="562">
        <f>+E148</f>
        <v>1.1499999999999999</v>
      </c>
      <c r="F149" s="455">
        <f t="shared" si="9"/>
        <v>9541.576086956522</v>
      </c>
      <c r="G149" s="456"/>
    </row>
    <row r="150" spans="1:7" ht="13.5" hidden="1" customHeight="1">
      <c r="A150" s="2003" t="str">
        <f>+A145</f>
        <v>SUB-TOTAL</v>
      </c>
      <c r="B150" s="1601"/>
      <c r="C150" s="1601"/>
      <c r="D150" s="1601"/>
      <c r="E150" s="1601"/>
      <c r="F150" s="1801"/>
      <c r="G150" s="436">
        <f>SUM(F148:F149)</f>
        <v>22612.228260869568</v>
      </c>
    </row>
    <row r="151" spans="1:7" ht="11.25" hidden="1" customHeight="1">
      <c r="A151" s="416"/>
      <c r="B151" s="416"/>
      <c r="C151" s="416"/>
      <c r="D151" s="416"/>
      <c r="E151" s="416"/>
      <c r="F151" s="458"/>
      <c r="G151" s="437"/>
    </row>
    <row r="152" spans="1:7" ht="13.5" hidden="1" customHeight="1">
      <c r="A152" s="2003" t="s">
        <v>1567</v>
      </c>
      <c r="B152" s="1601"/>
      <c r="C152" s="1601"/>
      <c r="D152" s="1601"/>
      <c r="E152" s="1601"/>
      <c r="F152" s="1801"/>
      <c r="G152" s="682">
        <f>ROUND(G133+G140+G145+G150,0)</f>
        <v>83583</v>
      </c>
    </row>
    <row r="153" spans="1:7" ht="13.5" hidden="1" customHeight="1">
      <c r="A153" s="420"/>
      <c r="B153" s="420"/>
      <c r="C153" s="420"/>
      <c r="D153" s="420"/>
      <c r="E153" s="420"/>
      <c r="F153" s="420"/>
      <c r="G153" s="420"/>
    </row>
    <row r="154" spans="1:7" ht="13.5" hidden="1" customHeight="1">
      <c r="A154" s="420"/>
      <c r="B154" s="420"/>
      <c r="C154" s="420"/>
      <c r="D154" s="420"/>
      <c r="E154" s="420"/>
      <c r="F154" s="420"/>
      <c r="G154" s="420"/>
    </row>
    <row r="155" spans="1:7" ht="27" hidden="1" customHeight="1">
      <c r="A155" s="2005" t="s">
        <v>1604</v>
      </c>
      <c r="B155" s="1616"/>
      <c r="C155" s="1624"/>
      <c r="D155" s="567"/>
      <c r="E155" s="567"/>
      <c r="F155" s="567"/>
      <c r="G155" s="668"/>
    </row>
    <row r="156" spans="1:7" ht="24" hidden="1" customHeight="1">
      <c r="A156" s="1971"/>
      <c r="B156" s="1817"/>
      <c r="C156" s="1972"/>
      <c r="D156" s="669"/>
      <c r="E156" s="669"/>
      <c r="F156" s="669"/>
      <c r="G156" s="670"/>
    </row>
    <row r="157" spans="1:7" ht="13.5" hidden="1" customHeight="1">
      <c r="A157" s="416"/>
      <c r="B157" s="416"/>
      <c r="C157" s="416"/>
      <c r="D157" s="416"/>
      <c r="E157" s="416"/>
      <c r="F157" s="416"/>
      <c r="G157" s="416"/>
    </row>
    <row r="158" spans="1:7" ht="30.75" hidden="1" customHeight="1">
      <c r="A158" s="1973" t="str">
        <f>A10</f>
        <v>PRECIOS UNITARIOS OFICIALES 2014</v>
      </c>
      <c r="B158" s="1601"/>
      <c r="C158" s="1602"/>
      <c r="D158" s="1974" t="s">
        <v>1670</v>
      </c>
      <c r="E158" s="1601"/>
      <c r="F158" s="1601"/>
      <c r="G158" s="1602"/>
    </row>
    <row r="159" spans="1:7" ht="13.5" hidden="1" customHeight="1">
      <c r="A159" s="418"/>
      <c r="B159" s="418"/>
      <c r="C159" s="418"/>
      <c r="D159" s="418"/>
      <c r="E159" s="418"/>
      <c r="F159" s="418"/>
      <c r="G159" s="418"/>
    </row>
    <row r="160" spans="1:7" ht="12.75" hidden="1" customHeight="1">
      <c r="A160" s="419"/>
      <c r="B160" s="416"/>
      <c r="C160" s="420"/>
      <c r="D160" s="421" t="s">
        <v>1553</v>
      </c>
      <c r="E160" s="422" t="s">
        <v>228</v>
      </c>
      <c r="F160" s="572"/>
      <c r="G160" s="572"/>
    </row>
    <row r="161" spans="1:7" ht="13.5" hidden="1" customHeight="1">
      <c r="A161" s="423" t="s">
        <v>1555</v>
      </c>
      <c r="B161" s="416"/>
      <c r="C161" s="416"/>
      <c r="D161" s="416"/>
      <c r="E161" s="416"/>
      <c r="F161" s="416"/>
      <c r="G161" s="416"/>
    </row>
    <row r="162" spans="1:7" ht="13.5" hidden="1" customHeight="1">
      <c r="A162" s="1975" t="s">
        <v>1556</v>
      </c>
      <c r="B162" s="1601"/>
      <c r="C162" s="1801"/>
      <c r="D162" s="424" t="s">
        <v>208</v>
      </c>
      <c r="E162" s="424" t="s">
        <v>1558</v>
      </c>
      <c r="F162" s="424" t="s">
        <v>1559</v>
      </c>
      <c r="G162" s="425"/>
    </row>
    <row r="163" spans="1:7" ht="13.5" hidden="1" customHeight="1">
      <c r="A163" s="1981" t="str">
        <f>+'LISTADO EQUIPOS'!$C$22</f>
        <v>HERRAMIENTA MENOR.</v>
      </c>
      <c r="B163" s="1811"/>
      <c r="C163" s="1967"/>
      <c r="D163" s="449">
        <f>+'LISTADO EQUIPOS'!$E$22/8</f>
        <v>2850</v>
      </c>
      <c r="E163" s="427">
        <v>20</v>
      </c>
      <c r="F163" s="428">
        <f>+D163/E163</f>
        <v>142.5</v>
      </c>
      <c r="G163" s="429"/>
    </row>
    <row r="164" spans="1:7" ht="13.5" hidden="1" customHeight="1">
      <c r="A164" s="1982" t="str">
        <f>+'LISTADO EQUIPOS'!$C$47</f>
        <v>ANDAMIO TUBULAR. 1.5 x 1.5 SECCIÓN</v>
      </c>
      <c r="B164" s="1807"/>
      <c r="C164" s="1819"/>
      <c r="D164" s="451">
        <f>+'LISTADO EQUIPOS'!$E$47</f>
        <v>1750</v>
      </c>
      <c r="E164" s="671">
        <v>0.4</v>
      </c>
      <c r="F164" s="698">
        <f>+D164*E164</f>
        <v>700</v>
      </c>
      <c r="G164" s="672"/>
    </row>
    <row r="165" spans="1:7" ht="13.5" hidden="1" customHeight="1">
      <c r="A165" s="2003" t="s">
        <v>1560</v>
      </c>
      <c r="B165" s="1601"/>
      <c r="C165" s="1601"/>
      <c r="D165" s="1601"/>
      <c r="E165" s="1601"/>
      <c r="F165" s="1801"/>
      <c r="G165" s="436">
        <f>SUM(F163:F164)</f>
        <v>842.5</v>
      </c>
    </row>
    <row r="166" spans="1:7" ht="13.5" hidden="1" customHeight="1">
      <c r="A166" s="423" t="s">
        <v>1561</v>
      </c>
      <c r="B166" s="416"/>
      <c r="C166" s="416"/>
      <c r="D166" s="416"/>
      <c r="E166" s="416"/>
      <c r="F166" s="416"/>
      <c r="G166" s="437"/>
    </row>
    <row r="167" spans="1:7" ht="13.5" hidden="1" customHeight="1">
      <c r="A167" s="1975" t="s">
        <v>1556</v>
      </c>
      <c r="B167" s="1801"/>
      <c r="C167" s="424" t="s">
        <v>6</v>
      </c>
      <c r="D167" s="424" t="s">
        <v>1562</v>
      </c>
      <c r="E167" s="424" t="s">
        <v>7</v>
      </c>
      <c r="F167" s="424" t="s">
        <v>1559</v>
      </c>
      <c r="G167" s="673"/>
    </row>
    <row r="168" spans="1:7" ht="13.5" hidden="1" customHeight="1">
      <c r="A168" s="1987" t="str">
        <f>+'LISTADO MATERIALES'!$C$388</f>
        <v>LADRILLO TOLETE REJILLA SANTAFE</v>
      </c>
      <c r="B168" s="1967"/>
      <c r="C168" s="674" t="str">
        <f>+'LISTADO MATERIALES'!$D$388</f>
        <v>UND</v>
      </c>
      <c r="D168" s="675">
        <f>+'LISTADO MATERIALES'!$E$388</f>
        <v>840</v>
      </c>
      <c r="E168" s="687">
        <v>58</v>
      </c>
      <c r="F168" s="442">
        <f t="shared" ref="F168:F170" si="10">+E168*D168</f>
        <v>48720</v>
      </c>
      <c r="G168" s="676"/>
    </row>
    <row r="169" spans="1:7" ht="13.5" hidden="1" customHeight="1">
      <c r="A169" s="1988" t="str">
        <f>+'ANALISIS BASICOS'!$A$228</f>
        <v>MORTERO 1:4</v>
      </c>
      <c r="B169" s="1611"/>
      <c r="C169" s="677" t="str">
        <f>+'ANALISIS BASICOS'!$E$204</f>
        <v>M3</v>
      </c>
      <c r="D169" s="431">
        <f>+'ANALISIS BASICOS'!$G$228</f>
        <v>384656</v>
      </c>
      <c r="E169" s="737">
        <v>2.1999999999999999E-2</v>
      </c>
      <c r="F169" s="689">
        <f t="shared" si="10"/>
        <v>8462.4319999999989</v>
      </c>
      <c r="G169" s="445"/>
    </row>
    <row r="170" spans="1:7" ht="13.5" hidden="1" customHeight="1">
      <c r="A170" s="1988" t="str">
        <f>+'LISTADO MATERIALES'!$C$723</f>
        <v>AGUA</v>
      </c>
      <c r="B170" s="1611"/>
      <c r="C170" s="677" t="str">
        <f>+'LISTADO MATERIALES'!$D$723</f>
        <v>LT</v>
      </c>
      <c r="D170" s="431">
        <f>+'LISTADO MATERIALES'!$E$723</f>
        <v>21</v>
      </c>
      <c r="E170" s="430">
        <v>5</v>
      </c>
      <c r="F170" s="689">
        <f t="shared" si="10"/>
        <v>105</v>
      </c>
      <c r="G170" s="445"/>
    </row>
    <row r="171" spans="1:7" ht="13.5" hidden="1" customHeight="1">
      <c r="A171" s="1982"/>
      <c r="B171" s="1819"/>
      <c r="C171" s="678"/>
      <c r="D171" s="451"/>
      <c r="E171" s="678"/>
      <c r="F171" s="698"/>
      <c r="G171" s="456"/>
    </row>
    <row r="172" spans="1:7" ht="13.5" hidden="1" customHeight="1">
      <c r="A172" s="2003" t="s">
        <v>1560</v>
      </c>
      <c r="B172" s="1601"/>
      <c r="C172" s="1601"/>
      <c r="D172" s="1601"/>
      <c r="E172" s="1601"/>
      <c r="F172" s="1801"/>
      <c r="G172" s="436">
        <f>SUM(F168:F171)</f>
        <v>57287.432000000001</v>
      </c>
    </row>
    <row r="173" spans="1:7" ht="13.5" hidden="1" customHeight="1">
      <c r="A173" s="423" t="s">
        <v>1563</v>
      </c>
      <c r="B173" s="416"/>
      <c r="C173" s="416"/>
      <c r="D173" s="416"/>
      <c r="E173" s="416"/>
      <c r="F173" s="416"/>
      <c r="G173" s="437"/>
    </row>
    <row r="174" spans="1:7" ht="13.5" hidden="1" customHeight="1">
      <c r="A174" s="1975" t="s">
        <v>1556</v>
      </c>
      <c r="B174" s="1801"/>
      <c r="C174" s="424" t="s">
        <v>6</v>
      </c>
      <c r="D174" s="424" t="s">
        <v>1562</v>
      </c>
      <c r="E174" s="424" t="s">
        <v>7</v>
      </c>
      <c r="F174" s="424" t="s">
        <v>1559</v>
      </c>
      <c r="G174" s="438"/>
    </row>
    <row r="175" spans="1:7" ht="13.5" hidden="1" customHeight="1">
      <c r="A175" s="1981"/>
      <c r="B175" s="1967"/>
      <c r="C175" s="448"/>
      <c r="D175" s="449"/>
      <c r="E175" s="450"/>
      <c r="F175" s="431"/>
      <c r="G175" s="443"/>
    </row>
    <row r="176" spans="1:7" ht="13.5" hidden="1" customHeight="1">
      <c r="A176" s="1982"/>
      <c r="B176" s="1819"/>
      <c r="C176" s="448"/>
      <c r="D176" s="451"/>
      <c r="E176" s="452"/>
      <c r="F176" s="451"/>
      <c r="G176" s="447"/>
    </row>
    <row r="177" spans="1:7" ht="13.5" hidden="1" customHeight="1">
      <c r="A177" s="2003" t="s">
        <v>1560</v>
      </c>
      <c r="B177" s="1601"/>
      <c r="C177" s="1601"/>
      <c r="D177" s="1601"/>
      <c r="E177" s="1601"/>
      <c r="F177" s="1801"/>
      <c r="G177" s="436"/>
    </row>
    <row r="178" spans="1:7" ht="13.5" hidden="1" customHeight="1">
      <c r="A178" s="423" t="s">
        <v>1564</v>
      </c>
      <c r="B178" s="416"/>
      <c r="C178" s="416"/>
      <c r="D178" s="416"/>
      <c r="E178" s="416"/>
      <c r="F178" s="416"/>
      <c r="G178" s="437"/>
    </row>
    <row r="179" spans="1:7" ht="13.5" hidden="1" customHeight="1">
      <c r="A179" s="1975" t="s">
        <v>1565</v>
      </c>
      <c r="B179" s="1801"/>
      <c r="C179" s="424" t="s">
        <v>1566</v>
      </c>
      <c r="D179" s="424" t="s">
        <v>6</v>
      </c>
      <c r="E179" s="424" t="s">
        <v>7</v>
      </c>
      <c r="F179" s="424" t="s">
        <v>1559</v>
      </c>
      <c r="G179" s="462"/>
    </row>
    <row r="180" spans="1:7" ht="13.5" hidden="1" customHeight="1">
      <c r="A180" s="2004" t="str">
        <f>+'MANO DE OBRA'!$A$64</f>
        <v>Oficial (Incl. Prestaciones)</v>
      </c>
      <c r="B180" s="1888"/>
      <c r="C180" s="679">
        <f>+'MANO DE OBRA'!$E$64</f>
        <v>15031.25</v>
      </c>
      <c r="D180" s="680">
        <v>1</v>
      </c>
      <c r="E180" s="680">
        <v>0.75</v>
      </c>
      <c r="F180" s="454">
        <f t="shared" ref="F180:F181" si="11">+(C180*D180)/E180</f>
        <v>20041.666666666668</v>
      </c>
      <c r="G180" s="443"/>
    </row>
    <row r="181" spans="1:7" ht="13.5" hidden="1" customHeight="1">
      <c r="A181" s="1968" t="str">
        <f>+'MANO DE OBRA'!$A$65</f>
        <v>Ayudante (Incl. Prestaciones)</v>
      </c>
      <c r="B181" s="1819"/>
      <c r="C181" s="681">
        <f>+'MANO DE OBRA'!$E$65</f>
        <v>10972.8125</v>
      </c>
      <c r="D181" s="562">
        <v>1</v>
      </c>
      <c r="E181" s="562">
        <f>+E180</f>
        <v>0.75</v>
      </c>
      <c r="F181" s="455">
        <f t="shared" si="11"/>
        <v>14630.416666666666</v>
      </c>
      <c r="G181" s="456"/>
    </row>
    <row r="182" spans="1:7" ht="13.5" hidden="1" customHeight="1">
      <c r="A182" s="2003" t="str">
        <f>+A177</f>
        <v>SUB-TOTAL</v>
      </c>
      <c r="B182" s="1601"/>
      <c r="C182" s="1601"/>
      <c r="D182" s="1601"/>
      <c r="E182" s="1601"/>
      <c r="F182" s="1801"/>
      <c r="G182" s="436">
        <f>SUM(F180:F181)</f>
        <v>34672.083333333336</v>
      </c>
    </row>
    <row r="183" spans="1:7" ht="11.25" hidden="1" customHeight="1">
      <c r="A183" s="416"/>
      <c r="B183" s="416"/>
      <c r="C183" s="416"/>
      <c r="D183" s="416"/>
      <c r="E183" s="416"/>
      <c r="F183" s="458"/>
      <c r="G183" s="437"/>
    </row>
    <row r="184" spans="1:7" ht="13.5" hidden="1" customHeight="1">
      <c r="A184" s="2003" t="s">
        <v>1567</v>
      </c>
      <c r="B184" s="1601"/>
      <c r="C184" s="1601"/>
      <c r="D184" s="1601"/>
      <c r="E184" s="1601"/>
      <c r="F184" s="1801"/>
      <c r="G184" s="682">
        <f>ROUND(G165+G172+G177+G182,0)</f>
        <v>92802</v>
      </c>
    </row>
    <row r="185" spans="1:7" ht="13.5" hidden="1" customHeight="1">
      <c r="A185" s="420"/>
      <c r="B185" s="420"/>
      <c r="C185" s="420"/>
      <c r="D185" s="420"/>
      <c r="E185" s="420"/>
      <c r="F185" s="420"/>
      <c r="G185" s="420"/>
    </row>
    <row r="186" spans="1:7" ht="13.5" hidden="1" customHeight="1">
      <c r="A186" s="420"/>
      <c r="B186" s="420"/>
      <c r="C186" s="420"/>
      <c r="D186" s="420"/>
      <c r="E186" s="420"/>
      <c r="F186" s="420"/>
      <c r="G186" s="420"/>
    </row>
    <row r="187" spans="1:7" ht="27" hidden="1" customHeight="1">
      <c r="A187" s="2005" t="s">
        <v>1604</v>
      </c>
      <c r="B187" s="1616"/>
      <c r="C187" s="1624"/>
      <c r="D187" s="567"/>
      <c r="E187" s="567"/>
      <c r="F187" s="567"/>
      <c r="G187" s="668"/>
    </row>
    <row r="188" spans="1:7" ht="24" hidden="1" customHeight="1">
      <c r="A188" s="1971"/>
      <c r="B188" s="1817"/>
      <c r="C188" s="1972"/>
      <c r="D188" s="669"/>
      <c r="E188" s="669"/>
      <c r="F188" s="669"/>
      <c r="G188" s="670"/>
    </row>
    <row r="189" spans="1:7" ht="13.5" hidden="1" customHeight="1">
      <c r="A189" s="416"/>
      <c r="B189" s="416"/>
      <c r="C189" s="416"/>
      <c r="D189" s="416"/>
      <c r="E189" s="416"/>
      <c r="F189" s="416"/>
      <c r="G189" s="416"/>
    </row>
    <row r="190" spans="1:7" ht="30.75" hidden="1" customHeight="1">
      <c r="A190" s="1973" t="str">
        <f>A10</f>
        <v>PRECIOS UNITARIOS OFICIALES 2014</v>
      </c>
      <c r="B190" s="1601"/>
      <c r="C190" s="1602"/>
      <c r="D190" s="1974" t="s">
        <v>1671</v>
      </c>
      <c r="E190" s="1601"/>
      <c r="F190" s="1601"/>
      <c r="G190" s="1602"/>
    </row>
    <row r="191" spans="1:7" ht="13.5" hidden="1" customHeight="1">
      <c r="A191" s="418"/>
      <c r="B191" s="418"/>
      <c r="C191" s="418"/>
      <c r="D191" s="418"/>
      <c r="E191" s="418"/>
      <c r="F191" s="418"/>
      <c r="G191" s="418"/>
    </row>
    <row r="192" spans="1:7" ht="12.75" hidden="1" customHeight="1">
      <c r="A192" s="419"/>
      <c r="B192" s="416"/>
      <c r="C192" s="420"/>
      <c r="D192" s="421" t="s">
        <v>1553</v>
      </c>
      <c r="E192" s="422" t="s">
        <v>228</v>
      </c>
      <c r="F192" s="572"/>
      <c r="G192" s="572"/>
    </row>
    <row r="193" spans="1:7" ht="13.5" hidden="1" customHeight="1">
      <c r="A193" s="423" t="s">
        <v>1555</v>
      </c>
      <c r="B193" s="416"/>
      <c r="C193" s="416"/>
      <c r="D193" s="416"/>
      <c r="E193" s="416"/>
      <c r="F193" s="416"/>
      <c r="G193" s="416"/>
    </row>
    <row r="194" spans="1:7" ht="13.5" hidden="1" customHeight="1">
      <c r="A194" s="1975" t="s">
        <v>1556</v>
      </c>
      <c r="B194" s="1601"/>
      <c r="C194" s="1801"/>
      <c r="D194" s="424" t="s">
        <v>208</v>
      </c>
      <c r="E194" s="424" t="s">
        <v>1558</v>
      </c>
      <c r="F194" s="424" t="s">
        <v>1559</v>
      </c>
      <c r="G194" s="425"/>
    </row>
    <row r="195" spans="1:7" ht="13.5" hidden="1" customHeight="1">
      <c r="A195" s="1981" t="str">
        <f>+'LISTADO EQUIPOS'!$C$22</f>
        <v>HERRAMIENTA MENOR.</v>
      </c>
      <c r="B195" s="1811"/>
      <c r="C195" s="1967"/>
      <c r="D195" s="449">
        <f>+'LISTADO EQUIPOS'!$E$22/8</f>
        <v>2850</v>
      </c>
      <c r="E195" s="427">
        <f>+E212</f>
        <v>0.75</v>
      </c>
      <c r="F195" s="428">
        <f t="shared" ref="F195:F196" si="12">+E195*D195</f>
        <v>2137.5</v>
      </c>
      <c r="G195" s="429"/>
    </row>
    <row r="196" spans="1:7" ht="13.5" hidden="1" customHeight="1">
      <c r="A196" s="1982" t="str">
        <f>+'LISTADO EQUIPOS'!$C$47</f>
        <v>ANDAMIO TUBULAR. 1.5 x 1.5 SECCIÓN</v>
      </c>
      <c r="B196" s="1807"/>
      <c r="C196" s="1819"/>
      <c r="D196" s="451">
        <f>+'LISTADO EQUIPOS'!$E$47</f>
        <v>1750</v>
      </c>
      <c r="E196" s="671">
        <v>0.4</v>
      </c>
      <c r="F196" s="698">
        <f t="shared" si="12"/>
        <v>700</v>
      </c>
      <c r="G196" s="672"/>
    </row>
    <row r="197" spans="1:7" ht="13.5" hidden="1" customHeight="1">
      <c r="A197" s="2003" t="s">
        <v>1560</v>
      </c>
      <c r="B197" s="1601"/>
      <c r="C197" s="1601"/>
      <c r="D197" s="1601"/>
      <c r="E197" s="1601"/>
      <c r="F197" s="1801"/>
      <c r="G197" s="436">
        <f>SUM(F195:F196)</f>
        <v>2837.5</v>
      </c>
    </row>
    <row r="198" spans="1:7" ht="13.5" hidden="1" customHeight="1">
      <c r="A198" s="423" t="s">
        <v>1561</v>
      </c>
      <c r="B198" s="416"/>
      <c r="C198" s="416"/>
      <c r="D198" s="416"/>
      <c r="E198" s="416"/>
      <c r="F198" s="416"/>
      <c r="G198" s="437"/>
    </row>
    <row r="199" spans="1:7" ht="13.5" hidden="1" customHeight="1">
      <c r="A199" s="1975" t="s">
        <v>1556</v>
      </c>
      <c r="B199" s="1801"/>
      <c r="C199" s="424" t="s">
        <v>6</v>
      </c>
      <c r="D199" s="424" t="s">
        <v>1562</v>
      </c>
      <c r="E199" s="424" t="s">
        <v>7</v>
      </c>
      <c r="F199" s="424" t="s">
        <v>1559</v>
      </c>
      <c r="G199" s="673"/>
    </row>
    <row r="200" spans="1:7" ht="13.5" hidden="1" customHeight="1">
      <c r="A200" s="1987" t="str">
        <f>+'LISTADO MATERIALES'!$C$385</f>
        <v>LADRILLO PRENSADO LA VEGA</v>
      </c>
      <c r="B200" s="1967"/>
      <c r="C200" s="674" t="str">
        <f>+'LISTADO MATERIALES'!$D$385</f>
        <v>UND</v>
      </c>
      <c r="D200" s="675">
        <f>+'LISTADO MATERIALES'!$E$385</f>
        <v>735</v>
      </c>
      <c r="E200" s="687">
        <v>58</v>
      </c>
      <c r="F200" s="442">
        <f t="shared" ref="F200:F202" si="13">+E200*D200</f>
        <v>42630</v>
      </c>
      <c r="G200" s="676"/>
    </row>
    <row r="201" spans="1:7" ht="13.5" hidden="1" customHeight="1">
      <c r="A201" s="1988" t="str">
        <f>+'ANALISIS BASICOS'!$A$228</f>
        <v>MORTERO 1:4</v>
      </c>
      <c r="B201" s="1611"/>
      <c r="C201" s="677" t="str">
        <f>+'ANALISIS BASICOS'!$E$204</f>
        <v>M3</v>
      </c>
      <c r="D201" s="431">
        <f>+'ANALISIS BASICOS'!$G$228</f>
        <v>384656</v>
      </c>
      <c r="E201" s="737">
        <v>2.1999999999999999E-2</v>
      </c>
      <c r="F201" s="689">
        <f t="shared" si="13"/>
        <v>8462.4319999999989</v>
      </c>
      <c r="G201" s="445"/>
    </row>
    <row r="202" spans="1:7" ht="13.5" hidden="1" customHeight="1">
      <c r="A202" s="1988" t="str">
        <f>+'LISTADO MATERIALES'!$C$723</f>
        <v>AGUA</v>
      </c>
      <c r="B202" s="1611"/>
      <c r="C202" s="677" t="str">
        <f>+'LISTADO MATERIALES'!$D$723</f>
        <v>LT</v>
      </c>
      <c r="D202" s="431">
        <f>+'LISTADO MATERIALES'!$E$723</f>
        <v>21</v>
      </c>
      <c r="E202" s="430">
        <v>5</v>
      </c>
      <c r="F202" s="689">
        <f t="shared" si="13"/>
        <v>105</v>
      </c>
      <c r="G202" s="445"/>
    </row>
    <row r="203" spans="1:7" ht="13.5" hidden="1" customHeight="1">
      <c r="A203" s="1982"/>
      <c r="B203" s="1819"/>
      <c r="C203" s="678"/>
      <c r="D203" s="451"/>
      <c r="E203" s="678"/>
      <c r="F203" s="451"/>
      <c r="G203" s="456"/>
    </row>
    <row r="204" spans="1:7" ht="13.5" hidden="1" customHeight="1">
      <c r="A204" s="2003" t="s">
        <v>1560</v>
      </c>
      <c r="B204" s="1601"/>
      <c r="C204" s="1601"/>
      <c r="D204" s="1601"/>
      <c r="E204" s="1601"/>
      <c r="F204" s="1801"/>
      <c r="G204" s="436">
        <f>SUM(F200:F203)</f>
        <v>51197.432000000001</v>
      </c>
    </row>
    <row r="205" spans="1:7" ht="13.5" hidden="1" customHeight="1">
      <c r="A205" s="423" t="s">
        <v>1563</v>
      </c>
      <c r="B205" s="416"/>
      <c r="C205" s="416"/>
      <c r="D205" s="416"/>
      <c r="E205" s="416"/>
      <c r="F205" s="416"/>
      <c r="G205" s="437"/>
    </row>
    <row r="206" spans="1:7" ht="13.5" hidden="1" customHeight="1">
      <c r="A206" s="1975" t="s">
        <v>1556</v>
      </c>
      <c r="B206" s="1801"/>
      <c r="C206" s="424" t="s">
        <v>6</v>
      </c>
      <c r="D206" s="424" t="s">
        <v>1562</v>
      </c>
      <c r="E206" s="424" t="s">
        <v>7</v>
      </c>
      <c r="F206" s="424" t="s">
        <v>1559</v>
      </c>
      <c r="G206" s="438"/>
    </row>
    <row r="207" spans="1:7" ht="13.5" hidden="1" customHeight="1">
      <c r="A207" s="1981"/>
      <c r="B207" s="1967"/>
      <c r="C207" s="448"/>
      <c r="D207" s="449"/>
      <c r="E207" s="450"/>
      <c r="F207" s="431"/>
      <c r="G207" s="443"/>
    </row>
    <row r="208" spans="1:7" ht="13.5" hidden="1" customHeight="1">
      <c r="A208" s="1982"/>
      <c r="B208" s="1819"/>
      <c r="C208" s="448"/>
      <c r="D208" s="451"/>
      <c r="E208" s="452"/>
      <c r="F208" s="451"/>
      <c r="G208" s="447"/>
    </row>
    <row r="209" spans="1:7" ht="13.5" hidden="1" customHeight="1">
      <c r="A209" s="2003" t="s">
        <v>1560</v>
      </c>
      <c r="B209" s="1601"/>
      <c r="C209" s="1601"/>
      <c r="D209" s="1601"/>
      <c r="E209" s="1601"/>
      <c r="F209" s="1801"/>
      <c r="G209" s="436"/>
    </row>
    <row r="210" spans="1:7" ht="13.5" hidden="1" customHeight="1">
      <c r="A210" s="423" t="s">
        <v>1564</v>
      </c>
      <c r="B210" s="416"/>
      <c r="C210" s="416"/>
      <c r="D210" s="416"/>
      <c r="E210" s="416"/>
      <c r="F210" s="416"/>
      <c r="G210" s="437"/>
    </row>
    <row r="211" spans="1:7" ht="13.5" hidden="1" customHeight="1">
      <c r="A211" s="1975" t="s">
        <v>1565</v>
      </c>
      <c r="B211" s="1801"/>
      <c r="C211" s="424" t="s">
        <v>1566</v>
      </c>
      <c r="D211" s="424" t="s">
        <v>6</v>
      </c>
      <c r="E211" s="424" t="s">
        <v>7</v>
      </c>
      <c r="F211" s="424" t="s">
        <v>1559</v>
      </c>
      <c r="G211" s="462"/>
    </row>
    <row r="212" spans="1:7" ht="13.5" hidden="1" customHeight="1">
      <c r="A212" s="2004" t="str">
        <f>+'MANO DE OBRA'!$A$64</f>
        <v>Oficial (Incl. Prestaciones)</v>
      </c>
      <c r="B212" s="1888"/>
      <c r="C212" s="679">
        <f>+'MANO DE OBRA'!$E$64</f>
        <v>15031.25</v>
      </c>
      <c r="D212" s="680">
        <v>1</v>
      </c>
      <c r="E212" s="680">
        <v>0.75</v>
      </c>
      <c r="F212" s="454">
        <f t="shared" ref="F212:F213" si="14">+(C212*D212)/E212</f>
        <v>20041.666666666668</v>
      </c>
      <c r="G212" s="443"/>
    </row>
    <row r="213" spans="1:7" ht="13.5" hidden="1" customHeight="1">
      <c r="A213" s="1968" t="str">
        <f>+'MANO DE OBRA'!$A$65</f>
        <v>Ayudante (Incl. Prestaciones)</v>
      </c>
      <c r="B213" s="1819"/>
      <c r="C213" s="681">
        <f>+'MANO DE OBRA'!$E$65</f>
        <v>10972.8125</v>
      </c>
      <c r="D213" s="562">
        <v>1</v>
      </c>
      <c r="E213" s="562">
        <f>+E212</f>
        <v>0.75</v>
      </c>
      <c r="F213" s="455">
        <f t="shared" si="14"/>
        <v>14630.416666666666</v>
      </c>
      <c r="G213" s="456"/>
    </row>
    <row r="214" spans="1:7" ht="13.5" hidden="1" customHeight="1">
      <c r="A214" s="2003" t="str">
        <f>+A209</f>
        <v>SUB-TOTAL</v>
      </c>
      <c r="B214" s="1601"/>
      <c r="C214" s="1601"/>
      <c r="D214" s="1601"/>
      <c r="E214" s="1601"/>
      <c r="F214" s="1801"/>
      <c r="G214" s="436">
        <f>SUM(F212:F213)</f>
        <v>34672.083333333336</v>
      </c>
    </row>
    <row r="215" spans="1:7" ht="11.25" hidden="1" customHeight="1">
      <c r="A215" s="416"/>
      <c r="B215" s="416"/>
      <c r="C215" s="416"/>
      <c r="D215" s="416"/>
      <c r="E215" s="416"/>
      <c r="F215" s="458"/>
      <c r="G215" s="437"/>
    </row>
    <row r="216" spans="1:7" ht="13.5" hidden="1" customHeight="1">
      <c r="A216" s="2003" t="s">
        <v>1567</v>
      </c>
      <c r="B216" s="1601"/>
      <c r="C216" s="1601"/>
      <c r="D216" s="1601"/>
      <c r="E216" s="1601"/>
      <c r="F216" s="1801"/>
      <c r="G216" s="682">
        <f>ROUND(G197+G204+G209+G214,0)</f>
        <v>88707</v>
      </c>
    </row>
    <row r="217" spans="1:7" ht="13.5" hidden="1" customHeight="1">
      <c r="A217" s="420"/>
      <c r="B217" s="420"/>
      <c r="C217" s="420"/>
      <c r="D217" s="420"/>
      <c r="E217" s="420"/>
      <c r="F217" s="420"/>
      <c r="G217" s="420"/>
    </row>
    <row r="218" spans="1:7" ht="13.5" customHeight="1">
      <c r="A218" s="420"/>
      <c r="B218" s="420"/>
      <c r="C218" s="420"/>
      <c r="D218" s="420"/>
      <c r="E218" s="420"/>
      <c r="F218" s="420"/>
      <c r="G218" s="420"/>
    </row>
    <row r="219" spans="1:7" ht="25.5" customHeight="1">
      <c r="A219" s="1994" t="e">
        <f>+'ANALISIS BASICOS'!$A$7</f>
        <v>#REF!</v>
      </c>
      <c r="B219" s="1616"/>
      <c r="C219" s="1624"/>
      <c r="D219" s="1990"/>
      <c r="E219" s="1616"/>
      <c r="F219" s="1616"/>
      <c r="G219" s="1624"/>
    </row>
    <row r="220" spans="1:7" ht="27.75" customHeight="1">
      <c r="A220" s="1971"/>
      <c r="B220" s="1817"/>
      <c r="C220" s="1972"/>
      <c r="D220" s="1971"/>
      <c r="E220" s="1817"/>
      <c r="F220" s="1817"/>
      <c r="G220" s="1972"/>
    </row>
    <row r="221" spans="1:7" ht="13.5" customHeight="1">
      <c r="A221" s="416"/>
      <c r="B221" s="416"/>
      <c r="C221" s="416"/>
      <c r="D221" s="416"/>
      <c r="E221" s="416"/>
      <c r="F221" s="416"/>
      <c r="G221" s="416"/>
    </row>
    <row r="222" spans="1:7" ht="57" customHeight="1">
      <c r="A222" s="1991" t="e">
        <f ca="1">+A42</f>
        <v>#NAME?</v>
      </c>
      <c r="B222" s="1601"/>
      <c r="C222" s="1602"/>
      <c r="D222" s="1974" t="s">
        <v>2101</v>
      </c>
      <c r="E222" s="1601"/>
      <c r="F222" s="1601"/>
      <c r="G222" s="1602"/>
    </row>
    <row r="223" spans="1:7" ht="13.5" customHeight="1">
      <c r="A223" s="418"/>
      <c r="B223" s="418"/>
      <c r="C223" s="418"/>
      <c r="D223" s="418"/>
      <c r="E223" s="418"/>
      <c r="F223" s="418"/>
      <c r="G223" s="418"/>
    </row>
    <row r="224" spans="1:7" ht="12.75" customHeight="1">
      <c r="A224" s="419"/>
      <c r="B224" s="416"/>
      <c r="C224" s="420"/>
      <c r="D224" s="421" t="s">
        <v>1553</v>
      </c>
      <c r="E224" s="422" t="s">
        <v>228</v>
      </c>
      <c r="F224" s="421" t="s">
        <v>1554</v>
      </c>
      <c r="G224" s="422" t="s">
        <v>523</v>
      </c>
    </row>
    <row r="225" spans="1:7" ht="13.5" customHeight="1">
      <c r="A225" s="423" t="s">
        <v>1555</v>
      </c>
      <c r="B225" s="416"/>
      <c r="C225" s="416"/>
      <c r="D225" s="416"/>
      <c r="E225" s="416"/>
      <c r="F225" s="416"/>
      <c r="G225" s="416"/>
    </row>
    <row r="226" spans="1:7" ht="13.5" customHeight="1">
      <c r="A226" s="1975" t="s">
        <v>1556</v>
      </c>
      <c r="B226" s="1601"/>
      <c r="C226" s="1801"/>
      <c r="D226" s="424" t="s">
        <v>208</v>
      </c>
      <c r="E226" s="424" t="s">
        <v>1558</v>
      </c>
      <c r="F226" s="424" t="s">
        <v>1559</v>
      </c>
      <c r="G226" s="425"/>
    </row>
    <row r="227" spans="1:7" ht="13.5" customHeight="1">
      <c r="A227" s="1981" t="str">
        <f>+'LISTADO EQUIPOS'!$C$22</f>
        <v>HERRAMIENTA MENOR.</v>
      </c>
      <c r="B227" s="1811"/>
      <c r="C227" s="1967"/>
      <c r="D227" s="449">
        <f>+'LISTADO EQUIPOS'!$E$22/8</f>
        <v>2850</v>
      </c>
      <c r="E227" s="427">
        <v>20</v>
      </c>
      <c r="F227" s="428">
        <f>+D227/E227</f>
        <v>142.5</v>
      </c>
      <c r="G227" s="429"/>
    </row>
    <row r="228" spans="1:7" ht="13.5" customHeight="1">
      <c r="A228" s="1988" t="str">
        <f>+'LISTADO EQUIPOS'!$C$47</f>
        <v>ANDAMIO TUBULAR. 1.5 x 1.5 SECCIÓN</v>
      </c>
      <c r="B228" s="1610"/>
      <c r="C228" s="1611"/>
      <c r="D228" s="431">
        <f>+'LISTADO EQUIPOS'!$E$47</f>
        <v>1750</v>
      </c>
      <c r="E228" s="430">
        <v>0.2</v>
      </c>
      <c r="F228" s="689">
        <f>+E228*D228</f>
        <v>350</v>
      </c>
      <c r="G228" s="432"/>
    </row>
    <row r="229" spans="1:7" ht="13.5" customHeight="1">
      <c r="A229" s="2003" t="s">
        <v>1560</v>
      </c>
      <c r="B229" s="1601"/>
      <c r="C229" s="1601"/>
      <c r="D229" s="1601"/>
      <c r="E229" s="1601"/>
      <c r="F229" s="1801"/>
      <c r="G229" s="436">
        <f>SUM(F227:F228)</f>
        <v>492.5</v>
      </c>
    </row>
    <row r="230" spans="1:7" ht="13.5" customHeight="1">
      <c r="A230" s="423" t="s">
        <v>1561</v>
      </c>
      <c r="B230" s="416"/>
      <c r="C230" s="416"/>
      <c r="D230" s="416"/>
      <c r="E230" s="416"/>
      <c r="F230" s="416"/>
      <c r="G230" s="437"/>
    </row>
    <row r="231" spans="1:7" ht="13.5" customHeight="1">
      <c r="A231" s="1975" t="s">
        <v>1556</v>
      </c>
      <c r="B231" s="1801"/>
      <c r="C231" s="424" t="s">
        <v>6</v>
      </c>
      <c r="D231" s="424" t="s">
        <v>1562</v>
      </c>
      <c r="E231" s="424" t="s">
        <v>7</v>
      </c>
      <c r="F231" s="424" t="s">
        <v>1559</v>
      </c>
      <c r="G231" s="673"/>
    </row>
    <row r="232" spans="1:7" ht="12.75" customHeight="1">
      <c r="A232" s="1987" t="s">
        <v>2102</v>
      </c>
      <c r="B232" s="1967"/>
      <c r="C232" s="674" t="str">
        <f>+'LISTADO MATERIALES'!$D$371</f>
        <v>UND</v>
      </c>
      <c r="D232" s="675">
        <v>638000</v>
      </c>
      <c r="E232" s="687">
        <v>1</v>
      </c>
      <c r="F232" s="442">
        <f t="shared" ref="F232:F235" si="15">+E232*D232</f>
        <v>638000</v>
      </c>
      <c r="G232" s="676"/>
    </row>
    <row r="233" spans="1:7" ht="13.5" customHeight="1">
      <c r="A233" s="1995" t="s">
        <v>2103</v>
      </c>
      <c r="B233" s="1611"/>
      <c r="C233" s="444" t="s">
        <v>127</v>
      </c>
      <c r="D233" s="464">
        <v>185600</v>
      </c>
      <c r="E233" s="706">
        <v>1</v>
      </c>
      <c r="F233" s="440">
        <f t="shared" si="15"/>
        <v>185600</v>
      </c>
      <c r="G233" s="707"/>
    </row>
    <row r="234" spans="1:7" ht="13.5" customHeight="1">
      <c r="A234" s="1995" t="s">
        <v>2104</v>
      </c>
      <c r="B234" s="1611"/>
      <c r="C234" s="444" t="s">
        <v>127</v>
      </c>
      <c r="D234" s="464">
        <v>9000</v>
      </c>
      <c r="E234" s="706">
        <v>1</v>
      </c>
      <c r="F234" s="440">
        <f t="shared" si="15"/>
        <v>9000</v>
      </c>
      <c r="G234" s="707"/>
    </row>
    <row r="235" spans="1:7" ht="13.5" customHeight="1">
      <c r="A235" s="1996" t="s">
        <v>2105</v>
      </c>
      <c r="B235" s="1819"/>
      <c r="C235" s="708" t="s">
        <v>120</v>
      </c>
      <c r="D235" s="434">
        <v>3100</v>
      </c>
      <c r="E235" s="708">
        <v>300</v>
      </c>
      <c r="F235" s="434">
        <f t="shared" si="15"/>
        <v>930000</v>
      </c>
      <c r="G235" s="709"/>
    </row>
    <row r="236" spans="1:7" ht="13.5" customHeight="1">
      <c r="A236" s="2003" t="s">
        <v>1560</v>
      </c>
      <c r="B236" s="1601"/>
      <c r="C236" s="1601"/>
      <c r="D236" s="1601"/>
      <c r="E236" s="1601"/>
      <c r="F236" s="1801"/>
      <c r="G236" s="436">
        <f>SUM(F232:F235)</f>
        <v>1762600</v>
      </c>
    </row>
    <row r="237" spans="1:7" ht="13.5" customHeight="1">
      <c r="A237" s="423" t="s">
        <v>1563</v>
      </c>
      <c r="B237" s="416"/>
      <c r="C237" s="416"/>
      <c r="D237" s="416"/>
      <c r="E237" s="416"/>
      <c r="F237" s="416"/>
      <c r="G237" s="437"/>
    </row>
    <row r="238" spans="1:7" ht="13.5" customHeight="1">
      <c r="A238" s="1975" t="s">
        <v>1556</v>
      </c>
      <c r="B238" s="1801"/>
      <c r="C238" s="424" t="s">
        <v>6</v>
      </c>
      <c r="D238" s="424" t="s">
        <v>1562</v>
      </c>
      <c r="E238" s="424" t="s">
        <v>7</v>
      </c>
      <c r="F238" s="424" t="s">
        <v>1559</v>
      </c>
      <c r="G238" s="438"/>
    </row>
    <row r="239" spans="1:7" ht="13.5" customHeight="1">
      <c r="A239" s="1981"/>
      <c r="B239" s="1967"/>
      <c r="C239" s="448"/>
      <c r="D239" s="449"/>
      <c r="E239" s="450"/>
      <c r="F239" s="431"/>
      <c r="G239" s="443"/>
    </row>
    <row r="240" spans="1:7" ht="13.5" customHeight="1">
      <c r="A240" s="1982"/>
      <c r="B240" s="1819"/>
      <c r="C240" s="448"/>
      <c r="D240" s="451"/>
      <c r="E240" s="452"/>
      <c r="F240" s="451"/>
      <c r="G240" s="447"/>
    </row>
    <row r="241" spans="1:7" ht="13.5" customHeight="1">
      <c r="A241" s="2003" t="s">
        <v>1560</v>
      </c>
      <c r="B241" s="1601"/>
      <c r="C241" s="1601"/>
      <c r="D241" s="1601"/>
      <c r="E241" s="1601"/>
      <c r="F241" s="1801"/>
      <c r="G241" s="436"/>
    </row>
    <row r="242" spans="1:7" ht="13.5" customHeight="1">
      <c r="A242" s="423" t="s">
        <v>1564</v>
      </c>
      <c r="B242" s="416"/>
      <c r="C242" s="416"/>
      <c r="D242" s="416"/>
      <c r="E242" s="416"/>
      <c r="F242" s="416"/>
      <c r="G242" s="437"/>
    </row>
    <row r="243" spans="1:7" ht="13.5" customHeight="1">
      <c r="A243" s="1975" t="s">
        <v>1565</v>
      </c>
      <c r="B243" s="1801"/>
      <c r="C243" s="424" t="s">
        <v>1566</v>
      </c>
      <c r="D243" s="424" t="s">
        <v>6</v>
      </c>
      <c r="E243" s="424" t="s">
        <v>7</v>
      </c>
      <c r="F243" s="424" t="s">
        <v>1559</v>
      </c>
      <c r="G243" s="462"/>
    </row>
    <row r="244" spans="1:7" ht="13.5" customHeight="1">
      <c r="A244" s="2004" t="str">
        <f>+'MANO DE OBRA'!$A$64</f>
        <v>Oficial (Incl. Prestaciones)</v>
      </c>
      <c r="B244" s="1888"/>
      <c r="C244" s="679">
        <f>+'MANO DE OBRA'!$E$64</f>
        <v>15031.25</v>
      </c>
      <c r="D244" s="680">
        <v>1</v>
      </c>
      <c r="E244" s="680">
        <v>9.4872448529490699E-2</v>
      </c>
      <c r="F244" s="454">
        <f t="shared" ref="F244:F245" si="16">+(C244*D244)/E244</f>
        <v>158436.40838812754</v>
      </c>
      <c r="G244" s="443"/>
    </row>
    <row r="245" spans="1:7" ht="13.5" customHeight="1">
      <c r="A245" s="1968" t="str">
        <f>+'MANO DE OBRA'!$A$65</f>
        <v>Ayudante (Incl. Prestaciones)</v>
      </c>
      <c r="B245" s="1819"/>
      <c r="C245" s="681">
        <f>+'MANO DE OBRA'!$E$65</f>
        <v>10972.8125</v>
      </c>
      <c r="D245" s="562">
        <v>1</v>
      </c>
      <c r="E245" s="562">
        <f>+E244</f>
        <v>9.4872448529490699E-2</v>
      </c>
      <c r="F245" s="455">
        <f t="shared" si="16"/>
        <v>115658.57812333312</v>
      </c>
      <c r="G245" s="456"/>
    </row>
    <row r="246" spans="1:7" ht="13.5" customHeight="1">
      <c r="A246" s="2003" t="str">
        <f>+A241</f>
        <v>SUB-TOTAL</v>
      </c>
      <c r="B246" s="1601"/>
      <c r="C246" s="1601"/>
      <c r="D246" s="1601"/>
      <c r="E246" s="1601"/>
      <c r="F246" s="1801"/>
      <c r="G246" s="436">
        <f>SUM(F244:F245)</f>
        <v>274094.98651146068</v>
      </c>
    </row>
    <row r="247" spans="1:7" ht="11.25" customHeight="1">
      <c r="A247" s="416"/>
      <c r="B247" s="416"/>
      <c r="C247" s="416"/>
      <c r="D247" s="416"/>
      <c r="E247" s="416"/>
      <c r="F247" s="458"/>
      <c r="G247" s="437"/>
    </row>
    <row r="248" spans="1:7" ht="13.5" customHeight="1">
      <c r="A248" s="2003" t="s">
        <v>1567</v>
      </c>
      <c r="B248" s="1601"/>
      <c r="C248" s="1601"/>
      <c r="D248" s="1601"/>
      <c r="E248" s="1601"/>
      <c r="F248" s="1801"/>
      <c r="G248" s="682">
        <f>ROUND(G229+G236+G241+G246,0)</f>
        <v>2037187</v>
      </c>
    </row>
    <row r="249" spans="1:7" ht="13.5" customHeight="1"/>
    <row r="250" spans="1:7" ht="13.5" hidden="1" customHeight="1">
      <c r="A250" s="420"/>
      <c r="B250" s="420"/>
      <c r="C250" s="420"/>
      <c r="D250" s="420"/>
      <c r="E250" s="420"/>
      <c r="F250" s="420"/>
      <c r="G250" s="420"/>
    </row>
    <row r="251" spans="1:7" ht="27" hidden="1" customHeight="1">
      <c r="A251" s="2005" t="s">
        <v>1604</v>
      </c>
      <c r="B251" s="1616"/>
      <c r="C251" s="1624"/>
      <c r="D251" s="567"/>
      <c r="E251" s="567"/>
      <c r="F251" s="567"/>
      <c r="G251" s="668"/>
    </row>
    <row r="252" spans="1:7" ht="24" hidden="1" customHeight="1">
      <c r="A252" s="2012"/>
      <c r="B252" s="1817"/>
      <c r="C252" s="1972"/>
      <c r="D252" s="669"/>
      <c r="E252" s="669"/>
      <c r="F252" s="669"/>
      <c r="G252" s="670"/>
    </row>
    <row r="253" spans="1:7" ht="13.5" hidden="1" customHeight="1">
      <c r="A253" s="416"/>
      <c r="B253" s="416"/>
      <c r="C253" s="416"/>
      <c r="D253" s="416"/>
      <c r="E253" s="416"/>
      <c r="F253" s="416"/>
      <c r="G253" s="416"/>
    </row>
    <row r="254" spans="1:7" ht="35.25" hidden="1" customHeight="1">
      <c r="A254" s="1973" t="str">
        <f>A10</f>
        <v>PRECIOS UNITARIOS OFICIALES 2014</v>
      </c>
      <c r="B254" s="1601"/>
      <c r="C254" s="1602"/>
      <c r="D254" s="1974" t="s">
        <v>1676</v>
      </c>
      <c r="E254" s="1601"/>
      <c r="F254" s="1601"/>
      <c r="G254" s="1602"/>
    </row>
    <row r="255" spans="1:7" ht="13.5" hidden="1" customHeight="1">
      <c r="A255" s="418"/>
      <c r="B255" s="418"/>
      <c r="C255" s="418"/>
      <c r="D255" s="418"/>
      <c r="E255" s="418"/>
      <c r="F255" s="418"/>
      <c r="G255" s="418"/>
    </row>
    <row r="256" spans="1:7" ht="12.75" hidden="1" customHeight="1">
      <c r="A256" s="419"/>
      <c r="B256" s="416"/>
      <c r="C256" s="420"/>
      <c r="D256" s="421" t="s">
        <v>1553</v>
      </c>
      <c r="E256" s="422" t="s">
        <v>228</v>
      </c>
      <c r="F256" s="572"/>
      <c r="G256" s="572"/>
    </row>
    <row r="257" spans="1:7" ht="13.5" hidden="1" customHeight="1">
      <c r="A257" s="423" t="s">
        <v>1555</v>
      </c>
      <c r="B257" s="416"/>
      <c r="C257" s="416"/>
      <c r="D257" s="416"/>
      <c r="E257" s="416"/>
      <c r="F257" s="416"/>
      <c r="G257" s="416"/>
    </row>
    <row r="258" spans="1:7" ht="13.5" hidden="1" customHeight="1">
      <c r="A258" s="1975" t="s">
        <v>1556</v>
      </c>
      <c r="B258" s="1601"/>
      <c r="C258" s="1801"/>
      <c r="D258" s="424" t="s">
        <v>208</v>
      </c>
      <c r="E258" s="424" t="s">
        <v>1558</v>
      </c>
      <c r="F258" s="424" t="s">
        <v>1559</v>
      </c>
      <c r="G258" s="425"/>
    </row>
    <row r="259" spans="1:7" ht="13.5" hidden="1" customHeight="1">
      <c r="A259" s="1981" t="str">
        <f>+'LISTADO EQUIPOS'!$C$22</f>
        <v>HERRAMIENTA MENOR.</v>
      </c>
      <c r="B259" s="1811"/>
      <c r="C259" s="1967"/>
      <c r="D259" s="449">
        <f>+'LISTADO EQUIPOS'!$E$22/8</f>
        <v>2850</v>
      </c>
      <c r="E259" s="427">
        <v>20</v>
      </c>
      <c r="F259" s="428">
        <f>+D259/E259</f>
        <v>142.5</v>
      </c>
      <c r="G259" s="429"/>
    </row>
    <row r="260" spans="1:7" ht="13.5" hidden="1" customHeight="1">
      <c r="A260" s="1988" t="str">
        <f>+'LISTADO EQUIPOS'!$C$47</f>
        <v>ANDAMIO TUBULAR. 1.5 x 1.5 SECCIÓN</v>
      </c>
      <c r="B260" s="1610"/>
      <c r="C260" s="1611"/>
      <c r="D260" s="431">
        <f>+'LISTADO EQUIPOS'!$E$47</f>
        <v>1750</v>
      </c>
      <c r="E260" s="430">
        <v>0.2</v>
      </c>
      <c r="F260" s="689">
        <f>+E260*D260</f>
        <v>350</v>
      </c>
      <c r="G260" s="432"/>
    </row>
    <row r="261" spans="1:7" ht="13.5" hidden="1" customHeight="1">
      <c r="A261" s="2003" t="s">
        <v>1560</v>
      </c>
      <c r="B261" s="1601"/>
      <c r="C261" s="1601"/>
      <c r="D261" s="1601"/>
      <c r="E261" s="1601"/>
      <c r="F261" s="1801"/>
      <c r="G261" s="436">
        <f>SUM(F259:F260)</f>
        <v>492.5</v>
      </c>
    </row>
    <row r="262" spans="1:7" ht="13.5" hidden="1" customHeight="1">
      <c r="A262" s="423" t="s">
        <v>1561</v>
      </c>
      <c r="B262" s="416"/>
      <c r="C262" s="416"/>
      <c r="D262" s="416"/>
      <c r="E262" s="416"/>
      <c r="F262" s="416"/>
      <c r="G262" s="437"/>
    </row>
    <row r="263" spans="1:7" ht="13.5" hidden="1" customHeight="1">
      <c r="A263" s="1975" t="s">
        <v>1556</v>
      </c>
      <c r="B263" s="1801"/>
      <c r="C263" s="424" t="s">
        <v>6</v>
      </c>
      <c r="D263" s="424" t="s">
        <v>1562</v>
      </c>
      <c r="E263" s="424" t="s">
        <v>7</v>
      </c>
      <c r="F263" s="424" t="s">
        <v>1559</v>
      </c>
      <c r="G263" s="673"/>
    </row>
    <row r="264" spans="1:7" ht="13.5" hidden="1" customHeight="1">
      <c r="A264" s="1987" t="str">
        <f>+'LISTADO MATERIALES'!$C$371</f>
        <v>BLOQUE HUECO No. 4 10X20X30</v>
      </c>
      <c r="B264" s="1967"/>
      <c r="C264" s="674" t="str">
        <f>+'LISTADO MATERIALES'!$D$371</f>
        <v>UND</v>
      </c>
      <c r="D264" s="675">
        <f>+'LISTADO MATERIALES'!$E$371</f>
        <v>735</v>
      </c>
      <c r="E264" s="687">
        <v>13.5</v>
      </c>
      <c r="F264" s="442">
        <f t="shared" ref="F264:F266" si="17">+E264*D264</f>
        <v>9922.5</v>
      </c>
      <c r="G264" s="676"/>
    </row>
    <row r="265" spans="1:7" ht="13.5" hidden="1" customHeight="1">
      <c r="A265" s="1995" t="str">
        <f>+'ANALISIS BASICOS'!$A$228</f>
        <v>MORTERO 1:4</v>
      </c>
      <c r="B265" s="1611"/>
      <c r="C265" s="444" t="str">
        <f>+'ANALISIS BASICOS'!$E$204</f>
        <v>M3</v>
      </c>
      <c r="D265" s="464">
        <f>+'ANALISIS BASICOS'!$G$228</f>
        <v>384656</v>
      </c>
      <c r="E265" s="706">
        <v>1.7999999999999999E-2</v>
      </c>
      <c r="F265" s="440">
        <f t="shared" si="17"/>
        <v>6923.8079999999991</v>
      </c>
      <c r="G265" s="707"/>
    </row>
    <row r="266" spans="1:7" ht="13.5" hidden="1" customHeight="1">
      <c r="A266" s="1995" t="str">
        <f>+'LISTADO MATERIALES'!$C$723</f>
        <v>AGUA</v>
      </c>
      <c r="B266" s="1611"/>
      <c r="C266" s="444" t="str">
        <f>+'LISTADO MATERIALES'!$D$723</f>
        <v>LT</v>
      </c>
      <c r="D266" s="464">
        <f>+'LISTADO MATERIALES'!$E$723</f>
        <v>21</v>
      </c>
      <c r="E266" s="706">
        <v>10</v>
      </c>
      <c r="F266" s="440">
        <f t="shared" si="17"/>
        <v>210</v>
      </c>
      <c r="G266" s="707"/>
    </row>
    <row r="267" spans="1:7" ht="13.5" hidden="1" customHeight="1">
      <c r="A267" s="1996"/>
      <c r="B267" s="1819"/>
      <c r="C267" s="708"/>
      <c r="D267" s="434"/>
      <c r="E267" s="708"/>
      <c r="F267" s="434"/>
      <c r="G267" s="709"/>
    </row>
    <row r="268" spans="1:7" ht="13.5" hidden="1" customHeight="1">
      <c r="A268" s="2003" t="s">
        <v>1560</v>
      </c>
      <c r="B268" s="1601"/>
      <c r="C268" s="1601"/>
      <c r="D268" s="1601"/>
      <c r="E268" s="1601"/>
      <c r="F268" s="1801"/>
      <c r="G268" s="436">
        <f>SUM(F264:F267)</f>
        <v>17056.307999999997</v>
      </c>
    </row>
    <row r="269" spans="1:7" ht="13.5" hidden="1" customHeight="1">
      <c r="A269" s="423" t="s">
        <v>1563</v>
      </c>
      <c r="B269" s="416"/>
      <c r="C269" s="416"/>
      <c r="D269" s="416"/>
      <c r="E269" s="416"/>
      <c r="F269" s="416"/>
      <c r="G269" s="437"/>
    </row>
    <row r="270" spans="1:7" ht="13.5" hidden="1" customHeight="1">
      <c r="A270" s="1975" t="s">
        <v>1556</v>
      </c>
      <c r="B270" s="1801"/>
      <c r="C270" s="424" t="s">
        <v>6</v>
      </c>
      <c r="D270" s="424" t="s">
        <v>1562</v>
      </c>
      <c r="E270" s="424" t="s">
        <v>7</v>
      </c>
      <c r="F270" s="424" t="s">
        <v>1559</v>
      </c>
      <c r="G270" s="438"/>
    </row>
    <row r="271" spans="1:7" ht="13.5" hidden="1" customHeight="1">
      <c r="A271" s="1981"/>
      <c r="B271" s="1967"/>
      <c r="C271" s="448"/>
      <c r="D271" s="449"/>
      <c r="E271" s="450"/>
      <c r="F271" s="431"/>
      <c r="G271" s="443"/>
    </row>
    <row r="272" spans="1:7" ht="13.5" hidden="1" customHeight="1">
      <c r="A272" s="1982"/>
      <c r="B272" s="1819"/>
      <c r="C272" s="448"/>
      <c r="D272" s="451"/>
      <c r="E272" s="452"/>
      <c r="F272" s="451"/>
      <c r="G272" s="447"/>
    </row>
    <row r="273" spans="1:7" ht="13.5" hidden="1" customHeight="1">
      <c r="A273" s="2003" t="s">
        <v>1560</v>
      </c>
      <c r="B273" s="1601"/>
      <c r="C273" s="1601"/>
      <c r="D273" s="1601"/>
      <c r="E273" s="1601"/>
      <c r="F273" s="1801"/>
      <c r="G273" s="436"/>
    </row>
    <row r="274" spans="1:7" ht="13.5" hidden="1" customHeight="1">
      <c r="A274" s="423" t="s">
        <v>1564</v>
      </c>
      <c r="B274" s="416"/>
      <c r="C274" s="416"/>
      <c r="D274" s="416"/>
      <c r="E274" s="416"/>
      <c r="F274" s="416"/>
      <c r="G274" s="437"/>
    </row>
    <row r="275" spans="1:7" ht="13.5" hidden="1" customHeight="1">
      <c r="A275" s="1975" t="s">
        <v>1565</v>
      </c>
      <c r="B275" s="1801"/>
      <c r="C275" s="424" t="s">
        <v>1566</v>
      </c>
      <c r="D275" s="424" t="s">
        <v>6</v>
      </c>
      <c r="E275" s="424" t="s">
        <v>7</v>
      </c>
      <c r="F275" s="424" t="s">
        <v>1559</v>
      </c>
      <c r="G275" s="462"/>
    </row>
    <row r="276" spans="1:7" ht="13.5" hidden="1" customHeight="1">
      <c r="A276" s="2004" t="str">
        <f>+'MANO DE OBRA'!$A$64</f>
        <v>Oficial (Incl. Prestaciones)</v>
      </c>
      <c r="B276" s="1888"/>
      <c r="C276" s="679">
        <f>+'MANO DE OBRA'!$E$64</f>
        <v>15031.25</v>
      </c>
      <c r="D276" s="680">
        <v>1</v>
      </c>
      <c r="E276" s="680">
        <v>1.19</v>
      </c>
      <c r="F276" s="454">
        <f t="shared" ref="F276:F277" si="18">+(C276*D276)/E276</f>
        <v>12631.302521008403</v>
      </c>
      <c r="G276" s="443"/>
    </row>
    <row r="277" spans="1:7" ht="13.5" hidden="1" customHeight="1">
      <c r="A277" s="1968" t="str">
        <f>+'MANO DE OBRA'!$A$65</f>
        <v>Ayudante (Incl. Prestaciones)</v>
      </c>
      <c r="B277" s="1819"/>
      <c r="C277" s="681">
        <f>+'MANO DE OBRA'!$E$65</f>
        <v>10972.8125</v>
      </c>
      <c r="D277" s="562">
        <v>3</v>
      </c>
      <c r="E277" s="562">
        <f>+E276</f>
        <v>1.19</v>
      </c>
      <c r="F277" s="455">
        <f t="shared" si="18"/>
        <v>27662.552521008405</v>
      </c>
      <c r="G277" s="456"/>
    </row>
    <row r="278" spans="1:7" ht="13.5" hidden="1" customHeight="1">
      <c r="A278" s="2003" t="str">
        <f>+A273</f>
        <v>SUB-TOTAL</v>
      </c>
      <c r="B278" s="1601"/>
      <c r="C278" s="1601"/>
      <c r="D278" s="1601"/>
      <c r="E278" s="1601"/>
      <c r="F278" s="1801"/>
      <c r="G278" s="436">
        <f>SUM(F276:F277)</f>
        <v>40293.85504201681</v>
      </c>
    </row>
    <row r="279" spans="1:7" ht="11.25" hidden="1" customHeight="1">
      <c r="A279" s="416"/>
      <c r="B279" s="416"/>
      <c r="C279" s="416"/>
      <c r="D279" s="416"/>
      <c r="E279" s="416"/>
      <c r="F279" s="458"/>
      <c r="G279" s="437"/>
    </row>
    <row r="280" spans="1:7" ht="13.5" hidden="1" customHeight="1">
      <c r="A280" s="2003" t="s">
        <v>1567</v>
      </c>
      <c r="B280" s="1601"/>
      <c r="C280" s="1601"/>
      <c r="D280" s="1601"/>
      <c r="E280" s="1601"/>
      <c r="F280" s="1801"/>
      <c r="G280" s="682">
        <f>ROUND(G261+G268+G273+G278,0)</f>
        <v>57843</v>
      </c>
    </row>
    <row r="281" spans="1:7" ht="13.5" hidden="1" customHeight="1">
      <c r="A281" s="420"/>
      <c r="B281" s="420"/>
      <c r="C281" s="420"/>
      <c r="D281" s="420"/>
      <c r="E281" s="420"/>
      <c r="F281" s="420"/>
      <c r="G281" s="420"/>
    </row>
    <row r="282" spans="1:7" ht="13.5" hidden="1" customHeight="1">
      <c r="A282" s="420"/>
      <c r="B282" s="420"/>
      <c r="C282" s="420"/>
      <c r="D282" s="420"/>
      <c r="E282" s="420"/>
      <c r="F282" s="420"/>
      <c r="G282" s="420"/>
    </row>
    <row r="283" spans="1:7" ht="27" hidden="1" customHeight="1">
      <c r="A283" s="2005" t="s">
        <v>1604</v>
      </c>
      <c r="B283" s="1616"/>
      <c r="C283" s="1624"/>
      <c r="D283" s="567"/>
      <c r="E283" s="567"/>
      <c r="F283" s="567"/>
      <c r="G283" s="668"/>
    </row>
    <row r="284" spans="1:7" ht="24" hidden="1" customHeight="1">
      <c r="A284" s="1971"/>
      <c r="B284" s="1817"/>
      <c r="C284" s="1972"/>
      <c r="D284" s="669"/>
      <c r="E284" s="669"/>
      <c r="F284" s="669"/>
      <c r="G284" s="670"/>
    </row>
    <row r="285" spans="1:7" ht="13.5" hidden="1" customHeight="1">
      <c r="A285" s="416"/>
      <c r="B285" s="416"/>
      <c r="C285" s="416"/>
      <c r="D285" s="416"/>
      <c r="E285" s="416"/>
      <c r="F285" s="416"/>
      <c r="G285" s="416"/>
    </row>
    <row r="286" spans="1:7" ht="35.25" hidden="1" customHeight="1">
      <c r="A286" s="1973" t="str">
        <f>A10</f>
        <v>PRECIOS UNITARIOS OFICIALES 2014</v>
      </c>
      <c r="B286" s="1601"/>
      <c r="C286" s="1602"/>
      <c r="D286" s="1974" t="s">
        <v>1677</v>
      </c>
      <c r="E286" s="1601"/>
      <c r="F286" s="1601"/>
      <c r="G286" s="1602"/>
    </row>
    <row r="287" spans="1:7" ht="13.5" hidden="1" customHeight="1">
      <c r="A287" s="418"/>
      <c r="B287" s="418"/>
      <c r="C287" s="418"/>
      <c r="D287" s="418"/>
      <c r="E287" s="418"/>
      <c r="F287" s="418"/>
      <c r="G287" s="418"/>
    </row>
    <row r="288" spans="1:7" ht="12.75" hidden="1" customHeight="1">
      <c r="A288" s="419"/>
      <c r="B288" s="416"/>
      <c r="C288" s="420"/>
      <c r="D288" s="421" t="s">
        <v>1553</v>
      </c>
      <c r="E288" s="422" t="s">
        <v>228</v>
      </c>
      <c r="F288" s="572"/>
      <c r="G288" s="572"/>
    </row>
    <row r="289" spans="1:7" ht="13.5" hidden="1" customHeight="1">
      <c r="A289" s="423" t="s">
        <v>1555</v>
      </c>
      <c r="B289" s="416"/>
      <c r="C289" s="416"/>
      <c r="D289" s="416"/>
      <c r="E289" s="416"/>
      <c r="F289" s="416"/>
      <c r="G289" s="416"/>
    </row>
    <row r="290" spans="1:7" ht="13.5" hidden="1" customHeight="1">
      <c r="A290" s="1975" t="s">
        <v>1556</v>
      </c>
      <c r="B290" s="1601"/>
      <c r="C290" s="1801"/>
      <c r="D290" s="424" t="s">
        <v>208</v>
      </c>
      <c r="E290" s="424" t="s">
        <v>1558</v>
      </c>
      <c r="F290" s="424" t="s">
        <v>1559</v>
      </c>
      <c r="G290" s="425"/>
    </row>
    <row r="291" spans="1:7" ht="13.5" hidden="1" customHeight="1">
      <c r="A291" s="1981" t="str">
        <f>+'LISTADO EQUIPOS'!$C$22</f>
        <v>HERRAMIENTA MENOR.</v>
      </c>
      <c r="B291" s="1811"/>
      <c r="C291" s="1967"/>
      <c r="D291" s="739" t="s">
        <v>1569</v>
      </c>
      <c r="E291" s="427"/>
      <c r="F291" s="428">
        <v>300</v>
      </c>
      <c r="G291" s="429"/>
    </row>
    <row r="292" spans="1:7" ht="13.5" hidden="1" customHeight="1">
      <c r="A292" s="1988" t="str">
        <f>+'LISTADO EQUIPOS'!$C$47</f>
        <v>ANDAMIO TUBULAR. 1.5 x 1.5 SECCIÓN</v>
      </c>
      <c r="B292" s="1610"/>
      <c r="C292" s="1611"/>
      <c r="D292" s="431">
        <f>+'LISTADO EQUIPOS'!$E$47</f>
        <v>1750</v>
      </c>
      <c r="E292" s="430">
        <v>0.1</v>
      </c>
      <c r="F292" s="689">
        <f>+E292*D292</f>
        <v>175</v>
      </c>
      <c r="G292" s="432"/>
    </row>
    <row r="293" spans="1:7" ht="13.5" hidden="1" customHeight="1">
      <c r="A293" s="2003" t="s">
        <v>1560</v>
      </c>
      <c r="B293" s="1601"/>
      <c r="C293" s="1601"/>
      <c r="D293" s="1601"/>
      <c r="E293" s="1601"/>
      <c r="F293" s="1801"/>
      <c r="G293" s="436">
        <f>SUM(F291:F292)</f>
        <v>475</v>
      </c>
    </row>
    <row r="294" spans="1:7" ht="13.5" hidden="1" customHeight="1">
      <c r="A294" s="423" t="s">
        <v>1561</v>
      </c>
      <c r="B294" s="416"/>
      <c r="C294" s="416"/>
      <c r="D294" s="416"/>
      <c r="E294" s="416"/>
      <c r="F294" s="416"/>
      <c r="G294" s="437"/>
    </row>
    <row r="295" spans="1:7" ht="13.5" hidden="1" customHeight="1">
      <c r="A295" s="1975" t="s">
        <v>1556</v>
      </c>
      <c r="B295" s="1801"/>
      <c r="C295" s="424" t="s">
        <v>6</v>
      </c>
      <c r="D295" s="424" t="s">
        <v>1562</v>
      </c>
      <c r="E295" s="424" t="s">
        <v>7</v>
      </c>
      <c r="F295" s="424" t="s">
        <v>1559</v>
      </c>
      <c r="G295" s="673"/>
    </row>
    <row r="296" spans="1:7" ht="15" hidden="1" customHeight="1">
      <c r="A296" s="1987" t="str">
        <f>+'LISTADO MATERIALES'!$C$372</f>
        <v>BLOQUE HUECO No. 5 12X20X30</v>
      </c>
      <c r="B296" s="1967"/>
      <c r="C296" s="699" t="str">
        <f>+'LISTADO MATERIALES'!$D$372</f>
        <v>UND</v>
      </c>
      <c r="D296" s="449">
        <f>+'LISTADO MATERIALES'!$E$372</f>
        <v>893</v>
      </c>
      <c r="E296" s="699">
        <v>13.5</v>
      </c>
      <c r="F296" s="428">
        <f t="shared" ref="F296:F298" si="19">+E296*D296</f>
        <v>12055.5</v>
      </c>
      <c r="G296" s="443"/>
    </row>
    <row r="297" spans="1:7" ht="13.5" hidden="1" customHeight="1">
      <c r="A297" s="1988" t="str">
        <f>+'ANALISIS BASICOS'!$A$228</f>
        <v>MORTERO 1:4</v>
      </c>
      <c r="B297" s="1611"/>
      <c r="C297" s="677" t="str">
        <f>+'ANALISIS BASICOS'!$E$204</f>
        <v>M3</v>
      </c>
      <c r="D297" s="431">
        <f>+'ANALISIS BASICOS'!$G$228</f>
        <v>384656</v>
      </c>
      <c r="E297" s="677">
        <v>1.7999999999999999E-2</v>
      </c>
      <c r="F297" s="689">
        <f t="shared" si="19"/>
        <v>6923.8079999999991</v>
      </c>
      <c r="G297" s="445"/>
    </row>
    <row r="298" spans="1:7" ht="13.5" hidden="1" customHeight="1">
      <c r="A298" s="1988" t="str">
        <f>+'LISTADO MATERIALES'!$C$723</f>
        <v>AGUA</v>
      </c>
      <c r="B298" s="1611"/>
      <c r="C298" s="677" t="str">
        <f>+'LISTADO MATERIALES'!$D$723</f>
        <v>LT</v>
      </c>
      <c r="D298" s="431">
        <f>+'LISTADO MATERIALES'!$E$723</f>
        <v>21</v>
      </c>
      <c r="E298" s="677">
        <v>10</v>
      </c>
      <c r="F298" s="689">
        <f t="shared" si="19"/>
        <v>210</v>
      </c>
      <c r="G298" s="445"/>
    </row>
    <row r="299" spans="1:7" ht="13.5" hidden="1" customHeight="1">
      <c r="A299" s="1982"/>
      <c r="B299" s="1819"/>
      <c r="C299" s="678"/>
      <c r="D299" s="451"/>
      <c r="E299" s="678"/>
      <c r="F299" s="451"/>
      <c r="G299" s="456"/>
    </row>
    <row r="300" spans="1:7" ht="13.5" hidden="1" customHeight="1">
      <c r="A300" s="2003" t="s">
        <v>1560</v>
      </c>
      <c r="B300" s="1601"/>
      <c r="C300" s="1601"/>
      <c r="D300" s="1601"/>
      <c r="E300" s="1601"/>
      <c r="F300" s="1801"/>
      <c r="G300" s="436">
        <f>SUM(F296:F299)</f>
        <v>19189.307999999997</v>
      </c>
    </row>
    <row r="301" spans="1:7" ht="13.5" hidden="1" customHeight="1">
      <c r="A301" s="423" t="s">
        <v>1563</v>
      </c>
      <c r="B301" s="416"/>
      <c r="C301" s="416"/>
      <c r="D301" s="416"/>
      <c r="E301" s="416"/>
      <c r="F301" s="416"/>
      <c r="G301" s="437"/>
    </row>
    <row r="302" spans="1:7" ht="13.5" hidden="1" customHeight="1">
      <c r="A302" s="1975" t="s">
        <v>1556</v>
      </c>
      <c r="B302" s="1801"/>
      <c r="C302" s="424" t="s">
        <v>6</v>
      </c>
      <c r="D302" s="424" t="s">
        <v>1562</v>
      </c>
      <c r="E302" s="424" t="s">
        <v>7</v>
      </c>
      <c r="F302" s="424" t="s">
        <v>1559</v>
      </c>
      <c r="G302" s="438"/>
    </row>
    <row r="303" spans="1:7" ht="13.5" hidden="1" customHeight="1">
      <c r="A303" s="1981"/>
      <c r="B303" s="1967"/>
      <c r="C303" s="448"/>
      <c r="D303" s="449"/>
      <c r="E303" s="450"/>
      <c r="F303" s="431"/>
      <c r="G303" s="443"/>
    </row>
    <row r="304" spans="1:7" ht="13.5" hidden="1" customHeight="1">
      <c r="A304" s="1982"/>
      <c r="B304" s="1819"/>
      <c r="C304" s="448"/>
      <c r="D304" s="451"/>
      <c r="E304" s="452"/>
      <c r="F304" s="451"/>
      <c r="G304" s="447"/>
    </row>
    <row r="305" spans="1:7" ht="13.5" hidden="1" customHeight="1">
      <c r="A305" s="2003" t="s">
        <v>1560</v>
      </c>
      <c r="B305" s="1601"/>
      <c r="C305" s="1601"/>
      <c r="D305" s="1601"/>
      <c r="E305" s="1601"/>
      <c r="F305" s="1801"/>
      <c r="G305" s="436"/>
    </row>
    <row r="306" spans="1:7" ht="13.5" hidden="1" customHeight="1">
      <c r="A306" s="423" t="s">
        <v>1564</v>
      </c>
      <c r="B306" s="416"/>
      <c r="C306" s="416"/>
      <c r="D306" s="416"/>
      <c r="E306" s="416"/>
      <c r="F306" s="416"/>
      <c r="G306" s="437"/>
    </row>
    <row r="307" spans="1:7" ht="13.5" hidden="1" customHeight="1">
      <c r="A307" s="1975" t="s">
        <v>1565</v>
      </c>
      <c r="B307" s="1801"/>
      <c r="C307" s="424" t="s">
        <v>1566</v>
      </c>
      <c r="D307" s="424" t="s">
        <v>6</v>
      </c>
      <c r="E307" s="424" t="s">
        <v>7</v>
      </c>
      <c r="F307" s="424" t="s">
        <v>1559</v>
      </c>
      <c r="G307" s="462"/>
    </row>
    <row r="308" spans="1:7" ht="13.5" hidden="1" customHeight="1">
      <c r="A308" s="2004" t="str">
        <f>+'MANO DE OBRA'!$A$64</f>
        <v>Oficial (Incl. Prestaciones)</v>
      </c>
      <c r="B308" s="1888"/>
      <c r="C308" s="679">
        <f>+'MANO DE OBRA'!$E$64</f>
        <v>15031.25</v>
      </c>
      <c r="D308" s="680">
        <v>1</v>
      </c>
      <c r="E308" s="680">
        <v>1.1499999999999999</v>
      </c>
      <c r="F308" s="467">
        <f t="shared" ref="F308:F309" si="20">+(C308*D308)/E308</f>
        <v>13070.652173913044</v>
      </c>
      <c r="G308" s="443"/>
    </row>
    <row r="309" spans="1:7" ht="13.5" hidden="1" customHeight="1">
      <c r="A309" s="1968" t="str">
        <f>+'MANO DE OBRA'!$A$65</f>
        <v>Ayudante (Incl. Prestaciones)</v>
      </c>
      <c r="B309" s="1819"/>
      <c r="C309" s="681">
        <f>+'MANO DE OBRA'!$E$65</f>
        <v>10972.8125</v>
      </c>
      <c r="D309" s="562">
        <v>3</v>
      </c>
      <c r="E309" s="562">
        <f>+E308</f>
        <v>1.1499999999999999</v>
      </c>
      <c r="F309" s="740">
        <f t="shared" si="20"/>
        <v>28624.728260869568</v>
      </c>
      <c r="G309" s="456"/>
    </row>
    <row r="310" spans="1:7" ht="13.5" hidden="1" customHeight="1">
      <c r="A310" s="2003" t="str">
        <f>+A305</f>
        <v>SUB-TOTAL</v>
      </c>
      <c r="B310" s="1601"/>
      <c r="C310" s="1601"/>
      <c r="D310" s="1601"/>
      <c r="E310" s="1601"/>
      <c r="F310" s="1801"/>
      <c r="G310" s="436">
        <f>SUM(F308:F309)</f>
        <v>41695.380434782608</v>
      </c>
    </row>
    <row r="311" spans="1:7" ht="11.25" hidden="1" customHeight="1">
      <c r="A311" s="416"/>
      <c r="B311" s="416"/>
      <c r="C311" s="416"/>
      <c r="D311" s="416"/>
      <c r="E311" s="416"/>
      <c r="F311" s="458"/>
      <c r="G311" s="437"/>
    </row>
    <row r="312" spans="1:7" ht="13.5" hidden="1" customHeight="1">
      <c r="A312" s="2003" t="s">
        <v>1567</v>
      </c>
      <c r="B312" s="1601"/>
      <c r="C312" s="1601"/>
      <c r="D312" s="1601"/>
      <c r="E312" s="1601"/>
      <c r="F312" s="1801"/>
      <c r="G312" s="682">
        <f>ROUND(G293+G300+G305+G310,0)</f>
        <v>61360</v>
      </c>
    </row>
    <row r="313" spans="1:7" ht="13.5" hidden="1" customHeight="1">
      <c r="A313" s="420"/>
      <c r="B313" s="420"/>
      <c r="C313" s="420"/>
      <c r="D313" s="420"/>
      <c r="E313" s="420"/>
      <c r="F313" s="420"/>
      <c r="G313" s="420"/>
    </row>
    <row r="314" spans="1:7" ht="13.5" hidden="1" customHeight="1">
      <c r="A314" s="420"/>
      <c r="B314" s="420"/>
      <c r="C314" s="420"/>
      <c r="D314" s="420"/>
      <c r="E314" s="420"/>
      <c r="F314" s="420"/>
      <c r="G314" s="420"/>
    </row>
    <row r="315" spans="1:7" ht="27" hidden="1" customHeight="1">
      <c r="A315" s="2005" t="s">
        <v>1604</v>
      </c>
      <c r="B315" s="1616"/>
      <c r="C315" s="1624"/>
      <c r="D315" s="567"/>
      <c r="E315" s="567"/>
      <c r="F315" s="567"/>
      <c r="G315" s="668"/>
    </row>
    <row r="316" spans="1:7" ht="24" hidden="1" customHeight="1">
      <c r="A316" s="1971"/>
      <c r="B316" s="1817"/>
      <c r="C316" s="1972"/>
      <c r="D316" s="669"/>
      <c r="E316" s="669"/>
      <c r="F316" s="669"/>
      <c r="G316" s="670"/>
    </row>
    <row r="317" spans="1:7" ht="13.5" hidden="1" customHeight="1">
      <c r="A317" s="416"/>
      <c r="B317" s="416"/>
      <c r="C317" s="416"/>
      <c r="D317" s="416"/>
      <c r="E317" s="416"/>
      <c r="F317" s="416"/>
      <c r="G317" s="416"/>
    </row>
    <row r="318" spans="1:7" ht="35.25" hidden="1" customHeight="1">
      <c r="A318" s="1973" t="str">
        <f>A10</f>
        <v>PRECIOS UNITARIOS OFICIALES 2014</v>
      </c>
      <c r="B318" s="1601"/>
      <c r="C318" s="1602"/>
      <c r="D318" s="1974" t="s">
        <v>1678</v>
      </c>
      <c r="E318" s="1601"/>
      <c r="F318" s="1601"/>
      <c r="G318" s="1602"/>
    </row>
    <row r="319" spans="1:7" ht="13.5" hidden="1" customHeight="1">
      <c r="A319" s="418"/>
      <c r="B319" s="418"/>
      <c r="C319" s="418"/>
      <c r="D319" s="418"/>
      <c r="E319" s="418"/>
      <c r="F319" s="418"/>
      <c r="G319" s="418"/>
    </row>
    <row r="320" spans="1:7" ht="12.75" hidden="1" customHeight="1">
      <c r="A320" s="419"/>
      <c r="B320" s="416"/>
      <c r="C320" s="420"/>
      <c r="D320" s="421" t="s">
        <v>1553</v>
      </c>
      <c r="E320" s="422" t="s">
        <v>228</v>
      </c>
      <c r="F320" s="572"/>
      <c r="G320" s="572"/>
    </row>
    <row r="321" spans="1:7" ht="13.5" hidden="1" customHeight="1">
      <c r="A321" s="423" t="s">
        <v>1555</v>
      </c>
      <c r="B321" s="416"/>
      <c r="C321" s="416"/>
      <c r="D321" s="416"/>
      <c r="E321" s="416"/>
      <c r="F321" s="416"/>
      <c r="G321" s="416"/>
    </row>
    <row r="322" spans="1:7" ht="13.5" hidden="1" customHeight="1">
      <c r="A322" s="1975" t="s">
        <v>1556</v>
      </c>
      <c r="B322" s="1601"/>
      <c r="C322" s="1801"/>
      <c r="D322" s="424" t="s">
        <v>208</v>
      </c>
      <c r="E322" s="424" t="s">
        <v>1558</v>
      </c>
      <c r="F322" s="424" t="s">
        <v>1559</v>
      </c>
      <c r="G322" s="425"/>
    </row>
    <row r="323" spans="1:7" ht="13.5" hidden="1" customHeight="1">
      <c r="A323" s="1981" t="str">
        <f>+'LISTADO EQUIPOS'!$C$22</f>
        <v>HERRAMIENTA MENOR.</v>
      </c>
      <c r="B323" s="1811"/>
      <c r="C323" s="1967"/>
      <c r="D323" s="449">
        <f>+'LISTADO EQUIPOS'!$E$22/8</f>
        <v>2850</v>
      </c>
      <c r="E323" s="427">
        <f>+E340</f>
        <v>1</v>
      </c>
      <c r="F323" s="428">
        <f t="shared" ref="F323:F324" si="21">+E323*D323</f>
        <v>2850</v>
      </c>
      <c r="G323" s="429"/>
    </row>
    <row r="324" spans="1:7" ht="13.5" hidden="1" customHeight="1">
      <c r="A324" s="1988" t="str">
        <f>+'LISTADO EQUIPOS'!$C$47</f>
        <v>ANDAMIO TUBULAR. 1.5 x 1.5 SECCIÓN</v>
      </c>
      <c r="B324" s="1610"/>
      <c r="C324" s="1611"/>
      <c r="D324" s="431">
        <f>+'LISTADO EQUIPOS'!$E$47</f>
        <v>1750</v>
      </c>
      <c r="E324" s="430">
        <v>0.3</v>
      </c>
      <c r="F324" s="689">
        <f t="shared" si="21"/>
        <v>525</v>
      </c>
      <c r="G324" s="432"/>
    </row>
    <row r="325" spans="1:7" ht="13.5" hidden="1" customHeight="1">
      <c r="A325" s="2003" t="s">
        <v>1560</v>
      </c>
      <c r="B325" s="1601"/>
      <c r="C325" s="1601"/>
      <c r="D325" s="1601"/>
      <c r="E325" s="1601"/>
      <c r="F325" s="1801"/>
      <c r="G325" s="436">
        <f>SUM(F323:F324)</f>
        <v>3375</v>
      </c>
    </row>
    <row r="326" spans="1:7" ht="13.5" hidden="1" customHeight="1">
      <c r="A326" s="423" t="s">
        <v>1561</v>
      </c>
      <c r="B326" s="416"/>
      <c r="C326" s="416"/>
      <c r="D326" s="416"/>
      <c r="E326" s="416"/>
      <c r="F326" s="416"/>
      <c r="G326" s="437"/>
    </row>
    <row r="327" spans="1:7" ht="13.5" hidden="1" customHeight="1">
      <c r="A327" s="1975" t="s">
        <v>1556</v>
      </c>
      <c r="B327" s="1801"/>
      <c r="C327" s="424" t="s">
        <v>6</v>
      </c>
      <c r="D327" s="424" t="s">
        <v>1562</v>
      </c>
      <c r="E327" s="424" t="s">
        <v>7</v>
      </c>
      <c r="F327" s="424" t="s">
        <v>1559</v>
      </c>
      <c r="G327" s="673"/>
    </row>
    <row r="328" spans="1:7" ht="13.5" hidden="1" customHeight="1">
      <c r="A328" s="1981" t="str">
        <f>+'LISTADO MATERIALES'!$C$374</f>
        <v>BLOQUE TIPO CALADO EN GRES</v>
      </c>
      <c r="B328" s="1967"/>
      <c r="C328" s="699" t="str">
        <f>+'LISTADO MATERIALES'!$D$374</f>
        <v>UND</v>
      </c>
      <c r="D328" s="449">
        <f>+'LISTADO MATERIALES'!$E$374</f>
        <v>2888</v>
      </c>
      <c r="E328" s="699">
        <v>13</v>
      </c>
      <c r="F328" s="428">
        <f t="shared" ref="F328:F330" si="22">+E328*D328</f>
        <v>37544</v>
      </c>
      <c r="G328" s="443"/>
    </row>
    <row r="329" spans="1:7" ht="13.5" hidden="1" customHeight="1">
      <c r="A329" s="1988" t="str">
        <f>+'ANALISIS BASICOS'!$A$228</f>
        <v>MORTERO 1:4</v>
      </c>
      <c r="B329" s="1611"/>
      <c r="C329" s="677" t="str">
        <f>+'ANALISIS BASICOS'!$E$204</f>
        <v>M3</v>
      </c>
      <c r="D329" s="431">
        <f>+'ANALISIS BASICOS'!$G$228</f>
        <v>384656</v>
      </c>
      <c r="E329" s="677">
        <v>1.7999999999999999E-2</v>
      </c>
      <c r="F329" s="689">
        <f t="shared" si="22"/>
        <v>6923.8079999999991</v>
      </c>
      <c r="G329" s="445"/>
    </row>
    <row r="330" spans="1:7" ht="13.5" hidden="1" customHeight="1">
      <c r="A330" s="1988" t="str">
        <f>+'LISTADO MATERIALES'!$C$723</f>
        <v>AGUA</v>
      </c>
      <c r="B330" s="1611"/>
      <c r="C330" s="677" t="str">
        <f>+'LISTADO MATERIALES'!$D$723</f>
        <v>LT</v>
      </c>
      <c r="D330" s="431">
        <f>+'LISTADO MATERIALES'!$E$723</f>
        <v>21</v>
      </c>
      <c r="E330" s="677">
        <v>25</v>
      </c>
      <c r="F330" s="689">
        <f t="shared" si="22"/>
        <v>525</v>
      </c>
      <c r="G330" s="445"/>
    </row>
    <row r="331" spans="1:7" ht="13.5" hidden="1" customHeight="1">
      <c r="A331" s="1982"/>
      <c r="B331" s="1819"/>
      <c r="C331" s="678"/>
      <c r="D331" s="451"/>
      <c r="E331" s="678"/>
      <c r="F331" s="451"/>
      <c r="G331" s="456"/>
    </row>
    <row r="332" spans="1:7" ht="13.5" hidden="1" customHeight="1">
      <c r="A332" s="2003" t="s">
        <v>1560</v>
      </c>
      <c r="B332" s="1601"/>
      <c r="C332" s="1601"/>
      <c r="D332" s="1601"/>
      <c r="E332" s="1601"/>
      <c r="F332" s="1801"/>
      <c r="G332" s="436">
        <f>SUM(F328:F331)</f>
        <v>44992.807999999997</v>
      </c>
    </row>
    <row r="333" spans="1:7" ht="13.5" hidden="1" customHeight="1">
      <c r="A333" s="423" t="s">
        <v>1563</v>
      </c>
      <c r="B333" s="416"/>
      <c r="C333" s="416"/>
      <c r="D333" s="416"/>
      <c r="E333" s="416"/>
      <c r="F333" s="416"/>
      <c r="G333" s="437"/>
    </row>
    <row r="334" spans="1:7" ht="13.5" hidden="1" customHeight="1">
      <c r="A334" s="1975" t="s">
        <v>1556</v>
      </c>
      <c r="B334" s="1801"/>
      <c r="C334" s="424" t="s">
        <v>6</v>
      </c>
      <c r="D334" s="424" t="s">
        <v>1562</v>
      </c>
      <c r="E334" s="424" t="s">
        <v>7</v>
      </c>
      <c r="F334" s="424" t="s">
        <v>1559</v>
      </c>
      <c r="G334" s="438"/>
    </row>
    <row r="335" spans="1:7" ht="13.5" hidden="1" customHeight="1">
      <c r="A335" s="1981"/>
      <c r="B335" s="1967"/>
      <c r="C335" s="448"/>
      <c r="D335" s="449"/>
      <c r="E335" s="450"/>
      <c r="F335" s="431"/>
      <c r="G335" s="443"/>
    </row>
    <row r="336" spans="1:7" ht="13.5" hidden="1" customHeight="1">
      <c r="A336" s="1982"/>
      <c r="B336" s="1819"/>
      <c r="C336" s="448"/>
      <c r="D336" s="451"/>
      <c r="E336" s="452"/>
      <c r="F336" s="451"/>
      <c r="G336" s="447"/>
    </row>
    <row r="337" spans="1:7" ht="13.5" hidden="1" customHeight="1">
      <c r="A337" s="2003" t="s">
        <v>1560</v>
      </c>
      <c r="B337" s="1601"/>
      <c r="C337" s="1601"/>
      <c r="D337" s="1601"/>
      <c r="E337" s="1601"/>
      <c r="F337" s="1801"/>
      <c r="G337" s="436"/>
    </row>
    <row r="338" spans="1:7" ht="13.5" hidden="1" customHeight="1">
      <c r="A338" s="423" t="s">
        <v>1564</v>
      </c>
      <c r="B338" s="416"/>
      <c r="C338" s="416"/>
      <c r="D338" s="416"/>
      <c r="E338" s="416"/>
      <c r="F338" s="416"/>
      <c r="G338" s="437"/>
    </row>
    <row r="339" spans="1:7" ht="13.5" hidden="1" customHeight="1">
      <c r="A339" s="1975" t="s">
        <v>1565</v>
      </c>
      <c r="B339" s="1801"/>
      <c r="C339" s="424" t="s">
        <v>1566</v>
      </c>
      <c r="D339" s="424" t="s">
        <v>6</v>
      </c>
      <c r="E339" s="424" t="s">
        <v>7</v>
      </c>
      <c r="F339" s="424" t="s">
        <v>1559</v>
      </c>
      <c r="G339" s="462"/>
    </row>
    <row r="340" spans="1:7" ht="13.5" hidden="1" customHeight="1">
      <c r="A340" s="2004" t="str">
        <f>+'MANO DE OBRA'!$A$64</f>
        <v>Oficial (Incl. Prestaciones)</v>
      </c>
      <c r="B340" s="1888"/>
      <c r="C340" s="679">
        <f>+'MANO DE OBRA'!$E$64</f>
        <v>15031.25</v>
      </c>
      <c r="D340" s="680">
        <v>1</v>
      </c>
      <c r="E340" s="680">
        <v>1</v>
      </c>
      <c r="F340" s="694">
        <f t="shared" ref="F340:F341" si="23">+(C340*D340)*E340</f>
        <v>15031.25</v>
      </c>
      <c r="G340" s="443"/>
    </row>
    <row r="341" spans="1:7" ht="13.5" hidden="1" customHeight="1">
      <c r="A341" s="1968" t="str">
        <f>+'MANO DE OBRA'!$A$65</f>
        <v>Ayudante (Incl. Prestaciones)</v>
      </c>
      <c r="B341" s="1819"/>
      <c r="C341" s="681">
        <f>+'MANO DE OBRA'!$E$65</f>
        <v>10972.8125</v>
      </c>
      <c r="D341" s="562">
        <v>1</v>
      </c>
      <c r="E341" s="562">
        <f>+E340</f>
        <v>1</v>
      </c>
      <c r="F341" s="695">
        <f t="shared" si="23"/>
        <v>10972.8125</v>
      </c>
      <c r="G341" s="456"/>
    </row>
    <row r="342" spans="1:7" ht="13.5" hidden="1" customHeight="1">
      <c r="A342" s="2003" t="str">
        <f>+A337</f>
        <v>SUB-TOTAL</v>
      </c>
      <c r="B342" s="1601"/>
      <c r="C342" s="1601"/>
      <c r="D342" s="1601"/>
      <c r="E342" s="1601"/>
      <c r="F342" s="1801"/>
      <c r="G342" s="436">
        <f>SUM(F340:F341)</f>
        <v>26004.0625</v>
      </c>
    </row>
    <row r="343" spans="1:7" ht="11.25" hidden="1" customHeight="1">
      <c r="A343" s="416"/>
      <c r="B343" s="416"/>
      <c r="C343" s="416"/>
      <c r="D343" s="416"/>
      <c r="E343" s="416"/>
      <c r="F343" s="458"/>
      <c r="G343" s="437"/>
    </row>
    <row r="344" spans="1:7" ht="13.5" hidden="1" customHeight="1">
      <c r="A344" s="2003" t="s">
        <v>1567</v>
      </c>
      <c r="B344" s="1601"/>
      <c r="C344" s="1601"/>
      <c r="D344" s="1601"/>
      <c r="E344" s="1601"/>
      <c r="F344" s="1801"/>
      <c r="G344" s="682">
        <f>ROUND(G325+G332+G337+G342,0)</f>
        <v>74372</v>
      </c>
    </row>
    <row r="345" spans="1:7" ht="13.5" hidden="1" customHeight="1">
      <c r="A345" s="420"/>
      <c r="B345" s="420"/>
      <c r="C345" s="420"/>
      <c r="D345" s="420"/>
      <c r="E345" s="420"/>
      <c r="F345" s="420"/>
      <c r="G345" s="420"/>
    </row>
    <row r="346" spans="1:7" ht="13.5" hidden="1" customHeight="1">
      <c r="A346" s="420"/>
      <c r="B346" s="420"/>
      <c r="C346" s="420"/>
      <c r="D346" s="420"/>
      <c r="E346" s="420"/>
      <c r="F346" s="420"/>
      <c r="G346" s="420"/>
    </row>
    <row r="347" spans="1:7" ht="27.75" hidden="1" customHeight="1">
      <c r="A347" s="1994" t="e">
        <f>+'ANALISIS BASICOS'!$A$7</f>
        <v>#REF!</v>
      </c>
      <c r="B347" s="1616"/>
      <c r="C347" s="1624"/>
      <c r="D347" s="1990"/>
      <c r="E347" s="1616"/>
      <c r="F347" s="1616"/>
      <c r="G347" s="1624"/>
    </row>
    <row r="348" spans="1:7" ht="29.25" hidden="1" customHeight="1">
      <c r="A348" s="1971"/>
      <c r="B348" s="1817"/>
      <c r="C348" s="1972"/>
      <c r="D348" s="1971"/>
      <c r="E348" s="1817"/>
      <c r="F348" s="1817"/>
      <c r="G348" s="1972"/>
    </row>
    <row r="349" spans="1:7" ht="13.5" hidden="1" customHeight="1">
      <c r="A349" s="416"/>
      <c r="B349" s="416"/>
      <c r="C349" s="416"/>
      <c r="D349" s="416"/>
      <c r="E349" s="416"/>
      <c r="F349" s="416"/>
      <c r="G349" s="416"/>
    </row>
    <row r="350" spans="1:7" ht="51" hidden="1" customHeight="1">
      <c r="A350" s="1991" t="e">
        <f ca="1">+A222</f>
        <v>#NAME?</v>
      </c>
      <c r="B350" s="1601"/>
      <c r="C350" s="1602"/>
      <c r="D350" s="1974" t="s">
        <v>1679</v>
      </c>
      <c r="E350" s="1601"/>
      <c r="F350" s="1601"/>
      <c r="G350" s="1602"/>
    </row>
    <row r="351" spans="1:7" ht="13.5" hidden="1" customHeight="1">
      <c r="A351" s="418"/>
      <c r="B351" s="418"/>
      <c r="C351" s="418"/>
      <c r="D351" s="418"/>
      <c r="E351" s="418"/>
      <c r="F351" s="418"/>
      <c r="G351" s="418"/>
    </row>
    <row r="352" spans="1:7" ht="12.75" hidden="1" customHeight="1">
      <c r="A352" s="419"/>
      <c r="B352" s="416"/>
      <c r="C352" s="420"/>
      <c r="D352" s="421" t="s">
        <v>1553</v>
      </c>
      <c r="E352" s="422" t="s">
        <v>120</v>
      </c>
      <c r="F352" s="421" t="s">
        <v>1554</v>
      </c>
      <c r="G352" s="422" t="s">
        <v>390</v>
      </c>
    </row>
    <row r="353" spans="1:7" ht="13.5" hidden="1" customHeight="1">
      <c r="A353" s="423" t="s">
        <v>1555</v>
      </c>
      <c r="B353" s="416"/>
      <c r="C353" s="416"/>
      <c r="D353" s="416"/>
      <c r="E353" s="416"/>
      <c r="F353" s="416"/>
      <c r="G353" s="416"/>
    </row>
    <row r="354" spans="1:7" ht="13.5" hidden="1" customHeight="1">
      <c r="A354" s="1975" t="s">
        <v>1556</v>
      </c>
      <c r="B354" s="1601"/>
      <c r="C354" s="1801"/>
      <c r="D354" s="424" t="s">
        <v>208</v>
      </c>
      <c r="E354" s="424" t="s">
        <v>1558</v>
      </c>
      <c r="F354" s="424" t="s">
        <v>1559</v>
      </c>
      <c r="G354" s="425"/>
    </row>
    <row r="355" spans="1:7" ht="13.5" hidden="1" customHeight="1">
      <c r="A355" s="1981" t="str">
        <f>+'LISTADO EQUIPOS'!$C$22</f>
        <v>HERRAMIENTA MENOR.</v>
      </c>
      <c r="B355" s="1811"/>
      <c r="C355" s="1967"/>
      <c r="D355" s="449">
        <f>+'LISTADO EQUIPOS'!$E$22/8</f>
        <v>2850</v>
      </c>
      <c r="E355" s="427">
        <v>3</v>
      </c>
      <c r="F355" s="428">
        <f>+D355/E355</f>
        <v>950</v>
      </c>
      <c r="G355" s="429"/>
    </row>
    <row r="356" spans="1:7" ht="13.5" hidden="1" customHeight="1">
      <c r="A356" s="1988" t="str">
        <f>+'ANALISIS BASICOS'!$A$360</f>
        <v>FORMALETA EN MADERA</v>
      </c>
      <c r="B356" s="1610"/>
      <c r="C356" s="1611"/>
      <c r="D356" s="431">
        <f>+'ANALISIS BASICOS'!$G$360</f>
        <v>41998</v>
      </c>
      <c r="E356" s="430">
        <v>0.05</v>
      </c>
      <c r="F356" s="689">
        <f>+E356*D356</f>
        <v>2099.9</v>
      </c>
      <c r="G356" s="432"/>
    </row>
    <row r="357" spans="1:7" ht="13.5" hidden="1" customHeight="1">
      <c r="A357" s="2003" t="s">
        <v>1560</v>
      </c>
      <c r="B357" s="1601"/>
      <c r="C357" s="1601"/>
      <c r="D357" s="1601"/>
      <c r="E357" s="1601"/>
      <c r="F357" s="1801"/>
      <c r="G357" s="436">
        <f>SUM(F355:F356)</f>
        <v>3049.9</v>
      </c>
    </row>
    <row r="358" spans="1:7" ht="13.5" hidden="1" customHeight="1">
      <c r="A358" s="423" t="s">
        <v>1561</v>
      </c>
      <c r="B358" s="416"/>
      <c r="C358" s="416"/>
      <c r="D358" s="416"/>
      <c r="E358" s="416"/>
      <c r="F358" s="416"/>
      <c r="G358" s="437"/>
    </row>
    <row r="359" spans="1:7" ht="13.5" hidden="1" customHeight="1">
      <c r="A359" s="1975" t="s">
        <v>1556</v>
      </c>
      <c r="B359" s="1801"/>
      <c r="C359" s="424" t="s">
        <v>6</v>
      </c>
      <c r="D359" s="424" t="s">
        <v>1562</v>
      </c>
      <c r="E359" s="424" t="s">
        <v>7</v>
      </c>
      <c r="F359" s="424" t="s">
        <v>1559</v>
      </c>
      <c r="G359" s="673"/>
    </row>
    <row r="360" spans="1:7" ht="13.5" hidden="1" customHeight="1">
      <c r="A360" s="1981" t="str">
        <f>+'ANALISIS BASICOS'!$A$36</f>
        <v xml:space="preserve">CONCRETO NORMAL - 3000 PSI (210 KG/CM2) </v>
      </c>
      <c r="B360" s="1967"/>
      <c r="C360" s="674" t="str">
        <f>+'ANALISIS BASICOS'!$E$12</f>
        <v>M3</v>
      </c>
      <c r="D360" s="675">
        <f>+'ANALISIS BASICOS'!$G$36</f>
        <v>468441</v>
      </c>
      <c r="E360" s="674">
        <v>2.8000000000000001E-2</v>
      </c>
      <c r="F360" s="442">
        <f>+E360*D360</f>
        <v>13116.348</v>
      </c>
      <c r="G360" s="443"/>
    </row>
    <row r="361" spans="1:7" ht="13.5" hidden="1" customHeight="1">
      <c r="A361" s="1988"/>
      <c r="B361" s="1611"/>
      <c r="C361" s="677"/>
      <c r="D361" s="431"/>
      <c r="E361" s="677"/>
      <c r="F361" s="689"/>
      <c r="G361" s="445"/>
    </row>
    <row r="362" spans="1:7" ht="13.5" hidden="1" customHeight="1">
      <c r="A362" s="1988"/>
      <c r="B362" s="1611"/>
      <c r="C362" s="677"/>
      <c r="D362" s="431"/>
      <c r="E362" s="677"/>
      <c r="F362" s="689"/>
      <c r="G362" s="445"/>
    </row>
    <row r="363" spans="1:7" ht="13.5" hidden="1" customHeight="1">
      <c r="A363" s="1982"/>
      <c r="B363" s="1819"/>
      <c r="C363" s="678"/>
      <c r="D363" s="451"/>
      <c r="E363" s="678"/>
      <c r="F363" s="451"/>
      <c r="G363" s="456"/>
    </row>
    <row r="364" spans="1:7" ht="13.5" hidden="1" customHeight="1">
      <c r="A364" s="2003" t="s">
        <v>1560</v>
      </c>
      <c r="B364" s="1601"/>
      <c r="C364" s="1601"/>
      <c r="D364" s="1601"/>
      <c r="E364" s="1601"/>
      <c r="F364" s="1801"/>
      <c r="G364" s="436">
        <f>SUM(F360:F363)</f>
        <v>13116.348</v>
      </c>
    </row>
    <row r="365" spans="1:7" ht="13.5" hidden="1" customHeight="1">
      <c r="A365" s="423" t="s">
        <v>1563</v>
      </c>
      <c r="B365" s="416"/>
      <c r="C365" s="416"/>
      <c r="D365" s="416"/>
      <c r="E365" s="416"/>
      <c r="F365" s="416"/>
      <c r="G365" s="437"/>
    </row>
    <row r="366" spans="1:7" ht="13.5" hidden="1" customHeight="1">
      <c r="A366" s="1975" t="s">
        <v>1556</v>
      </c>
      <c r="B366" s="1801"/>
      <c r="C366" s="424" t="s">
        <v>6</v>
      </c>
      <c r="D366" s="424" t="s">
        <v>1562</v>
      </c>
      <c r="E366" s="424" t="s">
        <v>7</v>
      </c>
      <c r="F366" s="424" t="s">
        <v>1559</v>
      </c>
      <c r="G366" s="438"/>
    </row>
    <row r="367" spans="1:7" ht="13.5" hidden="1" customHeight="1">
      <c r="A367" s="1981"/>
      <c r="B367" s="1967"/>
      <c r="C367" s="448"/>
      <c r="D367" s="449"/>
      <c r="E367" s="450"/>
      <c r="F367" s="431"/>
      <c r="G367" s="443"/>
    </row>
    <row r="368" spans="1:7" ht="13.5" hidden="1" customHeight="1">
      <c r="A368" s="1982"/>
      <c r="B368" s="1819"/>
      <c r="C368" s="448"/>
      <c r="D368" s="451"/>
      <c r="E368" s="452"/>
      <c r="F368" s="451"/>
      <c r="G368" s="447"/>
    </row>
    <row r="369" spans="1:7" ht="13.5" hidden="1" customHeight="1">
      <c r="A369" s="2003" t="s">
        <v>1560</v>
      </c>
      <c r="B369" s="1601"/>
      <c r="C369" s="1601"/>
      <c r="D369" s="1601"/>
      <c r="E369" s="1601"/>
      <c r="F369" s="1801"/>
      <c r="G369" s="436"/>
    </row>
    <row r="370" spans="1:7" ht="13.5" hidden="1" customHeight="1">
      <c r="A370" s="423" t="s">
        <v>1564</v>
      </c>
      <c r="B370" s="416"/>
      <c r="C370" s="416"/>
      <c r="D370" s="416"/>
      <c r="E370" s="416"/>
      <c r="F370" s="416"/>
      <c r="G370" s="437"/>
    </row>
    <row r="371" spans="1:7" ht="13.5" hidden="1" customHeight="1">
      <c r="A371" s="1975" t="s">
        <v>1565</v>
      </c>
      <c r="B371" s="1801"/>
      <c r="C371" s="424" t="s">
        <v>1566</v>
      </c>
      <c r="D371" s="424" t="s">
        <v>6</v>
      </c>
      <c r="E371" s="424" t="s">
        <v>7</v>
      </c>
      <c r="F371" s="424" t="s">
        <v>1559</v>
      </c>
      <c r="G371" s="462"/>
    </row>
    <row r="372" spans="1:7" ht="13.5" hidden="1" customHeight="1">
      <c r="A372" s="2004" t="str">
        <f>+'MANO DE OBRA'!$A$64</f>
        <v>Oficial (Incl. Prestaciones)</v>
      </c>
      <c r="B372" s="1888"/>
      <c r="C372" s="679">
        <f>+'MANO DE OBRA'!$E$64</f>
        <v>15031.25</v>
      </c>
      <c r="D372" s="680">
        <v>1</v>
      </c>
      <c r="E372" s="680">
        <v>1</v>
      </c>
      <c r="F372" s="454">
        <f t="shared" ref="F372:F373" si="24">+(C372*D372)/E372</f>
        <v>15031.25</v>
      </c>
      <c r="G372" s="443"/>
    </row>
    <row r="373" spans="1:7" ht="13.5" hidden="1" customHeight="1">
      <c r="A373" s="1968" t="str">
        <f>+'MANO DE OBRA'!$A$65</f>
        <v>Ayudante (Incl. Prestaciones)</v>
      </c>
      <c r="B373" s="1819"/>
      <c r="C373" s="681">
        <f>+'MANO DE OBRA'!$E$65</f>
        <v>10972.8125</v>
      </c>
      <c r="D373" s="562">
        <v>1</v>
      </c>
      <c r="E373" s="562">
        <f>+E372</f>
        <v>1</v>
      </c>
      <c r="F373" s="455">
        <f t="shared" si="24"/>
        <v>10972.8125</v>
      </c>
      <c r="G373" s="456"/>
    </row>
    <row r="374" spans="1:7" ht="13.5" hidden="1" customHeight="1">
      <c r="A374" s="2003" t="str">
        <f>+A369</f>
        <v>SUB-TOTAL</v>
      </c>
      <c r="B374" s="1601"/>
      <c r="C374" s="1601"/>
      <c r="D374" s="1601"/>
      <c r="E374" s="1601"/>
      <c r="F374" s="1801"/>
      <c r="G374" s="436">
        <f>SUM(F372:F373)</f>
        <v>26004.0625</v>
      </c>
    </row>
    <row r="375" spans="1:7" ht="11.25" hidden="1" customHeight="1">
      <c r="A375" s="416"/>
      <c r="B375" s="416"/>
      <c r="C375" s="416"/>
      <c r="D375" s="416"/>
      <c r="E375" s="416"/>
      <c r="F375" s="458"/>
      <c r="G375" s="437"/>
    </row>
    <row r="376" spans="1:7" ht="13.5" hidden="1" customHeight="1">
      <c r="A376" s="2003" t="s">
        <v>1567</v>
      </c>
      <c r="B376" s="1601"/>
      <c r="C376" s="1601"/>
      <c r="D376" s="1601"/>
      <c r="E376" s="1601"/>
      <c r="F376" s="1801"/>
      <c r="G376" s="682">
        <f>ROUND(G357+G364+G369+G374,0)</f>
        <v>42170</v>
      </c>
    </row>
    <row r="377" spans="1:7" ht="13.5" hidden="1" customHeight="1">
      <c r="A377" s="420"/>
      <c r="B377" s="420"/>
      <c r="C377" s="420"/>
      <c r="D377" s="420"/>
      <c r="E377" s="420"/>
      <c r="F377" s="420"/>
      <c r="G377" s="420"/>
    </row>
    <row r="378" spans="1:7" ht="13.5" hidden="1" customHeight="1">
      <c r="A378" s="420"/>
      <c r="B378" s="420"/>
      <c r="C378" s="420"/>
      <c r="D378" s="420"/>
      <c r="E378" s="420"/>
      <c r="F378" s="420"/>
      <c r="G378" s="420"/>
    </row>
    <row r="379" spans="1:7" ht="27" hidden="1" customHeight="1">
      <c r="A379" s="2005" t="s">
        <v>1604</v>
      </c>
      <c r="B379" s="1616"/>
      <c r="C379" s="1624"/>
      <c r="D379" s="567"/>
      <c r="E379" s="567"/>
      <c r="F379" s="567"/>
      <c r="G379" s="668"/>
    </row>
    <row r="380" spans="1:7" ht="24" hidden="1" customHeight="1">
      <c r="A380" s="1971"/>
      <c r="B380" s="1817"/>
      <c r="C380" s="1972"/>
      <c r="D380" s="669"/>
      <c r="E380" s="669"/>
      <c r="F380" s="669"/>
      <c r="G380" s="670"/>
    </row>
    <row r="381" spans="1:7" ht="13.5" hidden="1" customHeight="1">
      <c r="A381" s="416"/>
      <c r="B381" s="416"/>
      <c r="C381" s="416"/>
      <c r="D381" s="416"/>
      <c r="E381" s="416"/>
      <c r="F381" s="416"/>
      <c r="G381" s="416"/>
    </row>
    <row r="382" spans="1:7" ht="35.25" hidden="1" customHeight="1">
      <c r="A382" s="1973" t="str">
        <f>A10</f>
        <v>PRECIOS UNITARIOS OFICIALES 2014</v>
      </c>
      <c r="B382" s="1601"/>
      <c r="C382" s="1602"/>
      <c r="D382" s="1974" t="s">
        <v>1680</v>
      </c>
      <c r="E382" s="1601"/>
      <c r="F382" s="1601"/>
      <c r="G382" s="1602"/>
    </row>
    <row r="383" spans="1:7" ht="13.5" hidden="1" customHeight="1">
      <c r="A383" s="418"/>
      <c r="B383" s="418"/>
      <c r="C383" s="418"/>
      <c r="D383" s="418"/>
      <c r="E383" s="418"/>
      <c r="F383" s="418"/>
      <c r="G383" s="418"/>
    </row>
    <row r="384" spans="1:7" ht="12.75" hidden="1" customHeight="1">
      <c r="A384" s="419"/>
      <c r="B384" s="416"/>
      <c r="C384" s="420"/>
      <c r="D384" s="421" t="s">
        <v>1553</v>
      </c>
      <c r="E384" s="422" t="s">
        <v>120</v>
      </c>
      <c r="F384" s="572"/>
      <c r="G384" s="572"/>
    </row>
    <row r="385" spans="1:7" ht="13.5" hidden="1" customHeight="1">
      <c r="A385" s="423" t="s">
        <v>1555</v>
      </c>
      <c r="B385" s="416"/>
      <c r="C385" s="416"/>
      <c r="D385" s="416"/>
      <c r="E385" s="416"/>
      <c r="F385" s="416"/>
      <c r="G385" s="416"/>
    </row>
    <row r="386" spans="1:7" ht="13.5" hidden="1" customHeight="1">
      <c r="A386" s="1975" t="s">
        <v>1556</v>
      </c>
      <c r="B386" s="1601"/>
      <c r="C386" s="1801"/>
      <c r="D386" s="424" t="s">
        <v>208</v>
      </c>
      <c r="E386" s="424" t="s">
        <v>1558</v>
      </c>
      <c r="F386" s="424" t="s">
        <v>1559</v>
      </c>
      <c r="G386" s="425"/>
    </row>
    <row r="387" spans="1:7" ht="13.5" hidden="1" customHeight="1">
      <c r="A387" s="1981" t="str">
        <f>+'LISTADO EQUIPOS'!$C$22</f>
        <v>HERRAMIENTA MENOR.</v>
      </c>
      <c r="B387" s="1811"/>
      <c r="C387" s="1967"/>
      <c r="D387" s="449">
        <f>+'LISTADO EQUIPOS'!$E$22/8</f>
        <v>2850</v>
      </c>
      <c r="E387" s="427">
        <v>3</v>
      </c>
      <c r="F387" s="428">
        <f>+D387/E387</f>
        <v>950</v>
      </c>
      <c r="G387" s="429"/>
    </row>
    <row r="388" spans="1:7" ht="13.5" hidden="1" customHeight="1">
      <c r="A388" s="1988"/>
      <c r="B388" s="1610"/>
      <c r="C388" s="1611"/>
      <c r="D388" s="431"/>
      <c r="E388" s="430"/>
      <c r="F388" s="431"/>
      <c r="G388" s="432"/>
    </row>
    <row r="389" spans="1:7" ht="13.5" hidden="1" customHeight="1">
      <c r="A389" s="2003" t="s">
        <v>1560</v>
      </c>
      <c r="B389" s="1601"/>
      <c r="C389" s="1601"/>
      <c r="D389" s="1601"/>
      <c r="E389" s="1601"/>
      <c r="F389" s="1801"/>
      <c r="G389" s="436">
        <f>SUM(F387:F388)</f>
        <v>950</v>
      </c>
    </row>
    <row r="390" spans="1:7" ht="13.5" hidden="1" customHeight="1">
      <c r="A390" s="423" t="s">
        <v>1561</v>
      </c>
      <c r="B390" s="416"/>
      <c r="C390" s="416"/>
      <c r="D390" s="416"/>
      <c r="E390" s="416"/>
      <c r="F390" s="416"/>
      <c r="G390" s="437"/>
    </row>
    <row r="391" spans="1:7" ht="13.5" hidden="1" customHeight="1">
      <c r="A391" s="1975" t="s">
        <v>1556</v>
      </c>
      <c r="B391" s="1801"/>
      <c r="C391" s="424" t="s">
        <v>6</v>
      </c>
      <c r="D391" s="424" t="s">
        <v>1562</v>
      </c>
      <c r="E391" s="424" t="s">
        <v>7</v>
      </c>
      <c r="F391" s="424" t="s">
        <v>1559</v>
      </c>
      <c r="G391" s="673"/>
    </row>
    <row r="392" spans="1:7" ht="13.5" hidden="1" customHeight="1">
      <c r="A392" s="1981" t="str">
        <f>+'LISTADO MATERIALES'!$C$385</f>
        <v>LADRILLO PRENSADO LA VEGA</v>
      </c>
      <c r="B392" s="1967"/>
      <c r="C392" s="699" t="str">
        <f>+'LISTADO MATERIALES'!$D$385</f>
        <v>UND</v>
      </c>
      <c r="D392" s="449">
        <f>+'LISTADO MATERIALES'!$E$385</f>
        <v>735</v>
      </c>
      <c r="E392" s="699">
        <v>15</v>
      </c>
      <c r="F392" s="428">
        <f t="shared" ref="F392:F393" si="25">+E392*D392</f>
        <v>11025</v>
      </c>
      <c r="G392" s="443"/>
    </row>
    <row r="393" spans="1:7" ht="13.5" hidden="1" customHeight="1">
      <c r="A393" s="1988" t="str">
        <f>+'ANALISIS BASICOS'!$A$228</f>
        <v>MORTERO 1:4</v>
      </c>
      <c r="B393" s="1611"/>
      <c r="C393" s="677" t="str">
        <f>+'ANALISIS BASICOS'!$E$204</f>
        <v>M3</v>
      </c>
      <c r="D393" s="431">
        <f>+'ANALISIS BASICOS'!$G$228</f>
        <v>384656</v>
      </c>
      <c r="E393" s="677">
        <v>8.0000000000000002E-3</v>
      </c>
      <c r="F393" s="689">
        <f t="shared" si="25"/>
        <v>3077.248</v>
      </c>
      <c r="G393" s="445"/>
    </row>
    <row r="394" spans="1:7" ht="13.5" hidden="1" customHeight="1">
      <c r="A394" s="1988"/>
      <c r="B394" s="1611"/>
      <c r="C394" s="677"/>
      <c r="D394" s="431"/>
      <c r="E394" s="677"/>
      <c r="F394" s="431"/>
      <c r="G394" s="445"/>
    </row>
    <row r="395" spans="1:7" ht="13.5" hidden="1" customHeight="1">
      <c r="A395" s="1982"/>
      <c r="B395" s="1819"/>
      <c r="C395" s="678"/>
      <c r="D395" s="451"/>
      <c r="E395" s="678"/>
      <c r="F395" s="451"/>
      <c r="G395" s="456"/>
    </row>
    <row r="396" spans="1:7" ht="13.5" hidden="1" customHeight="1">
      <c r="A396" s="2003" t="s">
        <v>1560</v>
      </c>
      <c r="B396" s="1601"/>
      <c r="C396" s="1601"/>
      <c r="D396" s="1601"/>
      <c r="E396" s="1601"/>
      <c r="F396" s="1801"/>
      <c r="G396" s="436">
        <f>SUM(F392:F395)</f>
        <v>14102.248</v>
      </c>
    </row>
    <row r="397" spans="1:7" ht="13.5" hidden="1" customHeight="1">
      <c r="A397" s="423" t="s">
        <v>1563</v>
      </c>
      <c r="B397" s="416"/>
      <c r="C397" s="416"/>
      <c r="D397" s="416"/>
      <c r="E397" s="416"/>
      <c r="F397" s="416"/>
      <c r="G397" s="437"/>
    </row>
    <row r="398" spans="1:7" ht="13.5" hidden="1" customHeight="1">
      <c r="A398" s="1975" t="s">
        <v>1556</v>
      </c>
      <c r="B398" s="1801"/>
      <c r="C398" s="424" t="s">
        <v>6</v>
      </c>
      <c r="D398" s="424" t="s">
        <v>1562</v>
      </c>
      <c r="E398" s="424" t="s">
        <v>7</v>
      </c>
      <c r="F398" s="424" t="s">
        <v>1559</v>
      </c>
      <c r="G398" s="438"/>
    </row>
    <row r="399" spans="1:7" ht="13.5" hidden="1" customHeight="1">
      <c r="A399" s="1981"/>
      <c r="B399" s="1967"/>
      <c r="C399" s="448"/>
      <c r="D399" s="449"/>
      <c r="E399" s="450"/>
      <c r="F399" s="431"/>
      <c r="G399" s="443"/>
    </row>
    <row r="400" spans="1:7" ht="13.5" hidden="1" customHeight="1">
      <c r="A400" s="1982"/>
      <c r="B400" s="1819"/>
      <c r="C400" s="448"/>
      <c r="D400" s="451"/>
      <c r="E400" s="452"/>
      <c r="F400" s="451"/>
      <c r="G400" s="447"/>
    </row>
    <row r="401" spans="1:7" ht="13.5" hidden="1" customHeight="1">
      <c r="A401" s="2003" t="s">
        <v>1560</v>
      </c>
      <c r="B401" s="1601"/>
      <c r="C401" s="1601"/>
      <c r="D401" s="1601"/>
      <c r="E401" s="1601"/>
      <c r="F401" s="1801"/>
      <c r="G401" s="436"/>
    </row>
    <row r="402" spans="1:7" ht="13.5" hidden="1" customHeight="1">
      <c r="A402" s="423" t="s">
        <v>1564</v>
      </c>
      <c r="B402" s="416"/>
      <c r="C402" s="416"/>
      <c r="D402" s="416"/>
      <c r="E402" s="416"/>
      <c r="F402" s="416"/>
      <c r="G402" s="437"/>
    </row>
    <row r="403" spans="1:7" ht="13.5" hidden="1" customHeight="1">
      <c r="A403" s="1975" t="s">
        <v>1565</v>
      </c>
      <c r="B403" s="1801"/>
      <c r="C403" s="424" t="s">
        <v>1566</v>
      </c>
      <c r="D403" s="424" t="s">
        <v>6</v>
      </c>
      <c r="E403" s="424" t="s">
        <v>7</v>
      </c>
      <c r="F403" s="424" t="s">
        <v>1559</v>
      </c>
      <c r="G403" s="462"/>
    </row>
    <row r="404" spans="1:7" ht="13.5" hidden="1" customHeight="1">
      <c r="A404" s="2004" t="str">
        <f>+'MANO DE OBRA'!$A$64</f>
        <v>Oficial (Incl. Prestaciones)</v>
      </c>
      <c r="B404" s="1888"/>
      <c r="C404" s="679">
        <f>+'MANO DE OBRA'!$E$64</f>
        <v>15031.25</v>
      </c>
      <c r="D404" s="680">
        <v>1</v>
      </c>
      <c r="E404" s="680">
        <v>1</v>
      </c>
      <c r="F404" s="454">
        <f t="shared" ref="F404:F405" si="26">+(C404*D404)/E404</f>
        <v>15031.25</v>
      </c>
      <c r="G404" s="443"/>
    </row>
    <row r="405" spans="1:7" ht="13.5" hidden="1" customHeight="1">
      <c r="A405" s="1968" t="str">
        <f>+'MANO DE OBRA'!$A$65</f>
        <v>Ayudante (Incl. Prestaciones)</v>
      </c>
      <c r="B405" s="1819"/>
      <c r="C405" s="681">
        <f>+'MANO DE OBRA'!$E$65</f>
        <v>10972.8125</v>
      </c>
      <c r="D405" s="562">
        <v>1</v>
      </c>
      <c r="E405" s="562">
        <f>+E404</f>
        <v>1</v>
      </c>
      <c r="F405" s="455">
        <f t="shared" si="26"/>
        <v>10972.8125</v>
      </c>
      <c r="G405" s="456"/>
    </row>
    <row r="406" spans="1:7" ht="13.5" hidden="1" customHeight="1">
      <c r="A406" s="2003" t="str">
        <f>+A401</f>
        <v>SUB-TOTAL</v>
      </c>
      <c r="B406" s="1601"/>
      <c r="C406" s="1601"/>
      <c r="D406" s="1601"/>
      <c r="E406" s="1601"/>
      <c r="F406" s="1801"/>
      <c r="G406" s="436">
        <f>SUM(F404:F405)</f>
        <v>26004.0625</v>
      </c>
    </row>
    <row r="407" spans="1:7" ht="11.25" hidden="1" customHeight="1">
      <c r="A407" s="416"/>
      <c r="B407" s="416"/>
      <c r="C407" s="416"/>
      <c r="D407" s="416"/>
      <c r="E407" s="416"/>
      <c r="F407" s="458"/>
      <c r="G407" s="437"/>
    </row>
    <row r="408" spans="1:7" ht="13.5" hidden="1" customHeight="1">
      <c r="A408" s="2003" t="s">
        <v>1567</v>
      </c>
      <c r="B408" s="1601"/>
      <c r="C408" s="1601"/>
      <c r="D408" s="1601"/>
      <c r="E408" s="1601"/>
      <c r="F408" s="1801"/>
      <c r="G408" s="682">
        <f>ROUND(G389+G396+G401+G406,0)</f>
        <v>41056</v>
      </c>
    </row>
    <row r="409" spans="1:7" ht="13.5" hidden="1" customHeight="1">
      <c r="A409" s="420"/>
      <c r="B409" s="420"/>
      <c r="C409" s="420"/>
      <c r="D409" s="420"/>
      <c r="E409" s="420"/>
      <c r="F409" s="420"/>
      <c r="G409" s="420"/>
    </row>
    <row r="410" spans="1:7" ht="13.5" hidden="1" customHeight="1">
      <c r="A410" s="420"/>
      <c r="B410" s="420"/>
      <c r="C410" s="420"/>
      <c r="D410" s="420"/>
      <c r="E410" s="420"/>
      <c r="F410" s="420"/>
      <c r="G410" s="420"/>
    </row>
    <row r="411" spans="1:7" ht="27" hidden="1" customHeight="1">
      <c r="A411" s="2005" t="s">
        <v>1604</v>
      </c>
      <c r="B411" s="1616"/>
      <c r="C411" s="1624"/>
      <c r="D411" s="567"/>
      <c r="E411" s="567"/>
      <c r="F411" s="567"/>
      <c r="G411" s="668"/>
    </row>
    <row r="412" spans="1:7" ht="24" hidden="1" customHeight="1">
      <c r="A412" s="1971"/>
      <c r="B412" s="1817"/>
      <c r="C412" s="1972"/>
      <c r="D412" s="669"/>
      <c r="E412" s="669"/>
      <c r="F412" s="669"/>
      <c r="G412" s="670"/>
    </row>
    <row r="413" spans="1:7" ht="13.5" hidden="1" customHeight="1">
      <c r="A413" s="416"/>
      <c r="B413" s="416"/>
      <c r="C413" s="416"/>
      <c r="D413" s="416"/>
      <c r="E413" s="416"/>
      <c r="F413" s="416"/>
      <c r="G413" s="416"/>
    </row>
    <row r="414" spans="1:7" ht="35.25" hidden="1" customHeight="1">
      <c r="A414" s="1973" t="str">
        <f>A10</f>
        <v>PRECIOS UNITARIOS OFICIALES 2014</v>
      </c>
      <c r="B414" s="1601"/>
      <c r="C414" s="1602"/>
      <c r="D414" s="1974" t="s">
        <v>1681</v>
      </c>
      <c r="E414" s="1601"/>
      <c r="F414" s="1601"/>
      <c r="G414" s="1602"/>
    </row>
    <row r="415" spans="1:7" ht="13.5" hidden="1" customHeight="1">
      <c r="A415" s="418"/>
      <c r="B415" s="418"/>
      <c r="C415" s="418"/>
      <c r="D415" s="418"/>
      <c r="E415" s="418"/>
      <c r="F415" s="418"/>
      <c r="G415" s="418"/>
    </row>
    <row r="416" spans="1:7" ht="12.75" hidden="1" customHeight="1">
      <c r="A416" s="419"/>
      <c r="B416" s="416"/>
      <c r="C416" s="420"/>
      <c r="D416" s="421" t="s">
        <v>1553</v>
      </c>
      <c r="E416" s="422" t="s">
        <v>120</v>
      </c>
      <c r="F416" s="572"/>
      <c r="G416" s="572"/>
    </row>
    <row r="417" spans="1:7" ht="13.5" hidden="1" customHeight="1">
      <c r="A417" s="423" t="s">
        <v>1555</v>
      </c>
      <c r="B417" s="416"/>
      <c r="C417" s="416"/>
      <c r="D417" s="416"/>
      <c r="E417" s="416"/>
      <c r="F417" s="416"/>
      <c r="G417" s="416"/>
    </row>
    <row r="418" spans="1:7" ht="13.5" hidden="1" customHeight="1">
      <c r="A418" s="1975" t="s">
        <v>1556</v>
      </c>
      <c r="B418" s="1601"/>
      <c r="C418" s="1801"/>
      <c r="D418" s="424" t="s">
        <v>208</v>
      </c>
      <c r="E418" s="424" t="s">
        <v>1558</v>
      </c>
      <c r="F418" s="424" t="s">
        <v>1559</v>
      </c>
      <c r="G418" s="425"/>
    </row>
    <row r="419" spans="1:7" ht="13.5" hidden="1" customHeight="1">
      <c r="A419" s="1981" t="str">
        <f>+'LISTADO EQUIPOS'!$C$22</f>
        <v>HERRAMIENTA MENOR.</v>
      </c>
      <c r="B419" s="1811"/>
      <c r="C419" s="1967"/>
      <c r="D419" s="449">
        <f>+'LISTADO EQUIPOS'!$E$22/8</f>
        <v>2850</v>
      </c>
      <c r="E419" s="427">
        <f>+E440</f>
        <v>3.39</v>
      </c>
      <c r="F419" s="428">
        <f t="shared" ref="F419:F420" si="27">+E419*D419</f>
        <v>9661.5</v>
      </c>
      <c r="G419" s="429"/>
    </row>
    <row r="420" spans="1:7" ht="13.5" hidden="1" customHeight="1">
      <c r="A420" s="1988" t="str">
        <f>+'ANALISIS BASICOS'!$A$360</f>
        <v>FORMALETA EN MADERA</v>
      </c>
      <c r="B420" s="1610"/>
      <c r="C420" s="1611"/>
      <c r="D420" s="431">
        <f>+'ANALISIS BASICOS'!$G$360</f>
        <v>41998</v>
      </c>
      <c r="E420" s="430">
        <v>0.04</v>
      </c>
      <c r="F420" s="689">
        <f t="shared" si="27"/>
        <v>1679.92</v>
      </c>
      <c r="G420" s="432"/>
    </row>
    <row r="421" spans="1:7" ht="13.5" hidden="1" customHeight="1">
      <c r="A421" s="1996"/>
      <c r="B421" s="1807"/>
      <c r="C421" s="1819"/>
      <c r="D421" s="434"/>
      <c r="E421" s="433"/>
      <c r="F421" s="434"/>
      <c r="G421" s="435"/>
    </row>
    <row r="422" spans="1:7" ht="13.5" hidden="1" customHeight="1">
      <c r="A422" s="2003" t="s">
        <v>1560</v>
      </c>
      <c r="B422" s="1601"/>
      <c r="C422" s="1601"/>
      <c r="D422" s="1601"/>
      <c r="E422" s="1601"/>
      <c r="F422" s="1801"/>
      <c r="G422" s="436">
        <f>SUM(F419:F421)</f>
        <v>11341.42</v>
      </c>
    </row>
    <row r="423" spans="1:7" ht="13.5" hidden="1" customHeight="1">
      <c r="A423" s="423" t="s">
        <v>1561</v>
      </c>
      <c r="B423" s="416"/>
      <c r="C423" s="416"/>
      <c r="D423" s="416"/>
      <c r="E423" s="416"/>
      <c r="F423" s="416"/>
      <c r="G423" s="416"/>
    </row>
    <row r="424" spans="1:7" ht="13.5" hidden="1" customHeight="1">
      <c r="A424" s="1975" t="s">
        <v>1556</v>
      </c>
      <c r="B424" s="1801"/>
      <c r="C424" s="424" t="s">
        <v>6</v>
      </c>
      <c r="D424" s="424" t="s">
        <v>1562</v>
      </c>
      <c r="E424" s="424" t="s">
        <v>7</v>
      </c>
      <c r="F424" s="424" t="s">
        <v>1559</v>
      </c>
      <c r="G424" s="425"/>
    </row>
    <row r="425" spans="1:7" ht="23.25" hidden="1" customHeight="1">
      <c r="A425" s="1981" t="str">
        <f>+'ANALISIS BASICOS'!$A$36</f>
        <v xml:space="preserve">CONCRETO NORMAL - 3000 PSI (210 KG/CM2) </v>
      </c>
      <c r="B425" s="1967"/>
      <c r="C425" s="674" t="str">
        <f>+'ANALISIS BASICOS'!$E$12</f>
        <v>M3</v>
      </c>
      <c r="D425" s="675">
        <f>+'ANALISIS BASICOS'!$G$36</f>
        <v>468441</v>
      </c>
      <c r="E425" s="674">
        <v>6.2E-2</v>
      </c>
      <c r="F425" s="442">
        <f t="shared" ref="F425:F431" si="28">+E425*D425</f>
        <v>29043.342000000001</v>
      </c>
      <c r="G425" s="429"/>
    </row>
    <row r="426" spans="1:7" ht="13.5" hidden="1" customHeight="1">
      <c r="A426" s="1988" t="str">
        <f>+'ANALISIS BASICOS'!$A$164</f>
        <v xml:space="preserve">MORTERO 1:3 </v>
      </c>
      <c r="B426" s="1611"/>
      <c r="C426" s="677" t="str">
        <f>+'ANALISIS BASICOS'!$E$140</f>
        <v>M3</v>
      </c>
      <c r="D426" s="431">
        <f>+'ANALISIS BASICOS'!$G$164</f>
        <v>434608</v>
      </c>
      <c r="E426" s="677">
        <v>5.0999999999999997E-2</v>
      </c>
      <c r="F426" s="689">
        <f t="shared" si="28"/>
        <v>22165.007999999998</v>
      </c>
      <c r="G426" s="432"/>
    </row>
    <row r="427" spans="1:7" ht="13.5" hidden="1" customHeight="1">
      <c r="A427" s="1988" t="str">
        <f>+'LISTADO MATERIALES'!C16</f>
        <v>ALAMBRE NEGRO No. 18</v>
      </c>
      <c r="B427" s="1611"/>
      <c r="C427" s="677" t="str">
        <f>+'LISTADO MATERIALES'!$D$16</f>
        <v>KG</v>
      </c>
      <c r="D427" s="431">
        <f>+'LISTADO MATERIALES'!$E$16</f>
        <v>3150</v>
      </c>
      <c r="E427" s="677">
        <v>0.08</v>
      </c>
      <c r="F427" s="689">
        <f t="shared" si="28"/>
        <v>252</v>
      </c>
      <c r="G427" s="432"/>
    </row>
    <row r="428" spans="1:7" ht="13.5" hidden="1" customHeight="1">
      <c r="A428" s="1988" t="str">
        <f>+'LISTADO MATERIALES'!$C$10</f>
        <v xml:space="preserve">ACERO Fy= 4200 Kg/cm2   </v>
      </c>
      <c r="B428" s="1611"/>
      <c r="C428" s="677" t="str">
        <f>+'LISTADO MATERIALES'!$D$10</f>
        <v>KG</v>
      </c>
      <c r="D428" s="431">
        <f>+'LISTADO MATERIALES'!$E$10</f>
        <v>2800</v>
      </c>
      <c r="E428" s="677">
        <v>12.13</v>
      </c>
      <c r="F428" s="689">
        <f t="shared" si="28"/>
        <v>33964</v>
      </c>
      <c r="G428" s="432"/>
    </row>
    <row r="429" spans="1:7" ht="13.5" hidden="1" customHeight="1">
      <c r="A429" s="1988" t="str">
        <f>+'LISTADO MATERIALES'!$C$140</f>
        <v>CEMENTO BLANCO</v>
      </c>
      <c r="B429" s="1611"/>
      <c r="C429" s="677" t="str">
        <f>+'LISTADO MATERIALES'!$D$140</f>
        <v>KG</v>
      </c>
      <c r="D429" s="431">
        <f>+'LISTADO MATERIALES'!$E$140</f>
        <v>1103</v>
      </c>
      <c r="E429" s="677">
        <v>1</v>
      </c>
      <c r="F429" s="689">
        <f t="shared" si="28"/>
        <v>1103</v>
      </c>
      <c r="G429" s="432"/>
    </row>
    <row r="430" spans="1:7" ht="13.5" hidden="1" customHeight="1">
      <c r="A430" s="1988" t="str">
        <f>+'LISTADO MATERIALES'!$C$349</f>
        <v>TABLETA 20X25, EURO CERÁMICA</v>
      </c>
      <c r="B430" s="1611"/>
      <c r="C430" s="677" t="str">
        <f>+'LISTADO MATERIALES'!$D$349</f>
        <v>M2</v>
      </c>
      <c r="D430" s="431">
        <f>+'LISTADO MATERIALES'!$E$349</f>
        <v>18690</v>
      </c>
      <c r="E430" s="677">
        <v>0.75</v>
      </c>
      <c r="F430" s="689">
        <f t="shared" si="28"/>
        <v>14017.5</v>
      </c>
      <c r="G430" s="432"/>
    </row>
    <row r="431" spans="1:7" ht="13.5" hidden="1" customHeight="1">
      <c r="A431" s="1982" t="str">
        <f>+'LISTADO MATERIALES'!$C$319</f>
        <v>DILATACIÓN DE PVC</v>
      </c>
      <c r="B431" s="1819"/>
      <c r="C431" s="678" t="str">
        <f>+'LISTADO MATERIALES'!$D$319</f>
        <v>ML</v>
      </c>
      <c r="D431" s="451">
        <f>+'LISTADO MATERIALES'!$E$319</f>
        <v>2625</v>
      </c>
      <c r="E431" s="678">
        <v>1.8</v>
      </c>
      <c r="F431" s="698">
        <f t="shared" si="28"/>
        <v>4725</v>
      </c>
      <c r="G431" s="672"/>
    </row>
    <row r="432" spans="1:7" ht="13.5" hidden="1" customHeight="1">
      <c r="A432" s="2003" t="s">
        <v>1560</v>
      </c>
      <c r="B432" s="1601"/>
      <c r="C432" s="1601"/>
      <c r="D432" s="1601"/>
      <c r="E432" s="1601"/>
      <c r="F432" s="1801"/>
      <c r="G432" s="436">
        <f>SUM(F425:F431)</f>
        <v>105269.85</v>
      </c>
    </row>
    <row r="433" spans="1:7" ht="13.5" hidden="1" customHeight="1">
      <c r="A433" s="423" t="s">
        <v>1563</v>
      </c>
      <c r="B433" s="416"/>
      <c r="C433" s="416"/>
      <c r="D433" s="416"/>
      <c r="E433" s="416"/>
      <c r="F433" s="416"/>
      <c r="G433" s="416"/>
    </row>
    <row r="434" spans="1:7" ht="13.5" hidden="1" customHeight="1">
      <c r="A434" s="1975" t="s">
        <v>1556</v>
      </c>
      <c r="B434" s="1801"/>
      <c r="C434" s="424" t="s">
        <v>6</v>
      </c>
      <c r="D434" s="424" t="s">
        <v>1562</v>
      </c>
      <c r="E434" s="424" t="s">
        <v>7</v>
      </c>
      <c r="F434" s="424" t="s">
        <v>1559</v>
      </c>
      <c r="G434" s="690"/>
    </row>
    <row r="435" spans="1:7" ht="13.5" hidden="1" customHeight="1">
      <c r="A435" s="1981"/>
      <c r="B435" s="1967"/>
      <c r="C435" s="448"/>
      <c r="D435" s="449"/>
      <c r="E435" s="450"/>
      <c r="F435" s="431"/>
      <c r="G435" s="429"/>
    </row>
    <row r="436" spans="1:7" ht="13.5" hidden="1" customHeight="1">
      <c r="A436" s="1982"/>
      <c r="B436" s="1819"/>
      <c r="C436" s="448"/>
      <c r="D436" s="451"/>
      <c r="E436" s="452"/>
      <c r="F436" s="451"/>
      <c r="G436" s="691"/>
    </row>
    <row r="437" spans="1:7" ht="13.5" hidden="1" customHeight="1">
      <c r="A437" s="2003" t="s">
        <v>1560</v>
      </c>
      <c r="B437" s="1601"/>
      <c r="C437" s="1601"/>
      <c r="D437" s="1601"/>
      <c r="E437" s="1601"/>
      <c r="F437" s="1801"/>
      <c r="G437" s="692"/>
    </row>
    <row r="438" spans="1:7" ht="13.5" hidden="1" customHeight="1">
      <c r="A438" s="423" t="s">
        <v>1564</v>
      </c>
      <c r="B438" s="416"/>
      <c r="C438" s="416"/>
      <c r="D438" s="416"/>
      <c r="E438" s="416"/>
      <c r="F438" s="416"/>
      <c r="G438" s="416"/>
    </row>
    <row r="439" spans="1:7" ht="13.5" hidden="1" customHeight="1">
      <c r="A439" s="1975" t="s">
        <v>1565</v>
      </c>
      <c r="B439" s="1801"/>
      <c r="C439" s="424" t="s">
        <v>1566</v>
      </c>
      <c r="D439" s="424" t="s">
        <v>6</v>
      </c>
      <c r="E439" s="424" t="s">
        <v>7</v>
      </c>
      <c r="F439" s="424" t="s">
        <v>1559</v>
      </c>
      <c r="G439" s="693"/>
    </row>
    <row r="440" spans="1:7" ht="13.5" hidden="1" customHeight="1">
      <c r="A440" s="2004" t="str">
        <f>+'MANO DE OBRA'!$A$64</f>
        <v>Oficial (Incl. Prestaciones)</v>
      </c>
      <c r="B440" s="1888"/>
      <c r="C440" s="679">
        <f>+'MANO DE OBRA'!$E$64</f>
        <v>15031.25</v>
      </c>
      <c r="D440" s="680">
        <v>1</v>
      </c>
      <c r="E440" s="680">
        <v>3.39</v>
      </c>
      <c r="F440" s="694">
        <f t="shared" ref="F440:F441" si="29">+(C440*D440)*E440</f>
        <v>50955.9375</v>
      </c>
      <c r="G440" s="429"/>
    </row>
    <row r="441" spans="1:7" ht="13.5" hidden="1" customHeight="1">
      <c r="A441" s="1968" t="str">
        <f>+'MANO DE OBRA'!$A$65</f>
        <v>Ayudante (Incl. Prestaciones)</v>
      </c>
      <c r="B441" s="1819"/>
      <c r="C441" s="681">
        <f>+'MANO DE OBRA'!$E$65</f>
        <v>10972.8125</v>
      </c>
      <c r="D441" s="562">
        <v>1</v>
      </c>
      <c r="E441" s="562">
        <f>+E440</f>
        <v>3.39</v>
      </c>
      <c r="F441" s="695">
        <f t="shared" si="29"/>
        <v>37197.834374999999</v>
      </c>
      <c r="G441" s="672"/>
    </row>
    <row r="442" spans="1:7" ht="13.5" hidden="1" customHeight="1">
      <c r="A442" s="2003" t="str">
        <f>+A437</f>
        <v>SUB-TOTAL</v>
      </c>
      <c r="B442" s="1601"/>
      <c r="C442" s="1601"/>
      <c r="D442" s="1601"/>
      <c r="E442" s="1601"/>
      <c r="F442" s="1801"/>
      <c r="G442" s="436">
        <f>SUM(F440:F441)</f>
        <v>88153.771875000006</v>
      </c>
    </row>
    <row r="443" spans="1:7" ht="11.25" hidden="1" customHeight="1">
      <c r="A443" s="416"/>
      <c r="B443" s="416"/>
      <c r="C443" s="416"/>
      <c r="D443" s="416"/>
      <c r="E443" s="416"/>
      <c r="F443" s="458"/>
      <c r="G443" s="416"/>
    </row>
    <row r="444" spans="1:7" ht="13.5" hidden="1" customHeight="1">
      <c r="A444" s="2003" t="s">
        <v>1567</v>
      </c>
      <c r="B444" s="1601"/>
      <c r="C444" s="1601"/>
      <c r="D444" s="1601"/>
      <c r="E444" s="1601"/>
      <c r="F444" s="1801"/>
      <c r="G444" s="741">
        <f>ROUND(G422+G432+G437+G442,0)</f>
        <v>204765</v>
      </c>
    </row>
    <row r="445" spans="1:7" ht="13.5" hidden="1" customHeight="1">
      <c r="A445" s="420"/>
      <c r="B445" s="420"/>
      <c r="C445" s="420"/>
      <c r="D445" s="420"/>
      <c r="E445" s="420"/>
      <c r="F445" s="420"/>
      <c r="G445" s="420"/>
    </row>
    <row r="446" spans="1:7" ht="13.5" customHeight="1">
      <c r="A446" s="420"/>
      <c r="B446" s="420"/>
      <c r="C446" s="420"/>
      <c r="D446" s="420"/>
      <c r="E446" s="420"/>
      <c r="F446" s="420"/>
      <c r="G446" s="420"/>
    </row>
    <row r="447" spans="1:7" ht="26.25" customHeight="1">
      <c r="A447" s="1994" t="e">
        <f>+'ANALISIS BASICOS'!$A$7</f>
        <v>#REF!</v>
      </c>
      <c r="B447" s="1616"/>
      <c r="C447" s="1624"/>
      <c r="D447" s="1990"/>
      <c r="E447" s="1616"/>
      <c r="F447" s="1616"/>
      <c r="G447" s="1624"/>
    </row>
    <row r="448" spans="1:7" ht="28.5" customHeight="1">
      <c r="A448" s="1971"/>
      <c r="B448" s="1817"/>
      <c r="C448" s="1972"/>
      <c r="D448" s="1971"/>
      <c r="E448" s="1817"/>
      <c r="F448" s="1817"/>
      <c r="G448" s="1972"/>
    </row>
    <row r="450" spans="1:7" ht="52.5" customHeight="1">
      <c r="A450" s="1991" t="e">
        <f ca="1">+A350</f>
        <v>#NAME?</v>
      </c>
      <c r="B450" s="1601"/>
      <c r="C450" s="1602"/>
      <c r="D450" s="1974" t="s">
        <v>2106</v>
      </c>
      <c r="E450" s="1601"/>
      <c r="F450" s="1601"/>
      <c r="G450" s="1602"/>
    </row>
    <row r="451" spans="1:7" ht="13.5" customHeight="1">
      <c r="A451" s="418"/>
      <c r="B451" s="418"/>
      <c r="C451" s="418"/>
      <c r="D451" s="418"/>
      <c r="E451" s="418"/>
      <c r="F451" s="418"/>
      <c r="G451" s="418"/>
    </row>
    <row r="452" spans="1:7" ht="12.75" customHeight="1">
      <c r="A452" s="419"/>
      <c r="B452" s="416"/>
      <c r="C452" s="420"/>
      <c r="D452" s="421" t="s">
        <v>1553</v>
      </c>
      <c r="E452" s="422" t="s">
        <v>127</v>
      </c>
      <c r="F452" s="421" t="s">
        <v>1554</v>
      </c>
      <c r="G452" s="422" t="s">
        <v>515</v>
      </c>
    </row>
    <row r="453" spans="1:7" ht="13.5" customHeight="1">
      <c r="A453" s="423" t="s">
        <v>1555</v>
      </c>
      <c r="B453" s="416"/>
      <c r="C453" s="416"/>
      <c r="D453" s="416"/>
      <c r="E453" s="416"/>
      <c r="F453" s="416"/>
      <c r="G453" s="416"/>
    </row>
    <row r="454" spans="1:7" ht="13.5" customHeight="1">
      <c r="A454" s="1975" t="s">
        <v>1556</v>
      </c>
      <c r="B454" s="1601"/>
      <c r="C454" s="1801"/>
      <c r="D454" s="424" t="s">
        <v>208</v>
      </c>
      <c r="E454" s="424" t="s">
        <v>1558</v>
      </c>
      <c r="F454" s="424" t="s">
        <v>1559</v>
      </c>
      <c r="G454" s="425"/>
    </row>
    <row r="455" spans="1:7" ht="13.5" customHeight="1">
      <c r="A455" s="1981" t="str">
        <f>+'LISTADO EQUIPOS'!$C$22</f>
        <v>HERRAMIENTA MENOR.</v>
      </c>
      <c r="B455" s="1811"/>
      <c r="C455" s="1967"/>
      <c r="D455" s="449">
        <f>+'LISTADO EQUIPOS'!$E$22/8</f>
        <v>2850</v>
      </c>
      <c r="E455" s="427">
        <f>+E473</f>
        <v>4.1443231923094936</v>
      </c>
      <c r="F455" s="428">
        <f t="shared" ref="F455:F456" si="30">+E455*D455</f>
        <v>11811.321098082057</v>
      </c>
      <c r="G455" s="429"/>
    </row>
    <row r="456" spans="1:7" ht="13.5" customHeight="1">
      <c r="A456" s="1988" t="str">
        <f>+'ANALISIS BASICOS'!$A$360</f>
        <v>FORMALETA EN MADERA</v>
      </c>
      <c r="B456" s="1610"/>
      <c r="C456" s="1611"/>
      <c r="D456" s="431">
        <f>+'ANALISIS BASICOS'!$G$360</f>
        <v>41998</v>
      </c>
      <c r="E456" s="430">
        <f>+E455*0.25</f>
        <v>1.0360807980773734</v>
      </c>
      <c r="F456" s="689">
        <f t="shared" si="30"/>
        <v>43513.321357653527</v>
      </c>
      <c r="G456" s="432"/>
    </row>
    <row r="457" spans="1:7" ht="13.5" customHeight="1">
      <c r="A457" s="1996"/>
      <c r="B457" s="1807"/>
      <c r="C457" s="1819"/>
      <c r="D457" s="434"/>
      <c r="E457" s="433"/>
      <c r="F457" s="434"/>
      <c r="G457" s="435"/>
    </row>
    <row r="458" spans="1:7" ht="13.5" customHeight="1">
      <c r="A458" s="2003" t="s">
        <v>1560</v>
      </c>
      <c r="B458" s="1601"/>
      <c r="C458" s="1601"/>
      <c r="D458" s="1601"/>
      <c r="E458" s="1601"/>
      <c r="F458" s="1801"/>
      <c r="G458" s="436">
        <f>SUM(F455:F457)</f>
        <v>55324.642455735586</v>
      </c>
    </row>
    <row r="459" spans="1:7" ht="13.5" customHeight="1">
      <c r="A459" s="423" t="s">
        <v>1561</v>
      </c>
      <c r="B459" s="416"/>
      <c r="C459" s="416"/>
      <c r="D459" s="416"/>
      <c r="E459" s="416"/>
      <c r="F459" s="416"/>
      <c r="G459" s="437"/>
    </row>
    <row r="460" spans="1:7" ht="13.5" customHeight="1">
      <c r="A460" s="1975" t="s">
        <v>1556</v>
      </c>
      <c r="B460" s="1801"/>
      <c r="C460" s="424" t="s">
        <v>6</v>
      </c>
      <c r="D460" s="424" t="s">
        <v>1562</v>
      </c>
      <c r="E460" s="424" t="s">
        <v>7</v>
      </c>
      <c r="F460" s="424" t="s">
        <v>1559</v>
      </c>
      <c r="G460" s="673"/>
    </row>
    <row r="461" spans="1:7" ht="12.75" customHeight="1">
      <c r="A461" s="1987" t="s">
        <v>2107</v>
      </c>
      <c r="B461" s="1967"/>
      <c r="C461" s="674" t="s">
        <v>127</v>
      </c>
      <c r="D461" s="675">
        <v>245000</v>
      </c>
      <c r="E461" s="674">
        <v>1</v>
      </c>
      <c r="F461" s="442">
        <f t="shared" ref="F461:F463" si="31">+E461*D461</f>
        <v>245000</v>
      </c>
      <c r="G461" s="443"/>
    </row>
    <row r="462" spans="1:7" ht="13.5" customHeight="1">
      <c r="A462" s="1995" t="s">
        <v>2108</v>
      </c>
      <c r="B462" s="1611"/>
      <c r="C462" s="677" t="s">
        <v>127</v>
      </c>
      <c r="D462" s="431">
        <v>110000</v>
      </c>
      <c r="E462" s="677">
        <v>1</v>
      </c>
      <c r="F462" s="689">
        <f t="shared" si="31"/>
        <v>110000</v>
      </c>
      <c r="G462" s="445"/>
    </row>
    <row r="463" spans="1:7" ht="13.5" customHeight="1">
      <c r="A463" s="1995" t="s">
        <v>2104</v>
      </c>
      <c r="B463" s="1611"/>
      <c r="C463" s="677" t="s">
        <v>127</v>
      </c>
      <c r="D463" s="431">
        <v>9000</v>
      </c>
      <c r="E463" s="677">
        <v>1</v>
      </c>
      <c r="F463" s="689">
        <f t="shared" si="31"/>
        <v>9000</v>
      </c>
      <c r="G463" s="445"/>
    </row>
    <row r="464" spans="1:7" ht="13.5" customHeight="1">
      <c r="A464" s="1980"/>
      <c r="B464" s="1819"/>
      <c r="C464" s="678"/>
      <c r="D464" s="451"/>
      <c r="E464" s="678"/>
      <c r="F464" s="698"/>
      <c r="G464" s="456"/>
    </row>
    <row r="465" spans="1:7" ht="13.5" customHeight="1">
      <c r="A465" s="2003" t="s">
        <v>1560</v>
      </c>
      <c r="B465" s="1601"/>
      <c r="C465" s="1601"/>
      <c r="D465" s="1601"/>
      <c r="E465" s="1601"/>
      <c r="F465" s="1801"/>
      <c r="G465" s="436">
        <f>SUM(F461:F464)</f>
        <v>364000</v>
      </c>
    </row>
    <row r="466" spans="1:7" ht="13.5" customHeight="1">
      <c r="A466" s="423" t="s">
        <v>1563</v>
      </c>
      <c r="B466" s="416"/>
      <c r="C466" s="416"/>
      <c r="D466" s="416"/>
      <c r="E466" s="416"/>
      <c r="F466" s="416"/>
      <c r="G466" s="437"/>
    </row>
    <row r="467" spans="1:7" ht="13.5" customHeight="1">
      <c r="A467" s="1975" t="s">
        <v>1556</v>
      </c>
      <c r="B467" s="1801"/>
      <c r="C467" s="424" t="s">
        <v>6</v>
      </c>
      <c r="D467" s="424" t="s">
        <v>1562</v>
      </c>
      <c r="E467" s="424" t="s">
        <v>7</v>
      </c>
      <c r="F467" s="424" t="s">
        <v>1559</v>
      </c>
      <c r="G467" s="438"/>
    </row>
    <row r="468" spans="1:7" ht="13.5" customHeight="1">
      <c r="A468" s="1981"/>
      <c r="B468" s="1967"/>
      <c r="C468" s="448"/>
      <c r="D468" s="449"/>
      <c r="E468" s="450"/>
      <c r="F468" s="431"/>
      <c r="G468" s="443"/>
    </row>
    <row r="469" spans="1:7" ht="13.5" customHeight="1">
      <c r="A469" s="1982"/>
      <c r="B469" s="1819"/>
      <c r="C469" s="448"/>
      <c r="D469" s="451"/>
      <c r="E469" s="452"/>
      <c r="F469" s="451"/>
      <c r="G469" s="447"/>
    </row>
    <row r="470" spans="1:7" ht="13.5" customHeight="1">
      <c r="A470" s="2003" t="s">
        <v>1560</v>
      </c>
      <c r="B470" s="1601"/>
      <c r="C470" s="1601"/>
      <c r="D470" s="1601"/>
      <c r="E470" s="1601"/>
      <c r="F470" s="1801"/>
      <c r="G470" s="436"/>
    </row>
    <row r="471" spans="1:7" ht="13.5" customHeight="1">
      <c r="A471" s="423" t="s">
        <v>1564</v>
      </c>
      <c r="B471" s="416"/>
      <c r="C471" s="416"/>
      <c r="D471" s="416"/>
      <c r="E471" s="416"/>
      <c r="F471" s="416"/>
      <c r="G471" s="437"/>
    </row>
    <row r="472" spans="1:7" ht="13.5" customHeight="1">
      <c r="A472" s="1975" t="s">
        <v>1565</v>
      </c>
      <c r="B472" s="1801"/>
      <c r="C472" s="424" t="s">
        <v>1566</v>
      </c>
      <c r="D472" s="424" t="s">
        <v>6</v>
      </c>
      <c r="E472" s="424" t="s">
        <v>7</v>
      </c>
      <c r="F472" s="424" t="s">
        <v>1559</v>
      </c>
      <c r="G472" s="462"/>
    </row>
    <row r="473" spans="1:7" ht="13.5" customHeight="1">
      <c r="A473" s="2004" t="str">
        <f>+'MANO DE OBRA'!$A$64</f>
        <v>Oficial (Incl. Prestaciones)</v>
      </c>
      <c r="B473" s="1888"/>
      <c r="C473" s="679">
        <f>+'MANO DE OBRA'!$E$64</f>
        <v>15031.25</v>
      </c>
      <c r="D473" s="680">
        <v>1</v>
      </c>
      <c r="E473" s="680">
        <v>4.1443231923094936</v>
      </c>
      <c r="F473" s="694">
        <f t="shared" ref="F473:F474" si="32">+(C473*D473)*E473</f>
        <v>62294.357984402079</v>
      </c>
      <c r="G473" s="443"/>
    </row>
    <row r="474" spans="1:7" ht="13.5" customHeight="1">
      <c r="A474" s="1968" t="str">
        <f>+'MANO DE OBRA'!$A$65</f>
        <v>Ayudante (Incl. Prestaciones)</v>
      </c>
      <c r="B474" s="1819"/>
      <c r="C474" s="681">
        <f>+'MANO DE OBRA'!$E$65</f>
        <v>10972.8125</v>
      </c>
      <c r="D474" s="562">
        <v>1</v>
      </c>
      <c r="E474" s="562">
        <f>+E473</f>
        <v>4.1443231923094936</v>
      </c>
      <c r="F474" s="695">
        <f t="shared" si="32"/>
        <v>45474.881328613519</v>
      </c>
      <c r="G474" s="456"/>
    </row>
    <row r="475" spans="1:7" ht="13.5" customHeight="1">
      <c r="A475" s="2003" t="str">
        <f>+A470</f>
        <v>SUB-TOTAL</v>
      </c>
      <c r="B475" s="1601"/>
      <c r="C475" s="1601"/>
      <c r="D475" s="1601"/>
      <c r="E475" s="1601"/>
      <c r="F475" s="1801"/>
      <c r="G475" s="436">
        <f>SUM(F473:F474)</f>
        <v>107769.2393130156</v>
      </c>
    </row>
    <row r="476" spans="1:7" ht="11.25" customHeight="1">
      <c r="A476" s="416"/>
      <c r="B476" s="416"/>
      <c r="C476" s="416"/>
      <c r="D476" s="416"/>
      <c r="E476" s="416"/>
      <c r="F476" s="458"/>
      <c r="G476" s="437"/>
    </row>
    <row r="477" spans="1:7" ht="13.5" customHeight="1">
      <c r="A477" s="2003" t="s">
        <v>1567</v>
      </c>
      <c r="B477" s="1601"/>
      <c r="C477" s="1601"/>
      <c r="D477" s="1601"/>
      <c r="E477" s="1601"/>
      <c r="F477" s="1801"/>
      <c r="G477" s="682">
        <f>ROUND(G458+G465+G470+G475,0)</f>
        <v>527094</v>
      </c>
    </row>
    <row r="478" spans="1:7" ht="13.5" customHeight="1">
      <c r="A478" s="420"/>
      <c r="B478" s="420"/>
      <c r="C478" s="420"/>
      <c r="D478" s="420"/>
      <c r="E478" s="420"/>
      <c r="F478" s="420"/>
      <c r="G478" s="420"/>
    </row>
    <row r="479" spans="1:7" ht="13.5" customHeight="1">
      <c r="A479" s="420"/>
      <c r="B479" s="420"/>
      <c r="C479" s="420"/>
      <c r="D479" s="420"/>
      <c r="E479" s="420"/>
      <c r="F479" s="420"/>
      <c r="G479" s="420"/>
    </row>
    <row r="480" spans="1:7" ht="25.5" customHeight="1">
      <c r="A480" s="1994" t="e">
        <f>+'ANALISIS BASICOS'!$A$7</f>
        <v>#REF!</v>
      </c>
      <c r="B480" s="1616"/>
      <c r="C480" s="1624"/>
      <c r="D480" s="1990"/>
      <c r="E480" s="1616"/>
      <c r="F480" s="1616"/>
      <c r="G480" s="1624"/>
    </row>
    <row r="481" spans="1:7" ht="25.5" customHeight="1">
      <c r="A481" s="1971"/>
      <c r="B481" s="1817"/>
      <c r="C481" s="1972"/>
      <c r="D481" s="1971"/>
      <c r="E481" s="1817"/>
      <c r="F481" s="1817"/>
      <c r="G481" s="1972"/>
    </row>
    <row r="482" spans="1:7" ht="13.5" customHeight="1">
      <c r="A482" s="416"/>
      <c r="B482" s="416"/>
      <c r="C482" s="416"/>
      <c r="D482" s="416"/>
      <c r="E482" s="416"/>
      <c r="F482" s="416"/>
      <c r="G482" s="416"/>
    </row>
    <row r="483" spans="1:7" ht="51.75" customHeight="1">
      <c r="A483" s="1991" t="e">
        <f ca="1">+A450</f>
        <v>#NAME?</v>
      </c>
      <c r="B483" s="1601"/>
      <c r="C483" s="1602"/>
      <c r="D483" s="1974" t="s">
        <v>2109</v>
      </c>
      <c r="E483" s="1601"/>
      <c r="F483" s="1601"/>
      <c r="G483" s="1602"/>
    </row>
    <row r="484" spans="1:7" ht="13.5" customHeight="1">
      <c r="A484" s="418"/>
      <c r="B484" s="418"/>
      <c r="C484" s="418"/>
      <c r="D484" s="418"/>
      <c r="E484" s="418"/>
      <c r="F484" s="418"/>
      <c r="G484" s="418"/>
    </row>
    <row r="485" spans="1:7" ht="12.75" customHeight="1">
      <c r="A485" s="419"/>
      <c r="B485" s="416"/>
      <c r="C485" s="420"/>
      <c r="D485" s="421" t="s">
        <v>1553</v>
      </c>
      <c r="E485" s="422" t="s">
        <v>127</v>
      </c>
      <c r="F485" s="421" t="s">
        <v>1554</v>
      </c>
      <c r="G485" s="422" t="s">
        <v>530</v>
      </c>
    </row>
    <row r="486" spans="1:7" ht="13.5" customHeight="1">
      <c r="A486" s="423" t="s">
        <v>1555</v>
      </c>
      <c r="B486" s="416"/>
      <c r="C486" s="416"/>
      <c r="D486" s="416"/>
      <c r="E486" s="416"/>
      <c r="F486" s="416"/>
      <c r="G486" s="416"/>
    </row>
    <row r="487" spans="1:7" ht="13.5" customHeight="1">
      <c r="A487" s="1975" t="s">
        <v>1556</v>
      </c>
      <c r="B487" s="1601"/>
      <c r="C487" s="1801"/>
      <c r="D487" s="424" t="s">
        <v>208</v>
      </c>
      <c r="E487" s="424" t="s">
        <v>1558</v>
      </c>
      <c r="F487" s="424" t="s">
        <v>1559</v>
      </c>
      <c r="G487" s="425"/>
    </row>
    <row r="488" spans="1:7" ht="13.5" customHeight="1">
      <c r="A488" s="1981" t="str">
        <f>+'LISTADO EQUIPOS'!$C$22</f>
        <v>HERRAMIENTA MENOR.</v>
      </c>
      <c r="B488" s="1811"/>
      <c r="C488" s="1967"/>
      <c r="D488" s="449">
        <f>+'LISTADO EQUIPOS'!$E$22/8</f>
        <v>2850</v>
      </c>
      <c r="E488" s="427">
        <v>3</v>
      </c>
      <c r="F488" s="428">
        <f>+D488/E488</f>
        <v>950</v>
      </c>
      <c r="G488" s="429"/>
    </row>
    <row r="489" spans="1:7" ht="13.5" customHeight="1">
      <c r="A489" s="1988" t="str">
        <f>+'LISTADO EQUIPOS'!$C$63</f>
        <v>FORMALETA PARA BASE DE ESTRUCTURAS.</v>
      </c>
      <c r="B489" s="1610"/>
      <c r="C489" s="1611"/>
      <c r="D489" s="701">
        <f>+'LISTADO EQUIPOS'!$E$63</f>
        <v>45000</v>
      </c>
      <c r="E489" s="702">
        <v>0.1</v>
      </c>
      <c r="F489" s="703">
        <f>+E489*D489</f>
        <v>4500</v>
      </c>
      <c r="G489" s="704"/>
    </row>
    <row r="490" spans="1:7" ht="13.5" customHeight="1">
      <c r="A490" s="1982" t="str">
        <f>+'LISTADO EQUIPOS'!$C$37</f>
        <v>VIBRADOR DE CONCRETO ELECTRICO O A GASOLINA.</v>
      </c>
      <c r="B490" s="1807"/>
      <c r="C490" s="1819"/>
      <c r="D490" s="434">
        <f>+'LISTADO EQUIPOS'!$E$37/8</f>
        <v>4950</v>
      </c>
      <c r="E490" s="433">
        <v>0.1</v>
      </c>
      <c r="F490" s="700">
        <f>+D490*E490</f>
        <v>495</v>
      </c>
      <c r="G490" s="672"/>
    </row>
    <row r="491" spans="1:7" ht="13.5" customHeight="1">
      <c r="A491" s="2003" t="s">
        <v>1560</v>
      </c>
      <c r="B491" s="1601"/>
      <c r="C491" s="1601"/>
      <c r="D491" s="1601"/>
      <c r="E491" s="1601"/>
      <c r="F491" s="1801"/>
      <c r="G491" s="436">
        <f>SUM(F488:F490)</f>
        <v>5945</v>
      </c>
    </row>
    <row r="492" spans="1:7" ht="13.5" customHeight="1">
      <c r="A492" s="423" t="s">
        <v>1561</v>
      </c>
      <c r="B492" s="416"/>
      <c r="C492" s="416"/>
      <c r="D492" s="416"/>
      <c r="E492" s="416"/>
      <c r="F492" s="416"/>
      <c r="G492" s="437"/>
    </row>
    <row r="493" spans="1:7" ht="13.5" customHeight="1">
      <c r="A493" s="1975" t="s">
        <v>1556</v>
      </c>
      <c r="B493" s="1801"/>
      <c r="C493" s="424" t="s">
        <v>6</v>
      </c>
      <c r="D493" s="424" t="s">
        <v>1562</v>
      </c>
      <c r="E493" s="424" t="s">
        <v>7</v>
      </c>
      <c r="F493" s="424" t="s">
        <v>1559</v>
      </c>
      <c r="G493" s="673"/>
    </row>
    <row r="494" spans="1:7" ht="13.5" customHeight="1">
      <c r="A494" s="1988" t="s">
        <v>2110</v>
      </c>
      <c r="B494" s="1611"/>
      <c r="C494" s="677" t="s">
        <v>127</v>
      </c>
      <c r="D494" s="431">
        <v>18062900</v>
      </c>
      <c r="E494" s="430">
        <v>1</v>
      </c>
      <c r="F494" s="689">
        <f t="shared" ref="F494:F499" si="33">+E494*D494</f>
        <v>18062900</v>
      </c>
      <c r="G494" s="445"/>
    </row>
    <row r="495" spans="1:7" ht="13.5" customHeight="1">
      <c r="A495" s="1988" t="s">
        <v>2111</v>
      </c>
      <c r="B495" s="1611"/>
      <c r="C495" s="677" t="s">
        <v>127</v>
      </c>
      <c r="D495" s="431">
        <v>420000</v>
      </c>
      <c r="E495" s="430">
        <v>4</v>
      </c>
      <c r="F495" s="689">
        <f t="shared" si="33"/>
        <v>1680000</v>
      </c>
      <c r="G495" s="445"/>
    </row>
    <row r="496" spans="1:7" ht="13.5" customHeight="1">
      <c r="A496" s="1988" t="s">
        <v>2112</v>
      </c>
      <c r="B496" s="1611"/>
      <c r="C496" s="677" t="s">
        <v>2113</v>
      </c>
      <c r="D496" s="431">
        <v>80000</v>
      </c>
      <c r="E496" s="430">
        <v>5</v>
      </c>
      <c r="F496" s="689">
        <f t="shared" si="33"/>
        <v>400000</v>
      </c>
      <c r="G496" s="445"/>
    </row>
    <row r="497" spans="1:7" ht="13.5" customHeight="1">
      <c r="A497" s="1988" t="s">
        <v>2114</v>
      </c>
      <c r="B497" s="1611"/>
      <c r="C497" s="677" t="s">
        <v>116</v>
      </c>
      <c r="D497" s="431">
        <v>7500</v>
      </c>
      <c r="E497" s="430">
        <v>108</v>
      </c>
      <c r="F497" s="689">
        <f t="shared" si="33"/>
        <v>810000</v>
      </c>
      <c r="G497" s="445"/>
    </row>
    <row r="498" spans="1:7" ht="13.5" customHeight="1">
      <c r="A498" s="1988" t="s">
        <v>2115</v>
      </c>
      <c r="B498" s="1611"/>
      <c r="C498" s="677" t="s">
        <v>116</v>
      </c>
      <c r="D498" s="431">
        <v>55000</v>
      </c>
      <c r="E498" s="430">
        <v>5.4</v>
      </c>
      <c r="F498" s="689">
        <f t="shared" si="33"/>
        <v>297000</v>
      </c>
      <c r="G498" s="445"/>
    </row>
    <row r="499" spans="1:7" ht="13.5" customHeight="1">
      <c r="A499" s="1988" t="s">
        <v>2116</v>
      </c>
      <c r="B499" s="1611"/>
      <c r="C499" s="677" t="s">
        <v>116</v>
      </c>
      <c r="D499" s="431">
        <v>85000</v>
      </c>
      <c r="E499" s="430">
        <v>20</v>
      </c>
      <c r="F499" s="689">
        <f t="shared" si="33"/>
        <v>1700000</v>
      </c>
      <c r="G499" s="445"/>
    </row>
    <row r="500" spans="1:7" ht="13.5" customHeight="1">
      <c r="A500" s="1982"/>
      <c r="B500" s="1819"/>
      <c r="C500" s="678"/>
      <c r="D500" s="451"/>
      <c r="E500" s="678"/>
      <c r="F500" s="451"/>
      <c r="G500" s="456"/>
    </row>
    <row r="501" spans="1:7" ht="13.5" customHeight="1">
      <c r="A501" s="2003" t="s">
        <v>1560</v>
      </c>
      <c r="B501" s="1601"/>
      <c r="C501" s="1601"/>
      <c r="D501" s="1601"/>
      <c r="E501" s="1601"/>
      <c r="F501" s="1801"/>
      <c r="G501" s="436">
        <f>SUM(F494:F500)</f>
        <v>22949900</v>
      </c>
    </row>
    <row r="502" spans="1:7" ht="13.5" customHeight="1">
      <c r="A502" s="423" t="s">
        <v>1563</v>
      </c>
      <c r="B502" s="416"/>
      <c r="C502" s="416"/>
      <c r="D502" s="416"/>
      <c r="E502" s="416"/>
      <c r="F502" s="416"/>
      <c r="G502" s="437"/>
    </row>
    <row r="503" spans="1:7" ht="13.5" customHeight="1">
      <c r="A503" s="1975" t="s">
        <v>1556</v>
      </c>
      <c r="B503" s="1801"/>
      <c r="C503" s="424" t="s">
        <v>6</v>
      </c>
      <c r="D503" s="424" t="s">
        <v>1562</v>
      </c>
      <c r="E503" s="424" t="s">
        <v>7</v>
      </c>
      <c r="F503" s="424" t="s">
        <v>1559</v>
      </c>
      <c r="G503" s="438"/>
    </row>
    <row r="504" spans="1:7" ht="13.5" customHeight="1">
      <c r="A504" s="1981" t="s">
        <v>2117</v>
      </c>
      <c r="B504" s="1967"/>
      <c r="C504" s="448" t="s">
        <v>1639</v>
      </c>
      <c r="D504" s="449">
        <v>2450000</v>
      </c>
      <c r="E504" s="450">
        <v>1</v>
      </c>
      <c r="F504" s="431">
        <f>+E504*D504</f>
        <v>2450000</v>
      </c>
      <c r="G504" s="443"/>
    </row>
    <row r="505" spans="1:7" ht="13.5" customHeight="1">
      <c r="A505" s="1982"/>
      <c r="B505" s="1819"/>
      <c r="C505" s="448"/>
      <c r="D505" s="451"/>
      <c r="E505" s="452"/>
      <c r="F505" s="451"/>
      <c r="G505" s="447"/>
    </row>
    <row r="506" spans="1:7" ht="13.5" customHeight="1">
      <c r="A506" s="2003" t="s">
        <v>1560</v>
      </c>
      <c r="B506" s="1601"/>
      <c r="C506" s="1601"/>
      <c r="D506" s="1601"/>
      <c r="E506" s="1601"/>
      <c r="F506" s="1801"/>
      <c r="G506" s="436">
        <f>SUM(F504:F505)</f>
        <v>2450000</v>
      </c>
    </row>
    <row r="507" spans="1:7" ht="13.5" customHeight="1">
      <c r="A507" s="423" t="s">
        <v>1564</v>
      </c>
      <c r="B507" s="416"/>
      <c r="C507" s="416"/>
      <c r="D507" s="416"/>
      <c r="E507" s="416"/>
      <c r="F507" s="416"/>
      <c r="G507" s="437"/>
    </row>
    <row r="508" spans="1:7" ht="13.5" customHeight="1">
      <c r="A508" s="1975" t="s">
        <v>1565</v>
      </c>
      <c r="B508" s="1801"/>
      <c r="C508" s="424" t="s">
        <v>1566</v>
      </c>
      <c r="D508" s="424" t="s">
        <v>6</v>
      </c>
      <c r="E508" s="424" t="s">
        <v>7</v>
      </c>
      <c r="F508" s="424" t="s">
        <v>1559</v>
      </c>
      <c r="G508" s="462"/>
    </row>
    <row r="509" spans="1:7" ht="13.5" customHeight="1">
      <c r="A509" s="2004" t="str">
        <f>+'MANO DE OBRA'!$A$64</f>
        <v>Oficial (Incl. Prestaciones)</v>
      </c>
      <c r="B509" s="1888"/>
      <c r="C509" s="679">
        <f>+'MANO DE OBRA'!$E$64</f>
        <v>15031.25</v>
      </c>
      <c r="D509" s="680">
        <v>1</v>
      </c>
      <c r="E509" s="680">
        <v>6.5554258492445264E-3</v>
      </c>
      <c r="F509" s="454">
        <f t="shared" ref="F509:F510" si="34">+(C509*D509)/E509</f>
        <v>2292947.9099717466</v>
      </c>
      <c r="G509" s="443"/>
    </row>
    <row r="510" spans="1:7" ht="13.5" customHeight="1">
      <c r="A510" s="1968" t="str">
        <f>+'MANO DE OBRA'!$A$65</f>
        <v>Ayudante (Incl. Prestaciones)</v>
      </c>
      <c r="B510" s="1819"/>
      <c r="C510" s="681">
        <f>+'MANO DE OBRA'!$E$65</f>
        <v>10972.8125</v>
      </c>
      <c r="D510" s="562">
        <v>2</v>
      </c>
      <c r="E510" s="562">
        <f>+E509</f>
        <v>6.5554258492445264E-3</v>
      </c>
      <c r="F510" s="455">
        <f t="shared" si="34"/>
        <v>3347703.9485587501</v>
      </c>
      <c r="G510" s="456"/>
    </row>
    <row r="511" spans="1:7" ht="13.5" customHeight="1">
      <c r="A511" s="2003" t="str">
        <f>+A506</f>
        <v>SUB-TOTAL</v>
      </c>
      <c r="B511" s="1601"/>
      <c r="C511" s="1601"/>
      <c r="D511" s="1601"/>
      <c r="E511" s="1601"/>
      <c r="F511" s="1801"/>
      <c r="G511" s="436">
        <f>SUM(F509:F510)</f>
        <v>5640651.8585304972</v>
      </c>
    </row>
    <row r="513" spans="1:7" ht="13.5" customHeight="1">
      <c r="A513" s="2003" t="s">
        <v>1567</v>
      </c>
      <c r="B513" s="1601"/>
      <c r="C513" s="1601"/>
      <c r="D513" s="1601"/>
      <c r="E513" s="1601"/>
      <c r="F513" s="1801"/>
      <c r="G513" s="459">
        <f>ROUND(G491+G501+G506+G511,0)</f>
        <v>31046497</v>
      </c>
    </row>
    <row r="514" spans="1:7" ht="13.5" customHeight="1">
      <c r="A514" s="420"/>
      <c r="B514" s="420"/>
      <c r="C514" s="420"/>
      <c r="D514" s="420"/>
      <c r="E514" s="420"/>
      <c r="F514" s="420"/>
      <c r="G514" s="420"/>
    </row>
    <row r="515" spans="1:7" ht="13.5" customHeight="1">
      <c r="A515" s="420"/>
      <c r="B515" s="420"/>
      <c r="C515" s="420"/>
      <c r="D515" s="420"/>
      <c r="E515" s="420"/>
      <c r="F515" s="420"/>
      <c r="G515" s="420"/>
    </row>
    <row r="516" spans="1:7" ht="27" customHeight="1">
      <c r="A516" s="1994" t="e">
        <f>+'ANALISIS BASICOS'!$A$7</f>
        <v>#REF!</v>
      </c>
      <c r="B516" s="1616"/>
      <c r="C516" s="1624"/>
      <c r="D516" s="567"/>
      <c r="E516" s="567"/>
      <c r="F516" s="567"/>
      <c r="G516" s="668"/>
    </row>
    <row r="517" spans="1:7" ht="24" customHeight="1">
      <c r="A517" s="1971"/>
      <c r="B517" s="1817"/>
      <c r="C517" s="1972"/>
      <c r="D517" s="669"/>
      <c r="E517" s="669"/>
      <c r="F517" s="669"/>
      <c r="G517" s="670"/>
    </row>
    <row r="518" spans="1:7" ht="13.5" customHeight="1">
      <c r="A518" s="416"/>
      <c r="B518" s="416"/>
      <c r="C518" s="416"/>
      <c r="D518" s="416"/>
      <c r="E518" s="416"/>
      <c r="F518" s="416"/>
      <c r="G518" s="416"/>
    </row>
    <row r="519" spans="1:7" ht="50.25" customHeight="1">
      <c r="A519" s="1991" t="e">
        <f ca="1">+A450</f>
        <v>#NAME?</v>
      </c>
      <c r="B519" s="1601"/>
      <c r="C519" s="1602"/>
      <c r="D519" s="1974" t="s">
        <v>2118</v>
      </c>
      <c r="E519" s="1601"/>
      <c r="F519" s="1601"/>
      <c r="G519" s="1602"/>
    </row>
    <row r="520" spans="1:7" ht="13.5" customHeight="1">
      <c r="A520" s="418"/>
      <c r="B520" s="418"/>
      <c r="C520" s="418"/>
      <c r="D520" s="418"/>
      <c r="E520" s="418"/>
      <c r="F520" s="418"/>
      <c r="G520" s="418"/>
    </row>
    <row r="521" spans="1:7" ht="12.75" customHeight="1">
      <c r="A521" s="419"/>
      <c r="B521" s="416"/>
      <c r="C521" s="420"/>
      <c r="D521" s="421" t="s">
        <v>1553</v>
      </c>
      <c r="E521" s="422" t="s">
        <v>120</v>
      </c>
      <c r="F521" s="421" t="s">
        <v>1554</v>
      </c>
      <c r="G521" s="422" t="s">
        <v>525</v>
      </c>
    </row>
    <row r="522" spans="1:7" ht="13.5" customHeight="1">
      <c r="A522" s="423" t="s">
        <v>1555</v>
      </c>
      <c r="B522" s="416"/>
      <c r="C522" s="416"/>
      <c r="D522" s="416"/>
      <c r="E522" s="416"/>
      <c r="F522" s="416"/>
      <c r="G522" s="416"/>
    </row>
    <row r="523" spans="1:7" ht="13.5" customHeight="1">
      <c r="A523" s="1975" t="s">
        <v>1556</v>
      </c>
      <c r="B523" s="1601"/>
      <c r="C523" s="1801"/>
      <c r="D523" s="424" t="s">
        <v>208</v>
      </c>
      <c r="E523" s="424" t="s">
        <v>1558</v>
      </c>
      <c r="F523" s="424" t="s">
        <v>1559</v>
      </c>
      <c r="G523" s="425"/>
    </row>
    <row r="524" spans="1:7" ht="13.5" customHeight="1">
      <c r="A524" s="1981" t="str">
        <f>+'LISTADO EQUIPOS'!$C$22</f>
        <v>HERRAMIENTA MENOR.</v>
      </c>
      <c r="B524" s="1811"/>
      <c r="C524" s="1967"/>
      <c r="D524" s="449">
        <f>+'LISTADO EQUIPOS'!$E$22/8</f>
        <v>2850</v>
      </c>
      <c r="E524" s="427">
        <f>+E542</f>
        <v>0.40218010023973827</v>
      </c>
      <c r="F524" s="428">
        <f>+E524*D524</f>
        <v>1146.2132856832541</v>
      </c>
      <c r="G524" s="429"/>
    </row>
    <row r="525" spans="1:7" ht="13.5" customHeight="1">
      <c r="A525" s="1988"/>
      <c r="B525" s="1610"/>
      <c r="C525" s="1611"/>
      <c r="D525" s="431"/>
      <c r="E525" s="430"/>
      <c r="F525" s="689"/>
      <c r="G525" s="432"/>
    </row>
    <row r="526" spans="1:7" ht="13.5" customHeight="1">
      <c r="A526" s="1982"/>
      <c r="B526" s="1807"/>
      <c r="C526" s="1819"/>
      <c r="D526" s="451"/>
      <c r="E526" s="671"/>
      <c r="F526" s="451"/>
      <c r="G526" s="672"/>
    </row>
    <row r="527" spans="1:7" ht="13.5" customHeight="1">
      <c r="A527" s="2003" t="s">
        <v>1560</v>
      </c>
      <c r="B527" s="1601"/>
      <c r="C527" s="1601"/>
      <c r="D527" s="1601"/>
      <c r="E527" s="1601"/>
      <c r="F527" s="1801"/>
      <c r="G527" s="436">
        <f>SUM(F524:F526)</f>
        <v>1146.2132856832541</v>
      </c>
    </row>
    <row r="528" spans="1:7" ht="13.5" customHeight="1">
      <c r="A528" s="423" t="s">
        <v>1561</v>
      </c>
      <c r="B528" s="416"/>
      <c r="C528" s="416"/>
      <c r="D528" s="416"/>
      <c r="E528" s="416"/>
      <c r="F528" s="416"/>
      <c r="G528" s="437"/>
    </row>
    <row r="529" spans="1:7" ht="13.5" customHeight="1">
      <c r="A529" s="1975" t="s">
        <v>1556</v>
      </c>
      <c r="B529" s="1801"/>
      <c r="C529" s="424" t="s">
        <v>6</v>
      </c>
      <c r="D529" s="424" t="s">
        <v>1562</v>
      </c>
      <c r="E529" s="424" t="s">
        <v>7</v>
      </c>
      <c r="F529" s="424" t="s">
        <v>1559</v>
      </c>
      <c r="G529" s="673"/>
    </row>
    <row r="530" spans="1:7" ht="13.5" customHeight="1">
      <c r="A530" s="2014" t="str">
        <f>+'LISTADO MATERIALES'!$C$636</f>
        <v xml:space="preserve">TUBO PVC P Ø 2"  RDE 21 </v>
      </c>
      <c r="B530" s="1611"/>
      <c r="C530" s="439" t="str">
        <f>'LISTADO MATERIALES'!$D$636</f>
        <v>ML</v>
      </c>
      <c r="D530" s="440">
        <f>+'LISTADO MATERIALES'!$E$636</f>
        <v>12155</v>
      </c>
      <c r="E530" s="441">
        <v>1.05</v>
      </c>
      <c r="F530" s="442">
        <f t="shared" ref="F530:F532" si="35">(D530*E530)</f>
        <v>12762.75</v>
      </c>
      <c r="G530" s="443"/>
    </row>
    <row r="531" spans="1:7" ht="13.5" customHeight="1">
      <c r="A531" s="2014" t="str">
        <f>'LISTADO MATERIALES'!$C$481</f>
        <v>LIMPIADOR/REMOVEDOR  PVC. ( 1/4  Gal )</v>
      </c>
      <c r="B531" s="1611"/>
      <c r="C531" s="439" t="str">
        <f>'LISTADO MATERIALES'!$D$481</f>
        <v>UND</v>
      </c>
      <c r="D531" s="440">
        <f>'LISTADO MATERIALES'!$E$481</f>
        <v>33445</v>
      </c>
      <c r="E531" s="444">
        <v>0.02</v>
      </c>
      <c r="F531" s="440">
        <f t="shared" si="35"/>
        <v>668.9</v>
      </c>
      <c r="G531" s="445"/>
    </row>
    <row r="532" spans="1:7" ht="13.5" customHeight="1">
      <c r="A532" s="2085" t="str">
        <f>'LISTADO MATERIALES'!$C$515</f>
        <v>SOLDADURA LIQUIDA  PVC.  (1/4 Gal )</v>
      </c>
      <c r="B532" s="1611"/>
      <c r="C532" s="439" t="str">
        <f>'LISTADO MATERIALES'!$D$515</f>
        <v>UND</v>
      </c>
      <c r="D532" s="440">
        <f>'LISTADO MATERIALES'!$E$515</f>
        <v>69138</v>
      </c>
      <c r="E532" s="446">
        <v>0.02</v>
      </c>
      <c r="F532" s="440">
        <f t="shared" si="35"/>
        <v>1382.76</v>
      </c>
      <c r="G532" s="445"/>
    </row>
    <row r="533" spans="1:7" ht="13.5" customHeight="1">
      <c r="A533" s="1982"/>
      <c r="B533" s="1819"/>
      <c r="C533" s="678"/>
      <c r="D533" s="451"/>
      <c r="E533" s="678"/>
      <c r="F533" s="451"/>
      <c r="G533" s="456"/>
    </row>
    <row r="534" spans="1:7" ht="13.5" customHeight="1">
      <c r="A534" s="2003" t="s">
        <v>1560</v>
      </c>
      <c r="B534" s="1601"/>
      <c r="C534" s="1601"/>
      <c r="D534" s="1601"/>
      <c r="E534" s="1601"/>
      <c r="F534" s="1801"/>
      <c r="G534" s="436">
        <f>SUM(F530:F533)</f>
        <v>14814.41</v>
      </c>
    </row>
    <row r="535" spans="1:7" ht="13.5" customHeight="1">
      <c r="A535" s="423" t="s">
        <v>1563</v>
      </c>
      <c r="B535" s="416"/>
      <c r="C535" s="416"/>
      <c r="D535" s="416"/>
      <c r="E535" s="416"/>
      <c r="F535" s="416"/>
      <c r="G535" s="437"/>
    </row>
    <row r="536" spans="1:7" ht="13.5" customHeight="1">
      <c r="A536" s="1975" t="s">
        <v>1556</v>
      </c>
      <c r="B536" s="1801"/>
      <c r="C536" s="424" t="s">
        <v>6</v>
      </c>
      <c r="D536" s="424" t="s">
        <v>1562</v>
      </c>
      <c r="E536" s="424" t="s">
        <v>7</v>
      </c>
      <c r="F536" s="424" t="s">
        <v>1559</v>
      </c>
      <c r="G536" s="438"/>
    </row>
    <row r="537" spans="1:7" ht="13.5" customHeight="1">
      <c r="A537" s="1981"/>
      <c r="B537" s="1967"/>
      <c r="C537" s="448"/>
      <c r="D537" s="449"/>
      <c r="E537" s="450"/>
      <c r="F537" s="431"/>
      <c r="G537" s="443"/>
    </row>
    <row r="538" spans="1:7" ht="13.5" customHeight="1">
      <c r="A538" s="1982"/>
      <c r="B538" s="1819"/>
      <c r="C538" s="448"/>
      <c r="D538" s="451"/>
      <c r="E538" s="452"/>
      <c r="F538" s="451"/>
      <c r="G538" s="447"/>
    </row>
    <row r="539" spans="1:7" ht="13.5" customHeight="1">
      <c r="A539" s="2003" t="s">
        <v>1560</v>
      </c>
      <c r="B539" s="1601"/>
      <c r="C539" s="1601"/>
      <c r="D539" s="1601"/>
      <c r="E539" s="1601"/>
      <c r="F539" s="1801"/>
      <c r="G539" s="436"/>
    </row>
    <row r="540" spans="1:7" ht="13.5" customHeight="1">
      <c r="A540" s="423" t="s">
        <v>1564</v>
      </c>
      <c r="B540" s="416"/>
      <c r="C540" s="416"/>
      <c r="D540" s="416"/>
      <c r="E540" s="416"/>
      <c r="F540" s="416"/>
      <c r="G540" s="437"/>
    </row>
    <row r="541" spans="1:7" ht="13.5" customHeight="1">
      <c r="A541" s="1975" t="s">
        <v>1565</v>
      </c>
      <c r="B541" s="1801"/>
      <c r="C541" s="424" t="s">
        <v>1566</v>
      </c>
      <c r="D541" s="424" t="s">
        <v>6</v>
      </c>
      <c r="E541" s="424" t="s">
        <v>7</v>
      </c>
      <c r="F541" s="424" t="s">
        <v>1559</v>
      </c>
      <c r="G541" s="462"/>
    </row>
    <row r="542" spans="1:7" ht="13.5" customHeight="1">
      <c r="A542" s="2004" t="str">
        <f>+'MANO DE OBRA'!$A$64</f>
        <v>Oficial (Incl. Prestaciones)</v>
      </c>
      <c r="B542" s="1888"/>
      <c r="C542" s="679">
        <f>+'MANO DE OBRA'!$E$64</f>
        <v>15031.25</v>
      </c>
      <c r="D542" s="680">
        <v>1</v>
      </c>
      <c r="E542" s="680">
        <v>0.40218010023973827</v>
      </c>
      <c r="F542" s="694">
        <f t="shared" ref="F542:F543" si="36">+(C542*D542)*E542</f>
        <v>6045.2696317285663</v>
      </c>
      <c r="G542" s="443"/>
    </row>
    <row r="543" spans="1:7" ht="13.5" customHeight="1">
      <c r="A543" s="1968" t="str">
        <f>+'MANO DE OBRA'!$A$65</f>
        <v>Ayudante (Incl. Prestaciones)</v>
      </c>
      <c r="B543" s="1819"/>
      <c r="C543" s="681">
        <f>+'MANO DE OBRA'!$E$65</f>
        <v>10972.8125</v>
      </c>
      <c r="D543" s="562">
        <v>1</v>
      </c>
      <c r="E543" s="562">
        <f>+E542</f>
        <v>0.40218010023973827</v>
      </c>
      <c r="F543" s="695">
        <f t="shared" si="36"/>
        <v>4413.0468311618533</v>
      </c>
      <c r="G543" s="456"/>
    </row>
    <row r="544" spans="1:7" ht="13.5" customHeight="1">
      <c r="A544" s="2003" t="str">
        <f>+A539</f>
        <v>SUB-TOTAL</v>
      </c>
      <c r="B544" s="1601"/>
      <c r="C544" s="1601"/>
      <c r="D544" s="1601"/>
      <c r="E544" s="1601"/>
      <c r="F544" s="1801"/>
      <c r="G544" s="436">
        <f>SUM(F542:F543)</f>
        <v>10458.31646289042</v>
      </c>
    </row>
    <row r="546" spans="1:7" ht="17.25" customHeight="1">
      <c r="A546" s="2003" t="s">
        <v>1567</v>
      </c>
      <c r="B546" s="1601"/>
      <c r="C546" s="1601"/>
      <c r="D546" s="1601"/>
      <c r="E546" s="1601"/>
      <c r="F546" s="1801"/>
      <c r="G546" s="682">
        <f>ROUND(G527+G534+G539+G544,0)</f>
        <v>26419</v>
      </c>
    </row>
    <row r="547" spans="1:7" ht="13.5" customHeight="1">
      <c r="A547" s="420"/>
      <c r="B547" s="420"/>
      <c r="C547" s="420"/>
      <c r="D547" s="420"/>
      <c r="E547" s="420"/>
      <c r="F547" s="420"/>
      <c r="G547" s="420"/>
    </row>
    <row r="548" spans="1:7" ht="13.5" customHeight="1">
      <c r="A548" s="420"/>
      <c r="B548" s="420"/>
      <c r="C548" s="420"/>
      <c r="D548" s="420"/>
      <c r="E548" s="420"/>
      <c r="F548" s="420"/>
      <c r="G548" s="420"/>
    </row>
    <row r="549" spans="1:7" ht="27" customHeight="1">
      <c r="A549" s="1994" t="e">
        <f>+'ANALISIS BASICOS'!$A$7</f>
        <v>#REF!</v>
      </c>
      <c r="B549" s="1616"/>
      <c r="C549" s="1624"/>
      <c r="D549" s="567"/>
      <c r="E549" s="567"/>
      <c r="F549" s="567"/>
      <c r="G549" s="668"/>
    </row>
    <row r="550" spans="1:7" ht="24" customHeight="1">
      <c r="A550" s="1971"/>
      <c r="B550" s="1817"/>
      <c r="C550" s="1972"/>
      <c r="D550" s="669"/>
      <c r="E550" s="669"/>
      <c r="F550" s="669"/>
      <c r="G550" s="670"/>
    </row>
    <row r="551" spans="1:7" ht="13.5" customHeight="1">
      <c r="A551" s="416"/>
      <c r="B551" s="416"/>
      <c r="C551" s="416"/>
      <c r="D551" s="416"/>
      <c r="E551" s="416"/>
      <c r="F551" s="416"/>
      <c r="G551" s="416"/>
    </row>
    <row r="552" spans="1:7" ht="50.25" customHeight="1">
      <c r="A552" s="1991" t="e">
        <f ca="1">+A519</f>
        <v>#NAME?</v>
      </c>
      <c r="B552" s="1601"/>
      <c r="C552" s="1602"/>
      <c r="D552" s="1974" t="s">
        <v>2119</v>
      </c>
      <c r="E552" s="1601"/>
      <c r="F552" s="1601"/>
      <c r="G552" s="1602"/>
    </row>
    <row r="553" spans="1:7" ht="13.5" customHeight="1">
      <c r="A553" s="418"/>
      <c r="B553" s="418"/>
      <c r="C553" s="418"/>
      <c r="D553" s="418"/>
      <c r="E553" s="418"/>
      <c r="F553" s="418"/>
      <c r="G553" s="418"/>
    </row>
    <row r="554" spans="1:7" ht="13.5" customHeight="1">
      <c r="A554" s="419"/>
      <c r="B554" s="416"/>
      <c r="C554" s="420"/>
      <c r="D554" s="421" t="s">
        <v>1553</v>
      </c>
      <c r="E554" s="422" t="s">
        <v>120</v>
      </c>
      <c r="F554" s="421" t="s">
        <v>1554</v>
      </c>
      <c r="G554" s="422" t="s">
        <v>527</v>
      </c>
    </row>
    <row r="555" spans="1:7" ht="13.5" customHeight="1">
      <c r="A555" s="423" t="s">
        <v>1555</v>
      </c>
      <c r="B555" s="416"/>
      <c r="C555" s="416"/>
      <c r="D555" s="416"/>
      <c r="E555" s="416"/>
      <c r="F555" s="416"/>
      <c r="G555" s="416"/>
    </row>
    <row r="556" spans="1:7" ht="13.5" customHeight="1">
      <c r="A556" s="1975" t="s">
        <v>1556</v>
      </c>
      <c r="B556" s="1601"/>
      <c r="C556" s="1801"/>
      <c r="D556" s="424" t="s">
        <v>208</v>
      </c>
      <c r="E556" s="424" t="s">
        <v>1558</v>
      </c>
      <c r="F556" s="424" t="s">
        <v>1559</v>
      </c>
      <c r="G556" s="425"/>
    </row>
    <row r="557" spans="1:7" ht="13.5" customHeight="1">
      <c r="A557" s="1981" t="str">
        <f>+'LISTADO EQUIPOS'!$C$22</f>
        <v>HERRAMIENTA MENOR.</v>
      </c>
      <c r="B557" s="1811"/>
      <c r="C557" s="1967"/>
      <c r="D557" s="449">
        <f>+'LISTADO EQUIPOS'!$E$22/8</f>
        <v>2850</v>
      </c>
      <c r="E557" s="427">
        <v>13</v>
      </c>
      <c r="F557" s="428">
        <f>+D557/E557</f>
        <v>219.23076923076923</v>
      </c>
      <c r="G557" s="429"/>
    </row>
    <row r="558" spans="1:7" ht="13.5" customHeight="1">
      <c r="A558" s="1982"/>
      <c r="B558" s="1807"/>
      <c r="C558" s="1819"/>
      <c r="D558" s="451"/>
      <c r="E558" s="671"/>
      <c r="F558" s="698"/>
      <c r="G558" s="672"/>
    </row>
    <row r="559" spans="1:7" ht="13.5" customHeight="1">
      <c r="A559" s="2003" t="s">
        <v>1560</v>
      </c>
      <c r="B559" s="1601"/>
      <c r="C559" s="1601"/>
      <c r="D559" s="1601"/>
      <c r="E559" s="1601"/>
      <c r="F559" s="1801"/>
      <c r="G559" s="436">
        <f>SUM(F557:F558)</f>
        <v>219.23076923076923</v>
      </c>
    </row>
    <row r="560" spans="1:7" ht="13.5" customHeight="1">
      <c r="A560" s="423" t="s">
        <v>1561</v>
      </c>
      <c r="B560" s="416"/>
      <c r="C560" s="416"/>
      <c r="D560" s="416"/>
      <c r="E560" s="416"/>
      <c r="F560" s="416"/>
      <c r="G560" s="437"/>
    </row>
    <row r="561" spans="1:7" ht="13.5" customHeight="1">
      <c r="A561" s="1975" t="s">
        <v>1556</v>
      </c>
      <c r="B561" s="1801"/>
      <c r="C561" s="424" t="s">
        <v>6</v>
      </c>
      <c r="D561" s="424" t="s">
        <v>1562</v>
      </c>
      <c r="E561" s="424" t="s">
        <v>7</v>
      </c>
      <c r="F561" s="424" t="s">
        <v>1559</v>
      </c>
      <c r="G561" s="673"/>
    </row>
    <row r="562" spans="1:7" ht="13.5" customHeight="1">
      <c r="A562" s="2014" t="str">
        <f>+'LISTADO MATERIALES'!$C$643</f>
        <v xml:space="preserve">TUBO PVC P Ø 4"  RDE 21 </v>
      </c>
      <c r="B562" s="1611"/>
      <c r="C562" s="439" t="str">
        <f>'LISTADO MATERIALES'!$D$636</f>
        <v>ML</v>
      </c>
      <c r="D562" s="440">
        <f>+'LISTADO MATERIALES'!$E$643</f>
        <v>28301</v>
      </c>
      <c r="E562" s="441">
        <v>1.05</v>
      </c>
      <c r="F562" s="442">
        <f t="shared" ref="F562:F564" si="37">(D562*E562)</f>
        <v>29716.050000000003</v>
      </c>
      <c r="G562" s="443"/>
    </row>
    <row r="563" spans="1:7" ht="13.5" customHeight="1">
      <c r="A563" s="2014" t="str">
        <f>'LISTADO MATERIALES'!$C$481</f>
        <v>LIMPIADOR/REMOVEDOR  PVC. ( 1/4  Gal )</v>
      </c>
      <c r="B563" s="1611"/>
      <c r="C563" s="439" t="str">
        <f>'LISTADO MATERIALES'!$D$481</f>
        <v>UND</v>
      </c>
      <c r="D563" s="440">
        <f>'LISTADO MATERIALES'!$E$481</f>
        <v>33445</v>
      </c>
      <c r="E563" s="444">
        <v>0.02</v>
      </c>
      <c r="F563" s="440">
        <f t="shared" si="37"/>
        <v>668.9</v>
      </c>
      <c r="G563" s="445"/>
    </row>
    <row r="564" spans="1:7" ht="13.5" customHeight="1">
      <c r="A564" s="2085" t="str">
        <f>'LISTADO MATERIALES'!$C$515</f>
        <v>SOLDADURA LIQUIDA  PVC.  (1/4 Gal )</v>
      </c>
      <c r="B564" s="1611"/>
      <c r="C564" s="439" t="str">
        <f>'LISTADO MATERIALES'!$D$515</f>
        <v>UND</v>
      </c>
      <c r="D564" s="440">
        <f>'LISTADO MATERIALES'!$E$515</f>
        <v>69138</v>
      </c>
      <c r="E564" s="446">
        <v>0.02</v>
      </c>
      <c r="F564" s="440">
        <f t="shared" si="37"/>
        <v>1382.76</v>
      </c>
      <c r="G564" s="445"/>
    </row>
    <row r="565" spans="1:7" ht="13.5" customHeight="1">
      <c r="A565" s="2067"/>
      <c r="B565" s="1611"/>
      <c r="C565" s="493"/>
      <c r="D565" s="494"/>
      <c r="E565" s="966"/>
      <c r="F565" s="496"/>
      <c r="G565" s="483"/>
    </row>
    <row r="566" spans="1:7" ht="13.5" customHeight="1">
      <c r="A566" s="2052"/>
      <c r="B566" s="1819"/>
      <c r="C566" s="1013"/>
      <c r="D566" s="506"/>
      <c r="E566" s="1013"/>
      <c r="F566" s="496"/>
      <c r="G566" s="742"/>
    </row>
    <row r="567" spans="1:7" ht="13.5" customHeight="1">
      <c r="A567" s="2003" t="s">
        <v>1560</v>
      </c>
      <c r="B567" s="1601"/>
      <c r="C567" s="1601"/>
      <c r="D567" s="1601"/>
      <c r="E567" s="1601"/>
      <c r="F567" s="1801"/>
      <c r="G567" s="436">
        <f>SUM(F562:F566)</f>
        <v>31767.710000000003</v>
      </c>
    </row>
    <row r="568" spans="1:7" ht="13.5" customHeight="1">
      <c r="A568" s="423" t="s">
        <v>1563</v>
      </c>
      <c r="B568" s="416"/>
      <c r="C568" s="416"/>
      <c r="D568" s="416"/>
      <c r="E568" s="416"/>
      <c r="F568" s="416"/>
      <c r="G568" s="437"/>
    </row>
    <row r="569" spans="1:7" ht="13.5" customHeight="1">
      <c r="A569" s="1975" t="s">
        <v>1556</v>
      </c>
      <c r="B569" s="1801"/>
      <c r="C569" s="424" t="s">
        <v>6</v>
      </c>
      <c r="D569" s="424" t="s">
        <v>1562</v>
      </c>
      <c r="E569" s="424" t="s">
        <v>7</v>
      </c>
      <c r="F569" s="424" t="s">
        <v>1559</v>
      </c>
      <c r="G569" s="438"/>
    </row>
    <row r="570" spans="1:7" ht="13.5" customHeight="1">
      <c r="A570" s="1981"/>
      <c r="B570" s="1967"/>
      <c r="C570" s="448"/>
      <c r="D570" s="449"/>
      <c r="E570" s="450"/>
      <c r="F570" s="431"/>
      <c r="G570" s="443"/>
    </row>
    <row r="571" spans="1:7" ht="13.5" customHeight="1">
      <c r="A571" s="1982"/>
      <c r="B571" s="1819"/>
      <c r="C571" s="448"/>
      <c r="D571" s="451"/>
      <c r="E571" s="452"/>
      <c r="F571" s="451"/>
      <c r="G571" s="447"/>
    </row>
    <row r="572" spans="1:7" ht="13.5" customHeight="1">
      <c r="A572" s="2003" t="s">
        <v>1560</v>
      </c>
      <c r="B572" s="1601"/>
      <c r="C572" s="1601"/>
      <c r="D572" s="1601"/>
      <c r="E572" s="1601"/>
      <c r="F572" s="1801"/>
      <c r="G572" s="436"/>
    </row>
    <row r="573" spans="1:7" ht="13.5" customHeight="1">
      <c r="A573" s="423" t="s">
        <v>1564</v>
      </c>
      <c r="B573" s="416"/>
      <c r="C573" s="416"/>
      <c r="D573" s="416"/>
      <c r="E573" s="416"/>
      <c r="F573" s="416"/>
      <c r="G573" s="437"/>
    </row>
    <row r="574" spans="1:7" ht="13.5" customHeight="1">
      <c r="A574" s="1975" t="s">
        <v>1565</v>
      </c>
      <c r="B574" s="1801"/>
      <c r="C574" s="424" t="s">
        <v>1566</v>
      </c>
      <c r="D574" s="424" t="s">
        <v>6</v>
      </c>
      <c r="E574" s="424" t="s">
        <v>7</v>
      </c>
      <c r="F574" s="424" t="s">
        <v>1559</v>
      </c>
      <c r="G574" s="462"/>
    </row>
    <row r="575" spans="1:7" ht="13.5" customHeight="1">
      <c r="A575" s="2004" t="str">
        <f>+'MANO DE OBRA'!$A$64</f>
        <v>Oficial (Incl. Prestaciones)</v>
      </c>
      <c r="B575" s="1888"/>
      <c r="C575" s="679">
        <f>+'MANO DE OBRA'!$E$64</f>
        <v>15031.25</v>
      </c>
      <c r="D575" s="680">
        <v>1</v>
      </c>
      <c r="E575" s="680">
        <v>2.2169679448646651</v>
      </c>
      <c r="F575" s="694">
        <f t="shared" ref="F575:F576" si="38">+(C575*D575)/E575</f>
        <v>6780.093521342088</v>
      </c>
      <c r="G575" s="443"/>
    </row>
    <row r="576" spans="1:7" ht="13.5" customHeight="1">
      <c r="A576" s="1968" t="str">
        <f>+'MANO DE OBRA'!$A$65</f>
        <v>Ayudante (Incl. Prestaciones)</v>
      </c>
      <c r="B576" s="1819"/>
      <c r="C576" s="681">
        <f>+'MANO DE OBRA'!$E$65</f>
        <v>10972.8125</v>
      </c>
      <c r="D576" s="562">
        <v>2</v>
      </c>
      <c r="E576" s="562">
        <f>+E575</f>
        <v>2.2169679448646651</v>
      </c>
      <c r="F576" s="695">
        <f t="shared" si="38"/>
        <v>9898.9365411594499</v>
      </c>
      <c r="G576" s="456"/>
    </row>
    <row r="577" spans="1:7" ht="13.5" customHeight="1">
      <c r="A577" s="2003" t="str">
        <f>+A572</f>
        <v>SUB-TOTAL</v>
      </c>
      <c r="B577" s="1601"/>
      <c r="C577" s="1601"/>
      <c r="D577" s="1601"/>
      <c r="E577" s="1601"/>
      <c r="F577" s="1801"/>
      <c r="G577" s="436">
        <f>SUM(F575:F576)</f>
        <v>16679.030062501537</v>
      </c>
    </row>
    <row r="578" spans="1:7" ht="13.5" customHeight="1">
      <c r="A578" s="416"/>
      <c r="B578" s="416"/>
      <c r="C578" s="416"/>
      <c r="D578" s="416"/>
      <c r="E578" s="416"/>
      <c r="F578" s="458"/>
      <c r="G578" s="437"/>
    </row>
    <row r="579" spans="1:7" ht="13.5" customHeight="1">
      <c r="A579" s="2003" t="s">
        <v>1567</v>
      </c>
      <c r="B579" s="1601"/>
      <c r="C579" s="1601"/>
      <c r="D579" s="1601"/>
      <c r="E579" s="1601"/>
      <c r="F579" s="1801"/>
      <c r="G579" s="682">
        <f>ROUND(G559+G567+G572+G577,0)</f>
        <v>48666</v>
      </c>
    </row>
    <row r="580" spans="1:7" ht="13.5" customHeight="1">
      <c r="A580" s="465"/>
      <c r="B580" s="465"/>
      <c r="C580" s="465"/>
      <c r="D580" s="465"/>
      <c r="E580" s="465"/>
      <c r="F580" s="465"/>
      <c r="G580" s="705"/>
    </row>
    <row r="581" spans="1:7" ht="13.5" customHeight="1">
      <c r="A581" s="420"/>
      <c r="B581" s="420"/>
      <c r="C581" s="420"/>
      <c r="D581" s="420"/>
      <c r="E581" s="420"/>
      <c r="F581" s="420"/>
      <c r="G581" s="420"/>
    </row>
    <row r="582" spans="1:7" ht="27" customHeight="1">
      <c r="A582" s="1994" t="e">
        <f>+'ANALISIS BASICOS'!$A$7</f>
        <v>#REF!</v>
      </c>
      <c r="B582" s="1616"/>
      <c r="C582" s="1624"/>
      <c r="D582" s="567"/>
      <c r="E582" s="567"/>
      <c r="F582" s="567"/>
      <c r="G582" s="668"/>
    </row>
    <row r="583" spans="1:7" ht="24" customHeight="1">
      <c r="A583" s="1971"/>
      <c r="B583" s="1817"/>
      <c r="C583" s="1972"/>
      <c r="D583" s="669"/>
      <c r="E583" s="669"/>
      <c r="F583" s="669"/>
      <c r="G583" s="670"/>
    </row>
    <row r="584" spans="1:7" ht="13.5" customHeight="1">
      <c r="A584" s="416"/>
      <c r="B584" s="416"/>
      <c r="C584" s="416"/>
      <c r="D584" s="416"/>
      <c r="E584" s="416"/>
      <c r="F584" s="416"/>
      <c r="G584" s="416"/>
    </row>
    <row r="585" spans="1:7" ht="50.25" customHeight="1">
      <c r="A585" s="1991" t="e">
        <f ca="1">+A552</f>
        <v>#NAME?</v>
      </c>
      <c r="B585" s="1601"/>
      <c r="C585" s="1602"/>
      <c r="D585" s="1974" t="s">
        <v>2120</v>
      </c>
      <c r="E585" s="1601"/>
      <c r="F585" s="1601"/>
      <c r="G585" s="1602"/>
    </row>
    <row r="586" spans="1:7" ht="13.5" customHeight="1">
      <c r="A586" s="418"/>
      <c r="B586" s="418"/>
      <c r="C586" s="418"/>
      <c r="D586" s="418"/>
      <c r="E586" s="418"/>
      <c r="F586" s="418"/>
      <c r="G586" s="418"/>
    </row>
    <row r="587" spans="1:7" ht="13.5" customHeight="1">
      <c r="A587" s="419"/>
      <c r="B587" s="416"/>
      <c r="C587" s="420"/>
      <c r="D587" s="421" t="s">
        <v>1553</v>
      </c>
      <c r="E587" s="422" t="s">
        <v>120</v>
      </c>
      <c r="F587" s="421" t="s">
        <v>1554</v>
      </c>
      <c r="G587" s="422" t="s">
        <v>535</v>
      </c>
    </row>
    <row r="588" spans="1:7" ht="13.5" customHeight="1">
      <c r="A588" s="423" t="s">
        <v>1555</v>
      </c>
      <c r="B588" s="416"/>
      <c r="C588" s="416"/>
      <c r="D588" s="416"/>
      <c r="E588" s="416"/>
      <c r="F588" s="416"/>
      <c r="G588" s="416"/>
    </row>
    <row r="589" spans="1:7" ht="13.5" customHeight="1">
      <c r="A589" s="1975" t="s">
        <v>1556</v>
      </c>
      <c r="B589" s="1601"/>
      <c r="C589" s="1801"/>
      <c r="D589" s="424" t="s">
        <v>208</v>
      </c>
      <c r="E589" s="424" t="s">
        <v>1558</v>
      </c>
      <c r="F589" s="424" t="s">
        <v>1559</v>
      </c>
      <c r="G589" s="425"/>
    </row>
    <row r="590" spans="1:7" ht="13.5" customHeight="1">
      <c r="A590" s="1981" t="str">
        <f>+'LISTADO EQUIPOS'!$C$22</f>
        <v>HERRAMIENTA MENOR.</v>
      </c>
      <c r="B590" s="1811"/>
      <c r="C590" s="1967"/>
      <c r="D590" s="449">
        <f>+'LISTADO EQUIPOS'!$E$22/8</f>
        <v>2850</v>
      </c>
      <c r="E590" s="427">
        <v>13</v>
      </c>
      <c r="F590" s="428">
        <f>+D590/E590</f>
        <v>219.23076923076923</v>
      </c>
      <c r="G590" s="429"/>
    </row>
    <row r="591" spans="1:7" ht="13.5" customHeight="1">
      <c r="A591" s="1982"/>
      <c r="B591" s="1807"/>
      <c r="C591" s="1819"/>
      <c r="D591" s="451"/>
      <c r="E591" s="671"/>
      <c r="F591" s="698"/>
      <c r="G591" s="672"/>
    </row>
    <row r="592" spans="1:7" ht="13.5" customHeight="1">
      <c r="A592" s="2003" t="s">
        <v>1560</v>
      </c>
      <c r="B592" s="1601"/>
      <c r="C592" s="1601"/>
      <c r="D592" s="1601"/>
      <c r="E592" s="1601"/>
      <c r="F592" s="1801"/>
      <c r="G592" s="436">
        <f>SUM(F590:F591)</f>
        <v>219.23076923076923</v>
      </c>
    </row>
    <row r="593" spans="1:7" ht="13.5" customHeight="1">
      <c r="A593" s="423" t="s">
        <v>1561</v>
      </c>
      <c r="B593" s="416"/>
      <c r="C593" s="416"/>
      <c r="D593" s="416"/>
      <c r="E593" s="416"/>
      <c r="F593" s="416"/>
      <c r="G593" s="437"/>
    </row>
    <row r="594" spans="1:7" ht="13.5" customHeight="1">
      <c r="A594" s="1975" t="s">
        <v>1556</v>
      </c>
      <c r="B594" s="1801"/>
      <c r="C594" s="424" t="s">
        <v>6</v>
      </c>
      <c r="D594" s="424" t="s">
        <v>1562</v>
      </c>
      <c r="E594" s="424" t="s">
        <v>7</v>
      </c>
      <c r="F594" s="424" t="s">
        <v>1559</v>
      </c>
      <c r="G594" s="673"/>
    </row>
    <row r="595" spans="1:7" ht="13.5" customHeight="1">
      <c r="A595" s="2014" t="s">
        <v>2121</v>
      </c>
      <c r="B595" s="1611"/>
      <c r="C595" s="439" t="str">
        <f>'LISTADO MATERIALES'!$D$636</f>
        <v>ML</v>
      </c>
      <c r="D595" s="440">
        <v>105450</v>
      </c>
      <c r="E595" s="441">
        <v>1.05</v>
      </c>
      <c r="F595" s="442">
        <f t="shared" ref="F595:F598" si="39">(D595*E595)</f>
        <v>110722.5</v>
      </c>
      <c r="G595" s="443"/>
    </row>
    <row r="596" spans="1:7" ht="13.5" customHeight="1">
      <c r="A596" s="2014" t="str">
        <f>'LISTADO MATERIALES'!$C$481</f>
        <v>LIMPIADOR/REMOVEDOR  PVC. ( 1/4  Gal )</v>
      </c>
      <c r="B596" s="1611"/>
      <c r="C596" s="439" t="str">
        <f>'LISTADO MATERIALES'!$D$481</f>
        <v>UND</v>
      </c>
      <c r="D596" s="440">
        <f>'LISTADO MATERIALES'!$E$481</f>
        <v>33445</v>
      </c>
      <c r="E596" s="444">
        <v>0.05</v>
      </c>
      <c r="F596" s="440">
        <f t="shared" si="39"/>
        <v>1672.25</v>
      </c>
      <c r="G596" s="445"/>
    </row>
    <row r="597" spans="1:7" ht="13.5" customHeight="1">
      <c r="A597" s="2085" t="str">
        <f>'LISTADO MATERIALES'!$C$515</f>
        <v>SOLDADURA LIQUIDA  PVC.  (1/4 Gal )</v>
      </c>
      <c r="B597" s="1611"/>
      <c r="C597" s="439" t="str">
        <f>'LISTADO MATERIALES'!$D$515</f>
        <v>UND</v>
      </c>
      <c r="D597" s="440">
        <f>'LISTADO MATERIALES'!$E$515</f>
        <v>69138</v>
      </c>
      <c r="E597" s="446">
        <v>0.05</v>
      </c>
      <c r="F597" s="440">
        <f t="shared" si="39"/>
        <v>3456.9</v>
      </c>
      <c r="G597" s="445"/>
    </row>
    <row r="598" spans="1:7" ht="13.5" customHeight="1">
      <c r="A598" s="2085" t="str">
        <f>'LISTADO MATERIALES'!$C$132</f>
        <v>ARENA PARA SELLO</v>
      </c>
      <c r="B598" s="1611"/>
      <c r="C598" s="439" t="str">
        <f>'LISTADO MATERIALES'!$D$132</f>
        <v>M3</v>
      </c>
      <c r="D598" s="440">
        <f>'LISTADO MATERIALES'!$E$132</f>
        <v>31500</v>
      </c>
      <c r="E598" s="446">
        <v>0.15</v>
      </c>
      <c r="F598" s="440">
        <f t="shared" si="39"/>
        <v>4725</v>
      </c>
      <c r="G598" s="445"/>
    </row>
    <row r="599" spans="1:7" ht="13.5" customHeight="1">
      <c r="A599" s="2052"/>
      <c r="B599" s="1819"/>
      <c r="C599" s="1013"/>
      <c r="D599" s="506"/>
      <c r="E599" s="1013"/>
      <c r="F599" s="496"/>
      <c r="G599" s="742"/>
    </row>
    <row r="600" spans="1:7" ht="13.5" customHeight="1">
      <c r="A600" s="2003" t="s">
        <v>1560</v>
      </c>
      <c r="B600" s="1601"/>
      <c r="C600" s="1601"/>
      <c r="D600" s="1601"/>
      <c r="E600" s="1601"/>
      <c r="F600" s="1801"/>
      <c r="G600" s="436">
        <f>SUM(F595:F599)</f>
        <v>120576.65</v>
      </c>
    </row>
    <row r="601" spans="1:7" ht="13.5" customHeight="1">
      <c r="A601" s="423" t="s">
        <v>1563</v>
      </c>
      <c r="B601" s="416"/>
      <c r="C601" s="416"/>
      <c r="D601" s="416"/>
      <c r="E601" s="416"/>
      <c r="F601" s="416"/>
      <c r="G601" s="437"/>
    </row>
    <row r="602" spans="1:7" ht="13.5" customHeight="1">
      <c r="A602" s="1975" t="s">
        <v>1556</v>
      </c>
      <c r="B602" s="1801"/>
      <c r="C602" s="424" t="s">
        <v>6</v>
      </c>
      <c r="D602" s="424" t="s">
        <v>1562</v>
      </c>
      <c r="E602" s="424" t="s">
        <v>7</v>
      </c>
      <c r="F602" s="424" t="s">
        <v>1559</v>
      </c>
      <c r="G602" s="438"/>
    </row>
    <row r="603" spans="1:7" ht="13.5" customHeight="1">
      <c r="A603" s="1981"/>
      <c r="B603" s="1967"/>
      <c r="C603" s="448"/>
      <c r="D603" s="449"/>
      <c r="E603" s="450"/>
      <c r="F603" s="431"/>
      <c r="G603" s="443"/>
    </row>
    <row r="604" spans="1:7" ht="13.5" customHeight="1">
      <c r="A604" s="1982"/>
      <c r="B604" s="1819"/>
      <c r="C604" s="448"/>
      <c r="D604" s="451"/>
      <c r="E604" s="452"/>
      <c r="F604" s="451"/>
      <c r="G604" s="447"/>
    </row>
    <row r="605" spans="1:7" ht="13.5" customHeight="1">
      <c r="A605" s="2003" t="s">
        <v>1560</v>
      </c>
      <c r="B605" s="1601"/>
      <c r="C605" s="1601"/>
      <c r="D605" s="1601"/>
      <c r="E605" s="1601"/>
      <c r="F605" s="1801"/>
      <c r="G605" s="436"/>
    </row>
    <row r="606" spans="1:7" ht="13.5" customHeight="1">
      <c r="A606" s="423" t="s">
        <v>1564</v>
      </c>
      <c r="B606" s="416"/>
      <c r="C606" s="416"/>
      <c r="D606" s="416"/>
      <c r="E606" s="416"/>
      <c r="F606" s="416"/>
      <c r="G606" s="437"/>
    </row>
    <row r="607" spans="1:7" ht="13.5" customHeight="1">
      <c r="A607" s="1975" t="s">
        <v>1565</v>
      </c>
      <c r="B607" s="1801"/>
      <c r="C607" s="424" t="s">
        <v>1566</v>
      </c>
      <c r="D607" s="424" t="s">
        <v>6</v>
      </c>
      <c r="E607" s="424" t="s">
        <v>7</v>
      </c>
      <c r="F607" s="424" t="s">
        <v>1559</v>
      </c>
      <c r="G607" s="462"/>
    </row>
    <row r="608" spans="1:7" ht="13.5" customHeight="1">
      <c r="A608" s="2004" t="str">
        <f>+'MANO DE OBRA'!$A$64</f>
        <v>Oficial (Incl. Prestaciones)</v>
      </c>
      <c r="B608" s="1888"/>
      <c r="C608" s="679">
        <f>+'MANO DE OBRA'!$E$64</f>
        <v>15031.25</v>
      </c>
      <c r="D608" s="680">
        <v>1</v>
      </c>
      <c r="E608" s="680">
        <v>0.49363547597903046</v>
      </c>
      <c r="F608" s="694">
        <f t="shared" ref="F608:F609" si="40">+(C608*D608)/E608</f>
        <v>30450.100795913066</v>
      </c>
      <c r="G608" s="443"/>
    </row>
    <row r="609" spans="1:7" ht="13.5" customHeight="1">
      <c r="A609" s="1968" t="str">
        <f>+'MANO DE OBRA'!$A$65</f>
        <v>Ayudante (Incl. Prestaciones)</v>
      </c>
      <c r="B609" s="1819"/>
      <c r="C609" s="681">
        <f>+'MANO DE OBRA'!$E$65</f>
        <v>10972.8125</v>
      </c>
      <c r="D609" s="562">
        <v>2</v>
      </c>
      <c r="E609" s="562">
        <f>+E608</f>
        <v>0.49363547597903046</v>
      </c>
      <c r="F609" s="695">
        <f t="shared" si="40"/>
        <v>44457.147162033078</v>
      </c>
      <c r="G609" s="456"/>
    </row>
    <row r="610" spans="1:7" ht="13.5" customHeight="1">
      <c r="A610" s="2003" t="str">
        <f>+A605</f>
        <v>SUB-TOTAL</v>
      </c>
      <c r="B610" s="1601"/>
      <c r="C610" s="1601"/>
      <c r="D610" s="1601"/>
      <c r="E610" s="1601"/>
      <c r="F610" s="1801"/>
      <c r="G610" s="436">
        <f>SUM(F608:F609)</f>
        <v>74907.247957946151</v>
      </c>
    </row>
    <row r="611" spans="1:7" ht="13.5" customHeight="1">
      <c r="A611" s="416"/>
      <c r="B611" s="416"/>
      <c r="C611" s="416"/>
      <c r="D611" s="416"/>
      <c r="E611" s="416"/>
      <c r="F611" s="458"/>
      <c r="G611" s="437"/>
    </row>
    <row r="612" spans="1:7" ht="13.5" customHeight="1">
      <c r="A612" s="2003" t="s">
        <v>1567</v>
      </c>
      <c r="B612" s="1601"/>
      <c r="C612" s="1601"/>
      <c r="D612" s="1601"/>
      <c r="E612" s="1601"/>
      <c r="F612" s="1801"/>
      <c r="G612" s="682">
        <f>ROUND(G592+G600+G605+G610,0)</f>
        <v>195703</v>
      </c>
    </row>
    <row r="613" spans="1:7" ht="13.5" customHeight="1">
      <c r="A613" s="420"/>
      <c r="B613" s="420"/>
      <c r="C613" s="420"/>
      <c r="D613" s="420"/>
      <c r="E613" s="420"/>
      <c r="F613" s="420"/>
      <c r="G613" s="420"/>
    </row>
    <row r="614" spans="1:7" ht="27" customHeight="1">
      <c r="A614" s="1994" t="e">
        <f>+'ANALISIS BASICOS'!$A$7</f>
        <v>#REF!</v>
      </c>
      <c r="B614" s="1616"/>
      <c r="C614" s="1624"/>
      <c r="D614" s="567"/>
      <c r="E614" s="567"/>
      <c r="F614" s="567"/>
      <c r="G614" s="668"/>
    </row>
    <row r="615" spans="1:7" ht="24" customHeight="1">
      <c r="A615" s="1971"/>
      <c r="B615" s="1817"/>
      <c r="C615" s="1972"/>
      <c r="D615" s="669"/>
      <c r="E615" s="669"/>
      <c r="F615" s="669"/>
      <c r="G615" s="670"/>
    </row>
    <row r="616" spans="1:7" ht="13.5" customHeight="1">
      <c r="A616" s="416"/>
      <c r="B616" s="416"/>
      <c r="C616" s="416"/>
      <c r="D616" s="416"/>
      <c r="E616" s="416"/>
      <c r="F616" s="416"/>
      <c r="G616" s="416"/>
    </row>
    <row r="617" spans="1:7" ht="50.25" customHeight="1">
      <c r="A617" s="1991" t="e">
        <f ca="1">+A585</f>
        <v>#NAME?</v>
      </c>
      <c r="B617" s="1601"/>
      <c r="C617" s="1602"/>
      <c r="D617" s="1974" t="s">
        <v>2122</v>
      </c>
      <c r="E617" s="1601"/>
      <c r="F617" s="1601"/>
      <c r="G617" s="1602"/>
    </row>
    <row r="618" spans="1:7" ht="13.5" customHeight="1">
      <c r="A618" s="418"/>
      <c r="B618" s="418"/>
      <c r="C618" s="418"/>
      <c r="D618" s="418"/>
      <c r="E618" s="418"/>
      <c r="F618" s="418"/>
      <c r="G618" s="418"/>
    </row>
    <row r="619" spans="1:7" ht="13.5" customHeight="1">
      <c r="A619" s="419"/>
      <c r="B619" s="416"/>
      <c r="C619" s="420"/>
      <c r="D619" s="421" t="s">
        <v>1553</v>
      </c>
      <c r="E619" s="422" t="s">
        <v>120</v>
      </c>
      <c r="F619" s="421" t="s">
        <v>1554</v>
      </c>
      <c r="G619" s="422" t="s">
        <v>537</v>
      </c>
    </row>
    <row r="620" spans="1:7" ht="13.5" customHeight="1">
      <c r="A620" s="423" t="s">
        <v>1555</v>
      </c>
      <c r="B620" s="416"/>
      <c r="C620" s="416"/>
      <c r="D620" s="416"/>
      <c r="E620" s="416"/>
      <c r="F620" s="416"/>
      <c r="G620" s="416"/>
    </row>
    <row r="621" spans="1:7" ht="13.5" customHeight="1">
      <c r="A621" s="1975" t="s">
        <v>1556</v>
      </c>
      <c r="B621" s="1601"/>
      <c r="C621" s="1801"/>
      <c r="D621" s="424" t="s">
        <v>208</v>
      </c>
      <c r="E621" s="424" t="s">
        <v>1558</v>
      </c>
      <c r="F621" s="424" t="s">
        <v>1559</v>
      </c>
      <c r="G621" s="425"/>
    </row>
    <row r="622" spans="1:7" ht="13.5" customHeight="1">
      <c r="A622" s="1981" t="str">
        <f>+'LISTADO EQUIPOS'!$C$22</f>
        <v>HERRAMIENTA MENOR.</v>
      </c>
      <c r="B622" s="1811"/>
      <c r="C622" s="1967"/>
      <c r="D622" s="449">
        <f>+'LISTADO EQUIPOS'!$E$22/8</f>
        <v>2850</v>
      </c>
      <c r="E622" s="427">
        <v>13</v>
      </c>
      <c r="F622" s="428">
        <f>+D622/E622</f>
        <v>219.23076923076923</v>
      </c>
      <c r="G622" s="429"/>
    </row>
    <row r="623" spans="1:7" ht="13.5" customHeight="1">
      <c r="A623" s="1982"/>
      <c r="B623" s="1807"/>
      <c r="C623" s="1819"/>
      <c r="D623" s="451"/>
      <c r="E623" s="671"/>
      <c r="F623" s="698"/>
      <c r="G623" s="672"/>
    </row>
    <row r="624" spans="1:7" ht="13.5" customHeight="1">
      <c r="A624" s="2003" t="s">
        <v>1560</v>
      </c>
      <c r="B624" s="1601"/>
      <c r="C624" s="1601"/>
      <c r="D624" s="1601"/>
      <c r="E624" s="1601"/>
      <c r="F624" s="1801"/>
      <c r="G624" s="436">
        <f>SUM(F622:F623)</f>
        <v>219.23076923076923</v>
      </c>
    </row>
    <row r="625" spans="1:7" ht="13.5" customHeight="1">
      <c r="A625" s="423" t="s">
        <v>1561</v>
      </c>
      <c r="B625" s="416"/>
      <c r="C625" s="416"/>
      <c r="D625" s="416"/>
      <c r="E625" s="416"/>
      <c r="F625" s="416"/>
      <c r="G625" s="437"/>
    </row>
    <row r="626" spans="1:7" ht="13.5" customHeight="1">
      <c r="A626" s="1975" t="s">
        <v>1556</v>
      </c>
      <c r="B626" s="1801"/>
      <c r="C626" s="424" t="s">
        <v>6</v>
      </c>
      <c r="D626" s="424" t="s">
        <v>1562</v>
      </c>
      <c r="E626" s="424" t="s">
        <v>7</v>
      </c>
      <c r="F626" s="424" t="s">
        <v>1559</v>
      </c>
      <c r="G626" s="673"/>
    </row>
    <row r="627" spans="1:7" ht="13.5" customHeight="1">
      <c r="A627" s="2014" t="s">
        <v>2123</v>
      </c>
      <c r="B627" s="1611"/>
      <c r="C627" s="439" t="str">
        <f>'LISTADO MATERIALES'!$D$636</f>
        <v>ML</v>
      </c>
      <c r="D627" s="440">
        <v>76825</v>
      </c>
      <c r="E627" s="441">
        <v>1.05</v>
      </c>
      <c r="F627" s="442">
        <f t="shared" ref="F627:F630" si="41">(D627*E627)</f>
        <v>80666.25</v>
      </c>
      <c r="G627" s="443"/>
    </row>
    <row r="628" spans="1:7" ht="13.5" customHeight="1">
      <c r="A628" s="2014" t="str">
        <f>'LISTADO MATERIALES'!$C$481</f>
        <v>LIMPIADOR/REMOVEDOR  PVC. ( 1/4  Gal )</v>
      </c>
      <c r="B628" s="1611"/>
      <c r="C628" s="439" t="str">
        <f>'LISTADO MATERIALES'!$D$481</f>
        <v>UND</v>
      </c>
      <c r="D628" s="440">
        <f>'LISTADO MATERIALES'!$E$481</f>
        <v>33445</v>
      </c>
      <c r="E628" s="444">
        <v>0.02</v>
      </c>
      <c r="F628" s="440">
        <f t="shared" si="41"/>
        <v>668.9</v>
      </c>
      <c r="G628" s="445"/>
    </row>
    <row r="629" spans="1:7" ht="13.5" customHeight="1">
      <c r="A629" s="2085" t="str">
        <f>'LISTADO MATERIALES'!$C$515</f>
        <v>SOLDADURA LIQUIDA  PVC.  (1/4 Gal )</v>
      </c>
      <c r="B629" s="1611"/>
      <c r="C629" s="439" t="str">
        <f>'LISTADO MATERIALES'!$D$515</f>
        <v>UND</v>
      </c>
      <c r="D629" s="440">
        <f>'LISTADO MATERIALES'!$E$515</f>
        <v>69138</v>
      </c>
      <c r="E629" s="446">
        <v>0.02</v>
      </c>
      <c r="F629" s="440">
        <f t="shared" si="41"/>
        <v>1382.76</v>
      </c>
      <c r="G629" s="445"/>
    </row>
    <row r="630" spans="1:7" ht="13.5" customHeight="1">
      <c r="A630" s="2085" t="str">
        <f>'LISTADO MATERIALES'!$C$132</f>
        <v>ARENA PARA SELLO</v>
      </c>
      <c r="B630" s="1611"/>
      <c r="C630" s="439" t="str">
        <f>'LISTADO MATERIALES'!$D$132</f>
        <v>M3</v>
      </c>
      <c r="D630" s="440">
        <f>'LISTADO MATERIALES'!$E$132</f>
        <v>31500</v>
      </c>
      <c r="E630" s="446">
        <v>0.15</v>
      </c>
      <c r="F630" s="440">
        <f t="shared" si="41"/>
        <v>4725</v>
      </c>
      <c r="G630" s="445"/>
    </row>
    <row r="631" spans="1:7" ht="13.5" customHeight="1">
      <c r="A631" s="2052"/>
      <c r="B631" s="1819"/>
      <c r="C631" s="1013"/>
      <c r="D631" s="506"/>
      <c r="E631" s="1013"/>
      <c r="F631" s="496"/>
      <c r="G631" s="742"/>
    </row>
    <row r="632" spans="1:7" ht="13.5" customHeight="1">
      <c r="A632" s="2003" t="s">
        <v>1560</v>
      </c>
      <c r="B632" s="1601"/>
      <c r="C632" s="1601"/>
      <c r="D632" s="1601"/>
      <c r="E632" s="1601"/>
      <c r="F632" s="1801"/>
      <c r="G632" s="436">
        <f>SUM(F627:F631)</f>
        <v>87442.909999999989</v>
      </c>
    </row>
    <row r="633" spans="1:7" ht="13.5" customHeight="1">
      <c r="A633" s="423" t="s">
        <v>1563</v>
      </c>
      <c r="B633" s="416"/>
      <c r="C633" s="416"/>
      <c r="D633" s="416"/>
      <c r="E633" s="416"/>
      <c r="F633" s="416"/>
      <c r="G633" s="437"/>
    </row>
    <row r="634" spans="1:7" ht="13.5" customHeight="1">
      <c r="A634" s="1975" t="s">
        <v>1556</v>
      </c>
      <c r="B634" s="1801"/>
      <c r="C634" s="424" t="s">
        <v>6</v>
      </c>
      <c r="D634" s="424" t="s">
        <v>1562</v>
      </c>
      <c r="E634" s="424" t="s">
        <v>7</v>
      </c>
      <c r="F634" s="424" t="s">
        <v>1559</v>
      </c>
      <c r="G634" s="438"/>
    </row>
    <row r="635" spans="1:7" ht="13.5" customHeight="1">
      <c r="A635" s="1981"/>
      <c r="B635" s="1967"/>
      <c r="C635" s="448"/>
      <c r="D635" s="449"/>
      <c r="E635" s="450"/>
      <c r="F635" s="431"/>
      <c r="G635" s="443"/>
    </row>
    <row r="636" spans="1:7" ht="13.5" customHeight="1">
      <c r="A636" s="1982"/>
      <c r="B636" s="1819"/>
      <c r="C636" s="448"/>
      <c r="D636" s="451"/>
      <c r="E636" s="452"/>
      <c r="F636" s="451"/>
      <c r="G636" s="447"/>
    </row>
    <row r="637" spans="1:7" ht="13.5" customHeight="1">
      <c r="A637" s="2003" t="s">
        <v>1560</v>
      </c>
      <c r="B637" s="1601"/>
      <c r="C637" s="1601"/>
      <c r="D637" s="1601"/>
      <c r="E637" s="1601"/>
      <c r="F637" s="1801"/>
      <c r="G637" s="436"/>
    </row>
    <row r="638" spans="1:7" ht="13.5" customHeight="1">
      <c r="A638" s="423" t="s">
        <v>1564</v>
      </c>
      <c r="B638" s="416"/>
      <c r="C638" s="416"/>
      <c r="D638" s="416"/>
      <c r="E638" s="416"/>
      <c r="F638" s="416"/>
      <c r="G638" s="437"/>
    </row>
    <row r="639" spans="1:7" ht="13.5" customHeight="1">
      <c r="A639" s="1975" t="s">
        <v>1565</v>
      </c>
      <c r="B639" s="1801"/>
      <c r="C639" s="424" t="s">
        <v>1566</v>
      </c>
      <c r="D639" s="424" t="s">
        <v>6</v>
      </c>
      <c r="E639" s="424" t="s">
        <v>7</v>
      </c>
      <c r="F639" s="424" t="s">
        <v>1559</v>
      </c>
      <c r="G639" s="462"/>
    </row>
    <row r="640" spans="1:7" ht="13.5" customHeight="1">
      <c r="A640" s="2004" t="str">
        <f>+'MANO DE OBRA'!$A$64</f>
        <v>Oficial (Incl. Prestaciones)</v>
      </c>
      <c r="B640" s="1888"/>
      <c r="C640" s="679">
        <f>+'MANO DE OBRA'!$E$64</f>
        <v>15031.25</v>
      </c>
      <c r="D640" s="680">
        <v>1</v>
      </c>
      <c r="E640" s="680">
        <v>0.4367559374446735</v>
      </c>
      <c r="F640" s="694">
        <f t="shared" ref="F640:F641" si="42">+(C640*D640)/E640</f>
        <v>34415.674090072556</v>
      </c>
      <c r="G640" s="443"/>
    </row>
    <row r="641" spans="1:7" ht="13.5" customHeight="1">
      <c r="A641" s="1968" t="str">
        <f>+'MANO DE OBRA'!$A$65</f>
        <v>Ayudante (Incl. Prestaciones)</v>
      </c>
      <c r="B641" s="1819"/>
      <c r="C641" s="681">
        <f>+'MANO DE OBRA'!$E$65</f>
        <v>10972.8125</v>
      </c>
      <c r="D641" s="562">
        <v>2</v>
      </c>
      <c r="E641" s="562">
        <f>+E640</f>
        <v>0.4367559374446735</v>
      </c>
      <c r="F641" s="695">
        <f t="shared" si="42"/>
        <v>50246.884171505932</v>
      </c>
      <c r="G641" s="456"/>
    </row>
    <row r="642" spans="1:7" ht="13.5" customHeight="1">
      <c r="A642" s="2003" t="str">
        <f>+A637</f>
        <v>SUB-TOTAL</v>
      </c>
      <c r="B642" s="1601"/>
      <c r="C642" s="1601"/>
      <c r="D642" s="1601"/>
      <c r="E642" s="1601"/>
      <c r="F642" s="1801"/>
      <c r="G642" s="436">
        <f>SUM(F640:F641)</f>
        <v>84662.558261578495</v>
      </c>
    </row>
    <row r="643" spans="1:7" ht="13.5" customHeight="1">
      <c r="A643" s="416"/>
      <c r="B643" s="416"/>
      <c r="C643" s="416"/>
      <c r="D643" s="416"/>
      <c r="E643" s="416"/>
      <c r="F643" s="458"/>
      <c r="G643" s="437"/>
    </row>
    <row r="644" spans="1:7" ht="13.5" customHeight="1">
      <c r="A644" s="2003" t="s">
        <v>1567</v>
      </c>
      <c r="B644" s="1601"/>
      <c r="C644" s="1601"/>
      <c r="D644" s="1601"/>
      <c r="E644" s="1601"/>
      <c r="F644" s="1801"/>
      <c r="G644" s="682">
        <f>ROUND(G624+G632+G637+G642,0)</f>
        <v>172325</v>
      </c>
    </row>
    <row r="645" spans="1:7" ht="13.5" customHeight="1">
      <c r="A645" s="420"/>
      <c r="B645" s="420"/>
      <c r="C645" s="420"/>
      <c r="D645" s="420"/>
      <c r="E645" s="420"/>
      <c r="F645" s="420"/>
      <c r="G645" s="420"/>
    </row>
    <row r="646" spans="1:7" ht="27" customHeight="1">
      <c r="A646" s="1994" t="e">
        <f>+'ANALISIS BASICOS'!$A$7</f>
        <v>#REF!</v>
      </c>
      <c r="B646" s="1616"/>
      <c r="C646" s="1624"/>
      <c r="D646" s="567"/>
      <c r="E646" s="567"/>
      <c r="F646" s="567"/>
      <c r="G646" s="668"/>
    </row>
    <row r="647" spans="1:7" ht="24" customHeight="1">
      <c r="A647" s="1971"/>
      <c r="B647" s="1817"/>
      <c r="C647" s="1972"/>
      <c r="D647" s="669"/>
      <c r="E647" s="669"/>
      <c r="F647" s="669"/>
      <c r="G647" s="670"/>
    </row>
    <row r="648" spans="1:7" ht="13.5" customHeight="1">
      <c r="A648" s="416"/>
      <c r="B648" s="416"/>
      <c r="C648" s="416"/>
      <c r="D648" s="416"/>
      <c r="E648" s="416"/>
      <c r="F648" s="416"/>
      <c r="G648" s="416"/>
    </row>
    <row r="649" spans="1:7" ht="50.25" customHeight="1">
      <c r="A649" s="1991" t="e">
        <f ca="1">+A617</f>
        <v>#NAME?</v>
      </c>
      <c r="B649" s="1601"/>
      <c r="C649" s="1602"/>
      <c r="D649" s="1974" t="s">
        <v>2124</v>
      </c>
      <c r="E649" s="1601"/>
      <c r="F649" s="1601"/>
      <c r="G649" s="1602"/>
    </row>
    <row r="650" spans="1:7" ht="13.5" customHeight="1">
      <c r="A650" s="418"/>
      <c r="B650" s="418"/>
      <c r="C650" s="418"/>
      <c r="D650" s="418"/>
      <c r="E650" s="418"/>
      <c r="F650" s="418"/>
      <c r="G650" s="418"/>
    </row>
    <row r="651" spans="1:7" ht="13.5" customHeight="1">
      <c r="A651" s="419"/>
      <c r="B651" s="416"/>
      <c r="C651" s="420"/>
      <c r="D651" s="421" t="s">
        <v>1553</v>
      </c>
      <c r="E651" s="422" t="s">
        <v>127</v>
      </c>
      <c r="F651" s="421" t="s">
        <v>1554</v>
      </c>
      <c r="G651" s="422" t="s">
        <v>539</v>
      </c>
    </row>
    <row r="652" spans="1:7" ht="13.5" customHeight="1">
      <c r="A652" s="423" t="s">
        <v>1555</v>
      </c>
      <c r="B652" s="416"/>
      <c r="C652" s="416"/>
      <c r="D652" s="416"/>
      <c r="E652" s="416"/>
      <c r="F652" s="416"/>
      <c r="G652" s="416"/>
    </row>
    <row r="653" spans="1:7" ht="13.5" customHeight="1">
      <c r="A653" s="1975" t="s">
        <v>1556</v>
      </c>
      <c r="B653" s="1601"/>
      <c r="C653" s="1801"/>
      <c r="D653" s="424" t="s">
        <v>208</v>
      </c>
      <c r="E653" s="424" t="s">
        <v>1558</v>
      </c>
      <c r="F653" s="424" t="s">
        <v>1559</v>
      </c>
      <c r="G653" s="425"/>
    </row>
    <row r="654" spans="1:7" ht="13.5" customHeight="1">
      <c r="A654" s="1981" t="str">
        <f>+'LISTADO EQUIPOS'!$C$22</f>
        <v>HERRAMIENTA MENOR.</v>
      </c>
      <c r="B654" s="1811"/>
      <c r="C654" s="1967"/>
      <c r="D654" s="449">
        <f>+'LISTADO EQUIPOS'!$E$22/8</f>
        <v>2850</v>
      </c>
      <c r="E654" s="427">
        <v>13</v>
      </c>
      <c r="F654" s="428">
        <f>+D654/E654</f>
        <v>219.23076923076923</v>
      </c>
      <c r="G654" s="429"/>
    </row>
    <row r="655" spans="1:7" ht="13.5" customHeight="1">
      <c r="A655" s="1982"/>
      <c r="B655" s="1807"/>
      <c r="C655" s="1819"/>
      <c r="D655" s="451"/>
      <c r="E655" s="671"/>
      <c r="F655" s="698"/>
      <c r="G655" s="672"/>
    </row>
    <row r="656" spans="1:7" ht="13.5" customHeight="1">
      <c r="A656" s="2003" t="s">
        <v>1560</v>
      </c>
      <c r="B656" s="1601"/>
      <c r="C656" s="1601"/>
      <c r="D656" s="1601"/>
      <c r="E656" s="1601"/>
      <c r="F656" s="1801"/>
      <c r="G656" s="436">
        <f>SUM(F654:F655)</f>
        <v>219.23076923076923</v>
      </c>
    </row>
    <row r="657" spans="1:7" ht="13.5" customHeight="1">
      <c r="A657" s="423" t="s">
        <v>1561</v>
      </c>
      <c r="B657" s="416"/>
      <c r="C657" s="416"/>
      <c r="D657" s="416"/>
      <c r="E657" s="416"/>
      <c r="F657" s="416"/>
      <c r="G657" s="437"/>
    </row>
    <row r="658" spans="1:7" ht="13.5" customHeight="1">
      <c r="A658" s="1975" t="s">
        <v>1556</v>
      </c>
      <c r="B658" s="1801"/>
      <c r="C658" s="424" t="s">
        <v>6</v>
      </c>
      <c r="D658" s="424" t="s">
        <v>1562</v>
      </c>
      <c r="E658" s="424" t="s">
        <v>7</v>
      </c>
      <c r="F658" s="424" t="s">
        <v>1559</v>
      </c>
      <c r="G658" s="673"/>
    </row>
    <row r="659" spans="1:7" ht="13.5" customHeight="1">
      <c r="A659" s="2014" t="s">
        <v>2125</v>
      </c>
      <c r="B659" s="1611"/>
      <c r="C659" s="439" t="str">
        <f>'LISTADO MATERIALES'!$D$636</f>
        <v>ML</v>
      </c>
      <c r="D659" s="440">
        <v>115450</v>
      </c>
      <c r="E659" s="441">
        <v>1.05</v>
      </c>
      <c r="F659" s="442">
        <f t="shared" ref="F659:F662" si="43">(D659*E659)</f>
        <v>121222.5</v>
      </c>
      <c r="G659" s="443"/>
    </row>
    <row r="660" spans="1:7" ht="13.5" customHeight="1">
      <c r="A660" s="2014" t="str">
        <f>'LISTADO MATERIALES'!$C$481</f>
        <v>LIMPIADOR/REMOVEDOR  PVC. ( 1/4  Gal )</v>
      </c>
      <c r="B660" s="1611"/>
      <c r="C660" s="439" t="str">
        <f>'LISTADO MATERIALES'!$D$481</f>
        <v>UND</v>
      </c>
      <c r="D660" s="440">
        <f>'LISTADO MATERIALES'!$E$481</f>
        <v>33445</v>
      </c>
      <c r="E660" s="444">
        <v>0.02</v>
      </c>
      <c r="F660" s="440">
        <f t="shared" si="43"/>
        <v>668.9</v>
      </c>
      <c r="G660" s="445"/>
    </row>
    <row r="661" spans="1:7" ht="13.5" customHeight="1">
      <c r="A661" s="2085" t="str">
        <f>'LISTADO MATERIALES'!$C$515</f>
        <v>SOLDADURA LIQUIDA  PVC.  (1/4 Gal )</v>
      </c>
      <c r="B661" s="1611"/>
      <c r="C661" s="439" t="str">
        <f>'LISTADO MATERIALES'!$D$515</f>
        <v>UND</v>
      </c>
      <c r="D661" s="440">
        <f>'LISTADO MATERIALES'!$E$515</f>
        <v>69138</v>
      </c>
      <c r="E661" s="446">
        <v>0.02</v>
      </c>
      <c r="F661" s="440">
        <f t="shared" si="43"/>
        <v>1382.76</v>
      </c>
      <c r="G661" s="445"/>
    </row>
    <row r="662" spans="1:7" ht="13.5" customHeight="1">
      <c r="A662" s="2085" t="str">
        <f>'LISTADO MATERIALES'!$C$132</f>
        <v>ARENA PARA SELLO</v>
      </c>
      <c r="B662" s="1611"/>
      <c r="C662" s="439" t="str">
        <f>'LISTADO MATERIALES'!$D$132</f>
        <v>M3</v>
      </c>
      <c r="D662" s="440">
        <f>'LISTADO MATERIALES'!$E$132</f>
        <v>31500</v>
      </c>
      <c r="E662" s="446">
        <v>7.0000000000000007E-2</v>
      </c>
      <c r="F662" s="440">
        <f t="shared" si="43"/>
        <v>2205</v>
      </c>
      <c r="G662" s="445"/>
    </row>
    <row r="663" spans="1:7" ht="13.5" customHeight="1">
      <c r="A663" s="2052"/>
      <c r="B663" s="1819"/>
      <c r="C663" s="1013"/>
      <c r="D663" s="506"/>
      <c r="E663" s="1013"/>
      <c r="F663" s="496"/>
      <c r="G663" s="742"/>
    </row>
    <row r="664" spans="1:7" ht="13.5" customHeight="1">
      <c r="A664" s="2003" t="s">
        <v>1560</v>
      </c>
      <c r="B664" s="1601"/>
      <c r="C664" s="1601"/>
      <c r="D664" s="1601"/>
      <c r="E664" s="1601"/>
      <c r="F664" s="1801"/>
      <c r="G664" s="436">
        <f>SUM(F659:F663)</f>
        <v>125479.15999999999</v>
      </c>
    </row>
    <row r="665" spans="1:7" ht="13.5" customHeight="1">
      <c r="A665" s="423" t="s">
        <v>1563</v>
      </c>
      <c r="B665" s="416"/>
      <c r="C665" s="416"/>
      <c r="D665" s="416"/>
      <c r="E665" s="416"/>
      <c r="F665" s="416"/>
      <c r="G665" s="437"/>
    </row>
    <row r="666" spans="1:7" ht="13.5" customHeight="1">
      <c r="A666" s="1975" t="s">
        <v>1556</v>
      </c>
      <c r="B666" s="1801"/>
      <c r="C666" s="424" t="s">
        <v>6</v>
      </c>
      <c r="D666" s="424" t="s">
        <v>1562</v>
      </c>
      <c r="E666" s="424" t="s">
        <v>7</v>
      </c>
      <c r="F666" s="424" t="s">
        <v>1559</v>
      </c>
      <c r="G666" s="438"/>
    </row>
    <row r="667" spans="1:7" ht="13.5" customHeight="1">
      <c r="A667" s="1981"/>
      <c r="B667" s="1967"/>
      <c r="C667" s="448"/>
      <c r="D667" s="449"/>
      <c r="E667" s="450"/>
      <c r="F667" s="431"/>
      <c r="G667" s="443"/>
    </row>
    <row r="668" spans="1:7" ht="13.5" customHeight="1">
      <c r="A668" s="1982"/>
      <c r="B668" s="1819"/>
      <c r="C668" s="448"/>
      <c r="D668" s="451"/>
      <c r="E668" s="452"/>
      <c r="F668" s="451"/>
      <c r="G668" s="447"/>
    </row>
    <row r="669" spans="1:7" ht="13.5" customHeight="1">
      <c r="A669" s="2003" t="s">
        <v>1560</v>
      </c>
      <c r="B669" s="1601"/>
      <c r="C669" s="1601"/>
      <c r="D669" s="1601"/>
      <c r="E669" s="1601"/>
      <c r="F669" s="1801"/>
      <c r="G669" s="436"/>
    </row>
    <row r="670" spans="1:7" ht="13.5" customHeight="1">
      <c r="A670" s="423" t="s">
        <v>1564</v>
      </c>
      <c r="B670" s="416"/>
      <c r="C670" s="416"/>
      <c r="D670" s="416"/>
      <c r="E670" s="416"/>
      <c r="F670" s="416"/>
      <c r="G670" s="437"/>
    </row>
    <row r="671" spans="1:7" ht="13.5" customHeight="1">
      <c r="A671" s="1975" t="s">
        <v>1565</v>
      </c>
      <c r="B671" s="1801"/>
      <c r="C671" s="424" t="s">
        <v>1566</v>
      </c>
      <c r="D671" s="424" t="s">
        <v>6</v>
      </c>
      <c r="E671" s="424" t="s">
        <v>7</v>
      </c>
      <c r="F671" s="424" t="s">
        <v>1559</v>
      </c>
      <c r="G671" s="462"/>
    </row>
    <row r="672" spans="1:7" ht="13.5" customHeight="1">
      <c r="A672" s="2004" t="str">
        <f>+'MANO DE OBRA'!$A$64</f>
        <v>Oficial (Incl. Prestaciones)</v>
      </c>
      <c r="B672" s="1888"/>
      <c r="C672" s="679">
        <f>+'MANO DE OBRA'!$E$64</f>
        <v>15031.25</v>
      </c>
      <c r="D672" s="680">
        <v>1</v>
      </c>
      <c r="E672" s="680">
        <v>0.63740476885957964</v>
      </c>
      <c r="F672" s="694">
        <f t="shared" ref="F672:F673" si="44">+(C672*D672)/E672</f>
        <v>23581.954096285379</v>
      </c>
      <c r="G672" s="443"/>
    </row>
    <row r="673" spans="1:7" ht="13.5" customHeight="1">
      <c r="A673" s="1968" t="str">
        <f>+'MANO DE OBRA'!$A$65</f>
        <v>Ayudante (Incl. Prestaciones)</v>
      </c>
      <c r="B673" s="1819"/>
      <c r="C673" s="681">
        <f>+'MANO DE OBRA'!$E$65</f>
        <v>10972.8125</v>
      </c>
      <c r="D673" s="562">
        <v>2</v>
      </c>
      <c r="E673" s="562">
        <f>+E672</f>
        <v>0.63740476885957964</v>
      </c>
      <c r="F673" s="695">
        <f t="shared" si="44"/>
        <v>34429.652980576655</v>
      </c>
      <c r="G673" s="456"/>
    </row>
    <row r="674" spans="1:7" ht="13.5" customHeight="1">
      <c r="A674" s="2003" t="str">
        <f>+A669</f>
        <v>SUB-TOTAL</v>
      </c>
      <c r="B674" s="1601"/>
      <c r="C674" s="1601"/>
      <c r="D674" s="1601"/>
      <c r="E674" s="1601"/>
      <c r="F674" s="1801"/>
      <c r="G674" s="436">
        <f>SUM(F672:F673)</f>
        <v>58011.607076862034</v>
      </c>
    </row>
    <row r="675" spans="1:7" ht="13.5" customHeight="1">
      <c r="A675" s="416"/>
      <c r="B675" s="416"/>
      <c r="C675" s="416"/>
      <c r="D675" s="416"/>
      <c r="E675" s="416"/>
      <c r="F675" s="458"/>
      <c r="G675" s="437"/>
    </row>
    <row r="676" spans="1:7" ht="13.5" customHeight="1">
      <c r="A676" s="2003" t="s">
        <v>1567</v>
      </c>
      <c r="B676" s="1601"/>
      <c r="C676" s="1601"/>
      <c r="D676" s="1601"/>
      <c r="E676" s="1601"/>
      <c r="F676" s="1801"/>
      <c r="G676" s="682">
        <f>ROUND(G656+G664+G669+G674,0)</f>
        <v>183710</v>
      </c>
    </row>
  </sheetData>
  <mergeCells count="480">
    <mergeCell ref="A334:B334"/>
    <mergeCell ref="A335:B335"/>
    <mergeCell ref="A336:B336"/>
    <mergeCell ref="A337:F337"/>
    <mergeCell ref="A339:B339"/>
    <mergeCell ref="A340:B340"/>
    <mergeCell ref="A341:B341"/>
    <mergeCell ref="A342:F342"/>
    <mergeCell ref="A344:F344"/>
    <mergeCell ref="A347:C348"/>
    <mergeCell ref="D347:G348"/>
    <mergeCell ref="A350:C350"/>
    <mergeCell ref="D350:G350"/>
    <mergeCell ref="A354:C354"/>
    <mergeCell ref="A355:C355"/>
    <mergeCell ref="A356:C356"/>
    <mergeCell ref="A357:F357"/>
    <mergeCell ref="A359:B359"/>
    <mergeCell ref="A360:B360"/>
    <mergeCell ref="A361:B361"/>
    <mergeCell ref="A362:B362"/>
    <mergeCell ref="A363:B363"/>
    <mergeCell ref="A364:F364"/>
    <mergeCell ref="A366:B366"/>
    <mergeCell ref="A367:B367"/>
    <mergeCell ref="A368:B368"/>
    <mergeCell ref="A369:F369"/>
    <mergeCell ref="A371:B371"/>
    <mergeCell ref="A372:B372"/>
    <mergeCell ref="A373:B373"/>
    <mergeCell ref="A374:F374"/>
    <mergeCell ref="A376:F376"/>
    <mergeCell ref="A379:C380"/>
    <mergeCell ref="A382:C382"/>
    <mergeCell ref="D382:G382"/>
    <mergeCell ref="A386:C386"/>
    <mergeCell ref="A387:C387"/>
    <mergeCell ref="A388:C388"/>
    <mergeCell ref="A389:F389"/>
    <mergeCell ref="A391:B391"/>
    <mergeCell ref="A392:B392"/>
    <mergeCell ref="A393:B393"/>
    <mergeCell ref="A394:B394"/>
    <mergeCell ref="A395:B395"/>
    <mergeCell ref="A396:F396"/>
    <mergeCell ref="A398:B398"/>
    <mergeCell ref="A399:B399"/>
    <mergeCell ref="A400:B400"/>
    <mergeCell ref="A401:F401"/>
    <mergeCell ref="A454:C454"/>
    <mergeCell ref="A455:C455"/>
    <mergeCell ref="A456:C456"/>
    <mergeCell ref="A457:C457"/>
    <mergeCell ref="A458:F458"/>
    <mergeCell ref="A403:B403"/>
    <mergeCell ref="A404:B404"/>
    <mergeCell ref="A405:B405"/>
    <mergeCell ref="A406:F406"/>
    <mergeCell ref="A408:F408"/>
    <mergeCell ref="A411:C412"/>
    <mergeCell ref="D414:G414"/>
    <mergeCell ref="A414:C414"/>
    <mergeCell ref="A418:C418"/>
    <mergeCell ref="A419:C419"/>
    <mergeCell ref="A420:C420"/>
    <mergeCell ref="A421:C421"/>
    <mergeCell ref="A422:F422"/>
    <mergeCell ref="A424:B424"/>
    <mergeCell ref="A431:B431"/>
    <mergeCell ref="A434:B434"/>
    <mergeCell ref="A435:B435"/>
    <mergeCell ref="A436:B436"/>
    <mergeCell ref="A439:B439"/>
    <mergeCell ref="A440:B440"/>
    <mergeCell ref="A441:B441"/>
    <mergeCell ref="A425:B425"/>
    <mergeCell ref="A426:B426"/>
    <mergeCell ref="A427:B427"/>
    <mergeCell ref="A428:B428"/>
    <mergeCell ref="A429:B429"/>
    <mergeCell ref="A430:B430"/>
    <mergeCell ref="A432:F432"/>
    <mergeCell ref="A437:F437"/>
    <mergeCell ref="A442:F442"/>
    <mergeCell ref="A444:F444"/>
    <mergeCell ref="A447:C448"/>
    <mergeCell ref="D447:G448"/>
    <mergeCell ref="A450:C450"/>
    <mergeCell ref="D450:G450"/>
    <mergeCell ref="A469:B469"/>
    <mergeCell ref="A472:B472"/>
    <mergeCell ref="A473:B473"/>
    <mergeCell ref="A460:B460"/>
    <mergeCell ref="A461:B461"/>
    <mergeCell ref="A462:B462"/>
    <mergeCell ref="A463:B463"/>
    <mergeCell ref="A464:B464"/>
    <mergeCell ref="A465:F465"/>
    <mergeCell ref="A467:B467"/>
    <mergeCell ref="A468:B468"/>
    <mergeCell ref="A470:F470"/>
    <mergeCell ref="A474:B474"/>
    <mergeCell ref="A475:F475"/>
    <mergeCell ref="A477:F477"/>
    <mergeCell ref="A480:C481"/>
    <mergeCell ref="D480:G481"/>
    <mergeCell ref="A483:C483"/>
    <mergeCell ref="D483:G483"/>
    <mergeCell ref="A487:C487"/>
    <mergeCell ref="A488:C488"/>
    <mergeCell ref="A489:C489"/>
    <mergeCell ref="A490:C490"/>
    <mergeCell ref="A491:F491"/>
    <mergeCell ref="A493:B493"/>
    <mergeCell ref="A494:B494"/>
    <mergeCell ref="A495:B495"/>
    <mergeCell ref="A496:B496"/>
    <mergeCell ref="A497:B497"/>
    <mergeCell ref="A498:B498"/>
    <mergeCell ref="A499:B499"/>
    <mergeCell ref="A500:B500"/>
    <mergeCell ref="A501:F501"/>
    <mergeCell ref="A503:B503"/>
    <mergeCell ref="A504:B504"/>
    <mergeCell ref="A505:B505"/>
    <mergeCell ref="A506:F506"/>
    <mergeCell ref="A508:B508"/>
    <mergeCell ref="A509:B509"/>
    <mergeCell ref="A511:F511"/>
    <mergeCell ref="A513:F513"/>
    <mergeCell ref="A510:B510"/>
    <mergeCell ref="A516:C517"/>
    <mergeCell ref="A519:C519"/>
    <mergeCell ref="D519:G519"/>
    <mergeCell ref="A523:C523"/>
    <mergeCell ref="A524:C524"/>
    <mergeCell ref="A525:C525"/>
    <mergeCell ref="A533:B533"/>
    <mergeCell ref="A536:B536"/>
    <mergeCell ref="A537:B537"/>
    <mergeCell ref="A538:B538"/>
    <mergeCell ref="A541:B541"/>
    <mergeCell ref="A542:B542"/>
    <mergeCell ref="A543:B543"/>
    <mergeCell ref="A526:C526"/>
    <mergeCell ref="A527:F527"/>
    <mergeCell ref="A529:B529"/>
    <mergeCell ref="A530:B530"/>
    <mergeCell ref="A531:B531"/>
    <mergeCell ref="A532:B532"/>
    <mergeCell ref="A534:F534"/>
    <mergeCell ref="A539:F539"/>
    <mergeCell ref="A544:F544"/>
    <mergeCell ref="A546:F546"/>
    <mergeCell ref="A549:C550"/>
    <mergeCell ref="A552:C552"/>
    <mergeCell ref="D552:G552"/>
    <mergeCell ref="A556:C556"/>
    <mergeCell ref="A626:B626"/>
    <mergeCell ref="A627:B627"/>
    <mergeCell ref="A628:B628"/>
    <mergeCell ref="A557:C557"/>
    <mergeCell ref="A558:C558"/>
    <mergeCell ref="A559:F559"/>
    <mergeCell ref="A561:B561"/>
    <mergeCell ref="A562:B562"/>
    <mergeCell ref="A563:B563"/>
    <mergeCell ref="A564:B564"/>
    <mergeCell ref="A565:B565"/>
    <mergeCell ref="A566:B566"/>
    <mergeCell ref="A567:F567"/>
    <mergeCell ref="A569:B569"/>
    <mergeCell ref="A570:B570"/>
    <mergeCell ref="A571:B571"/>
    <mergeCell ref="A572:F572"/>
    <mergeCell ref="A574:B574"/>
    <mergeCell ref="A629:B629"/>
    <mergeCell ref="A630:B630"/>
    <mergeCell ref="A631:B631"/>
    <mergeCell ref="A632:F632"/>
    <mergeCell ref="A634:B634"/>
    <mergeCell ref="A635:B635"/>
    <mergeCell ref="A636:B636"/>
    <mergeCell ref="A637:F637"/>
    <mergeCell ref="A639:B639"/>
    <mergeCell ref="A640:B640"/>
    <mergeCell ref="A641:B641"/>
    <mergeCell ref="A642:F642"/>
    <mergeCell ref="A644:F644"/>
    <mergeCell ref="A646:C647"/>
    <mergeCell ref="A649:C649"/>
    <mergeCell ref="D649:G649"/>
    <mergeCell ref="A653:C653"/>
    <mergeCell ref="A654:C654"/>
    <mergeCell ref="A655:C655"/>
    <mergeCell ref="A656:F656"/>
    <mergeCell ref="A658:B658"/>
    <mergeCell ref="A659:B659"/>
    <mergeCell ref="A660:B660"/>
    <mergeCell ref="A661:B661"/>
    <mergeCell ref="A662:B662"/>
    <mergeCell ref="A672:B672"/>
    <mergeCell ref="A673:B673"/>
    <mergeCell ref="A674:F674"/>
    <mergeCell ref="A676:F676"/>
    <mergeCell ref="A663:B663"/>
    <mergeCell ref="A664:F664"/>
    <mergeCell ref="A666:B666"/>
    <mergeCell ref="A667:B667"/>
    <mergeCell ref="A668:B668"/>
    <mergeCell ref="A669:F669"/>
    <mergeCell ref="A671:B671"/>
    <mergeCell ref="A575:B575"/>
    <mergeCell ref="A576:B576"/>
    <mergeCell ref="A577:F577"/>
    <mergeCell ref="A579:F579"/>
    <mergeCell ref="A582:C583"/>
    <mergeCell ref="D585:G585"/>
    <mergeCell ref="A585:C585"/>
    <mergeCell ref="A589:C589"/>
    <mergeCell ref="A590:C590"/>
    <mergeCell ref="A591:C591"/>
    <mergeCell ref="A592:F592"/>
    <mergeCell ref="A594:B594"/>
    <mergeCell ref="A595:B595"/>
    <mergeCell ref="A596:B596"/>
    <mergeCell ref="A597:B597"/>
    <mergeCell ref="A598:B598"/>
    <mergeCell ref="A599:B599"/>
    <mergeCell ref="A600:F600"/>
    <mergeCell ref="A602:B602"/>
    <mergeCell ref="A603:B603"/>
    <mergeCell ref="A604:B604"/>
    <mergeCell ref="A605:F605"/>
    <mergeCell ref="A607:B607"/>
    <mergeCell ref="A608:B608"/>
    <mergeCell ref="A609:B609"/>
    <mergeCell ref="A610:F610"/>
    <mergeCell ref="A612:F612"/>
    <mergeCell ref="A614:C615"/>
    <mergeCell ref="A617:C617"/>
    <mergeCell ref="D617:G617"/>
    <mergeCell ref="A621:C621"/>
    <mergeCell ref="A622:C622"/>
    <mergeCell ref="A623:C623"/>
    <mergeCell ref="A624:F624"/>
    <mergeCell ref="A7:C8"/>
    <mergeCell ref="A10:C10"/>
    <mergeCell ref="D10:G10"/>
    <mergeCell ref="A14:C14"/>
    <mergeCell ref="A15:C15"/>
    <mergeCell ref="A16:C16"/>
    <mergeCell ref="A17:F17"/>
    <mergeCell ref="A19:B19"/>
    <mergeCell ref="A20:B20"/>
    <mergeCell ref="A21:B21"/>
    <mergeCell ref="A22:B22"/>
    <mergeCell ref="A23:B23"/>
    <mergeCell ref="A24:F24"/>
    <mergeCell ref="A26:B26"/>
    <mergeCell ref="A27:B27"/>
    <mergeCell ref="A28:B28"/>
    <mergeCell ref="A29:F29"/>
    <mergeCell ref="A31:B31"/>
    <mergeCell ref="A32:B32"/>
    <mergeCell ref="A34:F34"/>
    <mergeCell ref="A36:F36"/>
    <mergeCell ref="A33:B33"/>
    <mergeCell ref="A39:C40"/>
    <mergeCell ref="D39:G40"/>
    <mergeCell ref="A42:C42"/>
    <mergeCell ref="D42:G42"/>
    <mergeCell ref="A46:C46"/>
    <mergeCell ref="A47:C47"/>
    <mergeCell ref="A48:C48"/>
    <mergeCell ref="A49:F49"/>
    <mergeCell ref="A51:B51"/>
    <mergeCell ref="A52:B52"/>
    <mergeCell ref="A53:B53"/>
    <mergeCell ref="A54:B54"/>
    <mergeCell ref="A55:B55"/>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130:C130"/>
    <mergeCell ref="A131:C131"/>
    <mergeCell ref="A132:C132"/>
    <mergeCell ref="A133:F133"/>
    <mergeCell ref="A70:B70"/>
    <mergeCell ref="A71:B71"/>
    <mergeCell ref="A72:B72"/>
    <mergeCell ref="A73:B73"/>
    <mergeCell ref="A74:B74"/>
    <mergeCell ref="A75:B75"/>
    <mergeCell ref="A101:F101"/>
    <mergeCell ref="A103:B103"/>
    <mergeCell ref="A104:B104"/>
    <mergeCell ref="A105:B105"/>
    <mergeCell ref="A106:B106"/>
    <mergeCell ref="A107:B107"/>
    <mergeCell ref="A108:F108"/>
    <mergeCell ref="A110:B110"/>
    <mergeCell ref="A111:B111"/>
    <mergeCell ref="A135:B135"/>
    <mergeCell ref="A136:B136"/>
    <mergeCell ref="A137:B137"/>
    <mergeCell ref="A138:B138"/>
    <mergeCell ref="A139:B139"/>
    <mergeCell ref="A140:F140"/>
    <mergeCell ref="A142:B142"/>
    <mergeCell ref="A143:B143"/>
    <mergeCell ref="A144:B144"/>
    <mergeCell ref="A145:F145"/>
    <mergeCell ref="A147:B147"/>
    <mergeCell ref="A148:B148"/>
    <mergeCell ref="A149:B149"/>
    <mergeCell ref="A150:F150"/>
    <mergeCell ref="A152:F152"/>
    <mergeCell ref="A155:C156"/>
    <mergeCell ref="D158:G158"/>
    <mergeCell ref="A158:C158"/>
    <mergeCell ref="A162:C162"/>
    <mergeCell ref="A163:C163"/>
    <mergeCell ref="A164:C164"/>
    <mergeCell ref="A165:F165"/>
    <mergeCell ref="A167:B167"/>
    <mergeCell ref="A168:B168"/>
    <mergeCell ref="A176:B176"/>
    <mergeCell ref="A179:B179"/>
    <mergeCell ref="A180:B180"/>
    <mergeCell ref="A181:B181"/>
    <mergeCell ref="A169:B169"/>
    <mergeCell ref="A170:B170"/>
    <mergeCell ref="A171:B171"/>
    <mergeCell ref="A172:F172"/>
    <mergeCell ref="A174:B174"/>
    <mergeCell ref="A175:B175"/>
    <mergeCell ref="A177:F177"/>
    <mergeCell ref="A76:B76"/>
    <mergeCell ref="A79:B79"/>
    <mergeCell ref="A80:B80"/>
    <mergeCell ref="A83:B83"/>
    <mergeCell ref="A84:B84"/>
    <mergeCell ref="A85:B85"/>
    <mergeCell ref="A77:F77"/>
    <mergeCell ref="A81:F81"/>
    <mergeCell ref="A86:F86"/>
    <mergeCell ref="A88:F88"/>
    <mergeCell ref="A91:C92"/>
    <mergeCell ref="A94:C94"/>
    <mergeCell ref="D94:G94"/>
    <mergeCell ref="A98:C98"/>
    <mergeCell ref="A99:C99"/>
    <mergeCell ref="A100:C100"/>
    <mergeCell ref="A112:B112"/>
    <mergeCell ref="A113:F113"/>
    <mergeCell ref="A115:B115"/>
    <mergeCell ref="A116:B116"/>
    <mergeCell ref="A117:B117"/>
    <mergeCell ref="A118:F118"/>
    <mergeCell ref="A120:F120"/>
    <mergeCell ref="A123:C124"/>
    <mergeCell ref="A126:C126"/>
    <mergeCell ref="D126:G126"/>
    <mergeCell ref="A182:F182"/>
    <mergeCell ref="A184:F184"/>
    <mergeCell ref="A187:C188"/>
    <mergeCell ref="A190:C190"/>
    <mergeCell ref="D190:G190"/>
    <mergeCell ref="A194:C194"/>
    <mergeCell ref="A195:C195"/>
    <mergeCell ref="A203:B203"/>
    <mergeCell ref="A206:B206"/>
    <mergeCell ref="A207:B207"/>
    <mergeCell ref="A208:B208"/>
    <mergeCell ref="A211:B211"/>
    <mergeCell ref="A212:B212"/>
    <mergeCell ref="A213:B213"/>
    <mergeCell ref="A196:C196"/>
    <mergeCell ref="A197:F197"/>
    <mergeCell ref="A199:B199"/>
    <mergeCell ref="A200:B200"/>
    <mergeCell ref="A201:B201"/>
    <mergeCell ref="A202:B202"/>
    <mergeCell ref="A204:F204"/>
    <mergeCell ref="A209:F209"/>
    <mergeCell ref="A214:F214"/>
    <mergeCell ref="A216:F216"/>
    <mergeCell ref="A219:C220"/>
    <mergeCell ref="D219:G220"/>
    <mergeCell ref="A222:C222"/>
    <mergeCell ref="D222:G222"/>
    <mergeCell ref="A226:C226"/>
    <mergeCell ref="A227:C227"/>
    <mergeCell ref="A228:C228"/>
    <mergeCell ref="A229:F229"/>
    <mergeCell ref="A231:B231"/>
    <mergeCell ref="A232:B232"/>
    <mergeCell ref="A233:B233"/>
    <mergeCell ref="A234:B234"/>
    <mergeCell ref="A235:B235"/>
    <mergeCell ref="A236:F236"/>
    <mergeCell ref="A238:B238"/>
    <mergeCell ref="A239:B239"/>
    <mergeCell ref="A240:B240"/>
    <mergeCell ref="A241:F241"/>
    <mergeCell ref="A243:B243"/>
    <mergeCell ref="A244:B244"/>
    <mergeCell ref="A245:B245"/>
    <mergeCell ref="A246:F246"/>
    <mergeCell ref="A248:F248"/>
    <mergeCell ref="A251:C251"/>
    <mergeCell ref="A252:C252"/>
    <mergeCell ref="A254:C254"/>
    <mergeCell ref="D254:G254"/>
    <mergeCell ref="A258:C258"/>
    <mergeCell ref="A259:C259"/>
    <mergeCell ref="A260:C260"/>
    <mergeCell ref="A261:F261"/>
    <mergeCell ref="A263:B263"/>
    <mergeCell ref="A264:B264"/>
    <mergeCell ref="A265:B265"/>
    <mergeCell ref="A266:B266"/>
    <mergeCell ref="A267:B267"/>
    <mergeCell ref="A268:F268"/>
    <mergeCell ref="A270:B270"/>
    <mergeCell ref="A271:B271"/>
    <mergeCell ref="A272:B272"/>
    <mergeCell ref="A273:F273"/>
    <mergeCell ref="A275:B275"/>
    <mergeCell ref="A276:B276"/>
    <mergeCell ref="A277:B277"/>
    <mergeCell ref="A278:F278"/>
    <mergeCell ref="A280:F280"/>
    <mergeCell ref="A283:C284"/>
    <mergeCell ref="A286:C286"/>
    <mergeCell ref="D286:G286"/>
    <mergeCell ref="A290:C290"/>
    <mergeCell ref="A291:C291"/>
    <mergeCell ref="A292:C292"/>
    <mergeCell ref="A293:F293"/>
    <mergeCell ref="A295:B295"/>
    <mergeCell ref="A296:B296"/>
    <mergeCell ref="A297:B297"/>
    <mergeCell ref="A298:B298"/>
    <mergeCell ref="A299:B299"/>
    <mergeCell ref="A300:F300"/>
    <mergeCell ref="A302:B302"/>
    <mergeCell ref="A303:B303"/>
    <mergeCell ref="A304:B304"/>
    <mergeCell ref="A305:F305"/>
    <mergeCell ref="A307:B307"/>
    <mergeCell ref="A308:B308"/>
    <mergeCell ref="A310:F310"/>
    <mergeCell ref="A312:F312"/>
    <mergeCell ref="A309:B309"/>
    <mergeCell ref="A315:C316"/>
    <mergeCell ref="A318:C318"/>
    <mergeCell ref="D318:G318"/>
    <mergeCell ref="A332:F332"/>
    <mergeCell ref="A322:C322"/>
    <mergeCell ref="A323:C323"/>
    <mergeCell ref="A325:F325"/>
    <mergeCell ref="A324:C324"/>
    <mergeCell ref="A327:B327"/>
    <mergeCell ref="A328:B328"/>
    <mergeCell ref="A329:B329"/>
    <mergeCell ref="A330:B330"/>
    <mergeCell ref="A331:B331"/>
  </mergeCells>
  <printOptions horizontalCentered="1"/>
  <pageMargins left="0.70866141732283472" right="0.62992125984251968" top="0.74803149606299213" bottom="0.74803149606299213" header="0" footer="0"/>
  <pageSetup orientation="portrait"/>
  <rowBreaks count="8" manualBreakCount="8">
    <brk id="514" man="1"/>
    <brk id="547" man="1"/>
    <brk id="644" man="1"/>
    <brk id="580" man="1"/>
    <brk id="612" man="1"/>
    <brk id="89" man="1"/>
    <brk id="445" man="1"/>
    <brk id="478" man="1"/>
  </rowBreaks>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F304"/>
  <sheetViews>
    <sheetView showGridLines="0" workbookViewId="0"/>
  </sheetViews>
  <sheetFormatPr baseColWidth="10" defaultColWidth="14.44140625" defaultRowHeight="15" customHeight="1"/>
  <cols>
    <col min="1" max="1" width="5.33203125" customWidth="1"/>
    <col min="2" max="2" width="66.33203125" customWidth="1"/>
    <col min="3" max="3" width="8.33203125" customWidth="1"/>
    <col min="4" max="4" width="5.88671875" customWidth="1"/>
    <col min="5" max="6" width="13.5546875" customWidth="1"/>
    <col min="7" max="26" width="10.88671875" customWidth="1"/>
  </cols>
  <sheetData>
    <row r="1" spans="1:6" ht="14.25" customHeight="1">
      <c r="A1" s="2086" t="s">
        <v>2126</v>
      </c>
      <c r="B1" s="1610"/>
      <c r="C1" s="1610"/>
      <c r="D1" s="1610"/>
      <c r="E1" s="1610"/>
      <c r="F1" s="1611"/>
    </row>
    <row r="2" spans="1:6" ht="14.25" customHeight="1">
      <c r="A2" s="1014" t="s">
        <v>375</v>
      </c>
      <c r="B2" s="1015" t="s">
        <v>376</v>
      </c>
      <c r="C2" s="1014" t="s">
        <v>1219</v>
      </c>
      <c r="D2" s="1014" t="s">
        <v>1244</v>
      </c>
      <c r="E2" s="1014" t="s">
        <v>2127</v>
      </c>
      <c r="F2" s="1014" t="s">
        <v>2128</v>
      </c>
    </row>
    <row r="3" spans="1:6" ht="14.25" customHeight="1">
      <c r="A3" s="1014" t="s">
        <v>359</v>
      </c>
      <c r="B3" s="1016" t="s">
        <v>2129</v>
      </c>
      <c r="C3" s="1014" t="s">
        <v>910</v>
      </c>
      <c r="D3" s="1014">
        <v>1</v>
      </c>
      <c r="E3" s="1017">
        <f>SUM(F4:F126)</f>
        <v>101152377</v>
      </c>
      <c r="F3" s="1018">
        <f>+E3*D3</f>
        <v>101152377</v>
      </c>
    </row>
    <row r="4" spans="1:6" ht="14.25" customHeight="1">
      <c r="A4" s="1019">
        <v>1</v>
      </c>
      <c r="B4" s="1020" t="s">
        <v>2130</v>
      </c>
      <c r="C4" s="19" t="s">
        <v>2131</v>
      </c>
      <c r="D4" s="19">
        <v>1.26</v>
      </c>
      <c r="E4" s="1021">
        <v>87500</v>
      </c>
      <c r="F4" s="1021">
        <f t="shared" ref="F4:F126" si="0">E4*D4</f>
        <v>110250</v>
      </c>
    </row>
    <row r="5" spans="1:6" ht="14.25" customHeight="1">
      <c r="A5" s="1019">
        <v>2</v>
      </c>
      <c r="B5" s="1020" t="s">
        <v>2132</v>
      </c>
      <c r="C5" s="19" t="s">
        <v>2131</v>
      </c>
      <c r="D5" s="19">
        <v>23</v>
      </c>
      <c r="E5" s="1021">
        <v>145000</v>
      </c>
      <c r="F5" s="1021">
        <f t="shared" si="0"/>
        <v>3335000</v>
      </c>
    </row>
    <row r="6" spans="1:6" ht="14.25" customHeight="1">
      <c r="A6" s="1019">
        <v>3</v>
      </c>
      <c r="B6" s="1020" t="s">
        <v>2133</v>
      </c>
      <c r="C6" s="19" t="s">
        <v>2131</v>
      </c>
      <c r="D6" s="19">
        <v>5</v>
      </c>
      <c r="E6" s="1021">
        <v>32000</v>
      </c>
      <c r="F6" s="1021">
        <f t="shared" si="0"/>
        <v>160000</v>
      </c>
    </row>
    <row r="7" spans="1:6" ht="14.25" customHeight="1">
      <c r="A7" s="1019">
        <v>4</v>
      </c>
      <c r="B7" s="1020" t="s">
        <v>2134</v>
      </c>
      <c r="C7" s="19" t="s">
        <v>2131</v>
      </c>
      <c r="D7" s="19">
        <v>0.15</v>
      </c>
      <c r="E7" s="1021">
        <v>68500</v>
      </c>
      <c r="F7" s="1021">
        <f t="shared" si="0"/>
        <v>10275</v>
      </c>
    </row>
    <row r="8" spans="1:6" ht="14.25" customHeight="1">
      <c r="A8" s="1019">
        <v>5</v>
      </c>
      <c r="B8" s="1020" t="s">
        <v>2135</v>
      </c>
      <c r="C8" s="19" t="s">
        <v>2131</v>
      </c>
      <c r="D8" s="19">
        <v>1.32</v>
      </c>
      <c r="E8" s="1021">
        <v>47500</v>
      </c>
      <c r="F8" s="1021">
        <f t="shared" si="0"/>
        <v>62700</v>
      </c>
    </row>
    <row r="9" spans="1:6" ht="14.25" customHeight="1">
      <c r="A9" s="1019">
        <v>6</v>
      </c>
      <c r="B9" s="1020" t="s">
        <v>2136</v>
      </c>
      <c r="C9" s="19" t="s">
        <v>2131</v>
      </c>
      <c r="D9" s="19">
        <v>15.94</v>
      </c>
      <c r="E9" s="1021">
        <v>41500</v>
      </c>
      <c r="F9" s="1021">
        <f t="shared" si="0"/>
        <v>661510</v>
      </c>
    </row>
    <row r="10" spans="1:6" ht="14.25" customHeight="1">
      <c r="A10" s="1019">
        <v>7</v>
      </c>
      <c r="B10" s="1020" t="s">
        <v>2137</v>
      </c>
      <c r="C10" s="19" t="s">
        <v>2131</v>
      </c>
      <c r="D10" s="19">
        <v>4.3</v>
      </c>
      <c r="E10" s="1021">
        <v>31500</v>
      </c>
      <c r="F10" s="1021">
        <f t="shared" si="0"/>
        <v>135450</v>
      </c>
    </row>
    <row r="11" spans="1:6" ht="14.25" customHeight="1">
      <c r="A11" s="1019">
        <v>8</v>
      </c>
      <c r="B11" s="1020" t="s">
        <v>2138</v>
      </c>
      <c r="C11" s="19" t="s">
        <v>2131</v>
      </c>
      <c r="D11" s="19">
        <v>8</v>
      </c>
      <c r="E11" s="1021">
        <v>25000</v>
      </c>
      <c r="F11" s="1021">
        <f t="shared" si="0"/>
        <v>200000</v>
      </c>
    </row>
    <row r="12" spans="1:6" ht="14.25" customHeight="1">
      <c r="A12" s="1019">
        <v>9</v>
      </c>
      <c r="B12" s="1020" t="s">
        <v>2139</v>
      </c>
      <c r="C12" s="19" t="s">
        <v>2131</v>
      </c>
      <c r="D12" s="19">
        <v>10</v>
      </c>
      <c r="E12" s="1021">
        <v>19000</v>
      </c>
      <c r="F12" s="1021">
        <f t="shared" si="0"/>
        <v>190000</v>
      </c>
    </row>
    <row r="13" spans="1:6" ht="14.25" customHeight="1">
      <c r="A13" s="1019">
        <v>10</v>
      </c>
      <c r="B13" s="1020" t="s">
        <v>2140</v>
      </c>
      <c r="C13" s="19" t="s">
        <v>2131</v>
      </c>
      <c r="D13" s="19">
        <v>14</v>
      </c>
      <c r="E13" s="1021">
        <v>33500</v>
      </c>
      <c r="F13" s="1021">
        <f t="shared" si="0"/>
        <v>469000</v>
      </c>
    </row>
    <row r="14" spans="1:6" ht="14.25" customHeight="1">
      <c r="A14" s="1019">
        <v>11</v>
      </c>
      <c r="B14" s="1020" t="s">
        <v>2141</v>
      </c>
      <c r="C14" s="19" t="s">
        <v>2131</v>
      </c>
      <c r="D14" s="19">
        <v>7.66</v>
      </c>
      <c r="E14" s="1021">
        <v>16200</v>
      </c>
      <c r="F14" s="1021">
        <f t="shared" si="0"/>
        <v>124092</v>
      </c>
    </row>
    <row r="15" spans="1:6" ht="14.25" customHeight="1">
      <c r="A15" s="1019">
        <v>12</v>
      </c>
      <c r="B15" s="1020" t="s">
        <v>2142</v>
      </c>
      <c r="C15" s="19" t="s">
        <v>151</v>
      </c>
      <c r="D15" s="19">
        <v>15</v>
      </c>
      <c r="E15" s="1021">
        <v>46300</v>
      </c>
      <c r="F15" s="1021">
        <f t="shared" si="0"/>
        <v>694500</v>
      </c>
    </row>
    <row r="16" spans="1:6" ht="14.25" customHeight="1">
      <c r="A16" s="1019">
        <v>13</v>
      </c>
      <c r="B16" s="1020" t="s">
        <v>2143</v>
      </c>
      <c r="C16" s="19" t="s">
        <v>151</v>
      </c>
      <c r="D16" s="19">
        <v>2</v>
      </c>
      <c r="E16" s="1021">
        <v>39500</v>
      </c>
      <c r="F16" s="1021">
        <f t="shared" si="0"/>
        <v>79000</v>
      </c>
    </row>
    <row r="17" spans="1:6" ht="14.25" customHeight="1">
      <c r="A17" s="1019">
        <v>14</v>
      </c>
      <c r="B17" s="1020" t="s">
        <v>2144</v>
      </c>
      <c r="C17" s="19" t="s">
        <v>151</v>
      </c>
      <c r="D17" s="19">
        <v>3</v>
      </c>
      <c r="E17" s="1021">
        <v>14000</v>
      </c>
      <c r="F17" s="1021">
        <f t="shared" si="0"/>
        <v>42000</v>
      </c>
    </row>
    <row r="18" spans="1:6" ht="14.25" customHeight="1">
      <c r="A18" s="1019">
        <v>15</v>
      </c>
      <c r="B18" s="1020" t="s">
        <v>2145</v>
      </c>
      <c r="C18" s="19" t="s">
        <v>151</v>
      </c>
      <c r="D18" s="19">
        <v>19</v>
      </c>
      <c r="E18" s="1021">
        <v>14000</v>
      </c>
      <c r="F18" s="1021">
        <f t="shared" si="0"/>
        <v>266000</v>
      </c>
    </row>
    <row r="19" spans="1:6" ht="14.25" customHeight="1">
      <c r="A19" s="1019">
        <v>16</v>
      </c>
      <c r="B19" s="1020" t="s">
        <v>2146</v>
      </c>
      <c r="C19" s="19" t="s">
        <v>151</v>
      </c>
      <c r="D19" s="19">
        <v>4</v>
      </c>
      <c r="E19" s="1021">
        <v>9000</v>
      </c>
      <c r="F19" s="1021">
        <f t="shared" si="0"/>
        <v>36000</v>
      </c>
    </row>
    <row r="20" spans="1:6" ht="14.25" customHeight="1">
      <c r="A20" s="1019">
        <v>17</v>
      </c>
      <c r="B20" s="1020" t="s">
        <v>2147</v>
      </c>
      <c r="C20" s="19" t="s">
        <v>151</v>
      </c>
      <c r="D20" s="19">
        <v>10</v>
      </c>
      <c r="E20" s="1021">
        <v>8000</v>
      </c>
      <c r="F20" s="1021">
        <f t="shared" si="0"/>
        <v>80000</v>
      </c>
    </row>
    <row r="21" spans="1:6" ht="14.25" customHeight="1">
      <c r="A21" s="1019">
        <v>18</v>
      </c>
      <c r="B21" s="1020" t="s">
        <v>2148</v>
      </c>
      <c r="C21" s="19" t="s">
        <v>151</v>
      </c>
      <c r="D21" s="19">
        <v>23</v>
      </c>
      <c r="E21" s="1021">
        <v>7000</v>
      </c>
      <c r="F21" s="1021">
        <f t="shared" si="0"/>
        <v>161000</v>
      </c>
    </row>
    <row r="22" spans="1:6" ht="14.25" customHeight="1">
      <c r="A22" s="1019">
        <v>19</v>
      </c>
      <c r="B22" s="1020" t="s">
        <v>2149</v>
      </c>
      <c r="C22" s="19" t="s">
        <v>151</v>
      </c>
      <c r="D22" s="19">
        <v>26</v>
      </c>
      <c r="E22" s="1021">
        <v>2800</v>
      </c>
      <c r="F22" s="1021">
        <f t="shared" si="0"/>
        <v>72800</v>
      </c>
    </row>
    <row r="23" spans="1:6" ht="14.25" customHeight="1">
      <c r="A23" s="1019">
        <v>20</v>
      </c>
      <c r="B23" s="1020" t="s">
        <v>2150</v>
      </c>
      <c r="C23" s="19" t="s">
        <v>151</v>
      </c>
      <c r="D23" s="19">
        <v>12</v>
      </c>
      <c r="E23" s="1021">
        <v>6000</v>
      </c>
      <c r="F23" s="1021">
        <f t="shared" si="0"/>
        <v>72000</v>
      </c>
    </row>
    <row r="24" spans="1:6" ht="14.25" customHeight="1">
      <c r="A24" s="1019">
        <v>21</v>
      </c>
      <c r="B24" s="1020" t="s">
        <v>2151</v>
      </c>
      <c r="C24" s="19" t="s">
        <v>151</v>
      </c>
      <c r="D24" s="19">
        <v>3</v>
      </c>
      <c r="E24" s="1021">
        <v>62500</v>
      </c>
      <c r="F24" s="1021">
        <f t="shared" si="0"/>
        <v>187500</v>
      </c>
    </row>
    <row r="25" spans="1:6" ht="14.25" customHeight="1">
      <c r="A25" s="1019">
        <v>22</v>
      </c>
      <c r="B25" s="1020" t="s">
        <v>2152</v>
      </c>
      <c r="C25" s="19" t="s">
        <v>151</v>
      </c>
      <c r="D25" s="19">
        <v>1</v>
      </c>
      <c r="E25" s="1021">
        <v>85300</v>
      </c>
      <c r="F25" s="1021">
        <f t="shared" si="0"/>
        <v>85300</v>
      </c>
    </row>
    <row r="26" spans="1:6" ht="14.25" customHeight="1">
      <c r="A26" s="1019">
        <v>23</v>
      </c>
      <c r="B26" s="1020" t="s">
        <v>2153</v>
      </c>
      <c r="C26" s="19" t="s">
        <v>151</v>
      </c>
      <c r="D26" s="19">
        <v>3</v>
      </c>
      <c r="E26" s="1021">
        <v>14000</v>
      </c>
      <c r="F26" s="1021">
        <f t="shared" si="0"/>
        <v>42000</v>
      </c>
    </row>
    <row r="27" spans="1:6" ht="14.25" customHeight="1">
      <c r="A27" s="1019">
        <v>24</v>
      </c>
      <c r="B27" s="1020" t="s">
        <v>2154</v>
      </c>
      <c r="C27" s="19" t="s">
        <v>151</v>
      </c>
      <c r="D27" s="19">
        <v>2</v>
      </c>
      <c r="E27" s="1021">
        <v>9000</v>
      </c>
      <c r="F27" s="1021">
        <f t="shared" si="0"/>
        <v>18000</v>
      </c>
    </row>
    <row r="28" spans="1:6" ht="14.25" customHeight="1">
      <c r="A28" s="1019">
        <v>25</v>
      </c>
      <c r="B28" s="1020" t="s">
        <v>2155</v>
      </c>
      <c r="C28" s="19" t="s">
        <v>151</v>
      </c>
      <c r="D28" s="19">
        <v>4</v>
      </c>
      <c r="E28" s="1021">
        <v>5900</v>
      </c>
      <c r="F28" s="1021">
        <f t="shared" si="0"/>
        <v>23600</v>
      </c>
    </row>
    <row r="29" spans="1:6" ht="14.25" customHeight="1">
      <c r="A29" s="1019">
        <v>26</v>
      </c>
      <c r="B29" s="1020" t="s">
        <v>2156</v>
      </c>
      <c r="C29" s="19" t="s">
        <v>151</v>
      </c>
      <c r="D29" s="19">
        <v>1</v>
      </c>
      <c r="E29" s="1021">
        <v>14000</v>
      </c>
      <c r="F29" s="1021">
        <f t="shared" si="0"/>
        <v>14000</v>
      </c>
    </row>
    <row r="30" spans="1:6" ht="14.25" customHeight="1">
      <c r="A30" s="1019">
        <v>27</v>
      </c>
      <c r="B30" s="1020" t="s">
        <v>2157</v>
      </c>
      <c r="C30" s="19" t="s">
        <v>151</v>
      </c>
      <c r="D30" s="19">
        <v>4</v>
      </c>
      <c r="E30" s="1021">
        <v>7000</v>
      </c>
      <c r="F30" s="1021">
        <f t="shared" si="0"/>
        <v>28000</v>
      </c>
    </row>
    <row r="31" spans="1:6" ht="14.25" customHeight="1">
      <c r="A31" s="1019">
        <v>28</v>
      </c>
      <c r="B31" s="1020" t="s">
        <v>2158</v>
      </c>
      <c r="C31" s="19" t="s">
        <v>151</v>
      </c>
      <c r="D31" s="19">
        <v>1</v>
      </c>
      <c r="E31" s="1021">
        <v>400000</v>
      </c>
      <c r="F31" s="1021">
        <f t="shared" si="0"/>
        <v>400000</v>
      </c>
    </row>
    <row r="32" spans="1:6" ht="14.25" customHeight="1">
      <c r="A32" s="1019">
        <v>29</v>
      </c>
      <c r="B32" s="1020" t="s">
        <v>2159</v>
      </c>
      <c r="C32" s="19" t="s">
        <v>151</v>
      </c>
      <c r="D32" s="19">
        <v>1</v>
      </c>
      <c r="E32" s="1021">
        <v>400000</v>
      </c>
      <c r="F32" s="1021">
        <f t="shared" si="0"/>
        <v>400000</v>
      </c>
    </row>
    <row r="33" spans="1:6" ht="14.25" customHeight="1">
      <c r="A33" s="1019">
        <v>30</v>
      </c>
      <c r="B33" s="1020" t="s">
        <v>2160</v>
      </c>
      <c r="C33" s="19" t="s">
        <v>151</v>
      </c>
      <c r="D33" s="19">
        <v>1</v>
      </c>
      <c r="E33" s="1021">
        <v>400000</v>
      </c>
      <c r="F33" s="1021">
        <f t="shared" si="0"/>
        <v>400000</v>
      </c>
    </row>
    <row r="34" spans="1:6" ht="14.25" customHeight="1">
      <c r="A34" s="1019">
        <v>31</v>
      </c>
      <c r="B34" s="1020" t="s">
        <v>2161</v>
      </c>
      <c r="C34" s="19" t="s">
        <v>151</v>
      </c>
      <c r="D34" s="19">
        <v>4</v>
      </c>
      <c r="E34" s="1021">
        <v>5000</v>
      </c>
      <c r="F34" s="1021">
        <f t="shared" si="0"/>
        <v>20000</v>
      </c>
    </row>
    <row r="35" spans="1:6" ht="15" customHeight="1">
      <c r="A35" s="1019">
        <v>32</v>
      </c>
      <c r="B35" s="1020" t="s">
        <v>2162</v>
      </c>
      <c r="C35" s="19" t="s">
        <v>151</v>
      </c>
      <c r="D35" s="19">
        <v>1</v>
      </c>
      <c r="E35" s="1021">
        <v>11500</v>
      </c>
      <c r="F35" s="1021">
        <f t="shared" si="0"/>
        <v>11500</v>
      </c>
    </row>
    <row r="36" spans="1:6" ht="15" customHeight="1">
      <c r="A36" s="1019">
        <v>33</v>
      </c>
      <c r="B36" s="1020" t="s">
        <v>2163</v>
      </c>
      <c r="C36" s="19" t="s">
        <v>151</v>
      </c>
      <c r="D36" s="19">
        <v>3</v>
      </c>
      <c r="E36" s="1021">
        <v>5000</v>
      </c>
      <c r="F36" s="1021">
        <f t="shared" si="0"/>
        <v>15000</v>
      </c>
    </row>
    <row r="37" spans="1:6" ht="14.25" customHeight="1">
      <c r="A37" s="1019">
        <v>34</v>
      </c>
      <c r="B37" s="1020" t="s">
        <v>2164</v>
      </c>
      <c r="C37" s="19" t="s">
        <v>151</v>
      </c>
      <c r="D37" s="19">
        <v>2</v>
      </c>
      <c r="E37" s="1021">
        <v>5000</v>
      </c>
      <c r="F37" s="1021">
        <f t="shared" si="0"/>
        <v>10000</v>
      </c>
    </row>
    <row r="38" spans="1:6" ht="15" customHeight="1">
      <c r="A38" s="1019">
        <v>35</v>
      </c>
      <c r="B38" s="1020" t="s">
        <v>2165</v>
      </c>
      <c r="C38" s="19" t="s">
        <v>151</v>
      </c>
      <c r="D38" s="19">
        <v>1</v>
      </c>
      <c r="E38" s="1021">
        <v>7000</v>
      </c>
      <c r="F38" s="1021">
        <f t="shared" si="0"/>
        <v>7000</v>
      </c>
    </row>
    <row r="39" spans="1:6" ht="15" customHeight="1">
      <c r="A39" s="1019">
        <v>36</v>
      </c>
      <c r="B39" s="1020" t="s">
        <v>2166</v>
      </c>
      <c r="C39" s="19" t="s">
        <v>151</v>
      </c>
      <c r="D39" s="19">
        <v>1</v>
      </c>
      <c r="E39" s="1021">
        <v>7000</v>
      </c>
      <c r="F39" s="1021">
        <f t="shared" si="0"/>
        <v>7000</v>
      </c>
    </row>
    <row r="40" spans="1:6" ht="14.25" customHeight="1">
      <c r="A40" s="1019">
        <v>37</v>
      </c>
      <c r="B40" s="1020" t="s">
        <v>2167</v>
      </c>
      <c r="C40" s="19" t="s">
        <v>151</v>
      </c>
      <c r="D40" s="19">
        <v>1</v>
      </c>
      <c r="E40" s="1021">
        <v>7000</v>
      </c>
      <c r="F40" s="1021">
        <f t="shared" si="0"/>
        <v>7000</v>
      </c>
    </row>
    <row r="41" spans="1:6" ht="14.25" customHeight="1">
      <c r="A41" s="1019">
        <v>38</v>
      </c>
      <c r="B41" s="1020" t="s">
        <v>2168</v>
      </c>
      <c r="C41" s="19" t="s">
        <v>151</v>
      </c>
      <c r="D41" s="19">
        <v>1</v>
      </c>
      <c r="E41" s="1021">
        <v>7000</v>
      </c>
      <c r="F41" s="1021">
        <f t="shared" si="0"/>
        <v>7000</v>
      </c>
    </row>
    <row r="42" spans="1:6" ht="14.25" customHeight="1">
      <c r="A42" s="1019">
        <v>39</v>
      </c>
      <c r="B42" s="1020" t="s">
        <v>2169</v>
      </c>
      <c r="C42" s="19" t="s">
        <v>151</v>
      </c>
      <c r="D42" s="19">
        <v>1</v>
      </c>
      <c r="E42" s="1021">
        <v>91000</v>
      </c>
      <c r="F42" s="1021">
        <f t="shared" si="0"/>
        <v>91000</v>
      </c>
    </row>
    <row r="43" spans="1:6" ht="14.25" customHeight="1">
      <c r="A43" s="1019">
        <v>40</v>
      </c>
      <c r="B43" s="1020" t="s">
        <v>2170</v>
      </c>
      <c r="C43" s="19" t="s">
        <v>151</v>
      </c>
      <c r="D43" s="19">
        <v>1</v>
      </c>
      <c r="E43" s="1021">
        <v>134000</v>
      </c>
      <c r="F43" s="1021">
        <f t="shared" si="0"/>
        <v>134000</v>
      </c>
    </row>
    <row r="44" spans="1:6" ht="14.25" customHeight="1">
      <c r="A44" s="1019">
        <v>41</v>
      </c>
      <c r="B44" s="1020" t="s">
        <v>2171</v>
      </c>
      <c r="C44" s="19" t="s">
        <v>151</v>
      </c>
      <c r="D44" s="19">
        <v>1</v>
      </c>
      <c r="E44" s="1021">
        <v>22000</v>
      </c>
      <c r="F44" s="1021">
        <f t="shared" si="0"/>
        <v>22000</v>
      </c>
    </row>
    <row r="45" spans="1:6" ht="14.25" customHeight="1">
      <c r="A45" s="1019">
        <v>42</v>
      </c>
      <c r="B45" s="1020" t="s">
        <v>2172</v>
      </c>
      <c r="C45" s="19" t="s">
        <v>151</v>
      </c>
      <c r="D45" s="19">
        <v>2</v>
      </c>
      <c r="E45" s="1021">
        <v>48000</v>
      </c>
      <c r="F45" s="1021">
        <f t="shared" si="0"/>
        <v>96000</v>
      </c>
    </row>
    <row r="46" spans="1:6" ht="15.75" customHeight="1">
      <c r="A46" s="1019">
        <v>43</v>
      </c>
      <c r="B46" s="1020" t="s">
        <v>2173</v>
      </c>
      <c r="C46" s="19" t="s">
        <v>151</v>
      </c>
      <c r="D46" s="19">
        <v>1</v>
      </c>
      <c r="E46" s="1021">
        <v>48000</v>
      </c>
      <c r="F46" s="1021">
        <f t="shared" si="0"/>
        <v>48000</v>
      </c>
    </row>
    <row r="47" spans="1:6" ht="14.25" customHeight="1">
      <c r="A47" s="1019">
        <v>44</v>
      </c>
      <c r="B47" s="1020" t="s">
        <v>2174</v>
      </c>
      <c r="C47" s="19" t="s">
        <v>151</v>
      </c>
      <c r="D47" s="19">
        <v>1</v>
      </c>
      <c r="E47" s="1021">
        <v>48000</v>
      </c>
      <c r="F47" s="1021">
        <f t="shared" si="0"/>
        <v>48000</v>
      </c>
    </row>
    <row r="48" spans="1:6" ht="14.25" customHeight="1">
      <c r="A48" s="1019">
        <v>45</v>
      </c>
      <c r="B48" s="18" t="s">
        <v>2175</v>
      </c>
      <c r="C48" s="19" t="s">
        <v>151</v>
      </c>
      <c r="D48" s="19">
        <v>1</v>
      </c>
      <c r="E48" s="1021">
        <v>48200000</v>
      </c>
      <c r="F48" s="1021">
        <f t="shared" si="0"/>
        <v>48200000</v>
      </c>
    </row>
    <row r="49" spans="1:6" ht="14.25" customHeight="1">
      <c r="A49" s="1019">
        <v>46</v>
      </c>
      <c r="B49" s="18" t="s">
        <v>2176</v>
      </c>
      <c r="C49" s="19" t="s">
        <v>151</v>
      </c>
      <c r="D49" s="19">
        <v>1</v>
      </c>
      <c r="E49" s="1021">
        <v>4800000</v>
      </c>
      <c r="F49" s="1021">
        <f t="shared" si="0"/>
        <v>4800000</v>
      </c>
    </row>
    <row r="50" spans="1:6" ht="14.25" customHeight="1">
      <c r="A50" s="1019">
        <v>47</v>
      </c>
      <c r="B50" s="18" t="s">
        <v>2177</v>
      </c>
      <c r="C50" s="19" t="s">
        <v>151</v>
      </c>
      <c r="D50" s="19">
        <v>1</v>
      </c>
      <c r="E50" s="1021">
        <v>800000</v>
      </c>
      <c r="F50" s="1021">
        <f t="shared" si="0"/>
        <v>800000</v>
      </c>
    </row>
    <row r="51" spans="1:6" ht="14.25" customHeight="1">
      <c r="A51" s="1019">
        <v>48</v>
      </c>
      <c r="B51" s="1020" t="s">
        <v>2178</v>
      </c>
      <c r="C51" s="19" t="s">
        <v>151</v>
      </c>
      <c r="D51" s="19">
        <v>1</v>
      </c>
      <c r="E51" s="1021">
        <v>6500000</v>
      </c>
      <c r="F51" s="1021">
        <f t="shared" si="0"/>
        <v>6500000</v>
      </c>
    </row>
    <row r="52" spans="1:6" ht="14.25" customHeight="1">
      <c r="A52" s="1019">
        <v>49</v>
      </c>
      <c r="B52" s="18" t="s">
        <v>2179</v>
      </c>
      <c r="C52" s="19" t="s">
        <v>151</v>
      </c>
      <c r="D52" s="19">
        <v>1</v>
      </c>
      <c r="E52" s="1021">
        <v>100000</v>
      </c>
      <c r="F52" s="1021">
        <f t="shared" si="0"/>
        <v>100000</v>
      </c>
    </row>
    <row r="53" spans="1:6" ht="14.25" customHeight="1">
      <c r="A53" s="1019">
        <v>50</v>
      </c>
      <c r="B53" s="18" t="s">
        <v>2180</v>
      </c>
      <c r="C53" s="19" t="s">
        <v>151</v>
      </c>
      <c r="D53" s="19">
        <v>1</v>
      </c>
      <c r="E53" s="1021">
        <v>220000</v>
      </c>
      <c r="F53" s="1021">
        <f t="shared" si="0"/>
        <v>220000</v>
      </c>
    </row>
    <row r="54" spans="1:6" ht="14.25" customHeight="1">
      <c r="A54" s="1019">
        <v>51</v>
      </c>
      <c r="B54" s="18" t="s">
        <v>2181</v>
      </c>
      <c r="C54" s="19" t="s">
        <v>151</v>
      </c>
      <c r="D54" s="19">
        <v>1</v>
      </c>
      <c r="E54" s="1021">
        <v>310000</v>
      </c>
      <c r="F54" s="1021">
        <f t="shared" si="0"/>
        <v>310000</v>
      </c>
    </row>
    <row r="55" spans="1:6" ht="14.25" customHeight="1">
      <c r="A55" s="1019">
        <v>52</v>
      </c>
      <c r="B55" s="18" t="s">
        <v>2182</v>
      </c>
      <c r="C55" s="19" t="s">
        <v>151</v>
      </c>
      <c r="D55" s="19">
        <v>1</v>
      </c>
      <c r="E55" s="1021">
        <v>25000</v>
      </c>
      <c r="F55" s="1021">
        <f t="shared" si="0"/>
        <v>25000</v>
      </c>
    </row>
    <row r="56" spans="1:6" ht="14.25" customHeight="1">
      <c r="A56" s="1019">
        <v>53</v>
      </c>
      <c r="B56" s="1020" t="s">
        <v>2183</v>
      </c>
      <c r="C56" s="19" t="s">
        <v>151</v>
      </c>
      <c r="D56" s="19">
        <v>1</v>
      </c>
      <c r="E56" s="1021">
        <v>1000000</v>
      </c>
      <c r="F56" s="1021">
        <f t="shared" si="0"/>
        <v>1000000</v>
      </c>
    </row>
    <row r="57" spans="1:6" ht="14.25" customHeight="1">
      <c r="A57" s="1019">
        <v>54</v>
      </c>
      <c r="B57" s="18" t="s">
        <v>2184</v>
      </c>
      <c r="C57" s="19" t="s">
        <v>151</v>
      </c>
      <c r="D57" s="19">
        <v>1</v>
      </c>
      <c r="E57" s="1021">
        <v>1000000</v>
      </c>
      <c r="F57" s="1021">
        <f t="shared" si="0"/>
        <v>1000000</v>
      </c>
    </row>
    <row r="58" spans="1:6" ht="14.25" customHeight="1">
      <c r="A58" s="1019">
        <v>55</v>
      </c>
      <c r="B58" s="1020" t="s">
        <v>2185</v>
      </c>
      <c r="C58" s="19" t="s">
        <v>151</v>
      </c>
      <c r="D58" s="19">
        <v>1</v>
      </c>
      <c r="E58" s="1021">
        <v>1100000</v>
      </c>
      <c r="F58" s="1021">
        <f t="shared" si="0"/>
        <v>1100000</v>
      </c>
    </row>
    <row r="59" spans="1:6" ht="14.25" customHeight="1">
      <c r="A59" s="1019">
        <v>56</v>
      </c>
      <c r="B59" s="18" t="s">
        <v>2186</v>
      </c>
      <c r="C59" s="19" t="s">
        <v>151</v>
      </c>
      <c r="D59" s="19">
        <v>39</v>
      </c>
      <c r="E59" s="1021">
        <v>26000</v>
      </c>
      <c r="F59" s="1021">
        <f t="shared" si="0"/>
        <v>1014000</v>
      </c>
    </row>
    <row r="60" spans="1:6" ht="14.25" customHeight="1">
      <c r="A60" s="1019">
        <v>57</v>
      </c>
      <c r="B60" s="18" t="s">
        <v>2187</v>
      </c>
      <c r="C60" s="19" t="s">
        <v>151</v>
      </c>
      <c r="D60" s="19">
        <v>13</v>
      </c>
      <c r="E60" s="1021">
        <v>26800</v>
      </c>
      <c r="F60" s="1021">
        <f t="shared" si="0"/>
        <v>348400</v>
      </c>
    </row>
    <row r="61" spans="1:6" ht="14.25" customHeight="1">
      <c r="A61" s="1019">
        <v>58</v>
      </c>
      <c r="B61" s="18" t="s">
        <v>2188</v>
      </c>
      <c r="C61" s="19" t="s">
        <v>151</v>
      </c>
      <c r="D61" s="19">
        <v>3</v>
      </c>
      <c r="E61" s="1021">
        <v>15000</v>
      </c>
      <c r="F61" s="1021">
        <f t="shared" si="0"/>
        <v>45000</v>
      </c>
    </row>
    <row r="62" spans="1:6" ht="14.25" customHeight="1">
      <c r="A62" s="1019">
        <v>59</v>
      </c>
      <c r="B62" s="18" t="s">
        <v>2189</v>
      </c>
      <c r="C62" s="19" t="s">
        <v>151</v>
      </c>
      <c r="D62" s="19">
        <v>2</v>
      </c>
      <c r="E62" s="1021">
        <v>11000</v>
      </c>
      <c r="F62" s="1021">
        <f t="shared" si="0"/>
        <v>22000</v>
      </c>
    </row>
    <row r="63" spans="1:6" ht="14.25" customHeight="1">
      <c r="A63" s="1019">
        <v>60</v>
      </c>
      <c r="B63" s="1020" t="s">
        <v>2190</v>
      </c>
      <c r="C63" s="19" t="s">
        <v>151</v>
      </c>
      <c r="D63" s="19">
        <v>5</v>
      </c>
      <c r="E63" s="1021">
        <v>11000</v>
      </c>
      <c r="F63" s="1021">
        <f t="shared" si="0"/>
        <v>55000</v>
      </c>
    </row>
    <row r="64" spans="1:6" ht="14.25" customHeight="1">
      <c r="A64" s="1019">
        <v>61</v>
      </c>
      <c r="B64" s="18" t="s">
        <v>2191</v>
      </c>
      <c r="C64" s="19" t="s">
        <v>151</v>
      </c>
      <c r="D64" s="19">
        <v>3</v>
      </c>
      <c r="E64" s="1021">
        <v>11000</v>
      </c>
      <c r="F64" s="1021">
        <f t="shared" si="0"/>
        <v>33000</v>
      </c>
    </row>
    <row r="65" spans="1:6" ht="14.25" customHeight="1">
      <c r="A65" s="1019">
        <v>62</v>
      </c>
      <c r="B65" s="1020" t="s">
        <v>2192</v>
      </c>
      <c r="C65" s="19" t="s">
        <v>151</v>
      </c>
      <c r="D65" s="19">
        <v>15</v>
      </c>
      <c r="E65" s="1021">
        <v>26000</v>
      </c>
      <c r="F65" s="1021">
        <f t="shared" si="0"/>
        <v>390000</v>
      </c>
    </row>
    <row r="66" spans="1:6" ht="14.25" customHeight="1">
      <c r="A66" s="1019">
        <v>63</v>
      </c>
      <c r="B66" s="18" t="s">
        <v>2193</v>
      </c>
      <c r="C66" s="19" t="s">
        <v>151</v>
      </c>
      <c r="D66" s="19">
        <v>15</v>
      </c>
      <c r="E66" s="1021">
        <v>26000</v>
      </c>
      <c r="F66" s="1021">
        <f t="shared" si="0"/>
        <v>390000</v>
      </c>
    </row>
    <row r="67" spans="1:6" ht="14.25" customHeight="1">
      <c r="A67" s="1019">
        <v>64</v>
      </c>
      <c r="B67" s="18" t="s">
        <v>2194</v>
      </c>
      <c r="C67" s="19" t="s">
        <v>151</v>
      </c>
      <c r="D67" s="19">
        <v>4</v>
      </c>
      <c r="E67" s="1021">
        <v>61000</v>
      </c>
      <c r="F67" s="1021">
        <f t="shared" si="0"/>
        <v>244000</v>
      </c>
    </row>
    <row r="68" spans="1:6" ht="14.25" customHeight="1">
      <c r="A68" s="1019">
        <v>65</v>
      </c>
      <c r="B68" s="18" t="s">
        <v>2195</v>
      </c>
      <c r="C68" s="19" t="s">
        <v>151</v>
      </c>
      <c r="D68" s="19">
        <v>1</v>
      </c>
      <c r="E68" s="1021">
        <v>56000</v>
      </c>
      <c r="F68" s="1021">
        <f t="shared" si="0"/>
        <v>56000</v>
      </c>
    </row>
    <row r="69" spans="1:6" ht="12.75" customHeight="1">
      <c r="A69" s="1019">
        <v>66</v>
      </c>
      <c r="B69" s="18" t="s">
        <v>2196</v>
      </c>
      <c r="C69" s="19" t="s">
        <v>151</v>
      </c>
      <c r="D69" s="19">
        <v>1</v>
      </c>
      <c r="E69" s="1021">
        <v>16000</v>
      </c>
      <c r="F69" s="1021">
        <f t="shared" si="0"/>
        <v>16000</v>
      </c>
    </row>
    <row r="70" spans="1:6" ht="18" customHeight="1">
      <c r="A70" s="1019">
        <v>67</v>
      </c>
      <c r="B70" s="18" t="s">
        <v>2197</v>
      </c>
      <c r="C70" s="19" t="s">
        <v>151</v>
      </c>
      <c r="D70" s="19">
        <v>2</v>
      </c>
      <c r="E70" s="1021">
        <v>9000</v>
      </c>
      <c r="F70" s="1021">
        <f t="shared" si="0"/>
        <v>18000</v>
      </c>
    </row>
    <row r="71" spans="1:6" ht="9.75" customHeight="1">
      <c r="A71" s="1019">
        <v>68</v>
      </c>
      <c r="B71" s="18" t="s">
        <v>2198</v>
      </c>
      <c r="C71" s="19" t="s">
        <v>151</v>
      </c>
      <c r="D71" s="19">
        <v>1</v>
      </c>
      <c r="E71" s="1021">
        <v>28000</v>
      </c>
      <c r="F71" s="1021">
        <f t="shared" si="0"/>
        <v>28000</v>
      </c>
    </row>
    <row r="72" spans="1:6" ht="15" customHeight="1">
      <c r="A72" s="1019">
        <v>69</v>
      </c>
      <c r="B72" s="18" t="s">
        <v>2199</v>
      </c>
      <c r="C72" s="19" t="s">
        <v>151</v>
      </c>
      <c r="D72" s="19">
        <v>1</v>
      </c>
      <c r="E72" s="1021">
        <v>155000</v>
      </c>
      <c r="F72" s="1021">
        <f t="shared" si="0"/>
        <v>155000</v>
      </c>
    </row>
    <row r="73" spans="1:6" ht="12.75" customHeight="1">
      <c r="A73" s="1019">
        <v>70</v>
      </c>
      <c r="B73" s="1020" t="s">
        <v>2200</v>
      </c>
      <c r="C73" s="19" t="s">
        <v>151</v>
      </c>
      <c r="D73" s="19">
        <v>1</v>
      </c>
      <c r="E73" s="1021">
        <v>290000</v>
      </c>
      <c r="F73" s="1021">
        <f t="shared" si="0"/>
        <v>290000</v>
      </c>
    </row>
    <row r="74" spans="1:6" ht="14.25" customHeight="1">
      <c r="A74" s="1019">
        <v>71</v>
      </c>
      <c r="B74" s="18" t="s">
        <v>2201</v>
      </c>
      <c r="C74" s="19" t="s">
        <v>151</v>
      </c>
      <c r="D74" s="19">
        <v>1</v>
      </c>
      <c r="E74" s="1021">
        <v>135000</v>
      </c>
      <c r="F74" s="1021">
        <f t="shared" si="0"/>
        <v>135000</v>
      </c>
    </row>
    <row r="75" spans="1:6" ht="14.25" customHeight="1">
      <c r="A75" s="1019">
        <v>72</v>
      </c>
      <c r="B75" s="1020" t="s">
        <v>2202</v>
      </c>
      <c r="C75" s="19" t="s">
        <v>151</v>
      </c>
      <c r="D75" s="19">
        <v>3</v>
      </c>
      <c r="E75" s="1021">
        <v>845000</v>
      </c>
      <c r="F75" s="1021">
        <f t="shared" si="0"/>
        <v>2535000</v>
      </c>
    </row>
    <row r="76" spans="1:6" ht="14.25" customHeight="1">
      <c r="A76" s="1019">
        <v>73</v>
      </c>
      <c r="B76" s="1020" t="s">
        <v>2203</v>
      </c>
      <c r="C76" s="19" t="s">
        <v>151</v>
      </c>
      <c r="D76" s="19">
        <v>3</v>
      </c>
      <c r="E76" s="1021">
        <v>220000</v>
      </c>
      <c r="F76" s="1021">
        <f t="shared" si="0"/>
        <v>660000</v>
      </c>
    </row>
    <row r="77" spans="1:6" ht="14.25" customHeight="1">
      <c r="A77" s="1019">
        <v>74</v>
      </c>
      <c r="B77" s="1020" t="s">
        <v>2180</v>
      </c>
      <c r="C77" s="19" t="s">
        <v>151</v>
      </c>
      <c r="D77" s="19">
        <v>1</v>
      </c>
      <c r="E77" s="1021">
        <v>220000</v>
      </c>
      <c r="F77" s="1021">
        <f t="shared" si="0"/>
        <v>220000</v>
      </c>
    </row>
    <row r="78" spans="1:6" ht="14.25" customHeight="1">
      <c r="A78" s="1019">
        <v>75</v>
      </c>
      <c r="B78" s="1020" t="s">
        <v>2204</v>
      </c>
      <c r="C78" s="19" t="s">
        <v>151</v>
      </c>
      <c r="D78" s="19">
        <v>1</v>
      </c>
      <c r="E78" s="1021">
        <v>520000</v>
      </c>
      <c r="F78" s="1021">
        <f t="shared" si="0"/>
        <v>520000</v>
      </c>
    </row>
    <row r="79" spans="1:6" ht="14.25" customHeight="1">
      <c r="A79" s="1019">
        <v>76</v>
      </c>
      <c r="B79" s="1020" t="s">
        <v>2205</v>
      </c>
      <c r="C79" s="19" t="s">
        <v>151</v>
      </c>
      <c r="D79" s="19">
        <v>1</v>
      </c>
      <c r="E79" s="1021">
        <v>470000</v>
      </c>
      <c r="F79" s="1021">
        <f t="shared" si="0"/>
        <v>470000</v>
      </c>
    </row>
    <row r="80" spans="1:6" ht="14.25" customHeight="1">
      <c r="A80" s="1019">
        <v>77</v>
      </c>
      <c r="B80" s="1020" t="s">
        <v>2206</v>
      </c>
      <c r="C80" s="19" t="s">
        <v>151</v>
      </c>
      <c r="D80" s="19">
        <v>1</v>
      </c>
      <c r="E80" s="1021">
        <v>162000</v>
      </c>
      <c r="F80" s="1021">
        <f t="shared" si="0"/>
        <v>162000</v>
      </c>
    </row>
    <row r="81" spans="1:6" ht="14.25" customHeight="1">
      <c r="A81" s="1019">
        <v>78</v>
      </c>
      <c r="B81" s="1020" t="s">
        <v>2207</v>
      </c>
      <c r="C81" s="19" t="s">
        <v>151</v>
      </c>
      <c r="D81" s="19">
        <v>4</v>
      </c>
      <c r="E81" s="1021">
        <v>93000</v>
      </c>
      <c r="F81" s="1021">
        <f t="shared" si="0"/>
        <v>372000</v>
      </c>
    </row>
    <row r="82" spans="1:6" ht="14.25" customHeight="1">
      <c r="A82" s="1019">
        <v>79</v>
      </c>
      <c r="B82" s="1020" t="s">
        <v>2208</v>
      </c>
      <c r="C82" s="19" t="s">
        <v>151</v>
      </c>
      <c r="D82" s="19">
        <v>1</v>
      </c>
      <c r="E82" s="1021">
        <v>190000</v>
      </c>
      <c r="F82" s="1021">
        <f t="shared" si="0"/>
        <v>190000</v>
      </c>
    </row>
    <row r="83" spans="1:6" ht="14.25" customHeight="1">
      <c r="A83" s="1019">
        <v>80</v>
      </c>
      <c r="B83" s="1020" t="s">
        <v>2209</v>
      </c>
      <c r="C83" s="19" t="s">
        <v>151</v>
      </c>
      <c r="D83" s="19">
        <v>4</v>
      </c>
      <c r="E83" s="1021">
        <v>828000</v>
      </c>
      <c r="F83" s="1021">
        <f t="shared" si="0"/>
        <v>3312000</v>
      </c>
    </row>
    <row r="84" spans="1:6" ht="14.25" customHeight="1">
      <c r="A84" s="1019">
        <v>81</v>
      </c>
      <c r="B84" s="1020" t="s">
        <v>2210</v>
      </c>
      <c r="C84" s="19" t="s">
        <v>151</v>
      </c>
      <c r="D84" s="19">
        <v>1</v>
      </c>
      <c r="E84" s="1021">
        <v>176000</v>
      </c>
      <c r="F84" s="1021">
        <f t="shared" si="0"/>
        <v>176000</v>
      </c>
    </row>
    <row r="85" spans="1:6" ht="14.25" customHeight="1">
      <c r="A85" s="1019">
        <v>82</v>
      </c>
      <c r="B85" s="1020" t="s">
        <v>2211</v>
      </c>
      <c r="C85" s="19" t="s">
        <v>151</v>
      </c>
      <c r="D85" s="19">
        <v>1</v>
      </c>
      <c r="E85" s="1021">
        <v>2260000</v>
      </c>
      <c r="F85" s="1021">
        <f t="shared" si="0"/>
        <v>2260000</v>
      </c>
    </row>
    <row r="86" spans="1:6" ht="14.25" customHeight="1">
      <c r="A86" s="1019">
        <v>83</v>
      </c>
      <c r="B86" s="1020" t="s">
        <v>2212</v>
      </c>
      <c r="C86" s="19" t="s">
        <v>151</v>
      </c>
      <c r="D86" s="19">
        <v>1</v>
      </c>
      <c r="E86" s="1021">
        <v>8500</v>
      </c>
      <c r="F86" s="1021">
        <f t="shared" si="0"/>
        <v>8500</v>
      </c>
    </row>
    <row r="87" spans="1:6" ht="14.25" customHeight="1">
      <c r="A87" s="1019">
        <v>84</v>
      </c>
      <c r="B87" s="1020" t="s">
        <v>2213</v>
      </c>
      <c r="C87" s="19" t="s">
        <v>151</v>
      </c>
      <c r="D87" s="19">
        <v>1</v>
      </c>
      <c r="E87" s="1021">
        <v>580000</v>
      </c>
      <c r="F87" s="1021">
        <f t="shared" si="0"/>
        <v>580000</v>
      </c>
    </row>
    <row r="88" spans="1:6" ht="14.25" customHeight="1">
      <c r="A88" s="1019">
        <v>85</v>
      </c>
      <c r="B88" s="1020" t="s">
        <v>2214</v>
      </c>
      <c r="C88" s="19" t="s">
        <v>151</v>
      </c>
      <c r="D88" s="19">
        <v>7</v>
      </c>
      <c r="E88" s="1021">
        <v>135000</v>
      </c>
      <c r="F88" s="1021">
        <f t="shared" si="0"/>
        <v>945000</v>
      </c>
    </row>
    <row r="89" spans="1:6" ht="14.25" customHeight="1">
      <c r="A89" s="1019">
        <v>86</v>
      </c>
      <c r="B89" s="1020" t="s">
        <v>2215</v>
      </c>
      <c r="C89" s="19" t="s">
        <v>151</v>
      </c>
      <c r="D89" s="19">
        <v>2</v>
      </c>
      <c r="E89" s="1021">
        <v>165000</v>
      </c>
      <c r="F89" s="1021">
        <f t="shared" si="0"/>
        <v>330000</v>
      </c>
    </row>
    <row r="90" spans="1:6" ht="14.25" customHeight="1">
      <c r="A90" s="1019">
        <v>87</v>
      </c>
      <c r="B90" s="1020" t="s">
        <v>2216</v>
      </c>
      <c r="C90" s="19" t="s">
        <v>151</v>
      </c>
      <c r="D90" s="19">
        <v>1</v>
      </c>
      <c r="E90" s="1021">
        <v>2210000</v>
      </c>
      <c r="F90" s="1021">
        <f t="shared" si="0"/>
        <v>2210000</v>
      </c>
    </row>
    <row r="91" spans="1:6" ht="14.25" customHeight="1">
      <c r="A91" s="1019">
        <v>88</v>
      </c>
      <c r="B91" s="1020" t="s">
        <v>2217</v>
      </c>
      <c r="C91" s="19" t="s">
        <v>151</v>
      </c>
      <c r="D91" s="19">
        <v>1</v>
      </c>
      <c r="E91" s="1021">
        <v>55000</v>
      </c>
      <c r="F91" s="1021">
        <f t="shared" si="0"/>
        <v>55000</v>
      </c>
    </row>
    <row r="92" spans="1:6" ht="14.25" customHeight="1">
      <c r="A92" s="1019">
        <v>89</v>
      </c>
      <c r="B92" s="1020" t="s">
        <v>2218</v>
      </c>
      <c r="C92" s="19" t="s">
        <v>151</v>
      </c>
      <c r="D92" s="19">
        <v>1</v>
      </c>
      <c r="E92" s="1021">
        <v>55000</v>
      </c>
      <c r="F92" s="1021">
        <f t="shared" si="0"/>
        <v>55000</v>
      </c>
    </row>
    <row r="93" spans="1:6" ht="14.25" customHeight="1">
      <c r="A93" s="1019">
        <v>90</v>
      </c>
      <c r="B93" s="1020" t="s">
        <v>2219</v>
      </c>
      <c r="C93" s="19" t="s">
        <v>151</v>
      </c>
      <c r="D93" s="19">
        <v>4</v>
      </c>
      <c r="E93" s="1021">
        <v>58000</v>
      </c>
      <c r="F93" s="1021">
        <f t="shared" si="0"/>
        <v>232000</v>
      </c>
    </row>
    <row r="94" spans="1:6" ht="14.25" customHeight="1">
      <c r="A94" s="1019">
        <v>91</v>
      </c>
      <c r="B94" s="1020" t="s">
        <v>2220</v>
      </c>
      <c r="C94" s="19" t="s">
        <v>151</v>
      </c>
      <c r="D94" s="19">
        <v>1</v>
      </c>
      <c r="E94" s="1021">
        <v>45000</v>
      </c>
      <c r="F94" s="1021">
        <f t="shared" si="0"/>
        <v>45000</v>
      </c>
    </row>
    <row r="95" spans="1:6" ht="14.25" customHeight="1">
      <c r="A95" s="1019">
        <v>92</v>
      </c>
      <c r="B95" s="1020" t="s">
        <v>2221</v>
      </c>
      <c r="C95" s="19" t="s">
        <v>151</v>
      </c>
      <c r="D95" s="19">
        <v>1</v>
      </c>
      <c r="E95" s="1021">
        <v>98000</v>
      </c>
      <c r="F95" s="1021">
        <f t="shared" si="0"/>
        <v>98000</v>
      </c>
    </row>
    <row r="96" spans="1:6" ht="14.25" customHeight="1">
      <c r="A96" s="1019">
        <v>93</v>
      </c>
      <c r="B96" s="1020" t="s">
        <v>2222</v>
      </c>
      <c r="C96" s="19" t="s">
        <v>151</v>
      </c>
      <c r="D96" s="19">
        <v>1</v>
      </c>
      <c r="E96" s="1021">
        <v>130000</v>
      </c>
      <c r="F96" s="1021">
        <f t="shared" si="0"/>
        <v>130000</v>
      </c>
    </row>
    <row r="97" spans="1:6" ht="14.25" customHeight="1">
      <c r="A97" s="1019">
        <v>94</v>
      </c>
      <c r="B97" s="1020" t="s">
        <v>2223</v>
      </c>
      <c r="C97" s="19" t="s">
        <v>2131</v>
      </c>
      <c r="D97" s="19">
        <v>1</v>
      </c>
      <c r="E97" s="1021">
        <v>152000</v>
      </c>
      <c r="F97" s="1021">
        <f t="shared" si="0"/>
        <v>152000</v>
      </c>
    </row>
    <row r="98" spans="1:6" ht="14.25" customHeight="1">
      <c r="A98" s="1019">
        <v>95</v>
      </c>
      <c r="B98" s="1020" t="s">
        <v>2224</v>
      </c>
      <c r="C98" s="19" t="s">
        <v>2131</v>
      </c>
      <c r="D98" s="19">
        <v>1</v>
      </c>
      <c r="E98" s="1021">
        <v>33000</v>
      </c>
      <c r="F98" s="1021">
        <f t="shared" si="0"/>
        <v>33000</v>
      </c>
    </row>
    <row r="99" spans="1:6" ht="15.75" customHeight="1">
      <c r="A99" s="1019">
        <v>96</v>
      </c>
      <c r="B99" s="18" t="s">
        <v>2225</v>
      </c>
      <c r="C99" s="19" t="s">
        <v>151</v>
      </c>
      <c r="D99" s="19">
        <v>1</v>
      </c>
      <c r="E99" s="1021">
        <v>65000</v>
      </c>
      <c r="F99" s="1021">
        <f t="shared" si="0"/>
        <v>65000</v>
      </c>
    </row>
    <row r="100" spans="1:6" ht="14.25" customHeight="1">
      <c r="A100" s="1019">
        <v>97</v>
      </c>
      <c r="B100" s="18" t="s">
        <v>2226</v>
      </c>
      <c r="C100" s="19" t="s">
        <v>151</v>
      </c>
      <c r="D100" s="19">
        <v>4</v>
      </c>
      <c r="E100" s="1021">
        <v>0</v>
      </c>
      <c r="F100" s="1021">
        <f t="shared" si="0"/>
        <v>0</v>
      </c>
    </row>
    <row r="101" spans="1:6" ht="14.25" customHeight="1">
      <c r="A101" s="1019">
        <v>98</v>
      </c>
      <c r="B101" s="18" t="s">
        <v>2227</v>
      </c>
      <c r="C101" s="19" t="s">
        <v>2131</v>
      </c>
      <c r="D101" s="19">
        <v>6</v>
      </c>
      <c r="E101" s="1021">
        <v>18000</v>
      </c>
      <c r="F101" s="1021">
        <f t="shared" si="0"/>
        <v>108000</v>
      </c>
    </row>
    <row r="102" spans="1:6" ht="14.25" customHeight="1">
      <c r="A102" s="1019">
        <v>99</v>
      </c>
      <c r="B102" s="18" t="s">
        <v>2228</v>
      </c>
      <c r="C102" s="19" t="s">
        <v>151</v>
      </c>
      <c r="D102" s="19">
        <v>4</v>
      </c>
      <c r="E102" s="1021">
        <v>1000</v>
      </c>
      <c r="F102" s="1021">
        <f t="shared" si="0"/>
        <v>4000</v>
      </c>
    </row>
    <row r="103" spans="1:6" ht="27" customHeight="1">
      <c r="A103" s="1019">
        <v>100</v>
      </c>
      <c r="B103" s="18" t="s">
        <v>2229</v>
      </c>
      <c r="C103" s="19" t="s">
        <v>16</v>
      </c>
      <c r="D103" s="19">
        <v>1</v>
      </c>
      <c r="E103" s="1021">
        <v>510000</v>
      </c>
      <c r="F103" s="1021">
        <f t="shared" si="0"/>
        <v>510000</v>
      </c>
    </row>
    <row r="104" spans="1:6" ht="14.25" customHeight="1">
      <c r="A104" s="1019">
        <v>101</v>
      </c>
      <c r="B104" s="18" t="s">
        <v>2230</v>
      </c>
      <c r="C104" s="19" t="s">
        <v>151</v>
      </c>
      <c r="D104" s="19">
        <v>1</v>
      </c>
      <c r="E104" s="1021">
        <v>150000</v>
      </c>
      <c r="F104" s="1021">
        <f t="shared" si="0"/>
        <v>150000</v>
      </c>
    </row>
    <row r="105" spans="1:6" ht="14.25" customHeight="1">
      <c r="A105" s="1019">
        <v>102</v>
      </c>
      <c r="B105" s="18" t="s">
        <v>2231</v>
      </c>
      <c r="C105" s="19" t="s">
        <v>151</v>
      </c>
      <c r="D105" s="19">
        <v>1</v>
      </c>
      <c r="E105" s="1021">
        <v>100000</v>
      </c>
      <c r="F105" s="1021">
        <f t="shared" si="0"/>
        <v>100000</v>
      </c>
    </row>
    <row r="106" spans="1:6" ht="14.25" customHeight="1">
      <c r="A106" s="1019">
        <v>103</v>
      </c>
      <c r="B106" s="18" t="s">
        <v>2232</v>
      </c>
      <c r="C106" s="19" t="s">
        <v>151</v>
      </c>
      <c r="D106" s="19">
        <v>5</v>
      </c>
      <c r="E106" s="1021">
        <v>19000</v>
      </c>
      <c r="F106" s="1021">
        <f t="shared" si="0"/>
        <v>95000</v>
      </c>
    </row>
    <row r="107" spans="1:6" ht="17.25" customHeight="1">
      <c r="A107" s="1019">
        <v>104</v>
      </c>
      <c r="B107" s="18" t="s">
        <v>2233</v>
      </c>
      <c r="C107" s="19" t="s">
        <v>151</v>
      </c>
      <c r="D107" s="19">
        <v>2</v>
      </c>
      <c r="E107" s="1021">
        <v>19000</v>
      </c>
      <c r="F107" s="1021">
        <f t="shared" si="0"/>
        <v>38000</v>
      </c>
    </row>
    <row r="108" spans="1:6" ht="12.75" customHeight="1">
      <c r="A108" s="1019">
        <v>105</v>
      </c>
      <c r="B108" s="18" t="s">
        <v>2234</v>
      </c>
      <c r="C108" s="19" t="s">
        <v>151</v>
      </c>
      <c r="D108" s="19">
        <v>2</v>
      </c>
      <c r="E108" s="1021">
        <v>29000</v>
      </c>
      <c r="F108" s="1021">
        <f t="shared" si="0"/>
        <v>58000</v>
      </c>
    </row>
    <row r="109" spans="1:6" ht="14.25" customHeight="1">
      <c r="A109" s="1019">
        <v>106</v>
      </c>
      <c r="B109" s="18" t="s">
        <v>2235</v>
      </c>
      <c r="C109" s="19" t="s">
        <v>151</v>
      </c>
      <c r="D109" s="19">
        <v>14</v>
      </c>
      <c r="E109" s="1021">
        <v>9000</v>
      </c>
      <c r="F109" s="1021">
        <f t="shared" si="0"/>
        <v>126000</v>
      </c>
    </row>
    <row r="110" spans="1:6" ht="14.25" customHeight="1">
      <c r="A110" s="1019">
        <v>107</v>
      </c>
      <c r="B110" s="18" t="s">
        <v>2236</v>
      </c>
      <c r="C110" s="19" t="s">
        <v>151</v>
      </c>
      <c r="D110" s="19">
        <v>16</v>
      </c>
      <c r="E110" s="1021">
        <v>9000</v>
      </c>
      <c r="F110" s="1021">
        <f t="shared" si="0"/>
        <v>144000</v>
      </c>
    </row>
    <row r="111" spans="1:6" ht="14.25" customHeight="1">
      <c r="A111" s="1019">
        <v>108</v>
      </c>
      <c r="B111" s="18" t="s">
        <v>2237</v>
      </c>
      <c r="C111" s="19" t="s">
        <v>151</v>
      </c>
      <c r="D111" s="19">
        <v>8</v>
      </c>
      <c r="E111" s="1021">
        <v>9000</v>
      </c>
      <c r="F111" s="1021">
        <f t="shared" si="0"/>
        <v>72000</v>
      </c>
    </row>
    <row r="112" spans="1:6" ht="14.25" customHeight="1">
      <c r="A112" s="1019">
        <v>109</v>
      </c>
      <c r="B112" s="18" t="s">
        <v>2238</v>
      </c>
      <c r="C112" s="19" t="s">
        <v>151</v>
      </c>
      <c r="D112" s="19">
        <v>3</v>
      </c>
      <c r="E112" s="1021">
        <v>9000</v>
      </c>
      <c r="F112" s="1021">
        <f t="shared" si="0"/>
        <v>27000</v>
      </c>
    </row>
    <row r="113" spans="1:6" ht="14.25" customHeight="1">
      <c r="A113" s="1019">
        <v>110</v>
      </c>
      <c r="B113" s="18" t="s">
        <v>2239</v>
      </c>
      <c r="C113" s="19" t="s">
        <v>151</v>
      </c>
      <c r="D113" s="19">
        <v>2</v>
      </c>
      <c r="E113" s="1021">
        <v>9000</v>
      </c>
      <c r="F113" s="1021">
        <f t="shared" si="0"/>
        <v>18000</v>
      </c>
    </row>
    <row r="114" spans="1:6" ht="14.25" customHeight="1">
      <c r="A114" s="1019">
        <v>111</v>
      </c>
      <c r="B114" s="18" t="s">
        <v>2240</v>
      </c>
      <c r="C114" s="19" t="s">
        <v>151</v>
      </c>
      <c r="D114" s="19">
        <v>21</v>
      </c>
      <c r="E114" s="1021">
        <v>9000</v>
      </c>
      <c r="F114" s="1021">
        <f t="shared" si="0"/>
        <v>189000</v>
      </c>
    </row>
    <row r="115" spans="1:6" ht="14.25" customHeight="1">
      <c r="A115" s="1019">
        <v>112</v>
      </c>
      <c r="B115" s="18" t="s">
        <v>2241</v>
      </c>
      <c r="C115" s="19" t="s">
        <v>151</v>
      </c>
      <c r="D115" s="19">
        <v>7</v>
      </c>
      <c r="E115" s="1021">
        <v>185000</v>
      </c>
      <c r="F115" s="1021">
        <f t="shared" si="0"/>
        <v>1295000</v>
      </c>
    </row>
    <row r="116" spans="1:6" ht="14.25" customHeight="1">
      <c r="A116" s="1019">
        <v>113</v>
      </c>
      <c r="B116" s="18" t="s">
        <v>2242</v>
      </c>
      <c r="C116" s="19" t="s">
        <v>151</v>
      </c>
      <c r="D116" s="19">
        <v>8</v>
      </c>
      <c r="E116" s="1021">
        <v>185000</v>
      </c>
      <c r="F116" s="1021">
        <f t="shared" si="0"/>
        <v>1480000</v>
      </c>
    </row>
    <row r="117" spans="1:6" ht="14.25" customHeight="1">
      <c r="A117" s="1019">
        <v>114</v>
      </c>
      <c r="B117" s="18" t="s">
        <v>2243</v>
      </c>
      <c r="C117" s="19" t="s">
        <v>151</v>
      </c>
      <c r="D117" s="19">
        <v>4</v>
      </c>
      <c r="E117" s="1021">
        <v>144000</v>
      </c>
      <c r="F117" s="1021">
        <f t="shared" si="0"/>
        <v>576000</v>
      </c>
    </row>
    <row r="118" spans="1:6" ht="14.25" customHeight="1">
      <c r="A118" s="1019">
        <v>115</v>
      </c>
      <c r="B118" s="18" t="s">
        <v>2244</v>
      </c>
      <c r="C118" s="19" t="s">
        <v>151</v>
      </c>
      <c r="D118" s="19">
        <v>4</v>
      </c>
      <c r="E118" s="1021">
        <v>111000</v>
      </c>
      <c r="F118" s="1021">
        <f t="shared" si="0"/>
        <v>444000</v>
      </c>
    </row>
    <row r="119" spans="1:6" ht="14.25" customHeight="1">
      <c r="A119" s="1019">
        <v>116</v>
      </c>
      <c r="B119" s="18" t="s">
        <v>2245</v>
      </c>
      <c r="C119" s="19" t="s">
        <v>151</v>
      </c>
      <c r="D119" s="19">
        <v>2</v>
      </c>
      <c r="E119" s="1021">
        <v>111000</v>
      </c>
      <c r="F119" s="1021">
        <f t="shared" si="0"/>
        <v>222000</v>
      </c>
    </row>
    <row r="120" spans="1:6" ht="14.25" customHeight="1">
      <c r="A120" s="1019">
        <v>117</v>
      </c>
      <c r="B120" s="18" t="s">
        <v>2246</v>
      </c>
      <c r="C120" s="19" t="s">
        <v>151</v>
      </c>
      <c r="D120" s="19">
        <v>1</v>
      </c>
      <c r="E120" s="1021">
        <v>88000</v>
      </c>
      <c r="F120" s="1021">
        <f t="shared" si="0"/>
        <v>88000</v>
      </c>
    </row>
    <row r="121" spans="1:6" ht="17.25" customHeight="1">
      <c r="A121" s="1019">
        <v>118</v>
      </c>
      <c r="B121" s="18" t="s">
        <v>2247</v>
      </c>
      <c r="C121" s="19" t="s">
        <v>151</v>
      </c>
      <c r="D121" s="19">
        <v>1</v>
      </c>
      <c r="E121" s="1021">
        <v>135000</v>
      </c>
      <c r="F121" s="1021">
        <f t="shared" si="0"/>
        <v>135000</v>
      </c>
    </row>
    <row r="122" spans="1:6" ht="14.25" customHeight="1">
      <c r="A122" s="1019">
        <v>119</v>
      </c>
      <c r="B122" s="18" t="s">
        <v>2248</v>
      </c>
      <c r="C122" s="19" t="s">
        <v>151</v>
      </c>
      <c r="D122" s="19">
        <v>1</v>
      </c>
      <c r="E122" s="1021">
        <v>1900000</v>
      </c>
      <c r="F122" s="1021">
        <f t="shared" si="0"/>
        <v>1900000</v>
      </c>
    </row>
    <row r="123" spans="1:6" ht="14.25" customHeight="1">
      <c r="A123" s="1019">
        <v>120</v>
      </c>
      <c r="B123" s="18" t="s">
        <v>2249</v>
      </c>
      <c r="C123" s="19" t="s">
        <v>151</v>
      </c>
      <c r="D123" s="19">
        <v>1</v>
      </c>
      <c r="E123" s="1021">
        <v>120000</v>
      </c>
      <c r="F123" s="1021">
        <f t="shared" si="0"/>
        <v>120000</v>
      </c>
    </row>
    <row r="124" spans="1:6" ht="14.25" customHeight="1">
      <c r="A124" s="1019">
        <v>121</v>
      </c>
      <c r="B124" s="18" t="s">
        <v>2250</v>
      </c>
      <c r="C124" s="19" t="s">
        <v>151</v>
      </c>
      <c r="D124" s="19">
        <v>1</v>
      </c>
      <c r="E124" s="1021">
        <v>180000</v>
      </c>
      <c r="F124" s="1021">
        <f t="shared" si="0"/>
        <v>180000</v>
      </c>
    </row>
    <row r="125" spans="1:6" ht="14.25" customHeight="1">
      <c r="A125" s="1019">
        <v>122</v>
      </c>
      <c r="B125" s="18" t="s">
        <v>2251</v>
      </c>
      <c r="C125" s="19" t="s">
        <v>151</v>
      </c>
      <c r="D125" s="19">
        <v>1</v>
      </c>
      <c r="E125" s="1021">
        <v>85000</v>
      </c>
      <c r="F125" s="1021">
        <f t="shared" si="0"/>
        <v>85000</v>
      </c>
    </row>
    <row r="126" spans="1:6" ht="14.25" customHeight="1">
      <c r="A126" s="1019">
        <v>123</v>
      </c>
      <c r="B126" s="18" t="s">
        <v>2252</v>
      </c>
      <c r="C126" s="19" t="s">
        <v>151</v>
      </c>
      <c r="D126" s="19">
        <v>1</v>
      </c>
      <c r="E126" s="1021">
        <v>795000</v>
      </c>
      <c r="F126" s="1021">
        <f t="shared" si="0"/>
        <v>795000</v>
      </c>
    </row>
    <row r="127" spans="1:6" ht="14.25" customHeight="1">
      <c r="A127" s="1022"/>
      <c r="B127" s="1023"/>
      <c r="C127" s="1024"/>
      <c r="D127" s="1024"/>
      <c r="E127" s="1025"/>
      <c r="F127" s="1025"/>
    </row>
    <row r="128" spans="1:6" ht="14.25" customHeight="1">
      <c r="A128" s="1014" t="s">
        <v>361</v>
      </c>
      <c r="B128" s="1016" t="s">
        <v>2253</v>
      </c>
      <c r="C128" s="1014"/>
      <c r="D128" s="1014"/>
      <c r="E128" s="1014"/>
      <c r="F128" s="1014"/>
    </row>
    <row r="129" spans="1:6" ht="14.25" customHeight="1">
      <c r="A129" s="1019">
        <v>1</v>
      </c>
      <c r="B129" s="1020" t="s">
        <v>2254</v>
      </c>
      <c r="C129" s="19" t="s">
        <v>2255</v>
      </c>
      <c r="D129" s="19">
        <v>9</v>
      </c>
      <c r="E129" s="1021">
        <v>295000</v>
      </c>
      <c r="F129" s="1021">
        <f>E129*D129</f>
        <v>2655000</v>
      </c>
    </row>
    <row r="130" spans="1:6" ht="14.25" customHeight="1">
      <c r="A130" s="404"/>
      <c r="B130" s="1026"/>
      <c r="C130" s="3"/>
      <c r="D130" s="3"/>
      <c r="E130" s="3"/>
      <c r="F130" s="3"/>
    </row>
    <row r="131" spans="1:6" ht="14.25" customHeight="1">
      <c r="A131" s="1014" t="s">
        <v>140</v>
      </c>
      <c r="B131" s="1016" t="s">
        <v>2256</v>
      </c>
      <c r="C131" s="1014" t="s">
        <v>910</v>
      </c>
      <c r="D131" s="1014">
        <v>1</v>
      </c>
      <c r="E131" s="1017">
        <f>SUM(F132:F240)</f>
        <v>97263800</v>
      </c>
      <c r="F131" s="1018">
        <f>+E131*D131</f>
        <v>97263800</v>
      </c>
    </row>
    <row r="132" spans="1:6" ht="14.25" customHeight="1">
      <c r="A132" s="1019">
        <v>1</v>
      </c>
      <c r="B132" s="1020" t="s">
        <v>2257</v>
      </c>
      <c r="C132" s="19" t="s">
        <v>2131</v>
      </c>
      <c r="D132" s="19">
        <v>150</v>
      </c>
      <c r="E132" s="1021">
        <v>100000</v>
      </c>
      <c r="F132" s="1021">
        <f t="shared" ref="F132:F240" si="1">E132*D132</f>
        <v>15000000</v>
      </c>
    </row>
    <row r="133" spans="1:6" ht="14.25" customHeight="1">
      <c r="A133" s="1019">
        <v>2</v>
      </c>
      <c r="B133" s="1020" t="s">
        <v>2258</v>
      </c>
      <c r="C133" s="19" t="s">
        <v>2131</v>
      </c>
      <c r="D133" s="19">
        <v>68</v>
      </c>
      <c r="E133" s="1021">
        <v>43000</v>
      </c>
      <c r="F133" s="1021">
        <f t="shared" si="1"/>
        <v>2924000</v>
      </c>
    </row>
    <row r="134" spans="1:6" ht="14.25" customHeight="1">
      <c r="A134" s="1019">
        <v>3</v>
      </c>
      <c r="B134" s="1020" t="s">
        <v>2259</v>
      </c>
      <c r="C134" s="19" t="s">
        <v>2131</v>
      </c>
      <c r="D134" s="19">
        <v>9</v>
      </c>
      <c r="E134" s="1021">
        <v>48000</v>
      </c>
      <c r="F134" s="1021">
        <f t="shared" si="1"/>
        <v>432000</v>
      </c>
    </row>
    <row r="135" spans="1:6" ht="14.25" customHeight="1">
      <c r="A135" s="1019">
        <v>4</v>
      </c>
      <c r="B135" s="1020" t="s">
        <v>2260</v>
      </c>
      <c r="C135" s="19" t="s">
        <v>2131</v>
      </c>
      <c r="D135" s="19">
        <v>3</v>
      </c>
      <c r="E135" s="1021">
        <v>32000</v>
      </c>
      <c r="F135" s="1021">
        <f t="shared" si="1"/>
        <v>96000</v>
      </c>
    </row>
    <row r="136" spans="1:6" ht="14.25" customHeight="1">
      <c r="A136" s="1019">
        <v>5</v>
      </c>
      <c r="B136" s="1020" t="s">
        <v>2261</v>
      </c>
      <c r="C136" s="19" t="s">
        <v>2131</v>
      </c>
      <c r="D136" s="19">
        <v>2</v>
      </c>
      <c r="E136" s="1021">
        <v>68500</v>
      </c>
      <c r="F136" s="1021">
        <f t="shared" si="1"/>
        <v>137000</v>
      </c>
    </row>
    <row r="137" spans="1:6" ht="14.25" customHeight="1">
      <c r="A137" s="1019">
        <v>6</v>
      </c>
      <c r="B137" s="1020" t="s">
        <v>2262</v>
      </c>
      <c r="C137" s="19" t="s">
        <v>2131</v>
      </c>
      <c r="D137" s="19">
        <v>18</v>
      </c>
      <c r="E137" s="1021">
        <v>60000</v>
      </c>
      <c r="F137" s="1021">
        <f t="shared" si="1"/>
        <v>1080000</v>
      </c>
    </row>
    <row r="138" spans="1:6" ht="14.25" customHeight="1">
      <c r="A138" s="1019">
        <v>7</v>
      </c>
      <c r="B138" s="1020" t="s">
        <v>2263</v>
      </c>
      <c r="C138" s="19" t="s">
        <v>2131</v>
      </c>
      <c r="D138" s="19">
        <v>40</v>
      </c>
      <c r="E138" s="1021">
        <v>41500</v>
      </c>
      <c r="F138" s="1021">
        <f t="shared" si="1"/>
        <v>1660000</v>
      </c>
    </row>
    <row r="139" spans="1:6" ht="14.25" customHeight="1">
      <c r="A139" s="1019">
        <v>8</v>
      </c>
      <c r="B139" s="1020" t="s">
        <v>2264</v>
      </c>
      <c r="C139" s="19" t="s">
        <v>2131</v>
      </c>
      <c r="D139" s="19">
        <v>8</v>
      </c>
      <c r="E139" s="1021">
        <v>47500</v>
      </c>
      <c r="F139" s="1021">
        <f t="shared" si="1"/>
        <v>380000</v>
      </c>
    </row>
    <row r="140" spans="1:6" ht="14.25" customHeight="1">
      <c r="A140" s="1019">
        <v>9</v>
      </c>
      <c r="B140" s="1020" t="s">
        <v>2265</v>
      </c>
      <c r="C140" s="19" t="s">
        <v>2131</v>
      </c>
      <c r="D140" s="19">
        <v>160</v>
      </c>
      <c r="E140" s="1021">
        <v>31500</v>
      </c>
      <c r="F140" s="1021">
        <f t="shared" si="1"/>
        <v>5040000</v>
      </c>
    </row>
    <row r="141" spans="1:6" ht="14.25" customHeight="1">
      <c r="A141" s="1019">
        <v>10</v>
      </c>
      <c r="B141" s="1020" t="s">
        <v>2266</v>
      </c>
      <c r="C141" s="19" t="s">
        <v>2131</v>
      </c>
      <c r="D141" s="19">
        <v>3</v>
      </c>
      <c r="E141" s="1021">
        <v>25000</v>
      </c>
      <c r="F141" s="1021">
        <f t="shared" si="1"/>
        <v>75000</v>
      </c>
    </row>
    <row r="142" spans="1:6" ht="14.25" customHeight="1">
      <c r="A142" s="1019">
        <v>11</v>
      </c>
      <c r="B142" s="1020" t="s">
        <v>2267</v>
      </c>
      <c r="C142" s="19" t="s">
        <v>2131</v>
      </c>
      <c r="D142" s="19">
        <v>21</v>
      </c>
      <c r="E142" s="1021">
        <v>125000</v>
      </c>
      <c r="F142" s="1021">
        <f t="shared" si="1"/>
        <v>2625000</v>
      </c>
    </row>
    <row r="143" spans="1:6" ht="14.25" customHeight="1">
      <c r="A143" s="1019">
        <v>12</v>
      </c>
      <c r="B143" s="1020" t="s">
        <v>2268</v>
      </c>
      <c r="C143" s="19" t="s">
        <v>151</v>
      </c>
      <c r="D143" s="19">
        <v>9</v>
      </c>
      <c r="E143" s="1021">
        <v>22000</v>
      </c>
      <c r="F143" s="1021">
        <f t="shared" si="1"/>
        <v>198000</v>
      </c>
    </row>
    <row r="144" spans="1:6" ht="14.25" customHeight="1">
      <c r="A144" s="1019">
        <v>13</v>
      </c>
      <c r="B144" s="1020" t="s">
        <v>2269</v>
      </c>
      <c r="C144" s="19" t="s">
        <v>151</v>
      </c>
      <c r="D144" s="19">
        <v>6</v>
      </c>
      <c r="E144" s="1021">
        <v>25400</v>
      </c>
      <c r="F144" s="1021">
        <f t="shared" si="1"/>
        <v>152400</v>
      </c>
    </row>
    <row r="145" spans="1:6" ht="14.25" customHeight="1">
      <c r="A145" s="1019">
        <v>14</v>
      </c>
      <c r="B145" s="1020" t="s">
        <v>2270</v>
      </c>
      <c r="C145" s="19" t="s">
        <v>151</v>
      </c>
      <c r="D145" s="19">
        <v>2</v>
      </c>
      <c r="E145" s="1021">
        <v>20300</v>
      </c>
      <c r="F145" s="1021">
        <f t="shared" si="1"/>
        <v>40600</v>
      </c>
    </row>
    <row r="146" spans="1:6" ht="14.25" customHeight="1">
      <c r="A146" s="1019">
        <v>15</v>
      </c>
      <c r="B146" s="1020" t="s">
        <v>2271</v>
      </c>
      <c r="C146" s="19" t="s">
        <v>151</v>
      </c>
      <c r="D146" s="19">
        <v>1</v>
      </c>
      <c r="E146" s="1021">
        <v>22000</v>
      </c>
      <c r="F146" s="1021">
        <f t="shared" si="1"/>
        <v>22000</v>
      </c>
    </row>
    <row r="147" spans="1:6" ht="14.25" customHeight="1">
      <c r="A147" s="1019">
        <v>16</v>
      </c>
      <c r="B147" s="1020" t="s">
        <v>2142</v>
      </c>
      <c r="C147" s="19" t="s">
        <v>151</v>
      </c>
      <c r="D147" s="19">
        <v>18</v>
      </c>
      <c r="E147" s="1021">
        <v>46300</v>
      </c>
      <c r="F147" s="1021">
        <f t="shared" si="1"/>
        <v>833400</v>
      </c>
    </row>
    <row r="148" spans="1:6" ht="14.25" customHeight="1">
      <c r="A148" s="1019">
        <v>17</v>
      </c>
      <c r="B148" s="1020" t="s">
        <v>2272</v>
      </c>
      <c r="C148" s="19" t="s">
        <v>151</v>
      </c>
      <c r="D148" s="19">
        <v>5</v>
      </c>
      <c r="E148" s="1021">
        <v>16000</v>
      </c>
      <c r="F148" s="1021">
        <f t="shared" si="1"/>
        <v>80000</v>
      </c>
    </row>
    <row r="149" spans="1:6" ht="14.25" customHeight="1">
      <c r="A149" s="1019">
        <v>18</v>
      </c>
      <c r="B149" s="1020" t="s">
        <v>2146</v>
      </c>
      <c r="C149" s="19" t="s">
        <v>151</v>
      </c>
      <c r="D149" s="19">
        <v>47</v>
      </c>
      <c r="E149" s="1021">
        <v>9000</v>
      </c>
      <c r="F149" s="1021">
        <f t="shared" si="1"/>
        <v>423000</v>
      </c>
    </row>
    <row r="150" spans="1:6" ht="14.25" customHeight="1">
      <c r="A150" s="1019">
        <v>19</v>
      </c>
      <c r="B150" s="1020" t="s">
        <v>2148</v>
      </c>
      <c r="C150" s="19" t="s">
        <v>151</v>
      </c>
      <c r="D150" s="19">
        <v>4</v>
      </c>
      <c r="E150" s="1021">
        <v>7000</v>
      </c>
      <c r="F150" s="1021">
        <f t="shared" si="1"/>
        <v>28000</v>
      </c>
    </row>
    <row r="151" spans="1:6" ht="14.25" customHeight="1">
      <c r="A151" s="1019">
        <v>20</v>
      </c>
      <c r="B151" s="1020" t="s">
        <v>2147</v>
      </c>
      <c r="C151" s="19" t="s">
        <v>151</v>
      </c>
      <c r="D151" s="19">
        <v>2</v>
      </c>
      <c r="E151" s="1021">
        <v>7000</v>
      </c>
      <c r="F151" s="1021">
        <f t="shared" si="1"/>
        <v>14000</v>
      </c>
    </row>
    <row r="152" spans="1:6" ht="14.25" customHeight="1">
      <c r="A152" s="1019">
        <v>21</v>
      </c>
      <c r="B152" s="1020" t="s">
        <v>2273</v>
      </c>
      <c r="C152" s="19" t="s">
        <v>151</v>
      </c>
      <c r="D152" s="19">
        <v>2</v>
      </c>
      <c r="E152" s="1021">
        <v>18000</v>
      </c>
      <c r="F152" s="1021">
        <f t="shared" si="1"/>
        <v>36000</v>
      </c>
    </row>
    <row r="153" spans="1:6" ht="14.25" customHeight="1">
      <c r="A153" s="1019">
        <v>22</v>
      </c>
      <c r="B153" s="1020" t="s">
        <v>2274</v>
      </c>
      <c r="C153" s="19" t="s">
        <v>151</v>
      </c>
      <c r="D153" s="19">
        <v>6</v>
      </c>
      <c r="E153" s="1021">
        <v>410000</v>
      </c>
      <c r="F153" s="1021">
        <f t="shared" si="1"/>
        <v>2460000</v>
      </c>
    </row>
    <row r="154" spans="1:6" ht="14.25" customHeight="1">
      <c r="A154" s="1019">
        <v>23</v>
      </c>
      <c r="B154" s="1020" t="s">
        <v>2275</v>
      </c>
      <c r="C154" s="19" t="s">
        <v>151</v>
      </c>
      <c r="D154" s="19">
        <v>4</v>
      </c>
      <c r="E154" s="1021">
        <v>37200</v>
      </c>
      <c r="F154" s="1021">
        <f t="shared" si="1"/>
        <v>148800</v>
      </c>
    </row>
    <row r="155" spans="1:6" ht="14.25" customHeight="1">
      <c r="A155" s="1019">
        <v>24</v>
      </c>
      <c r="B155" s="1020" t="s">
        <v>2276</v>
      </c>
      <c r="C155" s="19" t="s">
        <v>151</v>
      </c>
      <c r="D155" s="19">
        <v>1</v>
      </c>
      <c r="E155" s="1021">
        <v>500000</v>
      </c>
      <c r="F155" s="1021">
        <f t="shared" si="1"/>
        <v>500000</v>
      </c>
    </row>
    <row r="156" spans="1:6" ht="14.25" customHeight="1">
      <c r="A156" s="1019">
        <v>25</v>
      </c>
      <c r="B156" s="1020" t="s">
        <v>2277</v>
      </c>
      <c r="C156" s="19" t="s">
        <v>151</v>
      </c>
      <c r="D156" s="19">
        <v>12</v>
      </c>
      <c r="E156" s="1021">
        <v>500000</v>
      </c>
      <c r="F156" s="1021">
        <f t="shared" si="1"/>
        <v>6000000</v>
      </c>
    </row>
    <row r="157" spans="1:6" ht="14.25" customHeight="1">
      <c r="A157" s="1019">
        <v>26</v>
      </c>
      <c r="B157" s="1020" t="s">
        <v>2278</v>
      </c>
      <c r="C157" s="19" t="s">
        <v>151</v>
      </c>
      <c r="D157" s="19">
        <v>1</v>
      </c>
      <c r="E157" s="1021">
        <v>500000</v>
      </c>
      <c r="F157" s="1021">
        <f t="shared" si="1"/>
        <v>500000</v>
      </c>
    </row>
    <row r="158" spans="1:6" ht="14.25" customHeight="1">
      <c r="A158" s="1019">
        <v>27</v>
      </c>
      <c r="B158" s="1020" t="s">
        <v>2279</v>
      </c>
      <c r="C158" s="19" t="s">
        <v>151</v>
      </c>
      <c r="D158" s="19">
        <v>4</v>
      </c>
      <c r="E158" s="1021">
        <v>62500</v>
      </c>
      <c r="F158" s="1021">
        <f t="shared" si="1"/>
        <v>250000</v>
      </c>
    </row>
    <row r="159" spans="1:6" ht="14.25" customHeight="1">
      <c r="A159" s="1019">
        <v>28</v>
      </c>
      <c r="B159" s="1020" t="s">
        <v>2280</v>
      </c>
      <c r="C159" s="19" t="s">
        <v>151</v>
      </c>
      <c r="D159" s="19">
        <v>1</v>
      </c>
      <c r="E159" s="1021">
        <v>32000</v>
      </c>
      <c r="F159" s="1021">
        <f t="shared" si="1"/>
        <v>32000</v>
      </c>
    </row>
    <row r="160" spans="1:6" ht="14.25" customHeight="1">
      <c r="A160" s="1019">
        <v>29</v>
      </c>
      <c r="B160" s="1020" t="s">
        <v>2281</v>
      </c>
      <c r="C160" s="19" t="s">
        <v>151</v>
      </c>
      <c r="D160" s="19">
        <v>1</v>
      </c>
      <c r="E160" s="1021">
        <v>29000</v>
      </c>
      <c r="F160" s="1021">
        <f t="shared" si="1"/>
        <v>29000</v>
      </c>
    </row>
    <row r="161" spans="1:6" ht="14.25" customHeight="1">
      <c r="A161" s="1019">
        <v>30</v>
      </c>
      <c r="B161" s="1020" t="s">
        <v>2154</v>
      </c>
      <c r="C161" s="19" t="s">
        <v>151</v>
      </c>
      <c r="D161" s="19">
        <v>18</v>
      </c>
      <c r="E161" s="1021">
        <v>9000</v>
      </c>
      <c r="F161" s="1021">
        <f t="shared" si="1"/>
        <v>162000</v>
      </c>
    </row>
    <row r="162" spans="1:6" ht="14.25" customHeight="1">
      <c r="A162" s="1019">
        <v>31</v>
      </c>
      <c r="B162" s="1020" t="s">
        <v>2282</v>
      </c>
      <c r="C162" s="19" t="s">
        <v>151</v>
      </c>
      <c r="D162" s="19">
        <v>1</v>
      </c>
      <c r="E162" s="1021">
        <v>46200</v>
      </c>
      <c r="F162" s="1021">
        <f t="shared" si="1"/>
        <v>46200</v>
      </c>
    </row>
    <row r="163" spans="1:6" ht="14.25" customHeight="1">
      <c r="A163" s="1019">
        <v>32</v>
      </c>
      <c r="B163" s="1020" t="s">
        <v>2283</v>
      </c>
      <c r="C163" s="19" t="s">
        <v>151</v>
      </c>
      <c r="D163" s="19">
        <v>2</v>
      </c>
      <c r="E163" s="1021">
        <v>46200</v>
      </c>
      <c r="F163" s="1021">
        <f t="shared" si="1"/>
        <v>92400</v>
      </c>
    </row>
    <row r="164" spans="1:6" ht="14.25" customHeight="1">
      <c r="A164" s="1019">
        <v>33</v>
      </c>
      <c r="B164" s="1020" t="s">
        <v>2284</v>
      </c>
      <c r="C164" s="19" t="s">
        <v>151</v>
      </c>
      <c r="D164" s="19">
        <v>3</v>
      </c>
      <c r="E164" s="1021">
        <v>34500</v>
      </c>
      <c r="F164" s="1021">
        <f t="shared" si="1"/>
        <v>103500</v>
      </c>
    </row>
    <row r="165" spans="1:6" ht="14.25" customHeight="1">
      <c r="A165" s="1019">
        <v>34</v>
      </c>
      <c r="B165" s="1020" t="s">
        <v>2285</v>
      </c>
      <c r="C165" s="19" t="s">
        <v>151</v>
      </c>
      <c r="D165" s="19">
        <v>10</v>
      </c>
      <c r="E165" s="1021">
        <v>32000</v>
      </c>
      <c r="F165" s="1021">
        <f t="shared" si="1"/>
        <v>320000</v>
      </c>
    </row>
    <row r="166" spans="1:6" ht="14.25" customHeight="1">
      <c r="A166" s="1019">
        <v>35</v>
      </c>
      <c r="B166" s="1020" t="s">
        <v>2286</v>
      </c>
      <c r="C166" s="19" t="s">
        <v>151</v>
      </c>
      <c r="D166" s="19">
        <v>1</v>
      </c>
      <c r="E166" s="1021">
        <v>33000</v>
      </c>
      <c r="F166" s="1021">
        <f t="shared" si="1"/>
        <v>33000</v>
      </c>
    </row>
    <row r="167" spans="1:6" ht="14.25" customHeight="1">
      <c r="A167" s="1019">
        <v>36</v>
      </c>
      <c r="B167" s="1020" t="s">
        <v>2287</v>
      </c>
      <c r="C167" s="19" t="s">
        <v>151</v>
      </c>
      <c r="D167" s="19">
        <v>4</v>
      </c>
      <c r="E167" s="1021">
        <v>48000</v>
      </c>
      <c r="F167" s="1021">
        <f t="shared" si="1"/>
        <v>192000</v>
      </c>
    </row>
    <row r="168" spans="1:6" ht="14.25" customHeight="1">
      <c r="A168" s="1019">
        <v>37</v>
      </c>
      <c r="B168" s="1020" t="s">
        <v>2288</v>
      </c>
      <c r="C168" s="19" t="s">
        <v>151</v>
      </c>
      <c r="D168" s="19">
        <v>4</v>
      </c>
      <c r="E168" s="1021">
        <v>46200</v>
      </c>
      <c r="F168" s="1021">
        <f t="shared" si="1"/>
        <v>184800</v>
      </c>
    </row>
    <row r="169" spans="1:6" ht="14.25" customHeight="1">
      <c r="A169" s="1019">
        <v>38</v>
      </c>
      <c r="B169" s="1020" t="s">
        <v>2289</v>
      </c>
      <c r="C169" s="19" t="s">
        <v>151</v>
      </c>
      <c r="D169" s="19">
        <v>1</v>
      </c>
      <c r="E169" s="1021">
        <v>43000</v>
      </c>
      <c r="F169" s="1021">
        <f t="shared" si="1"/>
        <v>43000</v>
      </c>
    </row>
    <row r="170" spans="1:6" ht="14.25" customHeight="1">
      <c r="A170" s="1019">
        <v>39</v>
      </c>
      <c r="B170" s="1020" t="s">
        <v>2290</v>
      </c>
      <c r="C170" s="19" t="s">
        <v>151</v>
      </c>
      <c r="D170" s="19">
        <v>3</v>
      </c>
      <c r="E170" s="1021">
        <v>16000</v>
      </c>
      <c r="F170" s="1021">
        <f t="shared" si="1"/>
        <v>48000</v>
      </c>
    </row>
    <row r="171" spans="1:6" ht="14.25" customHeight="1">
      <c r="A171" s="1019">
        <v>40</v>
      </c>
      <c r="B171" s="1020" t="s">
        <v>2291</v>
      </c>
      <c r="C171" s="19" t="s">
        <v>151</v>
      </c>
      <c r="D171" s="19">
        <v>13</v>
      </c>
      <c r="E171" s="1021">
        <v>16000</v>
      </c>
      <c r="F171" s="1021">
        <f t="shared" si="1"/>
        <v>208000</v>
      </c>
    </row>
    <row r="172" spans="1:6" ht="14.25" customHeight="1">
      <c r="A172" s="1019">
        <v>41</v>
      </c>
      <c r="B172" s="1020" t="s">
        <v>2292</v>
      </c>
      <c r="C172" s="19" t="s">
        <v>151</v>
      </c>
      <c r="D172" s="19">
        <v>1</v>
      </c>
      <c r="E172" s="1021">
        <v>23000</v>
      </c>
      <c r="F172" s="1021">
        <f t="shared" si="1"/>
        <v>23000</v>
      </c>
    </row>
    <row r="173" spans="1:6" ht="14.25" customHeight="1">
      <c r="A173" s="1019">
        <v>42</v>
      </c>
      <c r="B173" s="1020" t="s">
        <v>2293</v>
      </c>
      <c r="C173" s="19" t="s">
        <v>151</v>
      </c>
      <c r="D173" s="19">
        <v>30</v>
      </c>
      <c r="E173" s="1021">
        <v>18000</v>
      </c>
      <c r="F173" s="1021">
        <f t="shared" si="1"/>
        <v>540000</v>
      </c>
    </row>
    <row r="174" spans="1:6" ht="14.25" customHeight="1">
      <c r="A174" s="1019">
        <v>43</v>
      </c>
      <c r="B174" s="1020" t="s">
        <v>2294</v>
      </c>
      <c r="C174" s="19" t="s">
        <v>151</v>
      </c>
      <c r="D174" s="19">
        <v>2</v>
      </c>
      <c r="E174" s="1021">
        <v>27500</v>
      </c>
      <c r="F174" s="1021">
        <f t="shared" si="1"/>
        <v>55000</v>
      </c>
    </row>
    <row r="175" spans="1:6" ht="14.25" customHeight="1">
      <c r="A175" s="1019">
        <v>44</v>
      </c>
      <c r="B175" s="1020" t="s">
        <v>2295</v>
      </c>
      <c r="C175" s="19" t="s">
        <v>151</v>
      </c>
      <c r="D175" s="19">
        <v>1</v>
      </c>
      <c r="E175" s="1021">
        <v>9500</v>
      </c>
      <c r="F175" s="1021">
        <f t="shared" si="1"/>
        <v>9500</v>
      </c>
    </row>
    <row r="176" spans="1:6" ht="14.25" customHeight="1">
      <c r="A176" s="1019">
        <v>45</v>
      </c>
      <c r="B176" s="18" t="s">
        <v>2296</v>
      </c>
      <c r="C176" s="19" t="s">
        <v>151</v>
      </c>
      <c r="D176" s="19">
        <v>5</v>
      </c>
      <c r="E176" s="1021">
        <v>5000</v>
      </c>
      <c r="F176" s="1021">
        <f t="shared" si="1"/>
        <v>25000</v>
      </c>
    </row>
    <row r="177" spans="1:6" ht="14.25" customHeight="1">
      <c r="A177" s="1019">
        <v>46</v>
      </c>
      <c r="B177" s="18" t="s">
        <v>2297</v>
      </c>
      <c r="C177" s="19" t="s">
        <v>151</v>
      </c>
      <c r="D177" s="19">
        <v>1</v>
      </c>
      <c r="E177" s="1021">
        <v>7000</v>
      </c>
      <c r="F177" s="1021">
        <f t="shared" si="1"/>
        <v>7000</v>
      </c>
    </row>
    <row r="178" spans="1:6" ht="14.25" customHeight="1">
      <c r="A178" s="1019">
        <v>47</v>
      </c>
      <c r="B178" s="18" t="s">
        <v>2298</v>
      </c>
      <c r="C178" s="19" t="s">
        <v>151</v>
      </c>
      <c r="D178" s="19">
        <v>11</v>
      </c>
      <c r="E178" s="1021">
        <v>7000</v>
      </c>
      <c r="F178" s="1021">
        <f t="shared" si="1"/>
        <v>77000</v>
      </c>
    </row>
    <row r="179" spans="1:6" ht="14.25" customHeight="1">
      <c r="A179" s="1019">
        <v>48</v>
      </c>
      <c r="B179" s="1020" t="s">
        <v>2299</v>
      </c>
      <c r="C179" s="19" t="s">
        <v>151</v>
      </c>
      <c r="D179" s="19">
        <v>73</v>
      </c>
      <c r="E179" s="1021">
        <v>5000</v>
      </c>
      <c r="F179" s="1021">
        <f t="shared" si="1"/>
        <v>365000</v>
      </c>
    </row>
    <row r="180" spans="1:6" ht="14.25" customHeight="1">
      <c r="A180" s="1019">
        <v>49</v>
      </c>
      <c r="B180" s="18" t="s">
        <v>2300</v>
      </c>
      <c r="C180" s="19" t="s">
        <v>151</v>
      </c>
      <c r="D180" s="19">
        <v>1</v>
      </c>
      <c r="E180" s="1021">
        <v>45000</v>
      </c>
      <c r="F180" s="1021">
        <f t="shared" si="1"/>
        <v>45000</v>
      </c>
    </row>
    <row r="181" spans="1:6" ht="14.25" customHeight="1">
      <c r="A181" s="1019">
        <v>50</v>
      </c>
      <c r="B181" s="18" t="s">
        <v>2301</v>
      </c>
      <c r="C181" s="19" t="s">
        <v>151</v>
      </c>
      <c r="D181" s="19">
        <v>1</v>
      </c>
      <c r="E181" s="1021">
        <v>33000</v>
      </c>
      <c r="F181" s="1021">
        <f t="shared" si="1"/>
        <v>33000</v>
      </c>
    </row>
    <row r="182" spans="1:6" ht="14.25" customHeight="1">
      <c r="A182" s="1019">
        <v>51</v>
      </c>
      <c r="B182" s="18" t="s">
        <v>2302</v>
      </c>
      <c r="C182" s="19" t="s">
        <v>151</v>
      </c>
      <c r="D182" s="19">
        <v>1</v>
      </c>
      <c r="E182" s="1021">
        <v>38000</v>
      </c>
      <c r="F182" s="1021">
        <f t="shared" si="1"/>
        <v>38000</v>
      </c>
    </row>
    <row r="183" spans="1:6" ht="14.25" customHeight="1">
      <c r="A183" s="1019">
        <v>52</v>
      </c>
      <c r="B183" s="18" t="s">
        <v>2303</v>
      </c>
      <c r="C183" s="19" t="s">
        <v>151</v>
      </c>
      <c r="D183" s="19">
        <v>6</v>
      </c>
      <c r="E183" s="1021">
        <v>45000</v>
      </c>
      <c r="F183" s="1021">
        <f t="shared" si="1"/>
        <v>270000</v>
      </c>
    </row>
    <row r="184" spans="1:6" ht="14.25" customHeight="1">
      <c r="A184" s="1019">
        <v>53</v>
      </c>
      <c r="B184" s="1020" t="s">
        <v>2304</v>
      </c>
      <c r="C184" s="19" t="s">
        <v>151</v>
      </c>
      <c r="D184" s="19">
        <v>10</v>
      </c>
      <c r="E184" s="1021">
        <v>20500</v>
      </c>
      <c r="F184" s="1021">
        <f t="shared" si="1"/>
        <v>205000</v>
      </c>
    </row>
    <row r="185" spans="1:6" ht="14.25" customHeight="1">
      <c r="A185" s="1019">
        <v>54</v>
      </c>
      <c r="B185" s="18" t="s">
        <v>2305</v>
      </c>
      <c r="C185" s="19" t="s">
        <v>151</v>
      </c>
      <c r="D185" s="19">
        <v>6</v>
      </c>
      <c r="E185" s="1021">
        <v>15000</v>
      </c>
      <c r="F185" s="1021">
        <f t="shared" si="1"/>
        <v>90000</v>
      </c>
    </row>
    <row r="186" spans="1:6" ht="14.25" customHeight="1">
      <c r="A186" s="1019">
        <v>55</v>
      </c>
      <c r="B186" s="1020" t="s">
        <v>2306</v>
      </c>
      <c r="C186" s="19" t="s">
        <v>151</v>
      </c>
      <c r="D186" s="19">
        <v>15</v>
      </c>
      <c r="E186" s="1021">
        <v>14500</v>
      </c>
      <c r="F186" s="1021">
        <f t="shared" si="1"/>
        <v>217500</v>
      </c>
    </row>
    <row r="187" spans="1:6" ht="14.25" customHeight="1">
      <c r="A187" s="1019">
        <v>56</v>
      </c>
      <c r="B187" s="18" t="s">
        <v>2307</v>
      </c>
      <c r="C187" s="19" t="s">
        <v>151</v>
      </c>
      <c r="D187" s="19">
        <v>28</v>
      </c>
      <c r="E187" s="1021">
        <v>16000</v>
      </c>
      <c r="F187" s="1021">
        <f t="shared" si="1"/>
        <v>448000</v>
      </c>
    </row>
    <row r="188" spans="1:6" ht="14.25" customHeight="1">
      <c r="A188" s="1019">
        <v>57</v>
      </c>
      <c r="B188" s="18" t="s">
        <v>2186</v>
      </c>
      <c r="C188" s="19" t="s">
        <v>151</v>
      </c>
      <c r="D188" s="19">
        <v>58</v>
      </c>
      <c r="E188" s="1021">
        <v>27200</v>
      </c>
      <c r="F188" s="1021">
        <f t="shared" si="1"/>
        <v>1577600</v>
      </c>
    </row>
    <row r="189" spans="1:6" ht="14.25" customHeight="1">
      <c r="A189" s="1019">
        <v>58</v>
      </c>
      <c r="B189" s="18" t="s">
        <v>2308</v>
      </c>
      <c r="C189" s="19" t="s">
        <v>151</v>
      </c>
      <c r="D189" s="19">
        <v>1</v>
      </c>
      <c r="E189" s="1021">
        <v>5000</v>
      </c>
      <c r="F189" s="1021">
        <f t="shared" si="1"/>
        <v>5000</v>
      </c>
    </row>
    <row r="190" spans="1:6" ht="14.25" customHeight="1">
      <c r="A190" s="1019">
        <v>59</v>
      </c>
      <c r="B190" s="18" t="s">
        <v>2309</v>
      </c>
      <c r="C190" s="19" t="s">
        <v>151</v>
      </c>
      <c r="D190" s="19">
        <v>1</v>
      </c>
      <c r="E190" s="1021">
        <v>15000</v>
      </c>
      <c r="F190" s="1021">
        <f t="shared" si="1"/>
        <v>15000</v>
      </c>
    </row>
    <row r="191" spans="1:6" ht="14.25" customHeight="1">
      <c r="A191" s="1019">
        <v>60</v>
      </c>
      <c r="B191" s="1020" t="s">
        <v>2310</v>
      </c>
      <c r="C191" s="19" t="s">
        <v>151</v>
      </c>
      <c r="D191" s="19">
        <v>6</v>
      </c>
      <c r="E191" s="1021">
        <v>20500</v>
      </c>
      <c r="F191" s="1021">
        <f t="shared" si="1"/>
        <v>123000</v>
      </c>
    </row>
    <row r="192" spans="1:6" ht="14.25" customHeight="1">
      <c r="A192" s="1019">
        <v>61</v>
      </c>
      <c r="B192" s="18" t="s">
        <v>2311</v>
      </c>
      <c r="C192" s="19" t="s">
        <v>151</v>
      </c>
      <c r="D192" s="19">
        <v>7</v>
      </c>
      <c r="E192" s="1021">
        <v>16000</v>
      </c>
      <c r="F192" s="1021">
        <f t="shared" si="1"/>
        <v>112000</v>
      </c>
    </row>
    <row r="193" spans="1:6" ht="14.25" customHeight="1">
      <c r="A193" s="1019">
        <v>62</v>
      </c>
      <c r="B193" s="1020" t="s">
        <v>2187</v>
      </c>
      <c r="C193" s="19" t="s">
        <v>151</v>
      </c>
      <c r="D193" s="19">
        <v>14</v>
      </c>
      <c r="E193" s="1021">
        <v>27200</v>
      </c>
      <c r="F193" s="1021">
        <f t="shared" si="1"/>
        <v>380800</v>
      </c>
    </row>
    <row r="194" spans="1:6" ht="14.25" customHeight="1">
      <c r="A194" s="1019">
        <v>63</v>
      </c>
      <c r="B194" s="18" t="s">
        <v>2312</v>
      </c>
      <c r="C194" s="19" t="s">
        <v>151</v>
      </c>
      <c r="D194" s="19">
        <v>2</v>
      </c>
      <c r="E194" s="1021">
        <v>8000</v>
      </c>
      <c r="F194" s="1021">
        <f t="shared" si="1"/>
        <v>16000</v>
      </c>
    </row>
    <row r="195" spans="1:6" ht="14.25" customHeight="1">
      <c r="A195" s="1019">
        <v>64</v>
      </c>
      <c r="B195" s="18" t="s">
        <v>2313</v>
      </c>
      <c r="C195" s="19" t="s">
        <v>151</v>
      </c>
      <c r="D195" s="19">
        <v>1</v>
      </c>
      <c r="E195" s="1021">
        <v>8200</v>
      </c>
      <c r="F195" s="1021">
        <f t="shared" si="1"/>
        <v>8200</v>
      </c>
    </row>
    <row r="196" spans="1:6" ht="14.25" customHeight="1">
      <c r="A196" s="1019">
        <v>65</v>
      </c>
      <c r="B196" s="18" t="s">
        <v>2314</v>
      </c>
      <c r="C196" s="19" t="s">
        <v>151</v>
      </c>
      <c r="D196" s="19">
        <v>2</v>
      </c>
      <c r="E196" s="1021">
        <v>9500</v>
      </c>
      <c r="F196" s="1021">
        <f t="shared" si="1"/>
        <v>19000</v>
      </c>
    </row>
    <row r="197" spans="1:6" ht="14.25" customHeight="1">
      <c r="A197" s="1019">
        <v>66</v>
      </c>
      <c r="B197" s="1020" t="s">
        <v>2315</v>
      </c>
      <c r="C197" s="19" t="s">
        <v>151</v>
      </c>
      <c r="D197" s="19">
        <v>4</v>
      </c>
      <c r="E197" s="1021">
        <v>360000</v>
      </c>
      <c r="F197" s="1021">
        <f t="shared" si="1"/>
        <v>1440000</v>
      </c>
    </row>
    <row r="198" spans="1:6" ht="14.25" customHeight="1">
      <c r="A198" s="1019">
        <v>67</v>
      </c>
      <c r="B198" s="18" t="s">
        <v>2316</v>
      </c>
      <c r="C198" s="19" t="s">
        <v>151</v>
      </c>
      <c r="D198" s="19">
        <v>4</v>
      </c>
      <c r="E198" s="1021">
        <v>150000</v>
      </c>
      <c r="F198" s="1021">
        <f t="shared" si="1"/>
        <v>600000</v>
      </c>
    </row>
    <row r="199" spans="1:6" ht="14.25" customHeight="1">
      <c r="A199" s="1019">
        <v>68</v>
      </c>
      <c r="B199" s="18" t="s">
        <v>2317</v>
      </c>
      <c r="C199" s="19" t="s">
        <v>151</v>
      </c>
      <c r="D199" s="19">
        <v>73</v>
      </c>
      <c r="E199" s="1021">
        <v>58000</v>
      </c>
      <c r="F199" s="1021">
        <f t="shared" si="1"/>
        <v>4234000</v>
      </c>
    </row>
    <row r="200" spans="1:6" ht="14.25" customHeight="1">
      <c r="A200" s="1019">
        <v>69</v>
      </c>
      <c r="B200" s="18" t="s">
        <v>2318</v>
      </c>
      <c r="C200" s="19" t="s">
        <v>151</v>
      </c>
      <c r="D200" s="19">
        <v>6</v>
      </c>
      <c r="E200" s="1021">
        <v>48000</v>
      </c>
      <c r="F200" s="1021">
        <f t="shared" si="1"/>
        <v>288000</v>
      </c>
    </row>
    <row r="201" spans="1:6" ht="14.25" customHeight="1">
      <c r="A201" s="1019">
        <v>70</v>
      </c>
      <c r="B201" s="18" t="s">
        <v>2319</v>
      </c>
      <c r="C201" s="19" t="s">
        <v>151</v>
      </c>
      <c r="D201" s="19">
        <v>73</v>
      </c>
      <c r="E201" s="1021">
        <v>34500</v>
      </c>
      <c r="F201" s="1021">
        <f t="shared" si="1"/>
        <v>2518500</v>
      </c>
    </row>
    <row r="202" spans="1:6" ht="14.25" customHeight="1">
      <c r="A202" s="1019">
        <v>71</v>
      </c>
      <c r="B202" s="1020" t="s">
        <v>2320</v>
      </c>
      <c r="C202" s="19" t="s">
        <v>151</v>
      </c>
      <c r="D202" s="19">
        <v>73</v>
      </c>
      <c r="E202" s="1021">
        <v>5000</v>
      </c>
      <c r="F202" s="1021">
        <f t="shared" si="1"/>
        <v>365000</v>
      </c>
    </row>
    <row r="203" spans="1:6" ht="14.25" customHeight="1">
      <c r="A203" s="1019">
        <v>72</v>
      </c>
      <c r="B203" s="18" t="s">
        <v>2321</v>
      </c>
      <c r="C203" s="19" t="s">
        <v>151</v>
      </c>
      <c r="D203" s="19">
        <v>1</v>
      </c>
      <c r="E203" s="1021">
        <v>880000</v>
      </c>
      <c r="F203" s="1021">
        <f t="shared" si="1"/>
        <v>880000</v>
      </c>
    </row>
    <row r="204" spans="1:6" ht="14.25" customHeight="1">
      <c r="A204" s="1019">
        <v>73</v>
      </c>
      <c r="B204" s="1020" t="s">
        <v>2322</v>
      </c>
      <c r="C204" s="19" t="s">
        <v>151</v>
      </c>
      <c r="D204" s="19">
        <v>1</v>
      </c>
      <c r="E204" s="1021">
        <v>580000</v>
      </c>
      <c r="F204" s="1021">
        <f t="shared" si="1"/>
        <v>580000</v>
      </c>
    </row>
    <row r="205" spans="1:6" ht="14.25" customHeight="1">
      <c r="A205" s="1019">
        <v>74</v>
      </c>
      <c r="B205" s="1020" t="s">
        <v>2323</v>
      </c>
      <c r="C205" s="19" t="s">
        <v>151</v>
      </c>
      <c r="D205" s="19">
        <v>1</v>
      </c>
      <c r="E205" s="1021">
        <v>540000</v>
      </c>
      <c r="F205" s="1021">
        <f t="shared" si="1"/>
        <v>540000</v>
      </c>
    </row>
    <row r="206" spans="1:6" ht="14.25" customHeight="1">
      <c r="A206" s="1019">
        <v>75</v>
      </c>
      <c r="B206" s="1020" t="s">
        <v>2324</v>
      </c>
      <c r="C206" s="19" t="s">
        <v>151</v>
      </c>
      <c r="D206" s="19">
        <v>8</v>
      </c>
      <c r="E206" s="1021">
        <v>210000</v>
      </c>
      <c r="F206" s="1021">
        <f t="shared" si="1"/>
        <v>1680000</v>
      </c>
    </row>
    <row r="207" spans="1:6" ht="14.25" customHeight="1">
      <c r="A207" s="1019">
        <v>76</v>
      </c>
      <c r="B207" s="1020" t="s">
        <v>2325</v>
      </c>
      <c r="C207" s="19" t="s">
        <v>151</v>
      </c>
      <c r="D207" s="19">
        <v>1</v>
      </c>
      <c r="E207" s="1021">
        <v>1100000</v>
      </c>
      <c r="F207" s="1021">
        <f t="shared" si="1"/>
        <v>1100000</v>
      </c>
    </row>
    <row r="208" spans="1:6" ht="14.25" customHeight="1">
      <c r="A208" s="1019">
        <v>77</v>
      </c>
      <c r="B208" s="1020" t="s">
        <v>2325</v>
      </c>
      <c r="C208" s="19" t="s">
        <v>151</v>
      </c>
      <c r="D208" s="19">
        <v>3</v>
      </c>
      <c r="E208" s="1021">
        <v>1100000</v>
      </c>
      <c r="F208" s="1021">
        <f t="shared" si="1"/>
        <v>3300000</v>
      </c>
    </row>
    <row r="209" spans="1:6" ht="14.25" customHeight="1">
      <c r="A209" s="1019">
        <v>78</v>
      </c>
      <c r="B209" s="1020" t="s">
        <v>2326</v>
      </c>
      <c r="C209" s="19" t="s">
        <v>151</v>
      </c>
      <c r="D209" s="19">
        <v>1</v>
      </c>
      <c r="E209" s="1021">
        <v>291000</v>
      </c>
      <c r="F209" s="1021">
        <f t="shared" si="1"/>
        <v>291000</v>
      </c>
    </row>
    <row r="210" spans="1:6" ht="14.25" customHeight="1">
      <c r="A210" s="1019">
        <v>79</v>
      </c>
      <c r="B210" s="1020" t="s">
        <v>2327</v>
      </c>
      <c r="C210" s="19" t="s">
        <v>151</v>
      </c>
      <c r="D210" s="19">
        <v>3</v>
      </c>
      <c r="E210" s="1021">
        <v>830000</v>
      </c>
      <c r="F210" s="1021">
        <f t="shared" si="1"/>
        <v>2490000</v>
      </c>
    </row>
    <row r="211" spans="1:6" ht="14.25" customHeight="1">
      <c r="A211" s="1019">
        <v>80</v>
      </c>
      <c r="B211" s="1020" t="s">
        <v>2328</v>
      </c>
      <c r="C211" s="19" t="s">
        <v>151</v>
      </c>
      <c r="D211" s="19">
        <v>1</v>
      </c>
      <c r="E211" s="1021">
        <v>980000</v>
      </c>
      <c r="F211" s="1021">
        <f t="shared" si="1"/>
        <v>980000</v>
      </c>
    </row>
    <row r="212" spans="1:6" ht="14.25" customHeight="1">
      <c r="A212" s="1019">
        <v>81</v>
      </c>
      <c r="B212" s="1020" t="s">
        <v>2329</v>
      </c>
      <c r="C212" s="19" t="s">
        <v>151</v>
      </c>
      <c r="D212" s="19">
        <v>1</v>
      </c>
      <c r="E212" s="1021">
        <v>145000</v>
      </c>
      <c r="F212" s="1021">
        <f t="shared" si="1"/>
        <v>145000</v>
      </c>
    </row>
    <row r="213" spans="1:6" ht="14.25" customHeight="1">
      <c r="A213" s="1019">
        <v>82</v>
      </c>
      <c r="B213" s="1020" t="s">
        <v>2330</v>
      </c>
      <c r="C213" s="19" t="s">
        <v>151</v>
      </c>
      <c r="D213" s="19">
        <v>3</v>
      </c>
      <c r="E213" s="1021">
        <v>290000</v>
      </c>
      <c r="F213" s="1021">
        <f t="shared" si="1"/>
        <v>870000</v>
      </c>
    </row>
    <row r="214" spans="1:6" ht="14.25" customHeight="1">
      <c r="A214" s="1019">
        <v>83</v>
      </c>
      <c r="B214" s="1020" t="s">
        <v>2331</v>
      </c>
      <c r="C214" s="19" t="s">
        <v>151</v>
      </c>
      <c r="D214" s="19">
        <v>3</v>
      </c>
      <c r="E214" s="1021">
        <v>2800000</v>
      </c>
      <c r="F214" s="1021">
        <f t="shared" si="1"/>
        <v>8400000</v>
      </c>
    </row>
    <row r="215" spans="1:6" ht="14.25" customHeight="1">
      <c r="A215" s="1019">
        <v>84</v>
      </c>
      <c r="B215" s="1020" t="s">
        <v>2332</v>
      </c>
      <c r="C215" s="19" t="s">
        <v>151</v>
      </c>
      <c r="D215" s="19">
        <v>1</v>
      </c>
      <c r="E215" s="1021">
        <v>2300000</v>
      </c>
      <c r="F215" s="1021">
        <f t="shared" si="1"/>
        <v>2300000</v>
      </c>
    </row>
    <row r="216" spans="1:6" ht="14.25" customHeight="1">
      <c r="A216" s="1019">
        <v>85</v>
      </c>
      <c r="B216" s="1020" t="s">
        <v>2333</v>
      </c>
      <c r="C216" s="19" t="s">
        <v>151</v>
      </c>
      <c r="D216" s="19">
        <v>4</v>
      </c>
      <c r="E216" s="1021">
        <v>105000</v>
      </c>
      <c r="F216" s="1021">
        <f t="shared" si="1"/>
        <v>420000</v>
      </c>
    </row>
    <row r="217" spans="1:6" ht="14.25" customHeight="1">
      <c r="A217" s="1019">
        <v>86</v>
      </c>
      <c r="B217" s="1020" t="s">
        <v>2334</v>
      </c>
      <c r="C217" s="19" t="s">
        <v>151</v>
      </c>
      <c r="D217" s="19">
        <v>5</v>
      </c>
      <c r="E217" s="1021">
        <v>105000</v>
      </c>
      <c r="F217" s="1021">
        <f t="shared" si="1"/>
        <v>525000</v>
      </c>
    </row>
    <row r="218" spans="1:6" ht="14.25" customHeight="1">
      <c r="A218" s="1019">
        <v>87</v>
      </c>
      <c r="B218" s="1020" t="s">
        <v>2335</v>
      </c>
      <c r="C218" s="19" t="s">
        <v>151</v>
      </c>
      <c r="D218" s="19">
        <v>6</v>
      </c>
      <c r="E218" s="1021">
        <v>105000</v>
      </c>
      <c r="F218" s="1021">
        <f t="shared" si="1"/>
        <v>630000</v>
      </c>
    </row>
    <row r="219" spans="1:6" ht="14.25" customHeight="1">
      <c r="A219" s="1019">
        <v>88</v>
      </c>
      <c r="B219" s="1020" t="s">
        <v>2336</v>
      </c>
      <c r="C219" s="19" t="s">
        <v>151</v>
      </c>
      <c r="D219" s="19">
        <v>4</v>
      </c>
      <c r="E219" s="1021">
        <v>15000</v>
      </c>
      <c r="F219" s="1021">
        <f t="shared" si="1"/>
        <v>60000</v>
      </c>
    </row>
    <row r="220" spans="1:6" ht="14.25" customHeight="1">
      <c r="A220" s="1019">
        <v>89</v>
      </c>
      <c r="B220" s="1020" t="s">
        <v>2337</v>
      </c>
      <c r="C220" s="19" t="s">
        <v>151</v>
      </c>
      <c r="D220" s="19">
        <v>2</v>
      </c>
      <c r="E220" s="1021">
        <v>15000</v>
      </c>
      <c r="F220" s="1021">
        <f t="shared" si="1"/>
        <v>30000</v>
      </c>
    </row>
    <row r="221" spans="1:6" ht="14.25" customHeight="1">
      <c r="A221" s="1019">
        <v>90</v>
      </c>
      <c r="B221" s="1020" t="s">
        <v>2338</v>
      </c>
      <c r="C221" s="19" t="s">
        <v>151</v>
      </c>
      <c r="D221" s="1027">
        <v>5</v>
      </c>
      <c r="E221" s="1021">
        <v>15000</v>
      </c>
      <c r="F221" s="1021">
        <f t="shared" si="1"/>
        <v>75000</v>
      </c>
    </row>
    <row r="222" spans="1:6" ht="14.25" customHeight="1">
      <c r="A222" s="1019">
        <v>91</v>
      </c>
      <c r="B222" s="1020" t="s">
        <v>2339</v>
      </c>
      <c r="C222" s="19" t="s">
        <v>151</v>
      </c>
      <c r="D222" s="1027">
        <v>4</v>
      </c>
      <c r="E222" s="1021">
        <v>45000</v>
      </c>
      <c r="F222" s="1021">
        <f t="shared" si="1"/>
        <v>180000</v>
      </c>
    </row>
    <row r="223" spans="1:6" ht="14.25" customHeight="1">
      <c r="A223" s="1019">
        <v>92</v>
      </c>
      <c r="B223" s="1020" t="s">
        <v>2340</v>
      </c>
      <c r="C223" s="19" t="s">
        <v>151</v>
      </c>
      <c r="D223" s="1027">
        <v>3</v>
      </c>
      <c r="E223" s="1021">
        <v>17500</v>
      </c>
      <c r="F223" s="1021">
        <f t="shared" si="1"/>
        <v>52500</v>
      </c>
    </row>
    <row r="224" spans="1:6" ht="14.25" customHeight="1">
      <c r="A224" s="1019">
        <v>93</v>
      </c>
      <c r="B224" s="1020" t="s">
        <v>2341</v>
      </c>
      <c r="C224" s="19" t="s">
        <v>151</v>
      </c>
      <c r="D224" s="1027">
        <v>18</v>
      </c>
      <c r="E224" s="1021">
        <v>17500</v>
      </c>
      <c r="F224" s="1021">
        <f t="shared" si="1"/>
        <v>315000</v>
      </c>
    </row>
    <row r="225" spans="1:6" ht="14.25" customHeight="1">
      <c r="A225" s="1019">
        <v>94</v>
      </c>
      <c r="B225" s="1020" t="s">
        <v>2342</v>
      </c>
      <c r="C225" s="19" t="s">
        <v>151</v>
      </c>
      <c r="D225" s="1027">
        <v>68</v>
      </c>
      <c r="E225" s="1021">
        <v>17500</v>
      </c>
      <c r="F225" s="1021">
        <f t="shared" si="1"/>
        <v>1190000</v>
      </c>
    </row>
    <row r="226" spans="1:6" ht="14.25" customHeight="1">
      <c r="A226" s="1019">
        <v>95</v>
      </c>
      <c r="B226" s="1020" t="s">
        <v>2343</v>
      </c>
      <c r="C226" s="19" t="s">
        <v>151</v>
      </c>
      <c r="D226" s="1027">
        <v>32</v>
      </c>
      <c r="E226" s="1021">
        <v>29500</v>
      </c>
      <c r="F226" s="1021">
        <f t="shared" si="1"/>
        <v>944000</v>
      </c>
    </row>
    <row r="227" spans="1:6" ht="14.25" customHeight="1">
      <c r="A227" s="1019">
        <v>96</v>
      </c>
      <c r="B227" s="1020" t="s">
        <v>2344</v>
      </c>
      <c r="C227" s="19" t="s">
        <v>151</v>
      </c>
      <c r="D227" s="1027">
        <v>1</v>
      </c>
      <c r="E227" s="1021">
        <v>24600</v>
      </c>
      <c r="F227" s="1021">
        <f t="shared" si="1"/>
        <v>24600</v>
      </c>
    </row>
    <row r="228" spans="1:6" ht="14.25" customHeight="1">
      <c r="A228" s="1019">
        <v>97</v>
      </c>
      <c r="B228" s="18" t="s">
        <v>2345</v>
      </c>
      <c r="C228" s="19" t="s">
        <v>151</v>
      </c>
      <c r="D228" s="19">
        <v>27</v>
      </c>
      <c r="E228" s="1021">
        <v>17500</v>
      </c>
      <c r="F228" s="1021">
        <f t="shared" si="1"/>
        <v>472500</v>
      </c>
    </row>
    <row r="229" spans="1:6" ht="14.25" customHeight="1">
      <c r="A229" s="1019">
        <v>98</v>
      </c>
      <c r="B229" s="18" t="s">
        <v>2346</v>
      </c>
      <c r="C229" s="19" t="s">
        <v>151</v>
      </c>
      <c r="D229" s="19">
        <v>1</v>
      </c>
      <c r="E229" s="1021">
        <v>99000</v>
      </c>
      <c r="F229" s="1021">
        <f t="shared" si="1"/>
        <v>99000</v>
      </c>
    </row>
    <row r="230" spans="1:6" ht="14.25" customHeight="1">
      <c r="A230" s="1019">
        <v>99</v>
      </c>
      <c r="B230" s="18" t="s">
        <v>2347</v>
      </c>
      <c r="C230" s="19" t="s">
        <v>151</v>
      </c>
      <c r="D230" s="19">
        <v>1</v>
      </c>
      <c r="E230" s="1021">
        <v>99000</v>
      </c>
      <c r="F230" s="1021">
        <f t="shared" si="1"/>
        <v>99000</v>
      </c>
    </row>
    <row r="231" spans="1:6" ht="14.25" customHeight="1">
      <c r="A231" s="1019">
        <v>100</v>
      </c>
      <c r="B231" s="18" t="s">
        <v>2244</v>
      </c>
      <c r="C231" s="19" t="s">
        <v>151</v>
      </c>
      <c r="D231" s="19">
        <v>21</v>
      </c>
      <c r="E231" s="1021">
        <v>130000</v>
      </c>
      <c r="F231" s="1021">
        <f t="shared" si="1"/>
        <v>2730000</v>
      </c>
    </row>
    <row r="232" spans="1:6" ht="14.25" customHeight="1">
      <c r="A232" s="1019">
        <v>101</v>
      </c>
      <c r="B232" s="18" t="s">
        <v>2245</v>
      </c>
      <c r="C232" s="19" t="s">
        <v>151</v>
      </c>
      <c r="D232" s="19">
        <v>10</v>
      </c>
      <c r="E232" s="1021">
        <v>130000</v>
      </c>
      <c r="F232" s="1021">
        <f t="shared" si="1"/>
        <v>1300000</v>
      </c>
    </row>
    <row r="233" spans="1:6" ht="14.25" customHeight="1">
      <c r="A233" s="1019">
        <v>102</v>
      </c>
      <c r="B233" s="18" t="s">
        <v>2348</v>
      </c>
      <c r="C233" s="19" t="s">
        <v>151</v>
      </c>
      <c r="D233" s="19">
        <v>12</v>
      </c>
      <c r="E233" s="1021">
        <v>99000</v>
      </c>
      <c r="F233" s="1021">
        <f t="shared" si="1"/>
        <v>1188000</v>
      </c>
    </row>
    <row r="234" spans="1:6" ht="14.25" customHeight="1">
      <c r="A234" s="1019">
        <v>103</v>
      </c>
      <c r="B234" s="18" t="s">
        <v>2349</v>
      </c>
      <c r="C234" s="19" t="s">
        <v>151</v>
      </c>
      <c r="D234" s="19">
        <v>6</v>
      </c>
      <c r="E234" s="1021">
        <v>99000</v>
      </c>
      <c r="F234" s="1021">
        <f t="shared" si="1"/>
        <v>594000</v>
      </c>
    </row>
    <row r="235" spans="1:6" ht="14.25" customHeight="1">
      <c r="A235" s="1019">
        <v>104</v>
      </c>
      <c r="B235" s="18" t="s">
        <v>2243</v>
      </c>
      <c r="C235" s="19" t="s">
        <v>151</v>
      </c>
      <c r="D235" s="19">
        <v>12</v>
      </c>
      <c r="E235" s="1021">
        <v>180000</v>
      </c>
      <c r="F235" s="1021">
        <f t="shared" si="1"/>
        <v>2160000</v>
      </c>
    </row>
    <row r="236" spans="1:6" ht="14.25" customHeight="1">
      <c r="A236" s="1019">
        <v>105</v>
      </c>
      <c r="B236" s="18" t="s">
        <v>2350</v>
      </c>
      <c r="C236" s="19" t="s">
        <v>151</v>
      </c>
      <c r="D236" s="19">
        <v>4</v>
      </c>
      <c r="E236" s="1021">
        <v>180000</v>
      </c>
      <c r="F236" s="1021">
        <f t="shared" si="1"/>
        <v>720000</v>
      </c>
    </row>
    <row r="237" spans="1:6" ht="14.25" customHeight="1">
      <c r="A237" s="1019">
        <v>106</v>
      </c>
      <c r="B237" s="18" t="s">
        <v>2351</v>
      </c>
      <c r="C237" s="19" t="s">
        <v>151</v>
      </c>
      <c r="D237" s="19">
        <v>2</v>
      </c>
      <c r="E237" s="1021">
        <v>110000</v>
      </c>
      <c r="F237" s="1021">
        <f t="shared" si="1"/>
        <v>220000</v>
      </c>
    </row>
    <row r="238" spans="1:6" ht="14.25" customHeight="1">
      <c r="A238" s="1019">
        <v>107</v>
      </c>
      <c r="B238" s="18" t="s">
        <v>2352</v>
      </c>
      <c r="C238" s="19" t="s">
        <v>151</v>
      </c>
      <c r="D238" s="19">
        <v>5</v>
      </c>
      <c r="E238" s="1021">
        <v>160000</v>
      </c>
      <c r="F238" s="1021">
        <f t="shared" si="1"/>
        <v>800000</v>
      </c>
    </row>
    <row r="239" spans="1:6" ht="14.25" customHeight="1">
      <c r="A239" s="1019">
        <v>108</v>
      </c>
      <c r="B239" s="18" t="s">
        <v>2353</v>
      </c>
      <c r="C239" s="19" t="s">
        <v>151</v>
      </c>
      <c r="D239" s="19">
        <v>1</v>
      </c>
      <c r="E239" s="1021">
        <v>1450000</v>
      </c>
      <c r="F239" s="1021">
        <f t="shared" si="1"/>
        <v>1450000</v>
      </c>
    </row>
    <row r="240" spans="1:6" ht="14.25" customHeight="1">
      <c r="A240" s="1019">
        <v>109</v>
      </c>
      <c r="B240" s="18" t="s">
        <v>2354</v>
      </c>
      <c r="C240" s="19" t="s">
        <v>151</v>
      </c>
      <c r="D240" s="19">
        <v>1</v>
      </c>
      <c r="E240" s="1021">
        <v>650000</v>
      </c>
      <c r="F240" s="1021">
        <f t="shared" si="1"/>
        <v>650000</v>
      </c>
    </row>
    <row r="242" spans="1:6" ht="14.25" customHeight="1">
      <c r="A242" s="1014" t="s">
        <v>2355</v>
      </c>
      <c r="B242" s="1016" t="s">
        <v>2356</v>
      </c>
      <c r="C242" s="1014" t="s">
        <v>910</v>
      </c>
      <c r="D242" s="1014">
        <v>1</v>
      </c>
      <c r="E242" s="1017">
        <f>SUM(F243:F298)</f>
        <v>93339850</v>
      </c>
      <c r="F242" s="1018">
        <f>+E242*D242</f>
        <v>93339850</v>
      </c>
    </row>
    <row r="243" spans="1:6" ht="14.25" customHeight="1">
      <c r="A243" s="1019">
        <v>1</v>
      </c>
      <c r="B243" s="1020" t="s">
        <v>2357</v>
      </c>
      <c r="C243" s="19" t="s">
        <v>2131</v>
      </c>
      <c r="D243" s="19">
        <v>809</v>
      </c>
      <c r="E243" s="1021">
        <v>21000</v>
      </c>
      <c r="F243" s="1021">
        <f t="shared" ref="F243:F298" si="2">E243*D243</f>
        <v>16989000</v>
      </c>
    </row>
    <row r="244" spans="1:6" ht="14.25" customHeight="1">
      <c r="A244" s="1019">
        <v>2</v>
      </c>
      <c r="B244" s="1020" t="s">
        <v>2358</v>
      </c>
      <c r="C244" s="19" t="s">
        <v>2131</v>
      </c>
      <c r="D244" s="19">
        <v>12</v>
      </c>
      <c r="E244" s="1021">
        <v>11000</v>
      </c>
      <c r="F244" s="1021">
        <f t="shared" si="2"/>
        <v>132000</v>
      </c>
    </row>
    <row r="245" spans="1:6" ht="14.25" customHeight="1">
      <c r="A245" s="1019">
        <v>3</v>
      </c>
      <c r="B245" s="1020" t="s">
        <v>2359</v>
      </c>
      <c r="C245" s="19" t="s">
        <v>2131</v>
      </c>
      <c r="D245" s="19">
        <v>54</v>
      </c>
      <c r="E245" s="1021">
        <v>10000</v>
      </c>
      <c r="F245" s="1021">
        <f t="shared" si="2"/>
        <v>540000</v>
      </c>
    </row>
    <row r="246" spans="1:6" ht="14.25" customHeight="1">
      <c r="A246" s="1019">
        <v>4</v>
      </c>
      <c r="B246" s="1020" t="s">
        <v>2360</v>
      </c>
      <c r="C246" s="19" t="s">
        <v>2131</v>
      </c>
      <c r="D246" s="19">
        <v>338</v>
      </c>
      <c r="E246" s="1021">
        <v>1200</v>
      </c>
      <c r="F246" s="1021">
        <f t="shared" si="2"/>
        <v>405600</v>
      </c>
    </row>
    <row r="247" spans="1:6" ht="14.25" customHeight="1">
      <c r="A247" s="1019">
        <v>5</v>
      </c>
      <c r="B247" s="1020" t="s">
        <v>2361</v>
      </c>
      <c r="C247" s="19" t="s">
        <v>2131</v>
      </c>
      <c r="D247" s="19">
        <v>557.79999999999995</v>
      </c>
      <c r="E247" s="1021">
        <v>3000</v>
      </c>
      <c r="F247" s="1021">
        <f t="shared" si="2"/>
        <v>1673399.9999999998</v>
      </c>
    </row>
    <row r="248" spans="1:6" ht="14.25" customHeight="1">
      <c r="A248" s="1019">
        <v>6</v>
      </c>
      <c r="B248" s="1020" t="s">
        <v>2362</v>
      </c>
      <c r="C248" s="19" t="s">
        <v>2131</v>
      </c>
      <c r="D248" s="19">
        <v>174</v>
      </c>
      <c r="E248" s="1021">
        <v>2450</v>
      </c>
      <c r="F248" s="1021">
        <f t="shared" si="2"/>
        <v>426300</v>
      </c>
    </row>
    <row r="249" spans="1:6" ht="14.25" customHeight="1">
      <c r="A249" s="1019">
        <v>7</v>
      </c>
      <c r="B249" s="1020" t="s">
        <v>2363</v>
      </c>
      <c r="C249" s="19" t="s">
        <v>2131</v>
      </c>
      <c r="D249" s="19">
        <v>163</v>
      </c>
      <c r="E249" s="1021">
        <v>2150</v>
      </c>
      <c r="F249" s="1021">
        <f t="shared" si="2"/>
        <v>350450</v>
      </c>
    </row>
    <row r="250" spans="1:6" ht="14.25" customHeight="1">
      <c r="A250" s="1019">
        <v>8</v>
      </c>
      <c r="B250" s="1020" t="s">
        <v>2364</v>
      </c>
      <c r="C250" s="19" t="s">
        <v>151</v>
      </c>
      <c r="D250" s="19">
        <v>89</v>
      </c>
      <c r="E250" s="1021">
        <v>240000</v>
      </c>
      <c r="F250" s="1021">
        <f t="shared" si="2"/>
        <v>21360000</v>
      </c>
    </row>
    <row r="251" spans="1:6" ht="14.25" customHeight="1">
      <c r="A251" s="1019">
        <v>9</v>
      </c>
      <c r="B251" s="1020" t="s">
        <v>2365</v>
      </c>
      <c r="C251" s="19" t="s">
        <v>151</v>
      </c>
      <c r="D251" s="19">
        <v>1</v>
      </c>
      <c r="E251" s="1021">
        <v>215000</v>
      </c>
      <c r="F251" s="1021">
        <f t="shared" si="2"/>
        <v>215000</v>
      </c>
    </row>
    <row r="252" spans="1:6" ht="14.25" customHeight="1">
      <c r="A252" s="1019">
        <v>10</v>
      </c>
      <c r="B252" s="1020" t="s">
        <v>2366</v>
      </c>
      <c r="C252" s="19" t="s">
        <v>151</v>
      </c>
      <c r="D252" s="19">
        <v>89</v>
      </c>
      <c r="E252" s="1021">
        <v>35000</v>
      </c>
      <c r="F252" s="1021">
        <f t="shared" si="2"/>
        <v>3115000</v>
      </c>
    </row>
    <row r="253" spans="1:6" ht="14.25" customHeight="1">
      <c r="A253" s="1019">
        <v>11</v>
      </c>
      <c r="B253" s="1020" t="s">
        <v>2367</v>
      </c>
      <c r="C253" s="19" t="s">
        <v>151</v>
      </c>
      <c r="D253" s="19">
        <v>1</v>
      </c>
      <c r="E253" s="1021">
        <v>35000</v>
      </c>
      <c r="F253" s="1021">
        <f t="shared" si="2"/>
        <v>35000</v>
      </c>
    </row>
    <row r="254" spans="1:6" ht="14.25" customHeight="1">
      <c r="A254" s="1019">
        <v>12</v>
      </c>
      <c r="B254" s="1020" t="s">
        <v>2368</v>
      </c>
      <c r="C254" s="19" t="s">
        <v>151</v>
      </c>
      <c r="D254" s="19">
        <v>13</v>
      </c>
      <c r="E254" s="1021">
        <v>260000</v>
      </c>
      <c r="F254" s="1021">
        <f t="shared" si="2"/>
        <v>3380000</v>
      </c>
    </row>
    <row r="255" spans="1:6" ht="14.25" customHeight="1">
      <c r="A255" s="1019">
        <v>13</v>
      </c>
      <c r="B255" s="1020" t="s">
        <v>2369</v>
      </c>
      <c r="C255" s="19" t="s">
        <v>151</v>
      </c>
      <c r="D255" s="19">
        <v>13</v>
      </c>
      <c r="E255" s="1021">
        <v>100000</v>
      </c>
      <c r="F255" s="1021">
        <f t="shared" si="2"/>
        <v>1300000</v>
      </c>
    </row>
    <row r="256" spans="1:6" ht="14.25" customHeight="1">
      <c r="A256" s="1019">
        <v>14</v>
      </c>
      <c r="B256" s="1020" t="s">
        <v>2370</v>
      </c>
      <c r="C256" s="19" t="s">
        <v>151</v>
      </c>
      <c r="D256" s="19">
        <v>1</v>
      </c>
      <c r="E256" s="1021">
        <v>5400000</v>
      </c>
      <c r="F256" s="1021">
        <f t="shared" si="2"/>
        <v>5400000</v>
      </c>
    </row>
    <row r="257" spans="1:6" ht="14.25" customHeight="1">
      <c r="A257" s="1019">
        <v>15</v>
      </c>
      <c r="B257" s="1020" t="s">
        <v>2371</v>
      </c>
      <c r="C257" s="19" t="s">
        <v>151</v>
      </c>
      <c r="D257" s="19">
        <v>1</v>
      </c>
      <c r="E257" s="1021">
        <v>500000</v>
      </c>
      <c r="F257" s="1021">
        <f t="shared" si="2"/>
        <v>500000</v>
      </c>
    </row>
    <row r="258" spans="1:6" ht="14.25" customHeight="1">
      <c r="A258" s="1019">
        <v>16</v>
      </c>
      <c r="B258" s="1020" t="s">
        <v>2372</v>
      </c>
      <c r="C258" s="19" t="s">
        <v>151</v>
      </c>
      <c r="D258" s="19">
        <v>2</v>
      </c>
      <c r="E258" s="1021">
        <v>420000</v>
      </c>
      <c r="F258" s="1021">
        <f t="shared" si="2"/>
        <v>840000</v>
      </c>
    </row>
    <row r="259" spans="1:6" ht="14.25" customHeight="1">
      <c r="A259" s="1019">
        <v>17</v>
      </c>
      <c r="B259" s="1020" t="s">
        <v>2373</v>
      </c>
      <c r="C259" s="19" t="s">
        <v>151</v>
      </c>
      <c r="D259" s="19">
        <v>1</v>
      </c>
      <c r="E259" s="1021">
        <v>60000</v>
      </c>
      <c r="F259" s="1021">
        <f t="shared" si="2"/>
        <v>60000</v>
      </c>
    </row>
    <row r="260" spans="1:6" ht="14.25" customHeight="1">
      <c r="A260" s="1019">
        <v>18</v>
      </c>
      <c r="B260" s="1020" t="s">
        <v>2374</v>
      </c>
      <c r="C260" s="19" t="s">
        <v>151</v>
      </c>
      <c r="D260" s="19">
        <v>1</v>
      </c>
      <c r="E260" s="1021">
        <v>3500000</v>
      </c>
      <c r="F260" s="1021">
        <f t="shared" si="2"/>
        <v>3500000</v>
      </c>
    </row>
    <row r="261" spans="1:6" ht="14.25" customHeight="1">
      <c r="A261" s="1019">
        <v>19</v>
      </c>
      <c r="B261" s="1020" t="s">
        <v>2375</v>
      </c>
      <c r="C261" s="19" t="s">
        <v>151</v>
      </c>
      <c r="D261" s="19">
        <v>2</v>
      </c>
      <c r="E261" s="1021">
        <v>280000</v>
      </c>
      <c r="F261" s="1021">
        <f t="shared" si="2"/>
        <v>560000</v>
      </c>
    </row>
    <row r="262" spans="1:6" ht="14.25" customHeight="1">
      <c r="A262" s="1019">
        <v>20</v>
      </c>
      <c r="B262" s="1020" t="s">
        <v>2376</v>
      </c>
      <c r="C262" s="19" t="s">
        <v>151</v>
      </c>
      <c r="D262" s="19">
        <v>1</v>
      </c>
      <c r="E262" s="1021">
        <v>60000</v>
      </c>
      <c r="F262" s="1021">
        <f t="shared" si="2"/>
        <v>60000</v>
      </c>
    </row>
    <row r="263" spans="1:6" ht="14.25" customHeight="1">
      <c r="A263" s="1019">
        <v>21</v>
      </c>
      <c r="B263" s="1020" t="s">
        <v>2377</v>
      </c>
      <c r="C263" s="19" t="s">
        <v>151</v>
      </c>
      <c r="D263" s="19">
        <v>18</v>
      </c>
      <c r="E263" s="1021">
        <v>240000</v>
      </c>
      <c r="F263" s="1021">
        <f t="shared" si="2"/>
        <v>4320000</v>
      </c>
    </row>
    <row r="264" spans="1:6" ht="14.25" customHeight="1">
      <c r="A264" s="1019">
        <v>22</v>
      </c>
      <c r="B264" s="1020" t="s">
        <v>2378</v>
      </c>
      <c r="C264" s="19" t="s">
        <v>151</v>
      </c>
      <c r="D264" s="19">
        <v>7</v>
      </c>
      <c r="E264" s="1021">
        <v>155000</v>
      </c>
      <c r="F264" s="1021">
        <f t="shared" si="2"/>
        <v>1085000</v>
      </c>
    </row>
    <row r="265" spans="1:6" ht="14.25" customHeight="1">
      <c r="A265" s="1019">
        <v>23</v>
      </c>
      <c r="B265" s="1020" t="s">
        <v>2379</v>
      </c>
      <c r="C265" s="19" t="s">
        <v>151</v>
      </c>
      <c r="D265" s="19">
        <v>2</v>
      </c>
      <c r="E265" s="1021">
        <v>155000</v>
      </c>
      <c r="F265" s="1021">
        <f t="shared" si="2"/>
        <v>310000</v>
      </c>
    </row>
    <row r="266" spans="1:6" ht="14.25" customHeight="1">
      <c r="A266" s="1019">
        <v>24</v>
      </c>
      <c r="B266" s="1020" t="s">
        <v>2380</v>
      </c>
      <c r="C266" s="19" t="s">
        <v>151</v>
      </c>
      <c r="D266" s="19">
        <v>1</v>
      </c>
      <c r="E266" s="1021">
        <v>280000</v>
      </c>
      <c r="F266" s="1021">
        <f t="shared" si="2"/>
        <v>280000</v>
      </c>
    </row>
    <row r="267" spans="1:6" ht="14.25" customHeight="1">
      <c r="A267" s="1019">
        <v>25</v>
      </c>
      <c r="B267" s="1020" t="s">
        <v>2381</v>
      </c>
      <c r="C267" s="19" t="s">
        <v>151</v>
      </c>
      <c r="D267" s="19">
        <v>21</v>
      </c>
      <c r="E267" s="1021">
        <v>245000</v>
      </c>
      <c r="F267" s="1021">
        <f t="shared" si="2"/>
        <v>5145000</v>
      </c>
    </row>
    <row r="268" spans="1:6" ht="14.25" customHeight="1">
      <c r="A268" s="1019">
        <v>27</v>
      </c>
      <c r="B268" s="1020" t="s">
        <v>2382</v>
      </c>
      <c r="C268" s="19" t="s">
        <v>151</v>
      </c>
      <c r="D268" s="19">
        <v>675</v>
      </c>
      <c r="E268" s="1021">
        <v>1500</v>
      </c>
      <c r="F268" s="1021">
        <f t="shared" si="2"/>
        <v>1012500</v>
      </c>
    </row>
    <row r="269" spans="1:6" ht="14.25" customHeight="1">
      <c r="A269" s="1019">
        <v>28</v>
      </c>
      <c r="B269" s="1020" t="s">
        <v>2383</v>
      </c>
      <c r="C269" s="19" t="s">
        <v>151</v>
      </c>
      <c r="D269" s="19">
        <v>90</v>
      </c>
      <c r="E269" s="1021">
        <v>15000</v>
      </c>
      <c r="F269" s="1021">
        <f t="shared" si="2"/>
        <v>1350000</v>
      </c>
    </row>
    <row r="270" spans="1:6" ht="14.25" customHeight="1">
      <c r="A270" s="1019">
        <v>29</v>
      </c>
      <c r="B270" s="1020" t="s">
        <v>2384</v>
      </c>
      <c r="C270" s="19" t="s">
        <v>151</v>
      </c>
      <c r="D270" s="19">
        <v>360</v>
      </c>
      <c r="E270" s="1021">
        <v>0</v>
      </c>
      <c r="F270" s="1021">
        <f t="shared" si="2"/>
        <v>0</v>
      </c>
    </row>
    <row r="271" spans="1:6" ht="14.25" customHeight="1">
      <c r="A271" s="1019">
        <v>30</v>
      </c>
      <c r="B271" s="1020" t="s">
        <v>2385</v>
      </c>
      <c r="C271" s="19" t="s">
        <v>151</v>
      </c>
      <c r="D271" s="19">
        <v>115</v>
      </c>
      <c r="E271" s="1021">
        <v>22000</v>
      </c>
      <c r="F271" s="1021">
        <f t="shared" si="2"/>
        <v>2530000</v>
      </c>
    </row>
    <row r="272" spans="1:6" ht="14.25" customHeight="1">
      <c r="A272" s="1019">
        <v>31</v>
      </c>
      <c r="B272" s="1020" t="s">
        <v>2386</v>
      </c>
      <c r="C272" s="19" t="s">
        <v>151</v>
      </c>
      <c r="D272" s="19">
        <v>2</v>
      </c>
      <c r="E272" s="1021">
        <v>22000</v>
      </c>
      <c r="F272" s="1021">
        <f t="shared" si="2"/>
        <v>44000</v>
      </c>
    </row>
    <row r="273" spans="1:6" ht="14.25" customHeight="1">
      <c r="A273" s="1019">
        <v>32</v>
      </c>
      <c r="B273" s="1020" t="s">
        <v>2387</v>
      </c>
      <c r="C273" s="19" t="s">
        <v>151</v>
      </c>
      <c r="D273" s="19">
        <v>13</v>
      </c>
      <c r="E273" s="1021">
        <v>22000</v>
      </c>
      <c r="F273" s="1021">
        <f t="shared" si="2"/>
        <v>286000</v>
      </c>
    </row>
    <row r="274" spans="1:6" ht="14.25" customHeight="1">
      <c r="A274" s="1019">
        <v>33</v>
      </c>
      <c r="B274" s="1020" t="s">
        <v>2388</v>
      </c>
      <c r="C274" s="19" t="s">
        <v>151</v>
      </c>
      <c r="D274" s="19">
        <v>45</v>
      </c>
      <c r="E274" s="1021">
        <v>22000</v>
      </c>
      <c r="F274" s="1021">
        <f t="shared" si="2"/>
        <v>990000</v>
      </c>
    </row>
    <row r="275" spans="1:6" ht="14.25" customHeight="1">
      <c r="A275" s="1019">
        <v>34</v>
      </c>
      <c r="B275" s="1020" t="s">
        <v>2389</v>
      </c>
      <c r="C275" s="19" t="s">
        <v>151</v>
      </c>
      <c r="D275" s="19">
        <v>45</v>
      </c>
      <c r="E275" s="1021">
        <v>0</v>
      </c>
      <c r="F275" s="1021">
        <f t="shared" si="2"/>
        <v>0</v>
      </c>
    </row>
    <row r="276" spans="1:6" ht="14.25" customHeight="1">
      <c r="A276" s="1019">
        <v>35</v>
      </c>
      <c r="B276" s="1020" t="s">
        <v>2390</v>
      </c>
      <c r="C276" s="19" t="s">
        <v>151</v>
      </c>
      <c r="D276" s="19">
        <v>14</v>
      </c>
      <c r="E276" s="1021">
        <v>13000</v>
      </c>
      <c r="F276" s="1021">
        <f t="shared" si="2"/>
        <v>182000</v>
      </c>
    </row>
    <row r="277" spans="1:6" ht="14.25" customHeight="1">
      <c r="A277" s="1019">
        <v>36</v>
      </c>
      <c r="B277" s="1020" t="s">
        <v>2391</v>
      </c>
      <c r="C277" s="19" t="s">
        <v>151</v>
      </c>
      <c r="D277" s="19">
        <v>477</v>
      </c>
      <c r="E277" s="1021">
        <v>13000</v>
      </c>
      <c r="F277" s="1021">
        <f t="shared" si="2"/>
        <v>6201000</v>
      </c>
    </row>
    <row r="278" spans="1:6" ht="14.25" customHeight="1">
      <c r="A278" s="1019">
        <v>37</v>
      </c>
      <c r="B278" s="1020" t="s">
        <v>2392</v>
      </c>
      <c r="C278" s="19" t="s">
        <v>151</v>
      </c>
      <c r="D278" s="19">
        <v>123</v>
      </c>
      <c r="E278" s="1021">
        <v>13000</v>
      </c>
      <c r="F278" s="1021">
        <f t="shared" si="2"/>
        <v>1599000</v>
      </c>
    </row>
    <row r="279" spans="1:6" ht="14.25" customHeight="1">
      <c r="A279" s="1019">
        <v>38</v>
      </c>
      <c r="B279" s="1020" t="s">
        <v>2393</v>
      </c>
      <c r="C279" s="19" t="s">
        <v>151</v>
      </c>
      <c r="D279" s="19">
        <v>515</v>
      </c>
      <c r="E279" s="1021">
        <v>4500</v>
      </c>
      <c r="F279" s="1021">
        <f t="shared" si="2"/>
        <v>2317500</v>
      </c>
    </row>
    <row r="280" spans="1:6" ht="14.25" customHeight="1">
      <c r="A280" s="1019">
        <v>39</v>
      </c>
      <c r="B280" s="1020" t="s">
        <v>2394</v>
      </c>
      <c r="C280" s="19" t="s">
        <v>151</v>
      </c>
      <c r="D280" s="19">
        <v>657</v>
      </c>
      <c r="E280" s="1021">
        <v>1900</v>
      </c>
      <c r="F280" s="1021">
        <f t="shared" si="2"/>
        <v>1248300</v>
      </c>
    </row>
    <row r="281" spans="1:6" ht="14.25" customHeight="1">
      <c r="A281" s="1019">
        <v>40</v>
      </c>
      <c r="B281" s="1020" t="s">
        <v>2395</v>
      </c>
      <c r="C281" s="19" t="s">
        <v>151</v>
      </c>
      <c r="D281" s="19">
        <v>657</v>
      </c>
      <c r="E281" s="1021">
        <v>1900</v>
      </c>
      <c r="F281" s="1021">
        <f t="shared" si="2"/>
        <v>1248300</v>
      </c>
    </row>
    <row r="282" spans="1:6" ht="14.25" customHeight="1">
      <c r="A282" s="1019">
        <v>41</v>
      </c>
      <c r="B282" s="1020" t="s">
        <v>2396</v>
      </c>
      <c r="C282" s="19" t="s">
        <v>151</v>
      </c>
      <c r="D282" s="19">
        <v>25</v>
      </c>
      <c r="E282" s="1021">
        <v>1900</v>
      </c>
      <c r="F282" s="1021">
        <f t="shared" si="2"/>
        <v>47500</v>
      </c>
    </row>
    <row r="283" spans="1:6" ht="14.25" customHeight="1">
      <c r="A283" s="1019">
        <v>42</v>
      </c>
      <c r="B283" s="1020" t="s">
        <v>2397</v>
      </c>
      <c r="C283" s="19" t="s">
        <v>151</v>
      </c>
      <c r="D283" s="19">
        <v>90</v>
      </c>
      <c r="E283" s="1021">
        <v>2100</v>
      </c>
      <c r="F283" s="1021">
        <f t="shared" si="2"/>
        <v>189000</v>
      </c>
    </row>
    <row r="284" spans="1:6" ht="14.25" customHeight="1">
      <c r="A284" s="1019">
        <v>43</v>
      </c>
      <c r="B284" s="1020" t="s">
        <v>2398</v>
      </c>
      <c r="C284" s="19" t="s">
        <v>151</v>
      </c>
      <c r="D284" s="19">
        <v>90</v>
      </c>
      <c r="E284" s="1021">
        <v>2500</v>
      </c>
      <c r="F284" s="1021">
        <f t="shared" si="2"/>
        <v>225000</v>
      </c>
    </row>
    <row r="285" spans="1:6" ht="14.25" customHeight="1">
      <c r="A285" s="1019">
        <v>44</v>
      </c>
      <c r="B285" s="1020" t="s">
        <v>2399</v>
      </c>
      <c r="C285" s="19" t="s">
        <v>151</v>
      </c>
      <c r="D285" s="19">
        <v>45</v>
      </c>
      <c r="E285" s="1021">
        <v>2000</v>
      </c>
      <c r="F285" s="1021">
        <f t="shared" si="2"/>
        <v>90000</v>
      </c>
    </row>
    <row r="286" spans="1:6" ht="14.25" customHeight="1">
      <c r="A286" s="1019">
        <v>45</v>
      </c>
      <c r="B286" s="1020" t="s">
        <v>2400</v>
      </c>
      <c r="C286" s="19" t="s">
        <v>151</v>
      </c>
      <c r="D286" s="19">
        <v>2</v>
      </c>
      <c r="E286" s="1021">
        <v>1500</v>
      </c>
      <c r="F286" s="1021">
        <f t="shared" si="2"/>
        <v>3000</v>
      </c>
    </row>
    <row r="287" spans="1:6" ht="14.25" customHeight="1">
      <c r="A287" s="1019">
        <v>46</v>
      </c>
      <c r="B287" s="18" t="s">
        <v>2401</v>
      </c>
      <c r="C287" s="19" t="s">
        <v>151</v>
      </c>
      <c r="D287" s="19">
        <v>2</v>
      </c>
      <c r="E287" s="1021">
        <v>1500</v>
      </c>
      <c r="F287" s="1021">
        <f t="shared" si="2"/>
        <v>3000</v>
      </c>
    </row>
    <row r="288" spans="1:6" ht="14.25" customHeight="1">
      <c r="A288" s="1019">
        <v>47</v>
      </c>
      <c r="B288" s="18" t="s">
        <v>2402</v>
      </c>
      <c r="C288" s="19" t="s">
        <v>151</v>
      </c>
      <c r="D288" s="19">
        <v>4</v>
      </c>
      <c r="E288" s="1021">
        <v>1500</v>
      </c>
      <c r="F288" s="1021">
        <f t="shared" si="2"/>
        <v>6000</v>
      </c>
    </row>
    <row r="289" spans="1:6" ht="14.25" customHeight="1">
      <c r="A289" s="1019">
        <v>48</v>
      </c>
      <c r="B289" s="18" t="s">
        <v>2403</v>
      </c>
      <c r="C289" s="19" t="s">
        <v>151</v>
      </c>
      <c r="D289" s="19">
        <v>4</v>
      </c>
      <c r="E289" s="1021">
        <v>1500</v>
      </c>
      <c r="F289" s="1021">
        <f t="shared" si="2"/>
        <v>6000</v>
      </c>
    </row>
    <row r="290" spans="1:6" ht="14.25" customHeight="1">
      <c r="A290" s="1019">
        <v>49</v>
      </c>
      <c r="B290" s="1020" t="s">
        <v>2404</v>
      </c>
      <c r="C290" s="19" t="s">
        <v>151</v>
      </c>
      <c r="D290" s="19">
        <v>1</v>
      </c>
      <c r="E290" s="1021">
        <v>250000</v>
      </c>
      <c r="F290" s="1021">
        <f t="shared" si="2"/>
        <v>250000</v>
      </c>
    </row>
    <row r="291" spans="1:6" ht="14.25" customHeight="1">
      <c r="A291" s="1019">
        <v>50</v>
      </c>
      <c r="B291" s="18" t="s">
        <v>2405</v>
      </c>
      <c r="C291" s="19" t="s">
        <v>151</v>
      </c>
      <c r="D291" s="19">
        <v>2</v>
      </c>
      <c r="E291" s="1021">
        <v>60000</v>
      </c>
      <c r="F291" s="1021">
        <f t="shared" si="2"/>
        <v>120000</v>
      </c>
    </row>
    <row r="292" spans="1:6" ht="14.25" customHeight="1">
      <c r="A292" s="1019">
        <v>51</v>
      </c>
      <c r="B292" s="18" t="s">
        <v>2406</v>
      </c>
      <c r="C292" s="19" t="s">
        <v>151</v>
      </c>
      <c r="D292" s="19">
        <v>1</v>
      </c>
      <c r="E292" s="1021">
        <v>180000</v>
      </c>
      <c r="F292" s="1021">
        <f t="shared" si="2"/>
        <v>180000</v>
      </c>
    </row>
    <row r="293" spans="1:6" ht="14.25" customHeight="1">
      <c r="A293" s="1019">
        <v>52</v>
      </c>
      <c r="B293" s="18" t="s">
        <v>2407</v>
      </c>
      <c r="C293" s="19" t="s">
        <v>151</v>
      </c>
      <c r="D293" s="19">
        <v>2</v>
      </c>
      <c r="E293" s="1021">
        <v>350000</v>
      </c>
      <c r="F293" s="1021">
        <f t="shared" si="2"/>
        <v>700000</v>
      </c>
    </row>
    <row r="294" spans="1:6" ht="14.25" customHeight="1">
      <c r="A294" s="1019">
        <v>53</v>
      </c>
      <c r="B294" s="18" t="s">
        <v>2408</v>
      </c>
      <c r="C294" s="19" t="s">
        <v>151</v>
      </c>
      <c r="D294" s="19">
        <v>1</v>
      </c>
      <c r="E294" s="1021">
        <v>150000</v>
      </c>
      <c r="F294" s="1021">
        <f t="shared" si="2"/>
        <v>150000</v>
      </c>
    </row>
    <row r="295" spans="1:6" ht="14.25" customHeight="1">
      <c r="A295" s="1019">
        <v>54</v>
      </c>
      <c r="B295" s="1020" t="s">
        <v>2409</v>
      </c>
      <c r="C295" s="19" t="s">
        <v>151</v>
      </c>
      <c r="D295" s="19">
        <v>1</v>
      </c>
      <c r="E295" s="1021">
        <v>160000</v>
      </c>
      <c r="F295" s="1021">
        <f t="shared" si="2"/>
        <v>160000</v>
      </c>
    </row>
    <row r="296" spans="1:6" ht="14.25" customHeight="1">
      <c r="A296" s="1019">
        <v>55</v>
      </c>
      <c r="B296" s="18" t="s">
        <v>2410</v>
      </c>
      <c r="C296" s="19" t="s">
        <v>151</v>
      </c>
      <c r="D296" s="19">
        <v>1</v>
      </c>
      <c r="E296" s="1021">
        <v>80000</v>
      </c>
      <c r="F296" s="1021">
        <f t="shared" si="2"/>
        <v>80000</v>
      </c>
    </row>
    <row r="297" spans="1:6" ht="14.25" customHeight="1">
      <c r="A297" s="1019">
        <v>56</v>
      </c>
      <c r="B297" s="1020" t="s">
        <v>2411</v>
      </c>
      <c r="C297" s="19" t="s">
        <v>151</v>
      </c>
      <c r="D297" s="19">
        <v>1</v>
      </c>
      <c r="E297" s="1021">
        <v>90000</v>
      </c>
      <c r="F297" s="1021">
        <f t="shared" si="2"/>
        <v>90000</v>
      </c>
    </row>
    <row r="298" spans="1:6" ht="14.25" customHeight="1">
      <c r="A298" s="1019">
        <v>57</v>
      </c>
      <c r="B298" s="18" t="s">
        <v>2412</v>
      </c>
      <c r="C298" s="19" t="s">
        <v>151</v>
      </c>
      <c r="D298" s="19">
        <v>1</v>
      </c>
      <c r="E298" s="1021">
        <v>50000</v>
      </c>
      <c r="F298" s="1021">
        <f t="shared" si="2"/>
        <v>50000</v>
      </c>
    </row>
    <row r="299" spans="1:6" ht="14.25" customHeight="1">
      <c r="A299" s="404"/>
      <c r="B299" s="1026"/>
      <c r="C299" s="3"/>
      <c r="D299" s="3"/>
      <c r="E299" s="3"/>
      <c r="F299" s="3"/>
    </row>
    <row r="300" spans="1:6" ht="14.25" customHeight="1">
      <c r="A300" s="404"/>
      <c r="B300" s="1026"/>
      <c r="C300" s="3"/>
      <c r="D300" s="3"/>
      <c r="E300" s="3"/>
      <c r="F300" s="3"/>
    </row>
    <row r="301" spans="1:6" ht="14.25" customHeight="1">
      <c r="A301" s="404"/>
      <c r="B301" s="1026"/>
      <c r="C301" s="3"/>
      <c r="D301" s="3"/>
      <c r="E301" s="3"/>
      <c r="F301" s="3"/>
    </row>
    <row r="302" spans="1:6" ht="14.25" customHeight="1">
      <c r="A302" s="404"/>
      <c r="B302" s="1026"/>
      <c r="C302" s="3"/>
      <c r="D302" s="3"/>
      <c r="E302" s="3"/>
      <c r="F302" s="3"/>
    </row>
    <row r="303" spans="1:6" ht="14.25" customHeight="1">
      <c r="A303" s="404"/>
      <c r="B303" s="1026"/>
      <c r="C303" s="3"/>
      <c r="D303" s="3" t="s">
        <v>2413</v>
      </c>
      <c r="E303" s="3"/>
      <c r="F303" s="3"/>
    </row>
    <row r="304" spans="1:6" ht="14.25" customHeight="1">
      <c r="A304" s="404"/>
      <c r="B304" s="1026"/>
      <c r="C304" s="3"/>
      <c r="D304" s="3" t="s">
        <v>2414</v>
      </c>
      <c r="E304" s="3"/>
      <c r="F304" s="3"/>
    </row>
  </sheetData>
  <mergeCells count="1">
    <mergeCell ref="A1:F1"/>
  </mergeCells>
  <printOptions horizontalCentered="1"/>
  <pageMargins left="0.11811023622047245" right="0.11811023622047245" top="0.27559055118110237" bottom="0.27559055118110237" header="0" footer="0"/>
  <pageSetup scale="90" orientation="portrait"/>
  <headerFooter>
    <oddFooter>&amp;RVoBo. FEDERICO GARCIA A. Interventor</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pageSetUpPr fitToPage="1"/>
  </sheetPr>
  <dimension ref="A7:H2363"/>
  <sheetViews>
    <sheetView workbookViewId="0">
      <pane ySplit="5" topLeftCell="A96" activePane="bottomLeft" state="frozen"/>
      <selection pane="bottomLeft" activeCell="C101" sqref="C101"/>
    </sheetView>
  </sheetViews>
  <sheetFormatPr baseColWidth="10" defaultColWidth="14.44140625" defaultRowHeight="15" customHeight="1"/>
  <cols>
    <col min="1" max="1" width="20.6640625" customWidth="1"/>
    <col min="2" max="2" width="11.33203125" customWidth="1"/>
    <col min="3" max="3" width="11.88671875" customWidth="1"/>
    <col min="4" max="4" width="12" customWidth="1"/>
    <col min="5" max="6" width="9.6640625" customWidth="1"/>
    <col min="7" max="7" width="11.109375" customWidth="1"/>
    <col min="8" max="9" width="14.6640625" customWidth="1"/>
    <col min="10" max="17" width="11.44140625" customWidth="1"/>
  </cols>
  <sheetData>
    <row r="7" spans="1:7" ht="13.5" customHeight="1">
      <c r="A7" s="1994" t="e">
        <f>+'ANALISIS BASICOS'!$A$7</f>
        <v>#REF!</v>
      </c>
      <c r="B7" s="1616"/>
      <c r="C7" s="1624"/>
      <c r="D7" s="1990"/>
      <c r="E7" s="1616"/>
      <c r="F7" s="1616"/>
      <c r="G7" s="1624"/>
    </row>
    <row r="8" spans="1:7" ht="36.75" customHeight="1">
      <c r="A8" s="1971"/>
      <c r="B8" s="1817"/>
      <c r="C8" s="1972"/>
      <c r="D8" s="1971"/>
      <c r="E8" s="1817"/>
      <c r="F8" s="1817"/>
      <c r="G8" s="1972"/>
    </row>
    <row r="9" spans="1:7" ht="13.5" customHeight="1">
      <c r="A9" s="618"/>
      <c r="B9" s="618"/>
      <c r="C9" s="618"/>
      <c r="D9" s="618"/>
      <c r="E9" s="618"/>
      <c r="F9" s="618"/>
      <c r="G9" s="618"/>
    </row>
    <row r="10" spans="1:7" ht="42" customHeight="1">
      <c r="A10" s="1991" t="e">
        <f ca="1">+'7 - ESTRUCTURA CUBIERTA'!A106:C106</f>
        <v>#NAME?</v>
      </c>
      <c r="B10" s="1601"/>
      <c r="C10" s="1602"/>
      <c r="D10" s="1974" t="s">
        <v>2415</v>
      </c>
      <c r="E10" s="1601"/>
      <c r="F10" s="1601"/>
      <c r="G10" s="1602"/>
    </row>
    <row r="11" spans="1:7" ht="13.5" customHeight="1">
      <c r="A11" s="620"/>
      <c r="B11" s="620"/>
      <c r="C11" s="620"/>
      <c r="D11" s="620"/>
      <c r="E11" s="620"/>
      <c r="F11" s="620"/>
      <c r="G11" s="620"/>
    </row>
    <row r="12" spans="1:7" ht="12.75" customHeight="1">
      <c r="A12" s="572"/>
      <c r="B12" s="618"/>
      <c r="C12" s="616"/>
      <c r="D12" s="421" t="s">
        <v>1553</v>
      </c>
      <c r="E12" s="422" t="s">
        <v>228</v>
      </c>
      <c r="F12" s="421" t="s">
        <v>1554</v>
      </c>
      <c r="G12" s="422" t="s">
        <v>51</v>
      </c>
    </row>
    <row r="13" spans="1:7" ht="13.5" customHeight="1">
      <c r="A13" s="621" t="s">
        <v>1555</v>
      </c>
      <c r="B13" s="618"/>
      <c r="C13" s="618"/>
      <c r="D13" s="618"/>
      <c r="E13" s="618"/>
      <c r="F13" s="618"/>
      <c r="G13" s="618"/>
    </row>
    <row r="14" spans="1:7" ht="13.5" customHeight="1">
      <c r="A14" s="1975" t="s">
        <v>1556</v>
      </c>
      <c r="B14" s="1601"/>
      <c r="C14" s="1801"/>
      <c r="D14" s="424" t="s">
        <v>208</v>
      </c>
      <c r="E14" s="424" t="s">
        <v>1558</v>
      </c>
      <c r="F14" s="424" t="s">
        <v>1559</v>
      </c>
      <c r="G14" s="425"/>
    </row>
    <row r="15" spans="1:7" ht="13.5" customHeight="1">
      <c r="A15" s="1987" t="str">
        <f>+'LISTADO EQUIPOS'!$C$22</f>
        <v>HERRAMIENTA MENOR.</v>
      </c>
      <c r="B15" s="1811"/>
      <c r="C15" s="1967"/>
      <c r="D15" s="675">
        <f>+'LISTADO EQUIPOS'!$E$22/8</f>
        <v>2850</v>
      </c>
      <c r="E15" s="687">
        <f>+E32</f>
        <v>0.16</v>
      </c>
      <c r="F15" s="442">
        <f>+E15*D15</f>
        <v>456</v>
      </c>
      <c r="G15" s="688"/>
    </row>
    <row r="16" spans="1:7" ht="13.5" customHeight="1">
      <c r="A16" s="1996"/>
      <c r="B16" s="1807"/>
      <c r="C16" s="1819"/>
      <c r="D16" s="434"/>
      <c r="E16" s="433"/>
      <c r="F16" s="434"/>
      <c r="G16" s="435"/>
    </row>
    <row r="17" spans="1:7" ht="13.5" customHeight="1">
      <c r="A17" s="2015" t="s">
        <v>1560</v>
      </c>
      <c r="B17" s="1601"/>
      <c r="C17" s="1601"/>
      <c r="D17" s="1601"/>
      <c r="E17" s="1601"/>
      <c r="F17" s="1801"/>
      <c r="G17" s="462">
        <f>SUM(F15:F16)</f>
        <v>456</v>
      </c>
    </row>
    <row r="18" spans="1:7" ht="13.5" customHeight="1">
      <c r="A18" s="621" t="s">
        <v>1561</v>
      </c>
      <c r="B18" s="618"/>
      <c r="C18" s="618"/>
      <c r="D18" s="618"/>
      <c r="E18" s="618"/>
      <c r="F18" s="618"/>
      <c r="G18" s="743"/>
    </row>
    <row r="19" spans="1:7" ht="13.5" customHeight="1">
      <c r="A19" s="1975" t="s">
        <v>1556</v>
      </c>
      <c r="B19" s="1801"/>
      <c r="C19" s="424" t="s">
        <v>6</v>
      </c>
      <c r="D19" s="424" t="s">
        <v>1562</v>
      </c>
      <c r="E19" s="424" t="s">
        <v>7</v>
      </c>
      <c r="F19" s="424" t="s">
        <v>1559</v>
      </c>
      <c r="G19" s="673"/>
    </row>
    <row r="20" spans="1:7" ht="13.5" customHeight="1">
      <c r="A20" s="1987" t="str">
        <f>+'ANALISIS BASICOS'!$A$228</f>
        <v>MORTERO 1:4</v>
      </c>
      <c r="B20" s="1967"/>
      <c r="C20" s="674" t="str">
        <f>+'ANALISIS BASICOS'!$E$204</f>
        <v>M3</v>
      </c>
      <c r="D20" s="675">
        <f>+'ANALISIS BASICOS'!$G$228</f>
        <v>384656</v>
      </c>
      <c r="E20" s="687">
        <v>7.0000000000000007E-2</v>
      </c>
      <c r="F20" s="442">
        <f t="shared" ref="F20:F21" si="0">+E20*D20</f>
        <v>26925.920000000002</v>
      </c>
      <c r="G20" s="676"/>
    </row>
    <row r="21" spans="1:7" ht="13.5" customHeight="1">
      <c r="A21" s="1995" t="str">
        <f>+'LISTADO MATERIALES'!$C$723</f>
        <v>AGUA</v>
      </c>
      <c r="B21" s="1611"/>
      <c r="C21" s="444" t="str">
        <f>+'LISTADO MATERIALES'!$D$723</f>
        <v>LT</v>
      </c>
      <c r="D21" s="464">
        <f>+'LISTADO MATERIALES'!$E$723</f>
        <v>21</v>
      </c>
      <c r="E21" s="706">
        <v>15</v>
      </c>
      <c r="F21" s="440">
        <f t="shared" si="0"/>
        <v>315</v>
      </c>
      <c r="G21" s="707"/>
    </row>
    <row r="22" spans="1:7" ht="13.5" customHeight="1">
      <c r="A22" s="1995"/>
      <c r="B22" s="1611"/>
      <c r="C22" s="444"/>
      <c r="D22" s="464"/>
      <c r="E22" s="706"/>
      <c r="F22" s="440"/>
      <c r="G22" s="707"/>
    </row>
    <row r="23" spans="1:7" ht="13.5" customHeight="1">
      <c r="A23" s="1996"/>
      <c r="B23" s="1819"/>
      <c r="C23" s="708"/>
      <c r="D23" s="434"/>
      <c r="E23" s="433"/>
      <c r="F23" s="434"/>
      <c r="G23" s="709"/>
    </row>
    <row r="24" spans="1:7" ht="13.5" customHeight="1">
      <c r="A24" s="2015" t="s">
        <v>1560</v>
      </c>
      <c r="B24" s="1601"/>
      <c r="C24" s="1601"/>
      <c r="D24" s="1601"/>
      <c r="E24" s="1601"/>
      <c r="F24" s="1801"/>
      <c r="G24" s="462">
        <f>SUM(F20:F23)</f>
        <v>27240.920000000002</v>
      </c>
    </row>
    <row r="25" spans="1:7" ht="13.5" customHeight="1">
      <c r="A25" s="621" t="s">
        <v>1563</v>
      </c>
      <c r="B25" s="618"/>
      <c r="C25" s="618"/>
      <c r="D25" s="618"/>
      <c r="E25" s="618"/>
      <c r="F25" s="618"/>
      <c r="G25" s="743"/>
    </row>
    <row r="26" spans="1:7" ht="13.5" customHeight="1">
      <c r="A26" s="1975" t="s">
        <v>1556</v>
      </c>
      <c r="B26" s="1801"/>
      <c r="C26" s="424" t="s">
        <v>6</v>
      </c>
      <c r="D26" s="424" t="s">
        <v>1562</v>
      </c>
      <c r="E26" s="424" t="s">
        <v>7</v>
      </c>
      <c r="F26" s="424" t="s">
        <v>1559</v>
      </c>
      <c r="G26" s="438"/>
    </row>
    <row r="27" spans="1:7" ht="13.5" customHeight="1">
      <c r="A27" s="1987"/>
      <c r="B27" s="1967"/>
      <c r="C27" s="744"/>
      <c r="D27" s="675"/>
      <c r="E27" s="745"/>
      <c r="F27" s="464"/>
      <c r="G27" s="676"/>
    </row>
    <row r="28" spans="1:7" ht="13.5" customHeight="1">
      <c r="A28" s="1996"/>
      <c r="B28" s="1819"/>
      <c r="C28" s="744"/>
      <c r="D28" s="434"/>
      <c r="E28" s="746"/>
      <c r="F28" s="434"/>
      <c r="G28" s="457"/>
    </row>
    <row r="29" spans="1:7" ht="13.5" customHeight="1">
      <c r="A29" s="2015" t="s">
        <v>1560</v>
      </c>
      <c r="B29" s="1601"/>
      <c r="C29" s="1601"/>
      <c r="D29" s="1601"/>
      <c r="E29" s="1601"/>
      <c r="F29" s="1801"/>
      <c r="G29" s="462"/>
    </row>
    <row r="30" spans="1:7" ht="13.5" customHeight="1">
      <c r="A30" s="621" t="s">
        <v>1564</v>
      </c>
      <c r="B30" s="618"/>
      <c r="C30" s="618"/>
      <c r="D30" s="618"/>
      <c r="E30" s="618"/>
      <c r="F30" s="618"/>
      <c r="G30" s="743"/>
    </row>
    <row r="31" spans="1:7" ht="13.5" customHeight="1">
      <c r="A31" s="1975" t="s">
        <v>1565</v>
      </c>
      <c r="B31" s="1801"/>
      <c r="C31" s="424" t="s">
        <v>1566</v>
      </c>
      <c r="D31" s="424" t="s">
        <v>6</v>
      </c>
      <c r="E31" s="424" t="s">
        <v>7</v>
      </c>
      <c r="F31" s="424" t="s">
        <v>1559</v>
      </c>
      <c r="G31" s="462"/>
    </row>
    <row r="32" spans="1:7" ht="13.5" customHeight="1">
      <c r="A32" s="2004" t="str">
        <f>+'MANO DE OBRA'!$A$64</f>
        <v>Oficial (Incl. Prestaciones)</v>
      </c>
      <c r="B32" s="1888"/>
      <c r="C32" s="679">
        <f>+'MANO DE OBRA'!$E$64</f>
        <v>15031.25</v>
      </c>
      <c r="D32" s="680">
        <v>1</v>
      </c>
      <c r="E32" s="680">
        <v>0.16</v>
      </c>
      <c r="F32" s="694">
        <f t="shared" ref="F32:F33" si="1">+(C32*D32)*E32</f>
        <v>2405</v>
      </c>
      <c r="G32" s="676"/>
    </row>
    <row r="33" spans="1:7" ht="13.5" customHeight="1">
      <c r="A33" s="1984" t="str">
        <f>+'MANO DE OBRA'!$A$65</f>
        <v>Ayudante (Incl. Prestaciones)</v>
      </c>
      <c r="B33" s="1819"/>
      <c r="C33" s="747">
        <f>+'MANO DE OBRA'!$E$65</f>
        <v>10972.8125</v>
      </c>
      <c r="D33" s="614">
        <v>1</v>
      </c>
      <c r="E33" s="614">
        <v>0.16</v>
      </c>
      <c r="F33" s="455">
        <f t="shared" si="1"/>
        <v>1755.65</v>
      </c>
      <c r="G33" s="709"/>
    </row>
    <row r="34" spans="1:7" ht="13.5" customHeight="1">
      <c r="A34" s="2015" t="str">
        <f>+A29</f>
        <v>SUB-TOTAL</v>
      </c>
      <c r="B34" s="1601"/>
      <c r="C34" s="1601"/>
      <c r="D34" s="1601"/>
      <c r="E34" s="1601"/>
      <c r="F34" s="1801"/>
      <c r="G34" s="462">
        <f>SUM(F32:F33)</f>
        <v>4160.6499999999996</v>
      </c>
    </row>
    <row r="35" spans="1:7" ht="11.25" customHeight="1">
      <c r="A35" s="618"/>
      <c r="B35" s="618"/>
      <c r="C35" s="618"/>
      <c r="D35" s="618"/>
      <c r="E35" s="618"/>
      <c r="F35" s="748"/>
      <c r="G35" s="743"/>
    </row>
    <row r="36" spans="1:7" ht="13.5" customHeight="1">
      <c r="A36" s="2015" t="s">
        <v>1567</v>
      </c>
      <c r="B36" s="1601"/>
      <c r="C36" s="1601"/>
      <c r="D36" s="1601"/>
      <c r="E36" s="1601"/>
      <c r="F36" s="1801"/>
      <c r="G36" s="459">
        <f>ROUND(G17+G24+G29+G34,0)</f>
        <v>31858</v>
      </c>
    </row>
    <row r="37" spans="1:7" ht="13.5" customHeight="1">
      <c r="A37" s="637"/>
      <c r="B37" s="637"/>
      <c r="C37" s="637"/>
      <c r="D37" s="637"/>
      <c r="E37" s="637"/>
      <c r="F37" s="637"/>
      <c r="G37" s="1028"/>
    </row>
    <row r="38" spans="1:7" ht="13.5" customHeight="1">
      <c r="A38" s="616"/>
      <c r="B38" s="616"/>
      <c r="C38" s="616"/>
      <c r="D38" s="616"/>
      <c r="E38" s="616"/>
      <c r="F38" s="616"/>
      <c r="G38" s="616"/>
    </row>
    <row r="39" spans="1:7" ht="27" customHeight="1">
      <c r="A39" s="2005" t="s">
        <v>1604</v>
      </c>
      <c r="B39" s="1616"/>
      <c r="C39" s="1624"/>
      <c r="D39" s="567"/>
      <c r="E39" s="567"/>
      <c r="F39" s="567"/>
      <c r="G39" s="668"/>
    </row>
    <row r="40" spans="1:7" ht="24" customHeight="1">
      <c r="A40" s="1971"/>
      <c r="B40" s="1817"/>
      <c r="C40" s="1972"/>
      <c r="D40" s="669"/>
      <c r="E40" s="669"/>
      <c r="F40" s="669"/>
      <c r="G40" s="670"/>
    </row>
    <row r="41" spans="1:7" ht="13.5" customHeight="1">
      <c r="A41" s="618"/>
      <c r="B41" s="618"/>
      <c r="C41" s="618"/>
      <c r="D41" s="618"/>
      <c r="E41" s="618"/>
      <c r="F41" s="618"/>
      <c r="G41" s="618"/>
    </row>
    <row r="42" spans="1:7" ht="30.75" customHeight="1">
      <c r="A42" s="1973" t="e">
        <f ca="1">A10</f>
        <v>#NAME?</v>
      </c>
      <c r="B42" s="1601"/>
      <c r="C42" s="1602"/>
      <c r="D42" s="1974" t="s">
        <v>2416</v>
      </c>
      <c r="E42" s="1601"/>
      <c r="F42" s="1601"/>
      <c r="G42" s="1602"/>
    </row>
    <row r="43" spans="1:7" ht="13.5" customHeight="1">
      <c r="A43" s="620"/>
      <c r="B43" s="620"/>
      <c r="C43" s="620"/>
      <c r="D43" s="620"/>
      <c r="E43" s="620"/>
      <c r="F43" s="620"/>
      <c r="G43" s="620"/>
    </row>
    <row r="44" spans="1:7" ht="12.75" customHeight="1">
      <c r="A44" s="572"/>
      <c r="B44" s="618"/>
      <c r="C44" s="616"/>
      <c r="D44" s="421" t="s">
        <v>1553</v>
      </c>
      <c r="E44" s="422" t="s">
        <v>228</v>
      </c>
      <c r="F44" s="572"/>
      <c r="G44" s="572"/>
    </row>
    <row r="45" spans="1:7" ht="13.5" customHeight="1">
      <c r="A45" s="621" t="s">
        <v>1555</v>
      </c>
      <c r="B45" s="618"/>
      <c r="C45" s="618"/>
      <c r="D45" s="618"/>
      <c r="E45" s="618"/>
      <c r="F45" s="618"/>
      <c r="G45" s="618"/>
    </row>
    <row r="46" spans="1:7" ht="13.5" customHeight="1">
      <c r="A46" s="1975" t="s">
        <v>1556</v>
      </c>
      <c r="B46" s="1601"/>
      <c r="C46" s="1801"/>
      <c r="D46" s="424" t="s">
        <v>208</v>
      </c>
      <c r="E46" s="424" t="s">
        <v>1558</v>
      </c>
      <c r="F46" s="424" t="s">
        <v>1559</v>
      </c>
      <c r="G46" s="425"/>
    </row>
    <row r="47" spans="1:7" ht="13.5" customHeight="1">
      <c r="A47" s="1987" t="str">
        <f>+'LISTADO EQUIPOS'!$C$22</f>
        <v>HERRAMIENTA MENOR.</v>
      </c>
      <c r="B47" s="1811"/>
      <c r="C47" s="1967"/>
      <c r="D47" s="675">
        <f>+'LISTADO EQUIPOS'!$E$22/8</f>
        <v>2850</v>
      </c>
      <c r="E47" s="687">
        <f>+E64</f>
        <v>0.38</v>
      </c>
      <c r="F47" s="442">
        <f>+E47*D47</f>
        <v>1083</v>
      </c>
      <c r="G47" s="688"/>
    </row>
    <row r="48" spans="1:7" ht="13.5" customHeight="1">
      <c r="A48" s="1996"/>
      <c r="B48" s="1807"/>
      <c r="C48" s="1819"/>
      <c r="D48" s="434"/>
      <c r="E48" s="433"/>
      <c r="F48" s="434"/>
      <c r="G48" s="435"/>
    </row>
    <row r="49" spans="1:7" ht="13.5" customHeight="1">
      <c r="A49" s="2015" t="s">
        <v>1560</v>
      </c>
      <c r="B49" s="1601"/>
      <c r="C49" s="1601"/>
      <c r="D49" s="1601"/>
      <c r="E49" s="1601"/>
      <c r="F49" s="1801"/>
      <c r="G49" s="462">
        <f>SUM(F47:F48)</f>
        <v>1083</v>
      </c>
    </row>
    <row r="50" spans="1:7" ht="13.5" customHeight="1">
      <c r="A50" s="621" t="s">
        <v>1561</v>
      </c>
      <c r="B50" s="618"/>
      <c r="C50" s="618"/>
      <c r="D50" s="618"/>
      <c r="E50" s="618"/>
      <c r="F50" s="618"/>
      <c r="G50" s="743"/>
    </row>
    <row r="51" spans="1:7" ht="13.5" customHeight="1">
      <c r="A51" s="1975" t="s">
        <v>1556</v>
      </c>
      <c r="B51" s="1801"/>
      <c r="C51" s="424" t="s">
        <v>6</v>
      </c>
      <c r="D51" s="424" t="s">
        <v>1562</v>
      </c>
      <c r="E51" s="424" t="s">
        <v>7</v>
      </c>
      <c r="F51" s="424" t="s">
        <v>1559</v>
      </c>
      <c r="G51" s="673"/>
    </row>
    <row r="52" spans="1:7" ht="13.5" customHeight="1">
      <c r="A52" s="1987" t="str">
        <f>+'ANALISIS BASICOS'!$A$260</f>
        <v>MORTERO 1:4 - IMPERMEABILIZADO</v>
      </c>
      <c r="B52" s="1967"/>
      <c r="C52" s="674" t="str">
        <f>+'ANALISIS BASICOS'!$E$236</f>
        <v>M3</v>
      </c>
      <c r="D52" s="675">
        <f>+'ANALISIS BASICOS'!$G$260</f>
        <v>473789</v>
      </c>
      <c r="E52" s="687">
        <v>0.05</v>
      </c>
      <c r="F52" s="442">
        <f t="shared" ref="F52:F53" si="2">+E52*D52</f>
        <v>23689.45</v>
      </c>
      <c r="G52" s="676"/>
    </row>
    <row r="53" spans="1:7" ht="13.5" customHeight="1">
      <c r="A53" s="1995" t="str">
        <f>+'LISTADO MATERIALES'!$C$723</f>
        <v>AGUA</v>
      </c>
      <c r="B53" s="1611"/>
      <c r="C53" s="444" t="str">
        <f>+'LISTADO MATERIALES'!$D$723</f>
        <v>LT</v>
      </c>
      <c r="D53" s="464">
        <f>+'LISTADO MATERIALES'!$E$723</f>
        <v>21</v>
      </c>
      <c r="E53" s="706">
        <v>15</v>
      </c>
      <c r="F53" s="440">
        <f t="shared" si="2"/>
        <v>315</v>
      </c>
      <c r="G53" s="707"/>
    </row>
    <row r="54" spans="1:7" ht="13.5" customHeight="1">
      <c r="A54" s="1995"/>
      <c r="B54" s="1611"/>
      <c r="C54" s="444"/>
      <c r="D54" s="464"/>
      <c r="E54" s="706"/>
      <c r="F54" s="440"/>
      <c r="G54" s="707"/>
    </row>
    <row r="55" spans="1:7" ht="13.5" customHeight="1">
      <c r="A55" s="1996"/>
      <c r="B55" s="1819"/>
      <c r="C55" s="708"/>
      <c r="D55" s="434"/>
      <c r="E55" s="433"/>
      <c r="F55" s="434"/>
      <c r="G55" s="709"/>
    </row>
    <row r="56" spans="1:7" ht="13.5" customHeight="1">
      <c r="A56" s="2015" t="s">
        <v>1560</v>
      </c>
      <c r="B56" s="1601"/>
      <c r="C56" s="1601"/>
      <c r="D56" s="1601"/>
      <c r="E56" s="1601"/>
      <c r="F56" s="1801"/>
      <c r="G56" s="462">
        <f>SUM(F52:F55)</f>
        <v>24004.45</v>
      </c>
    </row>
    <row r="57" spans="1:7" ht="13.5" customHeight="1">
      <c r="A57" s="621" t="s">
        <v>1563</v>
      </c>
      <c r="B57" s="618"/>
      <c r="C57" s="618"/>
      <c r="D57" s="618"/>
      <c r="E57" s="618"/>
      <c r="F57" s="618"/>
      <c r="G57" s="743"/>
    </row>
    <row r="58" spans="1:7" ht="13.5" customHeight="1">
      <c r="A58" s="1975" t="s">
        <v>1556</v>
      </c>
      <c r="B58" s="1801"/>
      <c r="C58" s="424" t="s">
        <v>6</v>
      </c>
      <c r="D58" s="424" t="s">
        <v>1562</v>
      </c>
      <c r="E58" s="424" t="s">
        <v>7</v>
      </c>
      <c r="F58" s="424" t="s">
        <v>1559</v>
      </c>
      <c r="G58" s="438"/>
    </row>
    <row r="59" spans="1:7" ht="13.5" customHeight="1">
      <c r="A59" s="1987"/>
      <c r="B59" s="1967"/>
      <c r="C59" s="744"/>
      <c r="D59" s="675"/>
      <c r="E59" s="745"/>
      <c r="F59" s="464"/>
      <c r="G59" s="676"/>
    </row>
    <row r="60" spans="1:7" ht="13.5" customHeight="1">
      <c r="A60" s="1996"/>
      <c r="B60" s="1819"/>
      <c r="C60" s="744"/>
      <c r="D60" s="434"/>
      <c r="E60" s="746"/>
      <c r="F60" s="434"/>
      <c r="G60" s="457"/>
    </row>
    <row r="61" spans="1:7" ht="13.5" customHeight="1">
      <c r="A61" s="2015" t="s">
        <v>1560</v>
      </c>
      <c r="B61" s="1601"/>
      <c r="C61" s="1601"/>
      <c r="D61" s="1601"/>
      <c r="E61" s="1601"/>
      <c r="F61" s="1801"/>
      <c r="G61" s="462"/>
    </row>
    <row r="62" spans="1:7" ht="13.5" customHeight="1">
      <c r="A62" s="621" t="s">
        <v>1564</v>
      </c>
      <c r="B62" s="618"/>
      <c r="C62" s="618"/>
      <c r="D62" s="618"/>
      <c r="E62" s="618"/>
      <c r="F62" s="618"/>
      <c r="G62" s="743"/>
    </row>
    <row r="63" spans="1:7" ht="13.5" customHeight="1">
      <c r="A63" s="1975" t="s">
        <v>1565</v>
      </c>
      <c r="B63" s="1801"/>
      <c r="C63" s="424" t="s">
        <v>1566</v>
      </c>
      <c r="D63" s="424" t="s">
        <v>6</v>
      </c>
      <c r="E63" s="424" t="s">
        <v>7</v>
      </c>
      <c r="F63" s="424" t="s">
        <v>1559</v>
      </c>
      <c r="G63" s="462"/>
    </row>
    <row r="64" spans="1:7" ht="13.5" customHeight="1">
      <c r="A64" s="2004" t="str">
        <f>+'MANO DE OBRA'!$A$64</f>
        <v>Oficial (Incl. Prestaciones)</v>
      </c>
      <c r="B64" s="1888"/>
      <c r="C64" s="679">
        <f>+'MANO DE OBRA'!$E$64</f>
        <v>15031.25</v>
      </c>
      <c r="D64" s="680">
        <v>1</v>
      </c>
      <c r="E64" s="680">
        <v>0.38</v>
      </c>
      <c r="F64" s="694">
        <f t="shared" ref="F64:F65" si="3">+(C64*D64)*E64</f>
        <v>5711.875</v>
      </c>
      <c r="G64" s="676"/>
    </row>
    <row r="65" spans="1:7" ht="13.5" customHeight="1">
      <c r="A65" s="1984" t="str">
        <f>+'MANO DE OBRA'!$A$65</f>
        <v>Ayudante (Incl. Prestaciones)</v>
      </c>
      <c r="B65" s="1819"/>
      <c r="C65" s="747">
        <f>+'MANO DE OBRA'!$E$65</f>
        <v>10972.8125</v>
      </c>
      <c r="D65" s="614">
        <v>1</v>
      </c>
      <c r="E65" s="614">
        <f>+E64</f>
        <v>0.38</v>
      </c>
      <c r="F65" s="455">
        <f t="shared" si="3"/>
        <v>4169.6687499999998</v>
      </c>
      <c r="G65" s="709"/>
    </row>
    <row r="66" spans="1:7" ht="13.5" customHeight="1">
      <c r="A66" s="2015" t="str">
        <f>+A61</f>
        <v>SUB-TOTAL</v>
      </c>
      <c r="B66" s="1601"/>
      <c r="C66" s="1601"/>
      <c r="D66" s="1601"/>
      <c r="E66" s="1601"/>
      <c r="F66" s="1801"/>
      <c r="G66" s="462">
        <f>SUM(F64:F65)</f>
        <v>9881.5437500000007</v>
      </c>
    </row>
    <row r="67" spans="1:7" ht="11.25" customHeight="1">
      <c r="A67" s="618"/>
      <c r="B67" s="618"/>
      <c r="C67" s="618"/>
      <c r="D67" s="618"/>
      <c r="E67" s="618"/>
      <c r="F67" s="748"/>
      <c r="G67" s="743"/>
    </row>
    <row r="68" spans="1:7" ht="13.5" customHeight="1">
      <c r="A68" s="2015" t="s">
        <v>1567</v>
      </c>
      <c r="B68" s="1601"/>
      <c r="C68" s="1601"/>
      <c r="D68" s="1601"/>
      <c r="E68" s="1601"/>
      <c r="F68" s="1801"/>
      <c r="G68" s="1029">
        <f>ROUND(G49+G56+G61+G66,0)</f>
        <v>34969</v>
      </c>
    </row>
    <row r="69" spans="1:7" ht="13.5" customHeight="1">
      <c r="A69" s="616"/>
      <c r="B69" s="616"/>
      <c r="C69" s="616"/>
      <c r="D69" s="616"/>
      <c r="E69" s="616"/>
      <c r="F69" s="616"/>
      <c r="G69" s="616"/>
    </row>
    <row r="70" spans="1:7" ht="13.5" customHeight="1">
      <c r="A70" s="616"/>
      <c r="B70" s="616"/>
      <c r="C70" s="616"/>
      <c r="D70" s="616"/>
      <c r="E70" s="616"/>
      <c r="F70" s="616"/>
      <c r="G70" s="616"/>
    </row>
    <row r="71" spans="1:7" ht="13.5" customHeight="1">
      <c r="A71" s="1994" t="e">
        <f>+'ANALISIS BASICOS'!$A$7</f>
        <v>#REF!</v>
      </c>
      <c r="B71" s="1616"/>
      <c r="C71" s="1624"/>
      <c r="D71" s="1990"/>
      <c r="E71" s="1616"/>
      <c r="F71" s="1616"/>
      <c r="G71" s="1624"/>
    </row>
    <row r="72" spans="1:7" ht="36" customHeight="1">
      <c r="A72" s="1971"/>
      <c r="B72" s="1817"/>
      <c r="C72" s="1972"/>
      <c r="D72" s="1971"/>
      <c r="E72" s="1817"/>
      <c r="F72" s="1817"/>
      <c r="G72" s="1972"/>
    </row>
    <row r="73" spans="1:7" ht="13.5" customHeight="1">
      <c r="A73" s="1030"/>
      <c r="B73" s="1030"/>
      <c r="C73" s="1030"/>
      <c r="D73" s="1030"/>
      <c r="E73" s="1030"/>
      <c r="F73" s="1030"/>
      <c r="G73" s="1030"/>
    </row>
    <row r="74" spans="1:7" ht="39" customHeight="1">
      <c r="A74" s="1991" t="e">
        <f ca="1">+A10</f>
        <v>#NAME?</v>
      </c>
      <c r="B74" s="1601"/>
      <c r="C74" s="1602"/>
      <c r="D74" s="1974" t="s">
        <v>2417</v>
      </c>
      <c r="E74" s="1601"/>
      <c r="F74" s="1601"/>
      <c r="G74" s="1602"/>
    </row>
    <row r="75" spans="1:7" ht="13.5" customHeight="1">
      <c r="A75" s="1031"/>
      <c r="B75" s="1031"/>
      <c r="C75" s="1031"/>
      <c r="D75" s="1031"/>
      <c r="E75" s="1031"/>
      <c r="F75" s="1031"/>
      <c r="G75" s="1031"/>
    </row>
    <row r="76" spans="1:7" ht="12.75" customHeight="1">
      <c r="A76" s="1030"/>
      <c r="B76" s="1030"/>
      <c r="C76" s="752"/>
      <c r="D76" s="1032" t="s">
        <v>1553</v>
      </c>
      <c r="E76" s="1032" t="s">
        <v>228</v>
      </c>
      <c r="F76" s="421" t="s">
        <v>1554</v>
      </c>
      <c r="G76" s="422" t="s">
        <v>48</v>
      </c>
    </row>
    <row r="77" spans="1:7" ht="13.5" customHeight="1">
      <c r="A77" s="752" t="s">
        <v>1555</v>
      </c>
      <c r="B77" s="1030"/>
      <c r="C77" s="1030"/>
      <c r="D77" s="1030"/>
      <c r="E77" s="1030"/>
      <c r="F77" s="1030"/>
      <c r="G77" s="1030"/>
    </row>
    <row r="78" spans="1:7" ht="13.5" customHeight="1">
      <c r="A78" s="2095" t="s">
        <v>1556</v>
      </c>
      <c r="B78" s="1601"/>
      <c r="C78" s="1801"/>
      <c r="D78" s="1033" t="s">
        <v>208</v>
      </c>
      <c r="E78" s="1033" t="s">
        <v>1558</v>
      </c>
      <c r="F78" s="1033" t="s">
        <v>1559</v>
      </c>
      <c r="G78" s="1034"/>
    </row>
    <row r="79" spans="1:7" ht="13.5" customHeight="1">
      <c r="A79" s="2091" t="str">
        <f>+'LISTADO EQUIPOS'!$C$22</f>
        <v>HERRAMIENTA MENOR.</v>
      </c>
      <c r="B79" s="1811"/>
      <c r="C79" s="1967"/>
      <c r="D79" s="1035" t="s">
        <v>1569</v>
      </c>
      <c r="E79" s="729"/>
      <c r="F79" s="728">
        <v>300</v>
      </c>
      <c r="G79" s="1036"/>
    </row>
    <row r="80" spans="1:7" ht="13.5" customHeight="1">
      <c r="A80" s="2090" t="str">
        <f>+'ANALISIS BASICOS'!$A$360</f>
        <v>FORMALETA EN MADERA</v>
      </c>
      <c r="B80" s="1807"/>
      <c r="C80" s="1819"/>
      <c r="D80" s="1037">
        <f>+'ANALISIS BASICOS'!$G$360</f>
        <v>41998</v>
      </c>
      <c r="E80" s="724">
        <v>0.01</v>
      </c>
      <c r="F80" s="723">
        <f>+E80*D80</f>
        <v>419.98</v>
      </c>
      <c r="G80" s="1038"/>
    </row>
    <row r="81" spans="1:7" ht="13.5" customHeight="1">
      <c r="A81" s="2096" t="s">
        <v>1560</v>
      </c>
      <c r="B81" s="1601"/>
      <c r="C81" s="1601"/>
      <c r="D81" s="1601"/>
      <c r="E81" s="1601"/>
      <c r="F81" s="1801"/>
      <c r="G81" s="725">
        <f>SUM(F79:F80)</f>
        <v>719.98</v>
      </c>
    </row>
    <row r="82" spans="1:7" ht="13.5" customHeight="1">
      <c r="A82" s="752" t="s">
        <v>1561</v>
      </c>
      <c r="B82" s="1030"/>
      <c r="C82" s="1030"/>
      <c r="D82" s="1030"/>
      <c r="E82" s="1030"/>
      <c r="F82" s="1030"/>
      <c r="G82" s="1039"/>
    </row>
    <row r="83" spans="1:7" ht="13.5" customHeight="1">
      <c r="A83" s="2095" t="s">
        <v>1556</v>
      </c>
      <c r="B83" s="1801"/>
      <c r="C83" s="1033" t="s">
        <v>6</v>
      </c>
      <c r="D83" s="1033" t="s">
        <v>1562</v>
      </c>
      <c r="E83" s="1033" t="s">
        <v>7</v>
      </c>
      <c r="F83" s="1033" t="s">
        <v>1559</v>
      </c>
      <c r="G83" s="725"/>
    </row>
    <row r="84" spans="1:7" ht="13.5" customHeight="1">
      <c r="A84" s="2091" t="str">
        <f>+'ANALISIS BASICOS'!$A$100</f>
        <v xml:space="preserve">CONCRETO NORMAL - 2500 PSI (175 KG/CM2)  </v>
      </c>
      <c r="B84" s="1967"/>
      <c r="C84" s="727" t="str">
        <f>+'ANALISIS BASICOS'!$E$76</f>
        <v>M3</v>
      </c>
      <c r="D84" s="1040">
        <f>+'ANALISIS BASICOS'!$G$100</f>
        <v>483582</v>
      </c>
      <c r="E84" s="729">
        <v>0.08</v>
      </c>
      <c r="F84" s="728">
        <f>+E84*D84</f>
        <v>38686.559999999998</v>
      </c>
      <c r="G84" s="730"/>
    </row>
    <row r="85" spans="1:7" ht="13.5" customHeight="1">
      <c r="A85" s="2092"/>
      <c r="B85" s="1611"/>
      <c r="C85" s="731"/>
      <c r="D85" s="1041"/>
      <c r="E85" s="721"/>
      <c r="F85" s="1041"/>
      <c r="G85" s="1042"/>
    </row>
    <row r="86" spans="1:7" ht="13.5" customHeight="1">
      <c r="A86" s="2092"/>
      <c r="B86" s="1611"/>
      <c r="C86" s="731"/>
      <c r="D86" s="1041"/>
      <c r="E86" s="721"/>
      <c r="F86" s="1041"/>
      <c r="G86" s="1042"/>
    </row>
    <row r="87" spans="1:7" ht="13.5" customHeight="1">
      <c r="A87" s="2090"/>
      <c r="B87" s="1819"/>
      <c r="C87" s="1043"/>
      <c r="D87" s="1037"/>
      <c r="E87" s="1043"/>
      <c r="F87" s="1037"/>
      <c r="G87" s="1044"/>
    </row>
    <row r="88" spans="1:7" ht="13.5" customHeight="1">
      <c r="A88" s="2096" t="s">
        <v>1560</v>
      </c>
      <c r="B88" s="1601"/>
      <c r="C88" s="1601"/>
      <c r="D88" s="1601"/>
      <c r="E88" s="1601"/>
      <c r="F88" s="1801"/>
      <c r="G88" s="725">
        <f>SUM(F84:F87)</f>
        <v>38686.559999999998</v>
      </c>
    </row>
    <row r="89" spans="1:7" ht="13.5" customHeight="1">
      <c r="A89" s="752" t="s">
        <v>1563</v>
      </c>
      <c r="B89" s="1030"/>
      <c r="C89" s="1030"/>
      <c r="D89" s="1030"/>
      <c r="E89" s="1030"/>
      <c r="F89" s="1030"/>
      <c r="G89" s="1039"/>
    </row>
    <row r="90" spans="1:7" ht="13.5" customHeight="1">
      <c r="A90" s="2095" t="s">
        <v>1556</v>
      </c>
      <c r="B90" s="1801"/>
      <c r="C90" s="1033" t="s">
        <v>6</v>
      </c>
      <c r="D90" s="1033" t="s">
        <v>1562</v>
      </c>
      <c r="E90" s="1033" t="s">
        <v>7</v>
      </c>
      <c r="F90" s="1033" t="s">
        <v>1559</v>
      </c>
      <c r="G90" s="732"/>
    </row>
    <row r="91" spans="1:7" ht="12.75" customHeight="1">
      <c r="A91" s="2091"/>
      <c r="B91" s="1967"/>
      <c r="C91" s="1045"/>
      <c r="D91" s="1040"/>
      <c r="E91" s="1046"/>
      <c r="F91" s="1041"/>
      <c r="G91" s="730"/>
    </row>
    <row r="92" spans="1:7" ht="13.5" customHeight="1">
      <c r="A92" s="2090"/>
      <c r="B92" s="1819"/>
      <c r="C92" s="1045"/>
      <c r="D92" s="1037"/>
      <c r="E92" s="1047"/>
      <c r="F92" s="1037"/>
      <c r="G92" s="1048"/>
    </row>
    <row r="93" spans="1:7" ht="13.5" customHeight="1">
      <c r="A93" s="2096" t="s">
        <v>1560</v>
      </c>
      <c r="B93" s="1601"/>
      <c r="C93" s="1601"/>
      <c r="D93" s="1601"/>
      <c r="E93" s="1601"/>
      <c r="F93" s="1801"/>
      <c r="G93" s="725"/>
    </row>
    <row r="94" spans="1:7" ht="26.25" customHeight="1">
      <c r="A94" s="752" t="s">
        <v>1564</v>
      </c>
      <c r="B94" s="1030"/>
      <c r="C94" s="1030"/>
      <c r="D94" s="1030"/>
      <c r="E94" s="1030"/>
      <c r="F94" s="1030"/>
      <c r="G94" s="1039"/>
    </row>
    <row r="95" spans="1:7" ht="13.5" customHeight="1">
      <c r="A95" s="2095" t="s">
        <v>1565</v>
      </c>
      <c r="B95" s="1801"/>
      <c r="C95" s="1033" t="s">
        <v>1566</v>
      </c>
      <c r="D95" s="1033" t="s">
        <v>6</v>
      </c>
      <c r="E95" s="1033" t="s">
        <v>7</v>
      </c>
      <c r="F95" s="1033" t="s">
        <v>1559</v>
      </c>
      <c r="G95" s="725"/>
    </row>
    <row r="96" spans="1:7" ht="12.75" customHeight="1">
      <c r="A96" s="2093" t="str">
        <f>+'MANO DE OBRA'!$A$64</f>
        <v>Oficial (Incl. Prestaciones)</v>
      </c>
      <c r="B96" s="1910"/>
      <c r="C96" s="733">
        <f>+'MANO DE OBRA'!$E$64</f>
        <v>15031.25</v>
      </c>
      <c r="D96" s="734">
        <v>1</v>
      </c>
      <c r="E96" s="734">
        <v>4</v>
      </c>
      <c r="F96" s="735">
        <f t="shared" ref="F96:F97" si="4">+(C96*D96)/E96</f>
        <v>3757.8125</v>
      </c>
      <c r="G96" s="730"/>
    </row>
    <row r="97" spans="1:7" ht="13.5" customHeight="1">
      <c r="A97" s="2094" t="str">
        <f>+'MANO DE OBRA'!$A$65</f>
        <v>Ayudante (Incl. Prestaciones)</v>
      </c>
      <c r="B97" s="1819"/>
      <c r="C97" s="1049">
        <f>+'MANO DE OBRA'!$E$65</f>
        <v>10972.8125</v>
      </c>
      <c r="D97" s="1050">
        <v>3</v>
      </c>
      <c r="E97" s="1050">
        <f>+E96</f>
        <v>4</v>
      </c>
      <c r="F97" s="736">
        <f t="shared" si="4"/>
        <v>8229.609375</v>
      </c>
      <c r="G97" s="1044"/>
    </row>
    <row r="98" spans="1:7" ht="13.5" customHeight="1">
      <c r="A98" s="2096" t="str">
        <f>+A93</f>
        <v>SUB-TOTAL</v>
      </c>
      <c r="B98" s="1601"/>
      <c r="C98" s="1601"/>
      <c r="D98" s="1601"/>
      <c r="E98" s="1601"/>
      <c r="F98" s="1801"/>
      <c r="G98" s="725">
        <f>SUM(F96:F97)</f>
        <v>11987.421875</v>
      </c>
    </row>
    <row r="99" spans="1:7" ht="11.25" customHeight="1">
      <c r="A99" s="1030"/>
      <c r="B99" s="1030"/>
      <c r="C99" s="1030"/>
      <c r="D99" s="1030"/>
      <c r="E99" s="1030"/>
      <c r="F99" s="1051"/>
      <c r="G99" s="1039"/>
    </row>
    <row r="100" spans="1:7" ht="13.5" customHeight="1">
      <c r="A100" s="2096" t="s">
        <v>1567</v>
      </c>
      <c r="B100" s="1601"/>
      <c r="C100" s="1601"/>
      <c r="D100" s="1601"/>
      <c r="E100" s="1601"/>
      <c r="F100" s="1801"/>
      <c r="G100" s="1052">
        <f>ROUND(G81+G88+G93+G98,0)</f>
        <v>51394</v>
      </c>
    </row>
    <row r="101" spans="1:7" ht="13.5" customHeight="1">
      <c r="A101" s="616"/>
      <c r="B101" s="616"/>
      <c r="C101" s="616"/>
      <c r="D101" s="616"/>
      <c r="E101" s="616"/>
      <c r="F101" s="616"/>
      <c r="G101" s="616"/>
    </row>
    <row r="102" spans="1:7" ht="13.5" customHeight="1">
      <c r="A102" s="616"/>
      <c r="B102" s="616"/>
      <c r="C102" s="616"/>
      <c r="D102" s="616"/>
      <c r="E102" s="616"/>
      <c r="F102" s="616"/>
      <c r="G102" s="616"/>
    </row>
    <row r="103" spans="1:7" ht="27" customHeight="1">
      <c r="A103" s="2005" t="s">
        <v>1604</v>
      </c>
      <c r="B103" s="1616"/>
      <c r="C103" s="1624"/>
      <c r="D103" s="567"/>
      <c r="E103" s="567"/>
      <c r="F103" s="567"/>
      <c r="G103" s="668"/>
    </row>
    <row r="104" spans="1:7" ht="24" customHeight="1">
      <c r="A104" s="2012" t="s">
        <v>2418</v>
      </c>
      <c r="B104" s="1817"/>
      <c r="C104" s="1972"/>
      <c r="D104" s="669"/>
      <c r="E104" s="669"/>
      <c r="F104" s="669"/>
      <c r="G104" s="670"/>
    </row>
    <row r="105" spans="1:7" ht="13.5" customHeight="1">
      <c r="A105" s="618"/>
      <c r="B105" s="618"/>
      <c r="C105" s="618"/>
      <c r="D105" s="618"/>
      <c r="E105" s="618"/>
      <c r="F105" s="618"/>
      <c r="G105" s="618"/>
    </row>
    <row r="106" spans="1:7" ht="30.75" customHeight="1">
      <c r="A106" s="1991" t="e">
        <v>#REF!</v>
      </c>
      <c r="B106" s="1601"/>
      <c r="C106" s="1602"/>
      <c r="D106" s="1974" t="s">
        <v>2419</v>
      </c>
      <c r="E106" s="1601"/>
      <c r="F106" s="1601"/>
      <c r="G106" s="1602"/>
    </row>
    <row r="107" spans="1:7" ht="13.5" customHeight="1">
      <c r="A107" s="620"/>
      <c r="B107" s="620"/>
      <c r="C107" s="620"/>
      <c r="D107" s="620"/>
      <c r="E107" s="620"/>
      <c r="F107" s="620"/>
      <c r="G107" s="620"/>
    </row>
    <row r="108" spans="1:7" ht="12.75" customHeight="1">
      <c r="A108" s="572"/>
      <c r="B108" s="618"/>
      <c r="C108" s="616"/>
      <c r="D108" s="421" t="s">
        <v>1553</v>
      </c>
      <c r="E108" s="422" t="s">
        <v>228</v>
      </c>
      <c r="F108" s="572"/>
      <c r="G108" s="572"/>
    </row>
    <row r="109" spans="1:7" ht="13.5" customHeight="1">
      <c r="A109" s="621" t="s">
        <v>1555</v>
      </c>
      <c r="B109" s="618"/>
      <c r="C109" s="618"/>
      <c r="D109" s="618"/>
      <c r="E109" s="618"/>
      <c r="F109" s="618"/>
      <c r="G109" s="618"/>
    </row>
    <row r="110" spans="1:7" ht="13.5" customHeight="1">
      <c r="A110" s="1975" t="s">
        <v>1556</v>
      </c>
      <c r="B110" s="1601"/>
      <c r="C110" s="1801"/>
      <c r="D110" s="424" t="s">
        <v>208</v>
      </c>
      <c r="E110" s="424" t="s">
        <v>1558</v>
      </c>
      <c r="F110" s="424" t="s">
        <v>1559</v>
      </c>
      <c r="G110" s="425"/>
    </row>
    <row r="111" spans="1:7" ht="13.5" customHeight="1">
      <c r="A111" s="1987" t="str">
        <f>+'LISTADO EQUIPOS'!$C$22</f>
        <v>HERRAMIENTA MENOR.</v>
      </c>
      <c r="B111" s="1811"/>
      <c r="C111" s="1967"/>
      <c r="D111" s="675">
        <f>+'LISTADO EQUIPOS'!$E$22/8</f>
        <v>2850</v>
      </c>
      <c r="E111" s="687">
        <f>+E128</f>
        <v>0.7</v>
      </c>
      <c r="F111" s="675">
        <f t="shared" ref="F111:F112" si="5">+E111*D111</f>
        <v>1994.9999999999998</v>
      </c>
      <c r="G111" s="688"/>
    </row>
    <row r="112" spans="1:7" ht="13.5" customHeight="1">
      <c r="A112" s="1995" t="str">
        <f>+'ANALISIS BASICOS'!$A$360</f>
        <v>FORMALETA EN MADERA</v>
      </c>
      <c r="B112" s="1610"/>
      <c r="C112" s="1611"/>
      <c r="D112" s="464">
        <f>+'ANALISIS BASICOS'!$G$360</f>
        <v>41998</v>
      </c>
      <c r="E112" s="706">
        <v>0.02</v>
      </c>
      <c r="F112" s="464">
        <f t="shared" si="5"/>
        <v>839.96</v>
      </c>
      <c r="G112" s="751"/>
    </row>
    <row r="113" spans="1:7" ht="13.5" customHeight="1">
      <c r="A113" s="2015" t="s">
        <v>1560</v>
      </c>
      <c r="B113" s="1601"/>
      <c r="C113" s="1601"/>
      <c r="D113" s="1601"/>
      <c r="E113" s="1601"/>
      <c r="F113" s="1801"/>
      <c r="G113" s="769">
        <f>SUM(F111:F112)</f>
        <v>2834.96</v>
      </c>
    </row>
    <row r="114" spans="1:7" ht="13.5" customHeight="1">
      <c r="A114" s="621" t="s">
        <v>1561</v>
      </c>
      <c r="B114" s="618"/>
      <c r="C114" s="618"/>
      <c r="D114" s="618"/>
      <c r="E114" s="618"/>
      <c r="F114" s="618"/>
      <c r="G114" s="618"/>
    </row>
    <row r="115" spans="1:7" ht="13.5" customHeight="1">
      <c r="A115" s="1975" t="s">
        <v>1556</v>
      </c>
      <c r="B115" s="1801"/>
      <c r="C115" s="424" t="s">
        <v>6</v>
      </c>
      <c r="D115" s="424" t="s">
        <v>1562</v>
      </c>
      <c r="E115" s="424" t="s">
        <v>7</v>
      </c>
      <c r="F115" s="424" t="s">
        <v>1559</v>
      </c>
      <c r="G115" s="425"/>
    </row>
    <row r="116" spans="1:7" ht="21.75" customHeight="1">
      <c r="A116" s="1987" t="str">
        <f>+'ANALISIS BASICOS'!$A$36</f>
        <v xml:space="preserve">CONCRETO NORMAL - 3000 PSI (210 KG/CM2) </v>
      </c>
      <c r="B116" s="1967"/>
      <c r="C116" s="674" t="str">
        <f>+'ANALISIS BASICOS'!$E$12</f>
        <v>M3</v>
      </c>
      <c r="D116" s="675">
        <f>+'ANALISIS BASICOS'!$G$36</f>
        <v>468441</v>
      </c>
      <c r="E116" s="687">
        <v>0.10299999999999999</v>
      </c>
      <c r="F116" s="675">
        <f>+E116*D116</f>
        <v>48249.422999999995</v>
      </c>
      <c r="G116" s="688"/>
    </row>
    <row r="117" spans="1:7" ht="13.5" customHeight="1">
      <c r="A117" s="1995"/>
      <c r="B117" s="1611"/>
      <c r="C117" s="444"/>
      <c r="D117" s="464"/>
      <c r="E117" s="706"/>
      <c r="F117" s="464"/>
      <c r="G117" s="751"/>
    </row>
    <row r="118" spans="1:7" ht="13.5" customHeight="1">
      <c r="A118" s="1995"/>
      <c r="B118" s="1611"/>
      <c r="C118" s="444"/>
      <c r="D118" s="464"/>
      <c r="E118" s="706"/>
      <c r="F118" s="464"/>
      <c r="G118" s="751"/>
    </row>
    <row r="119" spans="1:7" ht="13.5" customHeight="1">
      <c r="A119" s="1996"/>
      <c r="B119" s="1819"/>
      <c r="C119" s="708"/>
      <c r="D119" s="434"/>
      <c r="E119" s="708"/>
      <c r="F119" s="434"/>
      <c r="G119" s="435"/>
    </row>
    <row r="120" spans="1:7" ht="13.5" customHeight="1">
      <c r="A120" s="2015" t="s">
        <v>1560</v>
      </c>
      <c r="B120" s="1601"/>
      <c r="C120" s="1601"/>
      <c r="D120" s="1601"/>
      <c r="E120" s="1601"/>
      <c r="F120" s="1801"/>
      <c r="G120" s="769">
        <f>SUM(F116:F119)</f>
        <v>48249.422999999995</v>
      </c>
    </row>
    <row r="121" spans="1:7" ht="13.5" customHeight="1">
      <c r="A121" s="621" t="s">
        <v>1563</v>
      </c>
      <c r="B121" s="618"/>
      <c r="C121" s="618"/>
      <c r="D121" s="618"/>
      <c r="E121" s="618"/>
      <c r="F121" s="618"/>
      <c r="G121" s="618"/>
    </row>
    <row r="122" spans="1:7" ht="13.5" customHeight="1">
      <c r="A122" s="1975" t="s">
        <v>1556</v>
      </c>
      <c r="B122" s="1801"/>
      <c r="C122" s="424" t="s">
        <v>6</v>
      </c>
      <c r="D122" s="424" t="s">
        <v>1562</v>
      </c>
      <c r="E122" s="424" t="s">
        <v>7</v>
      </c>
      <c r="F122" s="424" t="s">
        <v>1559</v>
      </c>
      <c r="G122" s="690"/>
    </row>
    <row r="123" spans="1:7" ht="13.5" customHeight="1">
      <c r="A123" s="1987" t="str">
        <f>+'LISTADO EQUIPOS'!$C$125</f>
        <v>VOLQUETA (5-6)M3</v>
      </c>
      <c r="B123" s="1967"/>
      <c r="C123" s="744" t="str">
        <f>+'LISTADO EQUIPOS'!$D$125</f>
        <v>VJ</v>
      </c>
      <c r="D123" s="675">
        <f>+'LISTADO EQUIPOS'!$E$125</f>
        <v>90000</v>
      </c>
      <c r="E123" s="1053">
        <v>0</v>
      </c>
      <c r="F123" s="464">
        <f t="shared" ref="F123:F124" si="6">D123*E123</f>
        <v>0</v>
      </c>
      <c r="G123" s="688"/>
    </row>
    <row r="124" spans="1:7" ht="13.5" customHeight="1">
      <c r="A124" s="1996"/>
      <c r="B124" s="1819"/>
      <c r="C124" s="744"/>
      <c r="D124" s="434"/>
      <c r="E124" s="746"/>
      <c r="F124" s="434">
        <f t="shared" si="6"/>
        <v>0</v>
      </c>
      <c r="G124" s="768"/>
    </row>
    <row r="125" spans="1:7" ht="13.5" customHeight="1">
      <c r="A125" s="2015" t="s">
        <v>1560</v>
      </c>
      <c r="B125" s="1601"/>
      <c r="C125" s="1601"/>
      <c r="D125" s="1601"/>
      <c r="E125" s="1601"/>
      <c r="F125" s="1801"/>
      <c r="G125" s="769">
        <f>SUM(F124)</f>
        <v>0</v>
      </c>
    </row>
    <row r="126" spans="1:7" ht="13.5" customHeight="1">
      <c r="A126" s="621" t="s">
        <v>1564</v>
      </c>
      <c r="B126" s="618"/>
      <c r="C126" s="618"/>
      <c r="D126" s="618"/>
      <c r="E126" s="618"/>
      <c r="F126" s="618"/>
      <c r="G126" s="618"/>
    </row>
    <row r="127" spans="1:7" ht="13.5" customHeight="1">
      <c r="A127" s="1975" t="s">
        <v>1565</v>
      </c>
      <c r="B127" s="1801"/>
      <c r="C127" s="424" t="s">
        <v>1566</v>
      </c>
      <c r="D127" s="424" t="s">
        <v>6</v>
      </c>
      <c r="E127" s="424" t="s">
        <v>7</v>
      </c>
      <c r="F127" s="424" t="s">
        <v>1559</v>
      </c>
      <c r="G127" s="693"/>
    </row>
    <row r="128" spans="1:7" ht="13.5" customHeight="1">
      <c r="A128" s="2004" t="str">
        <f>+'MANO DE OBRA'!$A$64</f>
        <v>Oficial (Incl. Prestaciones)</v>
      </c>
      <c r="B128" s="1888"/>
      <c r="C128" s="679">
        <f>+'MANO DE OBRA'!$E$64</f>
        <v>15031.25</v>
      </c>
      <c r="D128" s="680">
        <v>1</v>
      </c>
      <c r="E128" s="680">
        <v>0.7</v>
      </c>
      <c r="F128" s="710">
        <f t="shared" ref="F128:F129" si="7">+(C128*D128)*E128</f>
        <v>10521.875</v>
      </c>
      <c r="G128" s="688"/>
    </row>
    <row r="129" spans="1:7" ht="13.5" customHeight="1">
      <c r="A129" s="1984" t="str">
        <f>+'MANO DE OBRA'!$A$65</f>
        <v>Ayudante (Incl. Prestaciones)</v>
      </c>
      <c r="B129" s="1819"/>
      <c r="C129" s="747">
        <f>+'MANO DE OBRA'!$E$65</f>
        <v>10972.8125</v>
      </c>
      <c r="D129" s="614">
        <v>1</v>
      </c>
      <c r="E129" s="614">
        <f>+E128</f>
        <v>0.7</v>
      </c>
      <c r="F129" s="753">
        <f t="shared" si="7"/>
        <v>7680.9687499999991</v>
      </c>
      <c r="G129" s="435"/>
    </row>
    <row r="130" spans="1:7" ht="13.5" customHeight="1">
      <c r="A130" s="2015" t="str">
        <f>+A125</f>
        <v>SUB-TOTAL</v>
      </c>
      <c r="B130" s="1601"/>
      <c r="C130" s="1601"/>
      <c r="D130" s="1601"/>
      <c r="E130" s="1601"/>
      <c r="F130" s="1801"/>
      <c r="G130" s="769">
        <f>SUM(F128:F129)</f>
        <v>18202.84375</v>
      </c>
    </row>
    <row r="131" spans="1:7" ht="11.25" customHeight="1">
      <c r="A131" s="618"/>
      <c r="B131" s="618"/>
      <c r="C131" s="618"/>
      <c r="D131" s="618"/>
      <c r="E131" s="618"/>
      <c r="F131" s="748"/>
      <c r="G131" s="618"/>
    </row>
    <row r="132" spans="1:7" ht="13.5" customHeight="1">
      <c r="A132" s="2015" t="s">
        <v>1567</v>
      </c>
      <c r="B132" s="1601"/>
      <c r="C132" s="1601"/>
      <c r="D132" s="1601"/>
      <c r="E132" s="1601"/>
      <c r="F132" s="1801"/>
      <c r="G132" s="1029">
        <f>ROUND(G113+G120+G125+G130,0)</f>
        <v>69287</v>
      </c>
    </row>
    <row r="133" spans="1:7" ht="13.5" customHeight="1">
      <c r="A133" s="616"/>
      <c r="B133" s="616"/>
      <c r="C133" s="616"/>
      <c r="D133" s="616"/>
      <c r="E133" s="616"/>
      <c r="F133" s="616"/>
      <c r="G133" s="616"/>
    </row>
    <row r="134" spans="1:7" ht="13.5" customHeight="1">
      <c r="A134" s="616"/>
      <c r="B134" s="616"/>
      <c r="C134" s="616"/>
      <c r="D134" s="616"/>
      <c r="E134" s="616"/>
      <c r="F134" s="616"/>
      <c r="G134" s="616"/>
    </row>
    <row r="135" spans="1:7" ht="27" customHeight="1">
      <c r="A135" s="2005" t="s">
        <v>1604</v>
      </c>
      <c r="B135" s="1616"/>
      <c r="C135" s="1624"/>
      <c r="D135" s="567"/>
      <c r="E135" s="567"/>
      <c r="F135" s="567"/>
      <c r="G135" s="668"/>
    </row>
    <row r="136" spans="1:7" ht="24" customHeight="1">
      <c r="A136" s="2012" t="s">
        <v>2418</v>
      </c>
      <c r="B136" s="1817"/>
      <c r="C136" s="1972"/>
      <c r="D136" s="669"/>
      <c r="E136" s="669"/>
      <c r="F136" s="669"/>
      <c r="G136" s="670"/>
    </row>
    <row r="137" spans="1:7" ht="13.5" customHeight="1">
      <c r="A137" s="618"/>
      <c r="B137" s="618"/>
      <c r="C137" s="618"/>
      <c r="D137" s="618"/>
      <c r="E137" s="618"/>
      <c r="F137" s="618"/>
      <c r="G137" s="618"/>
    </row>
    <row r="138" spans="1:7" ht="30.75" customHeight="1">
      <c r="A138" s="1991" t="e">
        <v>#REF!</v>
      </c>
      <c r="B138" s="1601"/>
      <c r="C138" s="1602"/>
      <c r="D138" s="1974" t="s">
        <v>2420</v>
      </c>
      <c r="E138" s="1601"/>
      <c r="F138" s="1601"/>
      <c r="G138" s="1602"/>
    </row>
    <row r="139" spans="1:7" ht="13.5" customHeight="1">
      <c r="A139" s="620"/>
      <c r="B139" s="620"/>
      <c r="C139" s="620"/>
      <c r="D139" s="620"/>
      <c r="E139" s="620"/>
      <c r="F139" s="620"/>
      <c r="G139" s="620"/>
    </row>
    <row r="140" spans="1:7" ht="12.75" customHeight="1">
      <c r="A140" s="572"/>
      <c r="B140" s="618"/>
      <c r="C140" s="616"/>
      <c r="D140" s="421" t="s">
        <v>1553</v>
      </c>
      <c r="E140" s="422" t="s">
        <v>228</v>
      </c>
      <c r="F140" s="572"/>
      <c r="G140" s="572"/>
    </row>
    <row r="141" spans="1:7" ht="13.5" customHeight="1">
      <c r="A141" s="621" t="s">
        <v>1555</v>
      </c>
      <c r="B141" s="618"/>
      <c r="C141" s="618"/>
      <c r="D141" s="618"/>
      <c r="E141" s="618"/>
      <c r="F141" s="618"/>
      <c r="G141" s="618"/>
    </row>
    <row r="142" spans="1:7" ht="13.5" customHeight="1">
      <c r="A142" s="1975" t="s">
        <v>1556</v>
      </c>
      <c r="B142" s="1601"/>
      <c r="C142" s="1801"/>
      <c r="D142" s="424" t="s">
        <v>208</v>
      </c>
      <c r="E142" s="424" t="s">
        <v>1558</v>
      </c>
      <c r="F142" s="424" t="s">
        <v>1559</v>
      </c>
      <c r="G142" s="425"/>
    </row>
    <row r="143" spans="1:7" ht="13.5" customHeight="1">
      <c r="A143" s="1987" t="str">
        <f>+'LISTADO EQUIPOS'!$C$22</f>
        <v>HERRAMIENTA MENOR.</v>
      </c>
      <c r="B143" s="1811"/>
      <c r="C143" s="1967"/>
      <c r="D143" s="675">
        <f>+'LISTADO EQUIPOS'!$E$22/8</f>
        <v>2850</v>
      </c>
      <c r="E143" s="687">
        <f>+E160</f>
        <v>0.7</v>
      </c>
      <c r="F143" s="675">
        <f>+E143*D143</f>
        <v>1994.9999999999998</v>
      </c>
      <c r="G143" s="688"/>
    </row>
    <row r="144" spans="1:7" ht="13.5" customHeight="1">
      <c r="A144" s="1995"/>
      <c r="B144" s="1610"/>
      <c r="C144" s="1611"/>
      <c r="D144" s="464"/>
      <c r="E144" s="706"/>
      <c r="F144" s="464"/>
      <c r="G144" s="435"/>
    </row>
    <row r="145" spans="1:7" ht="13.5" customHeight="1">
      <c r="A145" s="2015" t="s">
        <v>1560</v>
      </c>
      <c r="B145" s="1601"/>
      <c r="C145" s="1601"/>
      <c r="D145" s="1601"/>
      <c r="E145" s="1601"/>
      <c r="F145" s="1801"/>
      <c r="G145" s="769">
        <f>SUM(F143:F144)</f>
        <v>1994.9999999999998</v>
      </c>
    </row>
    <row r="146" spans="1:7" ht="13.5" customHeight="1">
      <c r="A146" s="621" t="s">
        <v>1561</v>
      </c>
      <c r="B146" s="618"/>
      <c r="C146" s="618"/>
      <c r="D146" s="618"/>
      <c r="E146" s="618"/>
      <c r="F146" s="618"/>
      <c r="G146" s="618"/>
    </row>
    <row r="147" spans="1:7" ht="13.5" customHeight="1">
      <c r="A147" s="1975" t="s">
        <v>1556</v>
      </c>
      <c r="B147" s="1801"/>
      <c r="C147" s="424" t="s">
        <v>6</v>
      </c>
      <c r="D147" s="424" t="s">
        <v>1562</v>
      </c>
      <c r="E147" s="424" t="s">
        <v>7</v>
      </c>
      <c r="F147" s="424" t="s">
        <v>1559</v>
      </c>
      <c r="G147" s="425"/>
    </row>
    <row r="148" spans="1:7" ht="13.5" customHeight="1">
      <c r="A148" s="1987" t="str">
        <f>+'ANALISIS BASICOS'!$A$100</f>
        <v xml:space="preserve">CONCRETO NORMAL - 2500 PSI (175 KG/CM2)  </v>
      </c>
      <c r="B148" s="1967"/>
      <c r="C148" s="674" t="str">
        <f>+'ANALISIS BASICOS'!$E$76</f>
        <v>M3</v>
      </c>
      <c r="D148" s="675">
        <f>+'ANALISIS BASICOS'!$G$100</f>
        <v>483582</v>
      </c>
      <c r="E148" s="687">
        <v>7.0000000000000007E-2</v>
      </c>
      <c r="F148" s="675">
        <f t="shared" ref="F148:F149" si="8">+E148*D148</f>
        <v>33850.740000000005</v>
      </c>
      <c r="G148" s="688"/>
    </row>
    <row r="149" spans="1:7" ht="13.5" customHeight="1">
      <c r="A149" s="1995" t="str">
        <f>+'LISTADO MATERIALES'!$C$387</f>
        <v>LADRILLO TOLETE COMÚN</v>
      </c>
      <c r="B149" s="1611"/>
      <c r="C149" s="444" t="str">
        <f>+'LISTADO MATERIALES'!$D$387</f>
        <v>UND</v>
      </c>
      <c r="D149" s="464">
        <f>+'LISTADO MATERIALES'!$E$387</f>
        <v>368</v>
      </c>
      <c r="E149" s="706">
        <v>8</v>
      </c>
      <c r="F149" s="464">
        <f t="shared" si="8"/>
        <v>2944</v>
      </c>
      <c r="G149" s="751"/>
    </row>
    <row r="150" spans="1:7" ht="13.5" customHeight="1">
      <c r="A150" s="1995"/>
      <c r="B150" s="1611"/>
      <c r="C150" s="444"/>
      <c r="D150" s="464"/>
      <c r="E150" s="706"/>
      <c r="F150" s="464"/>
      <c r="G150" s="751"/>
    </row>
    <row r="151" spans="1:7" ht="13.5" customHeight="1">
      <c r="A151" s="1996"/>
      <c r="B151" s="1819"/>
      <c r="C151" s="708"/>
      <c r="D151" s="434"/>
      <c r="E151" s="708"/>
      <c r="F151" s="434"/>
      <c r="G151" s="435"/>
    </row>
    <row r="152" spans="1:7" ht="13.5" customHeight="1">
      <c r="A152" s="2015" t="s">
        <v>1560</v>
      </c>
      <c r="B152" s="1601"/>
      <c r="C152" s="1601"/>
      <c r="D152" s="1601"/>
      <c r="E152" s="1601"/>
      <c r="F152" s="1801"/>
      <c r="G152" s="769">
        <f>SUM(F148:F151)</f>
        <v>36794.740000000005</v>
      </c>
    </row>
    <row r="153" spans="1:7" ht="13.5" customHeight="1">
      <c r="A153" s="621" t="s">
        <v>1563</v>
      </c>
      <c r="B153" s="618"/>
      <c r="C153" s="618"/>
      <c r="D153" s="618"/>
      <c r="E153" s="618"/>
      <c r="F153" s="618"/>
      <c r="G153" s="618"/>
    </row>
    <row r="154" spans="1:7" ht="13.5" customHeight="1">
      <c r="A154" s="1975" t="s">
        <v>1556</v>
      </c>
      <c r="B154" s="1801"/>
      <c r="C154" s="424" t="s">
        <v>6</v>
      </c>
      <c r="D154" s="424" t="s">
        <v>1562</v>
      </c>
      <c r="E154" s="424" t="s">
        <v>7</v>
      </c>
      <c r="F154" s="424" t="s">
        <v>1559</v>
      </c>
      <c r="G154" s="690"/>
    </row>
    <row r="155" spans="1:7" ht="13.5" customHeight="1">
      <c r="A155" s="1987" t="str">
        <f>+'LISTADO EQUIPOS'!$C$125</f>
        <v>VOLQUETA (5-6)M3</v>
      </c>
      <c r="B155" s="1967"/>
      <c r="C155" s="744" t="str">
        <f>+'LISTADO EQUIPOS'!$D$125</f>
        <v>VJ</v>
      </c>
      <c r="D155" s="675">
        <f>+'LISTADO EQUIPOS'!$E$125</f>
        <v>90000</v>
      </c>
      <c r="E155" s="1053">
        <v>0</v>
      </c>
      <c r="F155" s="464">
        <f t="shared" ref="F155:F156" si="9">D155*E155</f>
        <v>0</v>
      </c>
      <c r="G155" s="688"/>
    </row>
    <row r="156" spans="1:7" ht="13.5" customHeight="1">
      <c r="A156" s="1996"/>
      <c r="B156" s="1819"/>
      <c r="C156" s="744"/>
      <c r="D156" s="434"/>
      <c r="E156" s="746"/>
      <c r="F156" s="434">
        <f t="shared" si="9"/>
        <v>0</v>
      </c>
      <c r="G156" s="768"/>
    </row>
    <row r="157" spans="1:7" ht="13.5" customHeight="1">
      <c r="A157" s="2015" t="s">
        <v>1560</v>
      </c>
      <c r="B157" s="1601"/>
      <c r="C157" s="1601"/>
      <c r="D157" s="1601"/>
      <c r="E157" s="1601"/>
      <c r="F157" s="1801"/>
      <c r="G157" s="769">
        <f>SUM(F156)</f>
        <v>0</v>
      </c>
    </row>
    <row r="158" spans="1:7" ht="13.5" customHeight="1">
      <c r="A158" s="621" t="s">
        <v>1564</v>
      </c>
      <c r="B158" s="618"/>
      <c r="C158" s="618"/>
      <c r="D158" s="618"/>
      <c r="E158" s="618"/>
      <c r="F158" s="618"/>
      <c r="G158" s="618"/>
    </row>
    <row r="159" spans="1:7" ht="13.5" customHeight="1">
      <c r="A159" s="1975" t="s">
        <v>1565</v>
      </c>
      <c r="B159" s="1801"/>
      <c r="C159" s="424" t="s">
        <v>1566</v>
      </c>
      <c r="D159" s="424" t="s">
        <v>6</v>
      </c>
      <c r="E159" s="424" t="s">
        <v>7</v>
      </c>
      <c r="F159" s="424" t="s">
        <v>1559</v>
      </c>
      <c r="G159" s="693"/>
    </row>
    <row r="160" spans="1:7" ht="13.5" customHeight="1">
      <c r="A160" s="2004" t="str">
        <f>+'MANO DE OBRA'!$A$64</f>
        <v>Oficial (Incl. Prestaciones)</v>
      </c>
      <c r="B160" s="1888"/>
      <c r="C160" s="679">
        <f>+'MANO DE OBRA'!$E$64</f>
        <v>15031.25</v>
      </c>
      <c r="D160" s="680">
        <v>1</v>
      </c>
      <c r="E160" s="680">
        <v>0.7</v>
      </c>
      <c r="F160" s="710">
        <f t="shared" ref="F160:F161" si="10">+(C160*D160)*E160</f>
        <v>10521.875</v>
      </c>
      <c r="G160" s="688"/>
    </row>
    <row r="161" spans="1:7" ht="13.5" customHeight="1">
      <c r="A161" s="1984" t="str">
        <f>+'MANO DE OBRA'!$A$65</f>
        <v>Ayudante (Incl. Prestaciones)</v>
      </c>
      <c r="B161" s="1819"/>
      <c r="C161" s="747">
        <f>+'MANO DE OBRA'!$E$65</f>
        <v>10972.8125</v>
      </c>
      <c r="D161" s="614">
        <v>1</v>
      </c>
      <c r="E161" s="614">
        <f>+E160</f>
        <v>0.7</v>
      </c>
      <c r="F161" s="753">
        <f t="shared" si="10"/>
        <v>7680.9687499999991</v>
      </c>
      <c r="G161" s="435"/>
    </row>
    <row r="162" spans="1:7" ht="13.5" customHeight="1">
      <c r="A162" s="2015" t="str">
        <f>+A157</f>
        <v>SUB-TOTAL</v>
      </c>
      <c r="B162" s="1601"/>
      <c r="C162" s="1601"/>
      <c r="D162" s="1601"/>
      <c r="E162" s="1601"/>
      <c r="F162" s="1801"/>
      <c r="G162" s="769">
        <f>SUM(F160:F161)</f>
        <v>18202.84375</v>
      </c>
    </row>
    <row r="163" spans="1:7" ht="11.25" customHeight="1">
      <c r="A163" s="618"/>
      <c r="B163" s="618"/>
      <c r="C163" s="618"/>
      <c r="D163" s="618"/>
      <c r="E163" s="618"/>
      <c r="F163" s="748"/>
      <c r="G163" s="618"/>
    </row>
    <row r="164" spans="1:7" ht="13.5" customHeight="1">
      <c r="A164" s="2015" t="s">
        <v>1567</v>
      </c>
      <c r="B164" s="1601"/>
      <c r="C164" s="1601"/>
      <c r="D164" s="1601"/>
      <c r="E164" s="1601"/>
      <c r="F164" s="1801"/>
      <c r="G164" s="1029">
        <f>ROUND(G145+G152+G157+G162,0)</f>
        <v>56993</v>
      </c>
    </row>
    <row r="165" spans="1:7" ht="13.5" customHeight="1">
      <c r="A165" s="616"/>
      <c r="B165" s="616"/>
      <c r="C165" s="616"/>
      <c r="D165" s="616"/>
      <c r="E165" s="616"/>
      <c r="F165" s="616"/>
      <c r="G165" s="616"/>
    </row>
    <row r="166" spans="1:7" ht="13.5" customHeight="1">
      <c r="A166" s="616"/>
      <c r="B166" s="616"/>
      <c r="C166" s="616"/>
      <c r="D166" s="616"/>
      <c r="E166" s="616"/>
      <c r="F166" s="616"/>
      <c r="G166" s="616"/>
    </row>
    <row r="167" spans="1:7" ht="27" customHeight="1">
      <c r="A167" s="2005" t="s">
        <v>1604</v>
      </c>
      <c r="B167" s="1616"/>
      <c r="C167" s="1624"/>
      <c r="D167" s="567"/>
      <c r="E167" s="567"/>
      <c r="F167" s="567"/>
      <c r="G167" s="668"/>
    </row>
    <row r="168" spans="1:7" ht="24" customHeight="1">
      <c r="A168" s="2012"/>
      <c r="B168" s="1817"/>
      <c r="C168" s="1972"/>
      <c r="D168" s="669"/>
      <c r="E168" s="669"/>
      <c r="F168" s="669"/>
      <c r="G168" s="670"/>
    </row>
    <row r="169" spans="1:7" ht="13.5" customHeight="1">
      <c r="A169" s="618"/>
      <c r="B169" s="618"/>
      <c r="C169" s="618"/>
      <c r="D169" s="618"/>
      <c r="E169" s="618"/>
      <c r="F169" s="618"/>
      <c r="G169" s="618"/>
    </row>
    <row r="170" spans="1:7" ht="42.75" customHeight="1">
      <c r="A170" s="1973" t="e">
        <f ca="1">A10</f>
        <v>#NAME?</v>
      </c>
      <c r="B170" s="1601"/>
      <c r="C170" s="1602"/>
      <c r="D170" s="1974" t="s">
        <v>2421</v>
      </c>
      <c r="E170" s="1601"/>
      <c r="F170" s="1601"/>
      <c r="G170" s="1602"/>
    </row>
    <row r="171" spans="1:7" ht="13.5" customHeight="1">
      <c r="A171" s="620"/>
      <c r="B171" s="620"/>
      <c r="C171" s="620"/>
      <c r="D171" s="620"/>
      <c r="E171" s="620"/>
      <c r="F171" s="620"/>
      <c r="G171" s="620"/>
    </row>
    <row r="172" spans="1:7" ht="12.75" customHeight="1">
      <c r="A172" s="572"/>
      <c r="B172" s="618"/>
      <c r="C172" s="616"/>
      <c r="D172" s="421" t="s">
        <v>1553</v>
      </c>
      <c r="E172" s="422" t="s">
        <v>228</v>
      </c>
      <c r="F172" s="572"/>
      <c r="G172" s="572"/>
    </row>
    <row r="173" spans="1:7" ht="13.5" customHeight="1">
      <c r="A173" s="621" t="s">
        <v>1555</v>
      </c>
      <c r="B173" s="618"/>
      <c r="C173" s="618"/>
      <c r="D173" s="618"/>
      <c r="E173" s="618"/>
      <c r="F173" s="618"/>
      <c r="G173" s="618"/>
    </row>
    <row r="174" spans="1:7" ht="13.5" customHeight="1">
      <c r="A174" s="1975" t="s">
        <v>1556</v>
      </c>
      <c r="B174" s="1601"/>
      <c r="C174" s="1801"/>
      <c r="D174" s="424" t="s">
        <v>208</v>
      </c>
      <c r="E174" s="424" t="s">
        <v>1558</v>
      </c>
      <c r="F174" s="424" t="s">
        <v>1559</v>
      </c>
      <c r="G174" s="425"/>
    </row>
    <row r="175" spans="1:7" ht="13.5" customHeight="1">
      <c r="A175" s="1987" t="str">
        <f>+'LISTADO EQUIPOS'!$C$22</f>
        <v>HERRAMIENTA MENOR.</v>
      </c>
      <c r="B175" s="1811"/>
      <c r="C175" s="1967"/>
      <c r="D175" s="675">
        <f>+'LISTADO EQUIPOS'!$E$22/8</f>
        <v>2850</v>
      </c>
      <c r="E175" s="687">
        <f>+E192</f>
        <v>1.1000000000000001</v>
      </c>
      <c r="F175" s="442">
        <f t="shared" ref="F175:F176" si="11">+E175*D175</f>
        <v>3135.0000000000005</v>
      </c>
      <c r="G175" s="688"/>
    </row>
    <row r="176" spans="1:7" ht="13.5" customHeight="1">
      <c r="A176" s="1996" t="str">
        <f>+'ANALISIS BASICOS'!$A$360</f>
        <v>FORMALETA EN MADERA</v>
      </c>
      <c r="B176" s="1807"/>
      <c r="C176" s="1819"/>
      <c r="D176" s="434">
        <f>+'ANALISIS BASICOS'!$G$360</f>
        <v>41998</v>
      </c>
      <c r="E176" s="433">
        <v>0.02</v>
      </c>
      <c r="F176" s="700">
        <f t="shared" si="11"/>
        <v>839.96</v>
      </c>
      <c r="G176" s="435"/>
    </row>
    <row r="177" spans="1:7" ht="13.5" customHeight="1">
      <c r="A177" s="2015" t="s">
        <v>1560</v>
      </c>
      <c r="B177" s="1601"/>
      <c r="C177" s="1601"/>
      <c r="D177" s="1601"/>
      <c r="E177" s="1601"/>
      <c r="F177" s="1801"/>
      <c r="G177" s="462">
        <f>SUM(F175:F176)</f>
        <v>3974.9600000000005</v>
      </c>
    </row>
    <row r="178" spans="1:7" ht="13.5" customHeight="1">
      <c r="A178" s="621" t="s">
        <v>1561</v>
      </c>
      <c r="B178" s="618"/>
      <c r="C178" s="618"/>
      <c r="D178" s="618"/>
      <c r="E178" s="618"/>
      <c r="F178" s="618"/>
      <c r="G178" s="743"/>
    </row>
    <row r="179" spans="1:7" ht="13.5" customHeight="1">
      <c r="A179" s="1975" t="s">
        <v>1556</v>
      </c>
      <c r="B179" s="1801"/>
      <c r="C179" s="424" t="s">
        <v>6</v>
      </c>
      <c r="D179" s="424" t="s">
        <v>1562</v>
      </c>
      <c r="E179" s="424" t="s">
        <v>7</v>
      </c>
      <c r="F179" s="424" t="s">
        <v>1559</v>
      </c>
      <c r="G179" s="673"/>
    </row>
    <row r="180" spans="1:7" ht="13.5" customHeight="1">
      <c r="A180" s="1987" t="str">
        <f>+'ANALISIS BASICOS'!$A$100</f>
        <v xml:space="preserve">CONCRETO NORMAL - 2500 PSI (175 KG/CM2)  </v>
      </c>
      <c r="B180" s="1967"/>
      <c r="C180" s="674" t="str">
        <f>+'ANALISIS BASICOS'!$E$76</f>
        <v>M3</v>
      </c>
      <c r="D180" s="675">
        <f>+'ANALISIS BASICOS'!$G$100</f>
        <v>483582</v>
      </c>
      <c r="E180" s="687">
        <v>0.08</v>
      </c>
      <c r="F180" s="442">
        <f t="shared" ref="F180:F182" si="12">+E180*D180</f>
        <v>38686.559999999998</v>
      </c>
      <c r="G180" s="676"/>
    </row>
    <row r="181" spans="1:7" ht="13.5" customHeight="1">
      <c r="A181" s="1995" t="str">
        <f>+'LISTADO MATERIALES'!$C$131</f>
        <v>ALFACOLOR</v>
      </c>
      <c r="B181" s="1611"/>
      <c r="C181" s="444" t="str">
        <f>+'LISTADO MATERIALES'!$D$131</f>
        <v>KG</v>
      </c>
      <c r="D181" s="464">
        <f>+'LISTADO MATERIALES'!$E$131</f>
        <v>5355</v>
      </c>
      <c r="E181" s="706">
        <v>0.3</v>
      </c>
      <c r="F181" s="440">
        <f t="shared" si="12"/>
        <v>1606.5</v>
      </c>
      <c r="G181" s="707"/>
    </row>
    <row r="182" spans="1:7" ht="12.75" customHeight="1">
      <c r="A182" s="1995" t="str">
        <f>+'LISTADO MATERIALES'!$C$141</f>
        <v>CEMENTO GRIS</v>
      </c>
      <c r="B182" s="1611"/>
      <c r="C182" s="444" t="str">
        <f>+'LISTADO MATERIALES'!$D$141</f>
        <v>KG</v>
      </c>
      <c r="D182" s="464">
        <f>+'LISTADO MATERIALES'!$E$141</f>
        <v>600</v>
      </c>
      <c r="E182" s="706">
        <v>5</v>
      </c>
      <c r="F182" s="440">
        <f t="shared" si="12"/>
        <v>3000</v>
      </c>
      <c r="G182" s="707"/>
    </row>
    <row r="183" spans="1:7" ht="13.5" customHeight="1">
      <c r="A183" s="1996"/>
      <c r="B183" s="1819"/>
      <c r="C183" s="708"/>
      <c r="D183" s="434"/>
      <c r="E183" s="708"/>
      <c r="F183" s="434"/>
      <c r="G183" s="709"/>
    </row>
    <row r="184" spans="1:7" ht="13.5" customHeight="1">
      <c r="A184" s="2015" t="s">
        <v>1560</v>
      </c>
      <c r="B184" s="1601"/>
      <c r="C184" s="1601"/>
      <c r="D184" s="1601"/>
      <c r="E184" s="1601"/>
      <c r="F184" s="1801"/>
      <c r="G184" s="462">
        <f>SUM(F180:F183)</f>
        <v>43293.06</v>
      </c>
    </row>
    <row r="185" spans="1:7" ht="13.5" customHeight="1">
      <c r="A185" s="621" t="s">
        <v>1563</v>
      </c>
      <c r="B185" s="618"/>
      <c r="C185" s="618"/>
      <c r="D185" s="618"/>
      <c r="E185" s="618"/>
      <c r="F185" s="618"/>
      <c r="G185" s="743"/>
    </row>
    <row r="186" spans="1:7" ht="13.5" customHeight="1">
      <c r="A186" s="1975" t="s">
        <v>1556</v>
      </c>
      <c r="B186" s="1801"/>
      <c r="C186" s="424" t="s">
        <v>6</v>
      </c>
      <c r="D186" s="424" t="s">
        <v>1562</v>
      </c>
      <c r="E186" s="424" t="s">
        <v>7</v>
      </c>
      <c r="F186" s="424" t="s">
        <v>1559</v>
      </c>
      <c r="G186" s="438"/>
    </row>
    <row r="187" spans="1:7" ht="13.5" customHeight="1">
      <c r="A187" s="1987"/>
      <c r="B187" s="1967"/>
      <c r="C187" s="744"/>
      <c r="D187" s="675"/>
      <c r="E187" s="745"/>
      <c r="F187" s="464"/>
      <c r="G187" s="676"/>
    </row>
    <row r="188" spans="1:7" ht="13.5" customHeight="1">
      <c r="A188" s="1996"/>
      <c r="B188" s="1819"/>
      <c r="C188" s="744"/>
      <c r="D188" s="434"/>
      <c r="E188" s="746"/>
      <c r="F188" s="434"/>
      <c r="G188" s="457"/>
    </row>
    <row r="189" spans="1:7" ht="13.5" customHeight="1">
      <c r="A189" s="2015" t="s">
        <v>1560</v>
      </c>
      <c r="B189" s="1601"/>
      <c r="C189" s="1601"/>
      <c r="D189" s="1601"/>
      <c r="E189" s="1601"/>
      <c r="F189" s="1801"/>
      <c r="G189" s="462"/>
    </row>
    <row r="190" spans="1:7" ht="13.5" customHeight="1">
      <c r="A190" s="621" t="s">
        <v>1564</v>
      </c>
      <c r="B190" s="618"/>
      <c r="C190" s="618"/>
      <c r="D190" s="618"/>
      <c r="E190" s="618"/>
      <c r="F190" s="618"/>
      <c r="G190" s="743"/>
    </row>
    <row r="191" spans="1:7" ht="13.5" customHeight="1">
      <c r="A191" s="1975" t="s">
        <v>1565</v>
      </c>
      <c r="B191" s="1801"/>
      <c r="C191" s="424" t="s">
        <v>1566</v>
      </c>
      <c r="D191" s="424" t="s">
        <v>6</v>
      </c>
      <c r="E191" s="424" t="s">
        <v>7</v>
      </c>
      <c r="F191" s="424" t="s">
        <v>1559</v>
      </c>
      <c r="G191" s="462"/>
    </row>
    <row r="192" spans="1:7" ht="13.5" customHeight="1">
      <c r="A192" s="2004" t="str">
        <f>+'MANO DE OBRA'!$A$64</f>
        <v>Oficial (Incl. Prestaciones)</v>
      </c>
      <c r="B192" s="1888"/>
      <c r="C192" s="679">
        <f>+'MANO DE OBRA'!$E$64</f>
        <v>15031.25</v>
      </c>
      <c r="D192" s="680">
        <v>1</v>
      </c>
      <c r="E192" s="680">
        <v>1.1000000000000001</v>
      </c>
      <c r="F192" s="694">
        <f t="shared" ref="F192:F193" si="13">+(C192*D192)*E192</f>
        <v>16534.375</v>
      </c>
      <c r="G192" s="676"/>
    </row>
    <row r="193" spans="1:7" ht="13.5" customHeight="1">
      <c r="A193" s="1984" t="str">
        <f>+'MANO DE OBRA'!$A$65</f>
        <v>Ayudante (Incl. Prestaciones)</v>
      </c>
      <c r="B193" s="1819"/>
      <c r="C193" s="747">
        <f>+'MANO DE OBRA'!$E$65</f>
        <v>10972.8125</v>
      </c>
      <c r="D193" s="614">
        <v>1</v>
      </c>
      <c r="E193" s="614">
        <f>+E192</f>
        <v>1.1000000000000001</v>
      </c>
      <c r="F193" s="455">
        <f t="shared" si="13"/>
        <v>12070.093750000002</v>
      </c>
      <c r="G193" s="709"/>
    </row>
    <row r="194" spans="1:7" ht="13.5" customHeight="1">
      <c r="A194" s="2015" t="str">
        <f>+A189</f>
        <v>SUB-TOTAL</v>
      </c>
      <c r="B194" s="1601"/>
      <c r="C194" s="1601"/>
      <c r="D194" s="1601"/>
      <c r="E194" s="1601"/>
      <c r="F194" s="1801"/>
      <c r="G194" s="462">
        <f>SUM(F192:F193)</f>
        <v>28604.46875</v>
      </c>
    </row>
    <row r="195" spans="1:7" ht="11.25" customHeight="1">
      <c r="A195" s="618"/>
      <c r="B195" s="618"/>
      <c r="C195" s="618"/>
      <c r="D195" s="618"/>
      <c r="E195" s="618"/>
      <c r="F195" s="748"/>
      <c r="G195" s="743"/>
    </row>
    <row r="196" spans="1:7" ht="13.5" customHeight="1">
      <c r="A196" s="2015" t="s">
        <v>1567</v>
      </c>
      <c r="B196" s="1601"/>
      <c r="C196" s="1601"/>
      <c r="D196" s="1601"/>
      <c r="E196" s="1601"/>
      <c r="F196" s="1801"/>
      <c r="G196" s="459">
        <f>ROUND(G177+G184+G189+G194,0)</f>
        <v>75872</v>
      </c>
    </row>
    <row r="197" spans="1:7" ht="13.5" customHeight="1">
      <c r="A197" s="616"/>
      <c r="B197" s="616"/>
      <c r="C197" s="616"/>
      <c r="D197" s="616"/>
      <c r="E197" s="616"/>
      <c r="F197" s="616"/>
      <c r="G197" s="616"/>
    </row>
    <row r="198" spans="1:7" ht="13.5" customHeight="1">
      <c r="A198" s="616"/>
      <c r="B198" s="616"/>
      <c r="C198" s="616"/>
      <c r="D198" s="616"/>
      <c r="E198" s="616"/>
      <c r="F198" s="616"/>
      <c r="G198" s="616"/>
    </row>
    <row r="199" spans="1:7" ht="27" customHeight="1">
      <c r="A199" s="2005" t="s">
        <v>1604</v>
      </c>
      <c r="B199" s="1616"/>
      <c r="C199" s="1624"/>
      <c r="D199" s="567"/>
      <c r="E199" s="567"/>
      <c r="F199" s="567"/>
      <c r="G199" s="668"/>
    </row>
    <row r="200" spans="1:7" ht="24" customHeight="1">
      <c r="A200" s="2012"/>
      <c r="B200" s="1817"/>
      <c r="C200" s="1972"/>
      <c r="D200" s="669"/>
      <c r="E200" s="669"/>
      <c r="F200" s="669"/>
      <c r="G200" s="670"/>
    </row>
    <row r="201" spans="1:7" ht="13.5" customHeight="1">
      <c r="A201" s="618"/>
      <c r="B201" s="618"/>
      <c r="C201" s="618"/>
      <c r="D201" s="618"/>
      <c r="E201" s="618"/>
      <c r="F201" s="618"/>
      <c r="G201" s="618"/>
    </row>
    <row r="202" spans="1:7" ht="30.75" customHeight="1">
      <c r="A202" s="1991" t="e">
        <f ca="1">A10</f>
        <v>#NAME?</v>
      </c>
      <c r="B202" s="1601"/>
      <c r="C202" s="1602"/>
      <c r="D202" s="1974" t="s">
        <v>2422</v>
      </c>
      <c r="E202" s="1601"/>
      <c r="F202" s="1601"/>
      <c r="G202" s="1602"/>
    </row>
    <row r="203" spans="1:7" ht="13.5" customHeight="1">
      <c r="A203" s="620"/>
      <c r="B203" s="620"/>
      <c r="C203" s="620"/>
      <c r="D203" s="620"/>
      <c r="E203" s="620"/>
      <c r="F203" s="620"/>
      <c r="G203" s="620"/>
    </row>
    <row r="204" spans="1:7" ht="12.75" customHeight="1">
      <c r="A204" s="572"/>
      <c r="B204" s="618"/>
      <c r="C204" s="616"/>
      <c r="D204" s="421" t="s">
        <v>1553</v>
      </c>
      <c r="E204" s="422" t="s">
        <v>228</v>
      </c>
      <c r="F204" s="572"/>
      <c r="G204" s="572"/>
    </row>
    <row r="205" spans="1:7" ht="13.5" customHeight="1">
      <c r="A205" s="621" t="s">
        <v>1555</v>
      </c>
      <c r="B205" s="618"/>
      <c r="C205" s="618"/>
      <c r="D205" s="618"/>
      <c r="E205" s="618"/>
      <c r="F205" s="618"/>
      <c r="G205" s="618"/>
    </row>
    <row r="206" spans="1:7" ht="13.5" customHeight="1">
      <c r="A206" s="1975" t="s">
        <v>1556</v>
      </c>
      <c r="B206" s="1601"/>
      <c r="C206" s="1801"/>
      <c r="D206" s="424" t="s">
        <v>208</v>
      </c>
      <c r="E206" s="424" t="s">
        <v>1558</v>
      </c>
      <c r="F206" s="424" t="s">
        <v>1559</v>
      </c>
      <c r="G206" s="425"/>
    </row>
    <row r="207" spans="1:7" ht="13.5" customHeight="1">
      <c r="A207" s="1987" t="str">
        <f>+'LISTADO EQUIPOS'!$C$22</f>
        <v>HERRAMIENTA MENOR.</v>
      </c>
      <c r="B207" s="1811"/>
      <c r="C207" s="1967"/>
      <c r="D207" s="675">
        <f>+'LISTADO EQUIPOS'!$E$22/8</f>
        <v>2850</v>
      </c>
      <c r="E207" s="687">
        <f>+E224</f>
        <v>0.7</v>
      </c>
      <c r="F207" s="675">
        <f t="shared" ref="F207:F208" si="14">+E207*D207</f>
        <v>1994.9999999999998</v>
      </c>
      <c r="G207" s="688"/>
    </row>
    <row r="208" spans="1:7" ht="13.5" customHeight="1">
      <c r="A208" s="1996" t="str">
        <f>+'ANALISIS BASICOS'!$A$360</f>
        <v>FORMALETA EN MADERA</v>
      </c>
      <c r="B208" s="1807"/>
      <c r="C208" s="1819"/>
      <c r="D208" s="434">
        <f>+'ANALISIS BASICOS'!$G$360</f>
        <v>41998</v>
      </c>
      <c r="E208" s="433">
        <v>0.02</v>
      </c>
      <c r="F208" s="434">
        <f t="shared" si="14"/>
        <v>839.96</v>
      </c>
      <c r="G208" s="435"/>
    </row>
    <row r="209" spans="1:7" ht="13.5" customHeight="1">
      <c r="A209" s="2015" t="s">
        <v>1560</v>
      </c>
      <c r="B209" s="1601"/>
      <c r="C209" s="1601"/>
      <c r="D209" s="1601"/>
      <c r="E209" s="1601"/>
      <c r="F209" s="1801"/>
      <c r="G209" s="769">
        <f>SUM(F207:F208)</f>
        <v>2834.96</v>
      </c>
    </row>
    <row r="210" spans="1:7" ht="13.5" customHeight="1">
      <c r="A210" s="621" t="s">
        <v>1561</v>
      </c>
      <c r="B210" s="618"/>
      <c r="C210" s="618"/>
      <c r="D210" s="618"/>
      <c r="E210" s="618"/>
      <c r="F210" s="618"/>
      <c r="G210" s="618"/>
    </row>
    <row r="211" spans="1:7" ht="13.5" customHeight="1">
      <c r="A211" s="1975" t="s">
        <v>1556</v>
      </c>
      <c r="B211" s="1801"/>
      <c r="C211" s="424" t="s">
        <v>6</v>
      </c>
      <c r="D211" s="424" t="s">
        <v>1562</v>
      </c>
      <c r="E211" s="424" t="s">
        <v>7</v>
      </c>
      <c r="F211" s="424" t="s">
        <v>1559</v>
      </c>
      <c r="G211" s="425"/>
    </row>
    <row r="212" spans="1:7" ht="22.5" customHeight="1">
      <c r="A212" s="1987" t="str">
        <f>+'ANALISIS BASICOS'!$A$100</f>
        <v xml:space="preserve">CONCRETO NORMAL - 2500 PSI (175 KG/CM2)  </v>
      </c>
      <c r="B212" s="1967"/>
      <c r="C212" s="674" t="str">
        <f>+'ANALISIS BASICOS'!$E$76</f>
        <v>M3</v>
      </c>
      <c r="D212" s="675">
        <f>+'ANALISIS BASICOS'!$G$100</f>
        <v>483582</v>
      </c>
      <c r="E212" s="687">
        <v>0.1</v>
      </c>
      <c r="F212" s="675">
        <f t="shared" ref="F212:F213" si="15">+E212*D212</f>
        <v>48358.200000000004</v>
      </c>
      <c r="G212" s="688"/>
    </row>
    <row r="213" spans="1:7" ht="13.5" customHeight="1">
      <c r="A213" s="1995" t="str">
        <f>+'LISTADO MATERIALES'!$C$758</f>
        <v>POLISEC</v>
      </c>
      <c r="B213" s="1611"/>
      <c r="C213" s="444" t="str">
        <f>+'LISTADO MATERIALES'!$D$758</f>
        <v>M2</v>
      </c>
      <c r="D213" s="464">
        <f>+'LISTADO MATERIALES'!$E$758</f>
        <v>1103</v>
      </c>
      <c r="E213" s="706">
        <v>1.03</v>
      </c>
      <c r="F213" s="464">
        <f t="shared" si="15"/>
        <v>1136.0899999999999</v>
      </c>
      <c r="G213" s="751"/>
    </row>
    <row r="214" spans="1:7" ht="13.5" customHeight="1">
      <c r="A214" s="1995"/>
      <c r="B214" s="1611"/>
      <c r="C214" s="444"/>
      <c r="D214" s="464"/>
      <c r="E214" s="706"/>
      <c r="F214" s="464"/>
      <c r="G214" s="751"/>
    </row>
    <row r="215" spans="1:7" ht="13.5" customHeight="1">
      <c r="A215" s="1996"/>
      <c r="B215" s="1819"/>
      <c r="C215" s="708"/>
      <c r="D215" s="434"/>
      <c r="E215" s="708"/>
      <c r="F215" s="434"/>
      <c r="G215" s="435"/>
    </row>
    <row r="216" spans="1:7" ht="13.5" customHeight="1">
      <c r="A216" s="2015" t="s">
        <v>1560</v>
      </c>
      <c r="B216" s="1601"/>
      <c r="C216" s="1601"/>
      <c r="D216" s="1601"/>
      <c r="E216" s="1601"/>
      <c r="F216" s="1801"/>
      <c r="G216" s="769">
        <f>SUM(F212:F215)</f>
        <v>49494.29</v>
      </c>
    </row>
    <row r="217" spans="1:7" ht="13.5" customHeight="1">
      <c r="A217" s="621" t="s">
        <v>1563</v>
      </c>
      <c r="B217" s="618"/>
      <c r="C217" s="618"/>
      <c r="D217" s="618"/>
      <c r="E217" s="618"/>
      <c r="F217" s="618"/>
      <c r="G217" s="618"/>
    </row>
    <row r="218" spans="1:7" ht="13.5" customHeight="1">
      <c r="A218" s="1975" t="s">
        <v>1556</v>
      </c>
      <c r="B218" s="1801"/>
      <c r="C218" s="424" t="s">
        <v>6</v>
      </c>
      <c r="D218" s="424" t="s">
        <v>1562</v>
      </c>
      <c r="E218" s="424" t="s">
        <v>7</v>
      </c>
      <c r="F218" s="424" t="s">
        <v>1559</v>
      </c>
      <c r="G218" s="690"/>
    </row>
    <row r="219" spans="1:7" ht="13.5" customHeight="1">
      <c r="A219" s="1987" t="str">
        <f>+'LISTADO EQUIPOS'!$C$125</f>
        <v>VOLQUETA (5-6)M3</v>
      </c>
      <c r="B219" s="1967"/>
      <c r="C219" s="744" t="str">
        <f>+'LISTADO EQUIPOS'!$D$125</f>
        <v>VJ</v>
      </c>
      <c r="D219" s="675">
        <f>+'LISTADO EQUIPOS'!$E$125</f>
        <v>90000</v>
      </c>
      <c r="E219" s="1053">
        <v>0</v>
      </c>
      <c r="F219" s="464">
        <f t="shared" ref="F219:F220" si="16">D219*E219</f>
        <v>0</v>
      </c>
      <c r="G219" s="688"/>
    </row>
    <row r="220" spans="1:7" ht="13.5" customHeight="1">
      <c r="A220" s="1996"/>
      <c r="B220" s="1819"/>
      <c r="C220" s="744"/>
      <c r="D220" s="434"/>
      <c r="E220" s="746"/>
      <c r="F220" s="434">
        <f t="shared" si="16"/>
        <v>0</v>
      </c>
      <c r="G220" s="768"/>
    </row>
    <row r="221" spans="1:7" ht="13.5" customHeight="1">
      <c r="A221" s="2015" t="s">
        <v>1560</v>
      </c>
      <c r="B221" s="1601"/>
      <c r="C221" s="1601"/>
      <c r="D221" s="1601"/>
      <c r="E221" s="1601"/>
      <c r="F221" s="1801"/>
      <c r="G221" s="769">
        <f>SUM(F220)</f>
        <v>0</v>
      </c>
    </row>
    <row r="222" spans="1:7" ht="13.5" customHeight="1">
      <c r="A222" s="621" t="s">
        <v>1564</v>
      </c>
      <c r="B222" s="618"/>
      <c r="C222" s="618"/>
      <c r="D222" s="618"/>
      <c r="E222" s="618"/>
      <c r="F222" s="618"/>
      <c r="G222" s="618"/>
    </row>
    <row r="223" spans="1:7" ht="13.5" customHeight="1">
      <c r="A223" s="1975" t="s">
        <v>1565</v>
      </c>
      <c r="B223" s="1801"/>
      <c r="C223" s="424" t="s">
        <v>1566</v>
      </c>
      <c r="D223" s="424" t="s">
        <v>6</v>
      </c>
      <c r="E223" s="424" t="s">
        <v>7</v>
      </c>
      <c r="F223" s="424" t="s">
        <v>1559</v>
      </c>
      <c r="G223" s="693"/>
    </row>
    <row r="224" spans="1:7" ht="13.5" customHeight="1">
      <c r="A224" s="2004" t="str">
        <f>+'MANO DE OBRA'!$A$64</f>
        <v>Oficial (Incl. Prestaciones)</v>
      </c>
      <c r="B224" s="1888"/>
      <c r="C224" s="679">
        <f>+'MANO DE OBRA'!$E$64</f>
        <v>15031.25</v>
      </c>
      <c r="D224" s="680">
        <v>1</v>
      </c>
      <c r="E224" s="680">
        <v>0.7</v>
      </c>
      <c r="F224" s="710">
        <f t="shared" ref="F224:F225" si="17">+(C224*D224)*E224</f>
        <v>10521.875</v>
      </c>
      <c r="G224" s="688"/>
    </row>
    <row r="225" spans="1:8" ht="13.5" customHeight="1">
      <c r="A225" s="1984" t="str">
        <f>+'MANO DE OBRA'!$A$65</f>
        <v>Ayudante (Incl. Prestaciones)</v>
      </c>
      <c r="B225" s="1819"/>
      <c r="C225" s="747">
        <f>+'MANO DE OBRA'!$E$65</f>
        <v>10972.8125</v>
      </c>
      <c r="D225" s="614">
        <v>1</v>
      </c>
      <c r="E225" s="614">
        <f>+E224</f>
        <v>0.7</v>
      </c>
      <c r="F225" s="753">
        <f t="shared" si="17"/>
        <v>7680.9687499999991</v>
      </c>
      <c r="G225" s="435"/>
      <c r="H225" s="616"/>
    </row>
    <row r="226" spans="1:8" ht="13.5" customHeight="1">
      <c r="A226" s="2015" t="str">
        <f>+A221</f>
        <v>SUB-TOTAL</v>
      </c>
      <c r="B226" s="1601"/>
      <c r="C226" s="1601"/>
      <c r="D226" s="1601"/>
      <c r="E226" s="1601"/>
      <c r="F226" s="1801"/>
      <c r="G226" s="769">
        <f>SUM(F224:F225)</f>
        <v>18202.84375</v>
      </c>
      <c r="H226" s="616"/>
    </row>
    <row r="227" spans="1:8" ht="11.25" customHeight="1">
      <c r="A227" s="618"/>
      <c r="B227" s="618"/>
      <c r="C227" s="618"/>
      <c r="D227" s="618"/>
      <c r="E227" s="618"/>
      <c r="F227" s="748"/>
      <c r="G227" s="618"/>
      <c r="H227" s="616"/>
    </row>
    <row r="228" spans="1:8" ht="13.5" customHeight="1">
      <c r="A228" s="2015" t="s">
        <v>1567</v>
      </c>
      <c r="B228" s="1601"/>
      <c r="C228" s="1601"/>
      <c r="D228" s="1601"/>
      <c r="E228" s="1601"/>
      <c r="F228" s="1801"/>
      <c r="G228" s="1029">
        <f>ROUND(G209+G216+G221+G226,0)</f>
        <v>70532</v>
      </c>
      <c r="H228" s="616"/>
    </row>
    <row r="229" spans="1:8" ht="13.5" customHeight="1">
      <c r="A229" s="616"/>
      <c r="B229" s="616"/>
      <c r="C229" s="616"/>
      <c r="D229" s="616"/>
      <c r="E229" s="616"/>
      <c r="F229" s="616"/>
      <c r="G229" s="616"/>
      <c r="H229" s="616"/>
    </row>
    <row r="230" spans="1:8" ht="13.5" customHeight="1">
      <c r="A230" s="616"/>
      <c r="B230" s="616"/>
      <c r="C230" s="616"/>
      <c r="D230" s="616"/>
      <c r="E230" s="616"/>
      <c r="F230" s="616"/>
      <c r="G230" s="616"/>
      <c r="H230" s="686"/>
    </row>
    <row r="231" spans="1:8" ht="27" customHeight="1">
      <c r="A231" s="1989" t="e">
        <f>+'ANALISIS BASICOS'!$A$7</f>
        <v>#REF!</v>
      </c>
      <c r="B231" s="1616"/>
      <c r="C231" s="1624"/>
      <c r="D231" s="1990" t="s">
        <v>1195</v>
      </c>
      <c r="E231" s="1616"/>
      <c r="F231" s="1616"/>
      <c r="G231" s="1624"/>
      <c r="H231" s="686"/>
    </row>
    <row r="232" spans="1:8" ht="24" customHeight="1">
      <c r="A232" s="1971"/>
      <c r="B232" s="1817"/>
      <c r="C232" s="1972"/>
      <c r="D232" s="1971"/>
      <c r="E232" s="1817"/>
      <c r="F232" s="1817"/>
      <c r="G232" s="1972"/>
      <c r="H232" s="686"/>
    </row>
    <row r="233" spans="1:8" ht="13.5" customHeight="1">
      <c r="A233" s="618"/>
      <c r="B233" s="618"/>
      <c r="C233" s="618"/>
      <c r="D233" s="618"/>
      <c r="E233" s="618"/>
      <c r="F233" s="618"/>
      <c r="G233" s="618"/>
      <c r="H233" s="686"/>
    </row>
    <row r="234" spans="1:8" ht="45" customHeight="1">
      <c r="A234" s="1991" t="e">
        <f ca="1">A10</f>
        <v>#NAME?</v>
      </c>
      <c r="B234" s="1601"/>
      <c r="C234" s="1602"/>
      <c r="D234" s="2062" t="e">
        <f>#REF!</f>
        <v>#REF!</v>
      </c>
      <c r="E234" s="1601"/>
      <c r="F234" s="1601"/>
      <c r="G234" s="1602"/>
      <c r="H234" s="686"/>
    </row>
    <row r="235" spans="1:8" ht="15" customHeight="1">
      <c r="A235" s="620"/>
      <c r="B235" s="620"/>
      <c r="C235" s="620"/>
      <c r="D235" s="620"/>
      <c r="E235" s="620"/>
      <c r="F235" s="620"/>
      <c r="G235" s="620"/>
      <c r="H235" s="686"/>
    </row>
    <row r="236" spans="1:8" ht="15" customHeight="1">
      <c r="A236" s="572"/>
      <c r="B236" s="618"/>
      <c r="C236" s="616"/>
      <c r="D236" s="421" t="s">
        <v>1553</v>
      </c>
      <c r="E236" s="422" t="e">
        <f>#REF!</f>
        <v>#REF!</v>
      </c>
      <c r="F236" s="421" t="s">
        <v>1554</v>
      </c>
      <c r="G236" s="461" t="e">
        <f>#REF!</f>
        <v>#REF!</v>
      </c>
      <c r="H236" s="1054" t="e">
        <f>#REF!</f>
        <v>#REF!</v>
      </c>
    </row>
    <row r="237" spans="1:8" ht="15" customHeight="1">
      <c r="A237" s="621" t="s">
        <v>1555</v>
      </c>
      <c r="B237" s="618"/>
      <c r="C237" s="618"/>
      <c r="D237" s="618"/>
      <c r="E237" s="618"/>
      <c r="F237" s="618"/>
      <c r="G237" s="618"/>
      <c r="H237" s="686"/>
    </row>
    <row r="238" spans="1:8" ht="15" customHeight="1">
      <c r="A238" s="1975" t="s">
        <v>1556</v>
      </c>
      <c r="B238" s="1601"/>
      <c r="C238" s="1801"/>
      <c r="D238" s="424" t="s">
        <v>208</v>
      </c>
      <c r="E238" s="424" t="s">
        <v>1558</v>
      </c>
      <c r="F238" s="424" t="s">
        <v>1559</v>
      </c>
      <c r="G238" s="425"/>
      <c r="H238" s="686"/>
    </row>
    <row r="239" spans="1:8" ht="15" customHeight="1">
      <c r="A239" s="1987" t="e">
        <f>#REF!</f>
        <v>#REF!</v>
      </c>
      <c r="B239" s="1811"/>
      <c r="C239" s="1967"/>
      <c r="D239" s="675" t="e">
        <f>#REF!</f>
        <v>#REF!</v>
      </c>
      <c r="E239" s="687">
        <v>0.2</v>
      </c>
      <c r="F239" s="675" t="e">
        <f>D239/E239</f>
        <v>#REF!</v>
      </c>
      <c r="G239" s="688"/>
      <c r="H239" s="686"/>
    </row>
    <row r="240" spans="1:8" ht="15" customHeight="1">
      <c r="A240" s="1995" t="e">
        <f>#REF!</f>
        <v>#REF!</v>
      </c>
      <c r="B240" s="1610"/>
      <c r="C240" s="1611"/>
      <c r="D240" s="464" t="e">
        <f>#REF!</f>
        <v>#REF!</v>
      </c>
      <c r="E240" s="706">
        <v>0.5</v>
      </c>
      <c r="F240" s="675" t="e">
        <f>D240/E240</f>
        <v>#REF!</v>
      </c>
      <c r="G240" s="751"/>
      <c r="H240" s="1055"/>
    </row>
    <row r="241" spans="1:8" ht="15" customHeight="1">
      <c r="A241" s="1995" t="e">
        <f>#REF!</f>
        <v>#REF!</v>
      </c>
      <c r="B241" s="1610"/>
      <c r="C241" s="1611"/>
      <c r="D241" s="464" t="e">
        <f>#REF!</f>
        <v>#REF!</v>
      </c>
      <c r="E241" s="706">
        <v>0.8</v>
      </c>
      <c r="F241" s="675" t="e">
        <f t="shared" ref="F241:F242" si="18">D241/E241</f>
        <v>#REF!</v>
      </c>
      <c r="G241" s="751"/>
      <c r="H241" s="686"/>
    </row>
    <row r="242" spans="1:8" ht="15" customHeight="1">
      <c r="A242" s="1995" t="e">
        <f>#REF!</f>
        <v>#REF!</v>
      </c>
      <c r="B242" s="1610"/>
      <c r="C242" s="1611"/>
      <c r="D242" s="464" t="e">
        <f>#REF!</f>
        <v>#REF!</v>
      </c>
      <c r="E242" s="706">
        <v>0.8</v>
      </c>
      <c r="F242" s="675" t="e">
        <f t="shared" si="18"/>
        <v>#REF!</v>
      </c>
      <c r="G242" s="751"/>
      <c r="H242" s="686"/>
    </row>
    <row r="243" spans="1:8" ht="15" customHeight="1">
      <c r="A243" s="2015" t="s">
        <v>1560</v>
      </c>
      <c r="B243" s="1601"/>
      <c r="C243" s="1601"/>
      <c r="D243" s="1601"/>
      <c r="E243" s="1601"/>
      <c r="F243" s="1801"/>
      <c r="G243" s="769" t="e">
        <f>SUM(F239:F242)</f>
        <v>#REF!</v>
      </c>
      <c r="H243" s="1055" t="e">
        <f>G243*H236</f>
        <v>#REF!</v>
      </c>
    </row>
    <row r="244" spans="1:8" ht="15" customHeight="1">
      <c r="A244" s="621" t="s">
        <v>1561</v>
      </c>
      <c r="B244" s="618"/>
      <c r="C244" s="618"/>
      <c r="D244" s="618"/>
      <c r="E244" s="618"/>
      <c r="F244" s="618"/>
      <c r="G244" s="618"/>
      <c r="H244" s="686"/>
    </row>
    <row r="245" spans="1:8" ht="15" customHeight="1">
      <c r="A245" s="1975" t="s">
        <v>1556</v>
      </c>
      <c r="B245" s="1801"/>
      <c r="C245" s="424" t="s">
        <v>6</v>
      </c>
      <c r="D245" s="424" t="s">
        <v>1562</v>
      </c>
      <c r="E245" s="424" t="s">
        <v>7</v>
      </c>
      <c r="F245" s="424" t="s">
        <v>1559</v>
      </c>
      <c r="G245" s="425"/>
      <c r="H245" s="686"/>
    </row>
    <row r="246" spans="1:8" ht="24" customHeight="1">
      <c r="A246" s="1987" t="e">
        <f>#REF!</f>
        <v>#REF!</v>
      </c>
      <c r="B246" s="1967"/>
      <c r="C246" s="674" t="e">
        <f>#REF!</f>
        <v>#REF!</v>
      </c>
      <c r="D246" s="675" t="e">
        <f>#REF!</f>
        <v>#REF!</v>
      </c>
      <c r="E246" s="687">
        <v>9</v>
      </c>
      <c r="F246" s="675" t="e">
        <f t="shared" ref="F246:F250" si="19">+E246*D246</f>
        <v>#REF!</v>
      </c>
      <c r="G246" s="688"/>
      <c r="H246" s="686"/>
    </row>
    <row r="247" spans="1:8" ht="15" customHeight="1">
      <c r="A247" s="1987" t="e">
        <f>#REF!</f>
        <v>#REF!</v>
      </c>
      <c r="B247" s="1967"/>
      <c r="C247" s="674" t="e">
        <f>#REF!</f>
        <v>#REF!</v>
      </c>
      <c r="D247" s="675" t="e">
        <f>#REF!</f>
        <v>#REF!</v>
      </c>
      <c r="E247" s="706">
        <v>0.67</v>
      </c>
      <c r="F247" s="675" t="e">
        <f t="shared" si="19"/>
        <v>#REF!</v>
      </c>
      <c r="G247" s="751"/>
      <c r="H247" s="686"/>
    </row>
    <row r="248" spans="1:8" ht="15" customHeight="1">
      <c r="A248" s="1987" t="e">
        <f>#REF!</f>
        <v>#REF!</v>
      </c>
      <c r="B248" s="1967"/>
      <c r="C248" s="674" t="e">
        <f>#REF!</f>
        <v>#REF!</v>
      </c>
      <c r="D248" s="675" t="e">
        <f>#REF!</f>
        <v>#REF!</v>
      </c>
      <c r="E248" s="706">
        <v>0.67</v>
      </c>
      <c r="F248" s="675" t="e">
        <f t="shared" si="19"/>
        <v>#REF!</v>
      </c>
      <c r="G248" s="751"/>
      <c r="H248" s="686"/>
    </row>
    <row r="249" spans="1:8" ht="15" customHeight="1">
      <c r="A249" s="1987" t="e">
        <f>#REF!</f>
        <v>#REF!</v>
      </c>
      <c r="B249" s="1967"/>
      <c r="C249" s="674" t="e">
        <f>#REF!</f>
        <v>#REF!</v>
      </c>
      <c r="D249" s="675" t="e">
        <f>#REF!</f>
        <v>#REF!</v>
      </c>
      <c r="E249" s="708">
        <v>190</v>
      </c>
      <c r="F249" s="675" t="e">
        <f t="shared" si="19"/>
        <v>#REF!</v>
      </c>
      <c r="G249" s="435"/>
      <c r="H249" s="686"/>
    </row>
    <row r="250" spans="1:8" ht="15" customHeight="1">
      <c r="A250" s="1987" t="e">
        <f>#REF!</f>
        <v>#REF!</v>
      </c>
      <c r="B250" s="1967"/>
      <c r="C250" s="674" t="e">
        <f>#REF!</f>
        <v>#REF!</v>
      </c>
      <c r="D250" s="675" t="e">
        <f>#REF!</f>
        <v>#REF!</v>
      </c>
      <c r="E250" s="706">
        <v>0.2</v>
      </c>
      <c r="F250" s="675" t="e">
        <f t="shared" si="19"/>
        <v>#REF!</v>
      </c>
      <c r="G250" s="751"/>
      <c r="H250" s="686"/>
    </row>
    <row r="251" spans="1:8" ht="15" customHeight="1">
      <c r="A251" s="2015" t="s">
        <v>1560</v>
      </c>
      <c r="B251" s="1601"/>
      <c r="C251" s="1601"/>
      <c r="D251" s="1601"/>
      <c r="E251" s="1601"/>
      <c r="F251" s="1801"/>
      <c r="G251" s="769" t="e">
        <f>SUM(F246:F250)</f>
        <v>#REF!</v>
      </c>
      <c r="H251" s="1055" t="e">
        <f>G251*H236</f>
        <v>#REF!</v>
      </c>
    </row>
    <row r="252" spans="1:8" ht="15" customHeight="1">
      <c r="A252" s="621" t="s">
        <v>1563</v>
      </c>
      <c r="B252" s="618"/>
      <c r="C252" s="618"/>
      <c r="D252" s="618"/>
      <c r="E252" s="618"/>
      <c r="F252" s="618"/>
      <c r="G252" s="618"/>
      <c r="H252" s="686"/>
    </row>
    <row r="253" spans="1:8" ht="15" customHeight="1">
      <c r="A253" s="1975" t="s">
        <v>1556</v>
      </c>
      <c r="B253" s="1801"/>
      <c r="C253" s="424" t="s">
        <v>6</v>
      </c>
      <c r="D253" s="424" t="s">
        <v>1562</v>
      </c>
      <c r="E253" s="424" t="s">
        <v>7</v>
      </c>
      <c r="F253" s="424" t="s">
        <v>1559</v>
      </c>
      <c r="G253" s="690"/>
      <c r="H253" s="686"/>
    </row>
    <row r="254" spans="1:8" ht="15" customHeight="1">
      <c r="A254" s="1987" t="str">
        <f>'LISTA TRANSPORTES'!$B$7</f>
        <v>VOLQUETA  M3/KM</v>
      </c>
      <c r="B254" s="1967"/>
      <c r="C254" s="744" t="str">
        <f>'LISTA TRANSPORTES'!C7</f>
        <v>M3</v>
      </c>
      <c r="D254" s="675">
        <f>'LISTA TRANSPORTES'!$E$7</f>
        <v>4500</v>
      </c>
      <c r="E254" s="1056">
        <v>1.1000000000000001</v>
      </c>
      <c r="F254" s="464">
        <f>D254*E254</f>
        <v>4950</v>
      </c>
      <c r="G254" s="688"/>
      <c r="H254" s="686"/>
    </row>
    <row r="255" spans="1:8" ht="15" customHeight="1">
      <c r="A255" s="1996"/>
      <c r="B255" s="1819"/>
      <c r="C255" s="744"/>
      <c r="D255" s="434"/>
      <c r="E255" s="746"/>
      <c r="F255" s="434"/>
      <c r="G255" s="768"/>
      <c r="H255" s="686"/>
    </row>
    <row r="256" spans="1:8" ht="15" customHeight="1">
      <c r="A256" s="2015" t="s">
        <v>1560</v>
      </c>
      <c r="B256" s="1601"/>
      <c r="C256" s="1601"/>
      <c r="D256" s="1601"/>
      <c r="E256" s="1601"/>
      <c r="F256" s="1801"/>
      <c r="G256" s="769">
        <f>F254</f>
        <v>4950</v>
      </c>
      <c r="H256" s="1055" t="e">
        <f>G256*H236</f>
        <v>#REF!</v>
      </c>
    </row>
    <row r="257" spans="1:8" ht="15" customHeight="1">
      <c r="A257" s="621" t="s">
        <v>1564</v>
      </c>
      <c r="B257" s="618"/>
      <c r="C257" s="618"/>
      <c r="D257" s="618"/>
      <c r="E257" s="618"/>
      <c r="F257" s="618"/>
      <c r="G257" s="618"/>
      <c r="H257" s="686"/>
    </row>
    <row r="258" spans="1:8" ht="15" customHeight="1">
      <c r="A258" s="1975" t="s">
        <v>1565</v>
      </c>
      <c r="B258" s="1801"/>
      <c r="C258" s="424" t="s">
        <v>1566</v>
      </c>
      <c r="D258" s="424" t="s">
        <v>7</v>
      </c>
      <c r="E258" s="424" t="s">
        <v>1558</v>
      </c>
      <c r="F258" s="424" t="s">
        <v>1559</v>
      </c>
      <c r="G258" s="693"/>
      <c r="H258" s="686"/>
    </row>
    <row r="259" spans="1:8" ht="15" customHeight="1">
      <c r="A259" s="2004" t="str">
        <f>+'MANO DE OBRA'!$A$64</f>
        <v>Oficial (Incl. Prestaciones)</v>
      </c>
      <c r="B259" s="1888"/>
      <c r="C259" s="679">
        <f>+'MANO DE OBRA'!$E$64</f>
        <v>15031.25</v>
      </c>
      <c r="D259" s="680">
        <v>1</v>
      </c>
      <c r="E259" s="680">
        <v>0.22</v>
      </c>
      <c r="F259" s="710">
        <f t="shared" ref="F259:F260" si="20">+(C259*D259)/E259</f>
        <v>68323.863636363632</v>
      </c>
      <c r="G259" s="688"/>
      <c r="H259" s="686"/>
    </row>
    <row r="260" spans="1:8" ht="15" customHeight="1">
      <c r="A260" s="1984" t="str">
        <f>+'MANO DE OBRA'!$A$65</f>
        <v>Ayudante (Incl. Prestaciones)</v>
      </c>
      <c r="B260" s="1819"/>
      <c r="C260" s="747">
        <f>+'MANO DE OBRA'!$E$65</f>
        <v>10972.8125</v>
      </c>
      <c r="D260" s="614">
        <v>10</v>
      </c>
      <c r="E260" s="614">
        <v>0.22</v>
      </c>
      <c r="F260" s="710">
        <f t="shared" si="20"/>
        <v>498764.20454545453</v>
      </c>
      <c r="G260" s="435"/>
      <c r="H260" s="686"/>
    </row>
    <row r="261" spans="1:8" ht="15" customHeight="1">
      <c r="A261" s="2015" t="s">
        <v>1629</v>
      </c>
      <c r="B261" s="1601"/>
      <c r="C261" s="1601"/>
      <c r="D261" s="1601"/>
      <c r="E261" s="1601"/>
      <c r="F261" s="1801"/>
      <c r="G261" s="769">
        <f>SUM(F259:F260)</f>
        <v>567088.06818181812</v>
      </c>
      <c r="H261" s="1055" t="e">
        <f>G261*H236</f>
        <v>#REF!</v>
      </c>
    </row>
    <row r="262" spans="1:8" ht="15" customHeight="1">
      <c r="A262" s="618"/>
      <c r="B262" s="618"/>
      <c r="C262" s="618"/>
      <c r="D262" s="618"/>
      <c r="E262" s="618"/>
      <c r="F262" s="748"/>
      <c r="G262" s="618"/>
      <c r="H262" s="686"/>
    </row>
    <row r="263" spans="1:8" ht="15" customHeight="1">
      <c r="A263" s="2015" t="s">
        <v>1567</v>
      </c>
      <c r="B263" s="1601"/>
      <c r="C263" s="1601"/>
      <c r="D263" s="1601"/>
      <c r="E263" s="1601"/>
      <c r="F263" s="1801"/>
      <c r="G263" s="1029" t="e">
        <f>ROUND(G243+G251+G256+G261,0)</f>
        <v>#REF!</v>
      </c>
      <c r="H263" s="686"/>
    </row>
    <row r="264" spans="1:8" ht="15" customHeight="1">
      <c r="A264" s="72" t="s">
        <v>271</v>
      </c>
      <c r="B264" s="363"/>
      <c r="C264" s="363"/>
      <c r="D264" s="1985" t="s">
        <v>272</v>
      </c>
      <c r="E264" s="1605"/>
      <c r="F264" s="363"/>
      <c r="G264" s="363"/>
      <c r="H264" s="686"/>
    </row>
    <row r="265" spans="1:8" ht="15" customHeight="1">
      <c r="A265" s="1986"/>
      <c r="B265" s="1605"/>
      <c r="C265" s="1605"/>
      <c r="D265" s="1605"/>
      <c r="H265" s="686"/>
    </row>
    <row r="266" spans="1:8" ht="15" customHeight="1">
      <c r="A266" s="123"/>
      <c r="B266" s="175"/>
      <c r="C266" s="123"/>
      <c r="D266" s="123"/>
      <c r="H266" s="686"/>
    </row>
    <row r="267" spans="1:8" ht="15" customHeight="1">
      <c r="H267" s="686"/>
    </row>
    <row r="268" spans="1:8" ht="15" customHeight="1">
      <c r="A268" s="1895" t="s">
        <v>273</v>
      </c>
      <c r="B268" s="1605"/>
      <c r="C268" s="1605"/>
      <c r="D268" s="1895" t="s">
        <v>274</v>
      </c>
      <c r="E268" s="1605"/>
      <c r="F268" s="1605"/>
      <c r="G268" s="1605"/>
      <c r="H268" s="686"/>
    </row>
    <row r="269" spans="1:8" ht="15" customHeight="1">
      <c r="A269" s="1890" t="s">
        <v>275</v>
      </c>
      <c r="B269" s="1605"/>
      <c r="C269" s="1605"/>
      <c r="D269" s="74" t="s">
        <v>276</v>
      </c>
      <c r="E269" s="74"/>
      <c r="F269" s="74"/>
      <c r="G269" s="74"/>
      <c r="H269" s="686"/>
    </row>
    <row r="270" spans="1:8" ht="13.5" customHeight="1">
      <c r="A270" s="616"/>
      <c r="B270" s="616"/>
      <c r="C270" s="616"/>
      <c r="D270" s="616"/>
      <c r="E270" s="616"/>
      <c r="F270" s="616"/>
      <c r="G270" s="616"/>
      <c r="H270" s="616"/>
    </row>
    <row r="271" spans="1:8" ht="27" customHeight="1">
      <c r="A271" s="2005" t="s">
        <v>1604</v>
      </c>
      <c r="B271" s="1616"/>
      <c r="C271" s="1624"/>
      <c r="D271" s="567"/>
      <c r="E271" s="567"/>
      <c r="F271" s="567"/>
      <c r="G271" s="668"/>
      <c r="H271" s="616"/>
    </row>
    <row r="272" spans="1:8" ht="24" customHeight="1">
      <c r="A272" s="2012"/>
      <c r="B272" s="1817"/>
      <c r="C272" s="1972"/>
      <c r="D272" s="669"/>
      <c r="E272" s="669"/>
      <c r="F272" s="669"/>
      <c r="G272" s="670"/>
      <c r="H272" s="616"/>
    </row>
    <row r="274" spans="1:7" ht="35.25" customHeight="1">
      <c r="A274" s="1991" t="e">
        <f ca="1">A10</f>
        <v>#NAME?</v>
      </c>
      <c r="B274" s="1601"/>
      <c r="C274" s="1602"/>
      <c r="D274" s="1974" t="s">
        <v>2423</v>
      </c>
      <c r="E274" s="1601"/>
      <c r="F274" s="1601"/>
      <c r="G274" s="1602"/>
    </row>
    <row r="275" spans="1:7" ht="13.5" customHeight="1">
      <c r="A275" s="620"/>
      <c r="B275" s="620"/>
      <c r="C275" s="620"/>
      <c r="D275" s="620"/>
      <c r="E275" s="620"/>
      <c r="F275" s="620"/>
      <c r="G275" s="620"/>
    </row>
    <row r="276" spans="1:7" ht="12.75" customHeight="1">
      <c r="A276" s="572"/>
      <c r="B276" s="618"/>
      <c r="C276" s="616"/>
      <c r="D276" s="421" t="s">
        <v>1553</v>
      </c>
      <c r="E276" s="422" t="s">
        <v>228</v>
      </c>
      <c r="F276" s="572"/>
      <c r="G276" s="572"/>
    </row>
    <row r="277" spans="1:7" ht="13.5" customHeight="1">
      <c r="A277" s="621" t="s">
        <v>1555</v>
      </c>
      <c r="B277" s="618"/>
      <c r="C277" s="618"/>
      <c r="D277" s="618"/>
      <c r="E277" s="618"/>
      <c r="F277" s="618"/>
      <c r="G277" s="618"/>
    </row>
    <row r="278" spans="1:7" ht="13.5" customHeight="1">
      <c r="A278" s="1975" t="s">
        <v>1556</v>
      </c>
      <c r="B278" s="1601"/>
      <c r="C278" s="1801"/>
      <c r="D278" s="424" t="s">
        <v>208</v>
      </c>
      <c r="E278" s="424" t="s">
        <v>1558</v>
      </c>
      <c r="F278" s="424" t="s">
        <v>1559</v>
      </c>
      <c r="G278" s="425"/>
    </row>
    <row r="279" spans="1:7" ht="13.5" customHeight="1">
      <c r="A279" s="1987" t="str">
        <f>+'LISTADO EQUIPOS'!$C$22</f>
        <v>HERRAMIENTA MENOR.</v>
      </c>
      <c r="B279" s="1811"/>
      <c r="C279" s="1967"/>
      <c r="D279" s="675">
        <f>+'LISTADO EQUIPOS'!$E$22/8</f>
        <v>2850</v>
      </c>
      <c r="E279" s="687">
        <f>+E296</f>
        <v>0.34</v>
      </c>
      <c r="F279" s="675">
        <f>+E279*D279</f>
        <v>969.00000000000011</v>
      </c>
      <c r="G279" s="688"/>
    </row>
    <row r="280" spans="1:7" ht="13.5" customHeight="1">
      <c r="A280" s="1995"/>
      <c r="B280" s="1610"/>
      <c r="C280" s="1611"/>
      <c r="D280" s="464"/>
      <c r="E280" s="706"/>
      <c r="F280" s="464"/>
      <c r="G280" s="751"/>
    </row>
    <row r="281" spans="1:7" ht="13.5" customHeight="1">
      <c r="A281" s="2015" t="s">
        <v>1560</v>
      </c>
      <c r="B281" s="1601"/>
      <c r="C281" s="1601"/>
      <c r="D281" s="1601"/>
      <c r="E281" s="1601"/>
      <c r="F281" s="1801"/>
      <c r="G281" s="769">
        <f>SUM(F279:F280)</f>
        <v>969.00000000000011</v>
      </c>
    </row>
    <row r="282" spans="1:7" ht="13.5" customHeight="1">
      <c r="A282" s="621" t="s">
        <v>1561</v>
      </c>
      <c r="B282" s="618"/>
      <c r="C282" s="618"/>
      <c r="D282" s="618"/>
      <c r="E282" s="618"/>
      <c r="F282" s="618"/>
      <c r="G282" s="618"/>
    </row>
    <row r="283" spans="1:7" ht="13.5" customHeight="1">
      <c r="A283" s="1975" t="s">
        <v>1556</v>
      </c>
      <c r="B283" s="1801"/>
      <c r="C283" s="424" t="s">
        <v>6</v>
      </c>
      <c r="D283" s="424" t="s">
        <v>1562</v>
      </c>
      <c r="E283" s="424" t="s">
        <v>7</v>
      </c>
      <c r="F283" s="424" t="s">
        <v>1559</v>
      </c>
      <c r="G283" s="425"/>
    </row>
    <row r="284" spans="1:7" ht="19.5" customHeight="1">
      <c r="A284" s="1987" t="str">
        <f>+'ANALISIS BASICOS'!$A$100</f>
        <v xml:space="preserve">CONCRETO NORMAL - 2500 PSI (175 KG/CM2)  </v>
      </c>
      <c r="B284" s="1967"/>
      <c r="C284" s="674" t="str">
        <f>+'ANALISIS BASICOS'!$E$76</f>
        <v>M3</v>
      </c>
      <c r="D284" s="675">
        <f>+'ANALISIS BASICOS'!$G$100</f>
        <v>483582</v>
      </c>
      <c r="E284" s="687">
        <v>0.08</v>
      </c>
      <c r="F284" s="675">
        <f>+E284*D284</f>
        <v>38686.559999999998</v>
      </c>
      <c r="G284" s="688"/>
    </row>
    <row r="285" spans="1:7" ht="13.5" customHeight="1">
      <c r="A285" s="1995"/>
      <c r="B285" s="1611"/>
      <c r="C285" s="444"/>
      <c r="D285" s="464"/>
      <c r="E285" s="706"/>
      <c r="F285" s="464"/>
      <c r="G285" s="751"/>
    </row>
    <row r="286" spans="1:7" ht="13.5" customHeight="1">
      <c r="A286" s="1995"/>
      <c r="B286" s="1611"/>
      <c r="C286" s="444"/>
      <c r="D286" s="464"/>
      <c r="E286" s="706"/>
      <c r="F286" s="464"/>
      <c r="G286" s="751"/>
    </row>
    <row r="287" spans="1:7" ht="13.5" customHeight="1">
      <c r="A287" s="1996"/>
      <c r="B287" s="1819"/>
      <c r="C287" s="708"/>
      <c r="D287" s="434"/>
      <c r="E287" s="708"/>
      <c r="F287" s="434"/>
      <c r="G287" s="435"/>
    </row>
    <row r="288" spans="1:7" ht="13.5" customHeight="1">
      <c r="A288" s="2015" t="s">
        <v>1560</v>
      </c>
      <c r="B288" s="1601"/>
      <c r="C288" s="1601"/>
      <c r="D288" s="1601"/>
      <c r="E288" s="1601"/>
      <c r="F288" s="1801"/>
      <c r="G288" s="769">
        <f>SUM(F284:F287)</f>
        <v>38686.559999999998</v>
      </c>
    </row>
    <row r="289" spans="1:7" ht="13.5" customHeight="1">
      <c r="A289" s="621" t="s">
        <v>1563</v>
      </c>
      <c r="B289" s="618"/>
      <c r="C289" s="618"/>
      <c r="D289" s="618"/>
      <c r="E289" s="618"/>
      <c r="F289" s="618"/>
      <c r="G289" s="618"/>
    </row>
    <row r="290" spans="1:7" ht="13.5" customHeight="1">
      <c r="A290" s="1975" t="s">
        <v>1556</v>
      </c>
      <c r="B290" s="1801"/>
      <c r="C290" s="424" t="s">
        <v>6</v>
      </c>
      <c r="D290" s="424" t="s">
        <v>1562</v>
      </c>
      <c r="E290" s="424" t="s">
        <v>7</v>
      </c>
      <c r="F290" s="424" t="s">
        <v>1559</v>
      </c>
      <c r="G290" s="690"/>
    </row>
    <row r="291" spans="1:7" ht="13.5" customHeight="1">
      <c r="A291" s="1987" t="str">
        <f>+'LISTADO EQUIPOS'!$C$125</f>
        <v>VOLQUETA (5-6)M3</v>
      </c>
      <c r="B291" s="1967"/>
      <c r="C291" s="744" t="str">
        <f>+'LISTADO EQUIPOS'!$D$125</f>
        <v>VJ</v>
      </c>
      <c r="D291" s="675">
        <f>+'LISTADO EQUIPOS'!$E$125</f>
        <v>90000</v>
      </c>
      <c r="E291" s="1053">
        <v>0</v>
      </c>
      <c r="F291" s="464">
        <f>D291*E291</f>
        <v>0</v>
      </c>
      <c r="G291" s="688"/>
    </row>
    <row r="292" spans="1:7" ht="13.5" customHeight="1">
      <c r="A292" s="1996"/>
      <c r="B292" s="1819"/>
      <c r="C292" s="744"/>
      <c r="D292" s="434"/>
      <c r="E292" s="746"/>
      <c r="F292" s="434"/>
      <c r="G292" s="768"/>
    </row>
    <row r="293" spans="1:7" ht="13.5" customHeight="1">
      <c r="A293" s="2015" t="s">
        <v>1560</v>
      </c>
      <c r="B293" s="1601"/>
      <c r="C293" s="1601"/>
      <c r="D293" s="1601"/>
      <c r="E293" s="1601"/>
      <c r="F293" s="1801"/>
      <c r="G293" s="769">
        <f>SUM(F292)</f>
        <v>0</v>
      </c>
    </row>
    <row r="294" spans="1:7" ht="13.5" customHeight="1">
      <c r="A294" s="621" t="s">
        <v>1564</v>
      </c>
      <c r="B294" s="618"/>
      <c r="C294" s="618"/>
      <c r="D294" s="618"/>
      <c r="E294" s="618"/>
      <c r="F294" s="618"/>
      <c r="G294" s="618"/>
    </row>
    <row r="295" spans="1:7" ht="13.5" customHeight="1">
      <c r="A295" s="1975" t="s">
        <v>1565</v>
      </c>
      <c r="B295" s="1801"/>
      <c r="C295" s="424" t="s">
        <v>1566</v>
      </c>
      <c r="D295" s="424" t="s">
        <v>6</v>
      </c>
      <c r="E295" s="424" t="s">
        <v>7</v>
      </c>
      <c r="F295" s="424" t="s">
        <v>1559</v>
      </c>
      <c r="G295" s="693"/>
    </row>
    <row r="296" spans="1:7" ht="13.5" customHeight="1">
      <c r="A296" s="2004" t="str">
        <f>+'MANO DE OBRA'!$A$64</f>
        <v>Oficial (Incl. Prestaciones)</v>
      </c>
      <c r="B296" s="1888"/>
      <c r="C296" s="679">
        <f>+'MANO DE OBRA'!$E$64</f>
        <v>15031.25</v>
      </c>
      <c r="D296" s="680">
        <v>1</v>
      </c>
      <c r="E296" s="680">
        <v>0.34</v>
      </c>
      <c r="F296" s="710">
        <f t="shared" ref="F296:F297" si="21">+(C296*D296)*E296</f>
        <v>5110.625</v>
      </c>
      <c r="G296" s="688"/>
    </row>
    <row r="297" spans="1:7" ht="13.5" customHeight="1">
      <c r="A297" s="1984" t="str">
        <f>+'MANO DE OBRA'!$A$65</f>
        <v>Ayudante (Incl. Prestaciones)</v>
      </c>
      <c r="B297" s="1819"/>
      <c r="C297" s="747">
        <f>+'MANO DE OBRA'!$E$65</f>
        <v>10972.8125</v>
      </c>
      <c r="D297" s="614">
        <v>1</v>
      </c>
      <c r="E297" s="614">
        <f>+E296</f>
        <v>0.34</v>
      </c>
      <c r="F297" s="753">
        <f t="shared" si="21"/>
        <v>3730.7562500000004</v>
      </c>
      <c r="G297" s="435"/>
    </row>
    <row r="298" spans="1:7" ht="13.5" customHeight="1">
      <c r="A298" s="2015" t="str">
        <f>+A293</f>
        <v>SUB-TOTAL</v>
      </c>
      <c r="B298" s="1601"/>
      <c r="C298" s="1601"/>
      <c r="D298" s="1601"/>
      <c r="E298" s="1601"/>
      <c r="F298" s="1801"/>
      <c r="G298" s="769">
        <f>SUM(F296:F297)</f>
        <v>8841.3812500000004</v>
      </c>
    </row>
    <row r="299" spans="1:7" ht="11.25" customHeight="1">
      <c r="A299" s="618"/>
      <c r="B299" s="618"/>
      <c r="C299" s="618"/>
      <c r="D299" s="618"/>
      <c r="E299" s="618"/>
      <c r="F299" s="748"/>
      <c r="G299" s="618"/>
    </row>
    <row r="300" spans="1:7" ht="13.5" customHeight="1">
      <c r="A300" s="2015" t="s">
        <v>1567</v>
      </c>
      <c r="B300" s="1601"/>
      <c r="C300" s="1601"/>
      <c r="D300" s="1601"/>
      <c r="E300" s="1601"/>
      <c r="F300" s="1801"/>
      <c r="G300" s="1029">
        <f>ROUND(G281+G288+G293+G298,0)</f>
        <v>48497</v>
      </c>
    </row>
    <row r="301" spans="1:7" ht="13.5" customHeight="1">
      <c r="A301" s="616"/>
      <c r="B301" s="616"/>
      <c r="C301" s="616"/>
      <c r="D301" s="616"/>
      <c r="E301" s="616"/>
      <c r="F301" s="616"/>
      <c r="G301" s="616"/>
    </row>
    <row r="302" spans="1:7" ht="13.5" customHeight="1">
      <c r="A302" s="616"/>
      <c r="B302" s="616"/>
      <c r="C302" s="616"/>
      <c r="D302" s="616"/>
      <c r="E302" s="616"/>
      <c r="F302" s="616"/>
      <c r="G302" s="616"/>
    </row>
    <row r="303" spans="1:7" ht="27" customHeight="1">
      <c r="A303" s="2005" t="s">
        <v>1604</v>
      </c>
      <c r="B303" s="1616"/>
      <c r="C303" s="1624"/>
      <c r="D303" s="567"/>
      <c r="E303" s="567"/>
      <c r="F303" s="567"/>
      <c r="G303" s="668"/>
    </row>
    <row r="304" spans="1:7" ht="24" customHeight="1">
      <c r="A304" s="2012" t="s">
        <v>2418</v>
      </c>
      <c r="B304" s="1817"/>
      <c r="C304" s="1972"/>
      <c r="D304" s="669"/>
      <c r="E304" s="669"/>
      <c r="F304" s="669"/>
      <c r="G304" s="670"/>
    </row>
    <row r="306" spans="1:7" ht="35.25" customHeight="1">
      <c r="A306" s="1991" t="e">
        <f ca="1">A10</f>
        <v>#NAME?</v>
      </c>
      <c r="B306" s="1601"/>
      <c r="C306" s="1602"/>
      <c r="D306" s="1974" t="s">
        <v>2424</v>
      </c>
      <c r="E306" s="1601"/>
      <c r="F306" s="1601"/>
      <c r="G306" s="1602"/>
    </row>
    <row r="307" spans="1:7" ht="13.5" customHeight="1">
      <c r="A307" s="620"/>
      <c r="B307" s="620"/>
      <c r="C307" s="620"/>
      <c r="D307" s="620"/>
      <c r="E307" s="620"/>
      <c r="F307" s="620"/>
      <c r="G307" s="620"/>
    </row>
    <row r="308" spans="1:7" ht="12.75" customHeight="1">
      <c r="A308" s="572"/>
      <c r="B308" s="618"/>
      <c r="C308" s="616"/>
      <c r="D308" s="421" t="s">
        <v>1553</v>
      </c>
      <c r="E308" s="422" t="s">
        <v>120</v>
      </c>
      <c r="F308" s="572"/>
      <c r="G308" s="572"/>
    </row>
    <row r="309" spans="1:7" ht="13.5" customHeight="1">
      <c r="A309" s="621" t="s">
        <v>1555</v>
      </c>
      <c r="B309" s="618"/>
      <c r="C309" s="618"/>
      <c r="D309" s="618"/>
      <c r="E309" s="618"/>
      <c r="F309" s="618"/>
      <c r="G309" s="618"/>
    </row>
    <row r="310" spans="1:7" ht="13.5" customHeight="1">
      <c r="A310" s="1975" t="s">
        <v>1556</v>
      </c>
      <c r="B310" s="1601"/>
      <c r="C310" s="1801"/>
      <c r="D310" s="424" t="s">
        <v>208</v>
      </c>
      <c r="E310" s="424" t="s">
        <v>1558</v>
      </c>
      <c r="F310" s="424" t="s">
        <v>1559</v>
      </c>
      <c r="G310" s="425"/>
    </row>
    <row r="311" spans="1:7" ht="13.5" customHeight="1">
      <c r="A311" s="1987" t="str">
        <f>+'LISTADO EQUIPOS'!$C$22</f>
        <v>HERRAMIENTA MENOR.</v>
      </c>
      <c r="B311" s="1811"/>
      <c r="C311" s="1967"/>
      <c r="D311" s="675">
        <f>+'LISTADO EQUIPOS'!$E$22/8</f>
        <v>2850</v>
      </c>
      <c r="E311" s="687">
        <f>+E332</f>
        <v>3.2</v>
      </c>
      <c r="F311" s="675">
        <f t="shared" ref="F311:F312" si="22">+E311*D311</f>
        <v>9120</v>
      </c>
      <c r="G311" s="688"/>
    </row>
    <row r="312" spans="1:7" ht="13.5" customHeight="1">
      <c r="A312" s="1995" t="str">
        <f>+'LISTADO EQUIPOS'!$C$30</f>
        <v>PULIDORA</v>
      </c>
      <c r="B312" s="1610"/>
      <c r="C312" s="1611"/>
      <c r="D312" s="464">
        <f>+'LISTADO EQUIPOS'!$E$30</f>
        <v>5250</v>
      </c>
      <c r="E312" s="706">
        <v>2.5000000000000001E-2</v>
      </c>
      <c r="F312" s="464">
        <f t="shared" si="22"/>
        <v>131.25</v>
      </c>
      <c r="G312" s="751"/>
    </row>
    <row r="313" spans="1:7" ht="13.5" customHeight="1">
      <c r="A313" s="1996"/>
      <c r="B313" s="1807"/>
      <c r="C313" s="1819"/>
      <c r="D313" s="434"/>
      <c r="E313" s="433"/>
      <c r="F313" s="434"/>
      <c r="G313" s="435"/>
    </row>
    <row r="314" spans="1:7" ht="13.5" customHeight="1">
      <c r="A314" s="2015" t="s">
        <v>1560</v>
      </c>
      <c r="B314" s="1601"/>
      <c r="C314" s="1601"/>
      <c r="D314" s="1601"/>
      <c r="E314" s="1601"/>
      <c r="F314" s="1801"/>
      <c r="G314" s="769">
        <f>SUM(F311:F313)</f>
        <v>9251.25</v>
      </c>
    </row>
    <row r="315" spans="1:7" ht="13.5" customHeight="1">
      <c r="A315" s="621" t="s">
        <v>1561</v>
      </c>
      <c r="B315" s="618"/>
      <c r="C315" s="618"/>
      <c r="D315" s="618"/>
      <c r="E315" s="618"/>
      <c r="F315" s="618"/>
      <c r="G315" s="618"/>
    </row>
    <row r="316" spans="1:7" ht="13.5" customHeight="1">
      <c r="A316" s="1975" t="s">
        <v>1556</v>
      </c>
      <c r="B316" s="1801"/>
      <c r="C316" s="424" t="s">
        <v>6</v>
      </c>
      <c r="D316" s="424" t="s">
        <v>1562</v>
      </c>
      <c r="E316" s="424" t="s">
        <v>7</v>
      </c>
      <c r="F316" s="424" t="s">
        <v>1559</v>
      </c>
      <c r="G316" s="425"/>
    </row>
    <row r="317" spans="1:7" ht="13.5" customHeight="1">
      <c r="A317" s="1995" t="str">
        <f>+'ANALISIS BASICOS'!$A$228</f>
        <v>MORTERO 1:4</v>
      </c>
      <c r="B317" s="1611"/>
      <c r="C317" s="444" t="str">
        <f>+'ANALISIS BASICOS'!$E$204</f>
        <v>M3</v>
      </c>
      <c r="D317" s="464">
        <f>+'ANALISIS BASICOS'!$G$228</f>
        <v>384656</v>
      </c>
      <c r="E317" s="706">
        <v>0.03</v>
      </c>
      <c r="F317" s="464">
        <f t="shared" ref="F317:F322" si="23">+E317*D317</f>
        <v>11539.68</v>
      </c>
      <c r="G317" s="751"/>
    </row>
    <row r="318" spans="1:7" ht="13.5" customHeight="1">
      <c r="A318" s="1995" t="str">
        <f>+'LISTADO MATERIALES'!$C$131</f>
        <v>ALFACOLOR</v>
      </c>
      <c r="B318" s="1611"/>
      <c r="C318" s="444" t="str">
        <f>+'LISTADO MATERIALES'!$D$131</f>
        <v>KG</v>
      </c>
      <c r="D318" s="464">
        <f>+'LISTADO MATERIALES'!$E$131</f>
        <v>5355</v>
      </c>
      <c r="E318" s="706">
        <v>0.3</v>
      </c>
      <c r="F318" s="464">
        <f t="shared" si="23"/>
        <v>1606.5</v>
      </c>
      <c r="G318" s="751"/>
    </row>
    <row r="319" spans="1:7" ht="13.5" customHeight="1">
      <c r="A319" s="1995" t="str">
        <f>+'LISTADO MATERIALES'!$C$754</f>
        <v>PIRLAN DE ALUMINIO</v>
      </c>
      <c r="B319" s="1611"/>
      <c r="C319" s="444" t="str">
        <f>+'LISTADO MATERIALES'!$D$754</f>
        <v>ML</v>
      </c>
      <c r="D319" s="464">
        <f>+'LISTADO MATERIALES'!$E$754</f>
        <v>8400</v>
      </c>
      <c r="E319" s="706">
        <v>3.5</v>
      </c>
      <c r="F319" s="464">
        <f t="shared" si="23"/>
        <v>29400</v>
      </c>
      <c r="G319" s="751"/>
    </row>
    <row r="320" spans="1:7" ht="13.5" customHeight="1">
      <c r="A320" s="1995" t="str">
        <f>+'LISTADO MATERIALES'!$C$140</f>
        <v>CEMENTO BLANCO</v>
      </c>
      <c r="B320" s="1611"/>
      <c r="C320" s="444" t="str">
        <f>+'LISTADO MATERIALES'!$D$140</f>
        <v>KG</v>
      </c>
      <c r="D320" s="464">
        <f>+'LISTADO MATERIALES'!$E$140</f>
        <v>1103</v>
      </c>
      <c r="E320" s="706">
        <v>25</v>
      </c>
      <c r="F320" s="464">
        <f t="shared" si="23"/>
        <v>27575</v>
      </c>
      <c r="G320" s="751"/>
    </row>
    <row r="321" spans="1:7" ht="13.5" customHeight="1">
      <c r="A321" s="1995" t="str">
        <f>+'LISTADO MATERIALES'!$C$154</f>
        <v>GRANITO # 3</v>
      </c>
      <c r="B321" s="1611"/>
      <c r="C321" s="444" t="str">
        <f>+'LISTADO MATERIALES'!$D$154</f>
        <v>BTO</v>
      </c>
      <c r="D321" s="464">
        <f>+'LISTADO MATERIALES'!$E$154</f>
        <v>14616</v>
      </c>
      <c r="E321" s="706">
        <v>1</v>
      </c>
      <c r="F321" s="464">
        <f t="shared" si="23"/>
        <v>14616</v>
      </c>
      <c r="G321" s="751"/>
    </row>
    <row r="322" spans="1:7" ht="13.5" customHeight="1">
      <c r="A322" s="1995" t="str">
        <f>+'LISTADO MATERIALES'!$C$161</f>
        <v>MARMOLINA</v>
      </c>
      <c r="B322" s="1611"/>
      <c r="C322" s="444" t="str">
        <f>+'LISTADO MATERIALES'!$D$161</f>
        <v>KG</v>
      </c>
      <c r="D322" s="464">
        <f>+'LISTADO MATERIALES'!$E$161</f>
        <v>683</v>
      </c>
      <c r="E322" s="706">
        <v>0.6</v>
      </c>
      <c r="F322" s="464">
        <f t="shared" si="23"/>
        <v>409.8</v>
      </c>
      <c r="G322" s="751"/>
    </row>
    <row r="323" spans="1:7" ht="13.5" customHeight="1">
      <c r="A323" s="1996"/>
      <c r="B323" s="1819"/>
      <c r="C323" s="708"/>
      <c r="D323" s="434"/>
      <c r="E323" s="708"/>
      <c r="F323" s="434"/>
      <c r="G323" s="435"/>
    </row>
    <row r="324" spans="1:7" ht="13.5" customHeight="1">
      <c r="A324" s="2015" t="s">
        <v>1560</v>
      </c>
      <c r="B324" s="1601"/>
      <c r="C324" s="1601"/>
      <c r="D324" s="1601"/>
      <c r="E324" s="1601"/>
      <c r="F324" s="1801"/>
      <c r="G324" s="769">
        <f>SUM(F317:F323)</f>
        <v>85146.98</v>
      </c>
    </row>
    <row r="325" spans="1:7" ht="13.5" customHeight="1">
      <c r="A325" s="621" t="s">
        <v>1563</v>
      </c>
      <c r="B325" s="618"/>
      <c r="C325" s="618"/>
      <c r="D325" s="618"/>
      <c r="E325" s="618"/>
      <c r="F325" s="618"/>
      <c r="G325" s="618"/>
    </row>
    <row r="326" spans="1:7" ht="13.5" customHeight="1">
      <c r="A326" s="1975" t="s">
        <v>1556</v>
      </c>
      <c r="B326" s="1801"/>
      <c r="C326" s="424" t="s">
        <v>6</v>
      </c>
      <c r="D326" s="424" t="s">
        <v>1562</v>
      </c>
      <c r="E326" s="424" t="s">
        <v>7</v>
      </c>
      <c r="F326" s="424" t="s">
        <v>1559</v>
      </c>
      <c r="G326" s="690"/>
    </row>
    <row r="327" spans="1:7" ht="13.5" customHeight="1">
      <c r="A327" s="1987" t="str">
        <f>+'LISTADO EQUIPOS'!$C$125</f>
        <v>VOLQUETA (5-6)M3</v>
      </c>
      <c r="B327" s="1967"/>
      <c r="C327" s="744" t="str">
        <f>+'LISTADO EQUIPOS'!$D$125</f>
        <v>VJ</v>
      </c>
      <c r="D327" s="675">
        <f>+'LISTADO EQUIPOS'!$E$125</f>
        <v>90000</v>
      </c>
      <c r="E327" s="1053">
        <v>0</v>
      </c>
      <c r="F327" s="464">
        <f t="shared" ref="F327:F328" si="24">D327*E327</f>
        <v>0</v>
      </c>
      <c r="G327" s="688"/>
    </row>
    <row r="328" spans="1:7" ht="13.5" customHeight="1">
      <c r="A328" s="1996"/>
      <c r="B328" s="1819"/>
      <c r="C328" s="744"/>
      <c r="D328" s="434"/>
      <c r="E328" s="746"/>
      <c r="F328" s="434">
        <f t="shared" si="24"/>
        <v>0</v>
      </c>
      <c r="G328" s="768"/>
    </row>
    <row r="329" spans="1:7" ht="13.5" customHeight="1">
      <c r="A329" s="2015" t="s">
        <v>1560</v>
      </c>
      <c r="B329" s="1601"/>
      <c r="C329" s="1601"/>
      <c r="D329" s="1601"/>
      <c r="E329" s="1601"/>
      <c r="F329" s="1801"/>
      <c r="G329" s="769">
        <f>SUM(F328)</f>
        <v>0</v>
      </c>
    </row>
    <row r="330" spans="1:7" ht="13.5" customHeight="1">
      <c r="A330" s="621" t="s">
        <v>1564</v>
      </c>
      <c r="B330" s="618"/>
      <c r="C330" s="618"/>
      <c r="D330" s="618"/>
      <c r="E330" s="618"/>
      <c r="F330" s="618"/>
      <c r="G330" s="618"/>
    </row>
    <row r="331" spans="1:7" ht="13.5" customHeight="1">
      <c r="A331" s="1975" t="s">
        <v>1565</v>
      </c>
      <c r="B331" s="1801"/>
      <c r="C331" s="424" t="s">
        <v>1566</v>
      </c>
      <c r="D331" s="424" t="s">
        <v>6</v>
      </c>
      <c r="E331" s="424" t="s">
        <v>7</v>
      </c>
      <c r="F331" s="424" t="s">
        <v>1559</v>
      </c>
      <c r="G331" s="693"/>
    </row>
    <row r="332" spans="1:7" ht="13.5" customHeight="1">
      <c r="A332" s="2004" t="str">
        <f>+'MANO DE OBRA'!$A$64</f>
        <v>Oficial (Incl. Prestaciones)</v>
      </c>
      <c r="B332" s="1888"/>
      <c r="C332" s="679">
        <f>+'MANO DE OBRA'!$E$64</f>
        <v>15031.25</v>
      </c>
      <c r="D332" s="680">
        <v>1</v>
      </c>
      <c r="E332" s="680">
        <v>3.2</v>
      </c>
      <c r="F332" s="710">
        <f t="shared" ref="F332:F333" si="25">+(C332*D332)*E332</f>
        <v>48100</v>
      </c>
      <c r="G332" s="688"/>
    </row>
    <row r="333" spans="1:7" ht="13.5" customHeight="1">
      <c r="A333" s="1984" t="str">
        <f>+'MANO DE OBRA'!$A$65</f>
        <v>Ayudante (Incl. Prestaciones)</v>
      </c>
      <c r="B333" s="1819"/>
      <c r="C333" s="747">
        <f>+'MANO DE OBRA'!$E$65</f>
        <v>10972.8125</v>
      </c>
      <c r="D333" s="614">
        <v>1</v>
      </c>
      <c r="E333" s="614">
        <f>+E332</f>
        <v>3.2</v>
      </c>
      <c r="F333" s="753">
        <f t="shared" si="25"/>
        <v>35113</v>
      </c>
      <c r="G333" s="435"/>
    </row>
    <row r="334" spans="1:7" ht="13.5" customHeight="1">
      <c r="A334" s="2015" t="str">
        <f>+A329</f>
        <v>SUB-TOTAL</v>
      </c>
      <c r="B334" s="1601"/>
      <c r="C334" s="1601"/>
      <c r="D334" s="1601"/>
      <c r="E334" s="1601"/>
      <c r="F334" s="1801"/>
      <c r="G334" s="769">
        <f>SUM(F332:F333)</f>
        <v>83213</v>
      </c>
    </row>
    <row r="335" spans="1:7" ht="11.25" customHeight="1">
      <c r="A335" s="618"/>
      <c r="B335" s="618"/>
      <c r="C335" s="618"/>
      <c r="D335" s="618"/>
      <c r="E335" s="618"/>
      <c r="F335" s="748"/>
      <c r="G335" s="618"/>
    </row>
    <row r="336" spans="1:7" ht="13.5" customHeight="1">
      <c r="A336" s="2015" t="s">
        <v>1567</v>
      </c>
      <c r="B336" s="1601"/>
      <c r="C336" s="1601"/>
      <c r="D336" s="1601"/>
      <c r="E336" s="1601"/>
      <c r="F336" s="1801"/>
      <c r="G336" s="1029">
        <f>ROUND(G314+G324+G329+G334,0)</f>
        <v>177611</v>
      </c>
    </row>
    <row r="339" spans="1:7" ht="27" customHeight="1">
      <c r="A339" s="2005" t="s">
        <v>1604</v>
      </c>
      <c r="B339" s="1616"/>
      <c r="C339" s="1624"/>
      <c r="D339" s="567"/>
      <c r="E339" s="567"/>
      <c r="F339" s="567"/>
      <c r="G339" s="668"/>
    </row>
    <row r="340" spans="1:7" ht="24" customHeight="1">
      <c r="A340" s="2012" t="s">
        <v>2418</v>
      </c>
      <c r="B340" s="1817"/>
      <c r="C340" s="1972"/>
      <c r="D340" s="669"/>
      <c r="E340" s="669"/>
      <c r="F340" s="669"/>
      <c r="G340" s="670"/>
    </row>
    <row r="341" spans="1:7" ht="13.5" customHeight="1">
      <c r="A341" s="618"/>
      <c r="B341" s="618"/>
      <c r="C341" s="618"/>
      <c r="D341" s="618"/>
      <c r="E341" s="618"/>
      <c r="F341" s="618"/>
      <c r="G341" s="618"/>
    </row>
    <row r="342" spans="1:7" ht="35.25" customHeight="1">
      <c r="A342" s="1991" t="e">
        <f ca="1">A10</f>
        <v>#NAME?</v>
      </c>
      <c r="B342" s="1601"/>
      <c r="C342" s="1602"/>
      <c r="D342" s="1974" t="s">
        <v>2425</v>
      </c>
      <c r="E342" s="1601"/>
      <c r="F342" s="1601"/>
      <c r="G342" s="1602"/>
    </row>
    <row r="343" spans="1:7" ht="13.5" customHeight="1">
      <c r="A343" s="620"/>
      <c r="B343" s="620"/>
      <c r="C343" s="620"/>
      <c r="D343" s="620"/>
      <c r="E343" s="620"/>
      <c r="F343" s="620"/>
      <c r="G343" s="620"/>
    </row>
    <row r="344" spans="1:7" ht="12.75" customHeight="1">
      <c r="A344" s="572"/>
      <c r="B344" s="618"/>
      <c r="C344" s="616"/>
      <c r="D344" s="421" t="s">
        <v>1553</v>
      </c>
      <c r="E344" s="422" t="s">
        <v>228</v>
      </c>
      <c r="F344" s="572"/>
      <c r="G344" s="572"/>
    </row>
    <row r="345" spans="1:7" ht="13.5" customHeight="1">
      <c r="A345" s="621" t="s">
        <v>1555</v>
      </c>
      <c r="B345" s="618"/>
      <c r="C345" s="618"/>
      <c r="D345" s="618"/>
      <c r="E345" s="618"/>
      <c r="F345" s="618"/>
      <c r="G345" s="618"/>
    </row>
    <row r="346" spans="1:7" ht="13.5" customHeight="1">
      <c r="A346" s="1975" t="s">
        <v>1556</v>
      </c>
      <c r="B346" s="1601"/>
      <c r="C346" s="1801"/>
      <c r="D346" s="424" t="s">
        <v>208</v>
      </c>
      <c r="E346" s="424" t="s">
        <v>1558</v>
      </c>
      <c r="F346" s="424" t="s">
        <v>1559</v>
      </c>
      <c r="G346" s="425"/>
    </row>
    <row r="347" spans="1:7" ht="13.5" customHeight="1">
      <c r="A347" s="1987" t="str">
        <f>+'LISTADO EQUIPOS'!$C$22</f>
        <v>HERRAMIENTA MENOR.</v>
      </c>
      <c r="B347" s="1811"/>
      <c r="C347" s="1967"/>
      <c r="D347" s="675">
        <f>+'LISTADO EQUIPOS'!$E$22/8</f>
        <v>2850</v>
      </c>
      <c r="E347" s="687">
        <f>+E364</f>
        <v>0.6</v>
      </c>
      <c r="F347" s="675">
        <f t="shared" ref="F347:F348" si="26">+E347*D347</f>
        <v>1710</v>
      </c>
      <c r="G347" s="688"/>
    </row>
    <row r="348" spans="1:7" ht="13.5" customHeight="1">
      <c r="A348" s="1995" t="str">
        <f>+'LISTADO EQUIPOS'!$C$32</f>
        <v>PULIDORA PARA PISO + OPERARIO</v>
      </c>
      <c r="B348" s="1610"/>
      <c r="C348" s="1611"/>
      <c r="D348" s="464">
        <f>+'LISTADO EQUIPOS'!$E$32</f>
        <v>9060</v>
      </c>
      <c r="E348" s="706">
        <v>1</v>
      </c>
      <c r="F348" s="464">
        <f t="shared" si="26"/>
        <v>9060</v>
      </c>
      <c r="G348" s="751"/>
    </row>
    <row r="349" spans="1:7" ht="13.5" customHeight="1">
      <c r="A349" s="2015" t="s">
        <v>1560</v>
      </c>
      <c r="B349" s="1601"/>
      <c r="C349" s="1601"/>
      <c r="D349" s="1601"/>
      <c r="E349" s="1601"/>
      <c r="F349" s="1801"/>
      <c r="G349" s="769">
        <f>SUM(F347:F348)</f>
        <v>10770</v>
      </c>
    </row>
    <row r="350" spans="1:7" ht="13.5" customHeight="1">
      <c r="A350" s="621" t="s">
        <v>1561</v>
      </c>
      <c r="B350" s="618"/>
      <c r="C350" s="618"/>
      <c r="D350" s="618"/>
      <c r="E350" s="618"/>
      <c r="F350" s="618"/>
      <c r="G350" s="618"/>
    </row>
    <row r="351" spans="1:7" ht="13.5" customHeight="1">
      <c r="A351" s="1975" t="s">
        <v>1556</v>
      </c>
      <c r="B351" s="1801"/>
      <c r="C351" s="424" t="s">
        <v>6</v>
      </c>
      <c r="D351" s="424" t="s">
        <v>1562</v>
      </c>
      <c r="E351" s="424" t="s">
        <v>7</v>
      </c>
      <c r="F351" s="424" t="s">
        <v>1559</v>
      </c>
      <c r="G351" s="425"/>
    </row>
    <row r="352" spans="1:7" ht="13.5" customHeight="1">
      <c r="A352" s="1987" t="str">
        <f>+'ANALISIS BASICOS'!$A$228</f>
        <v>MORTERO 1:4</v>
      </c>
      <c r="B352" s="1967"/>
      <c r="C352" s="674" t="str">
        <f>+'ANALISIS BASICOS'!$E$204</f>
        <v>M3</v>
      </c>
      <c r="D352" s="675">
        <f>+'ANALISIS BASICOS'!$G$228</f>
        <v>384656</v>
      </c>
      <c r="E352" s="674">
        <v>0.04</v>
      </c>
      <c r="F352" s="675">
        <f t="shared" ref="F352:F354" si="27">+E352*D352</f>
        <v>15386.24</v>
      </c>
      <c r="G352" s="688"/>
    </row>
    <row r="353" spans="1:7" ht="13.5" customHeight="1">
      <c r="A353" s="1995" t="str">
        <f>+'LISTADO MATERIALES'!$C$314</f>
        <v>BALDOSIN GRANITO ALFA 33 X 33 BLANCO HUILA G5</v>
      </c>
      <c r="B353" s="1611"/>
      <c r="C353" s="444" t="str">
        <f>+'LISTADO MATERIALES'!$D$314</f>
        <v>M2</v>
      </c>
      <c r="D353" s="464">
        <f>+'LISTADO MATERIALES'!$E$314</f>
        <v>51608</v>
      </c>
      <c r="E353" s="444">
        <v>1.03</v>
      </c>
      <c r="F353" s="464">
        <f t="shared" si="27"/>
        <v>53156.24</v>
      </c>
      <c r="G353" s="751"/>
    </row>
    <row r="354" spans="1:7" ht="13.5" customHeight="1">
      <c r="A354" s="1995" t="str">
        <f>+'LISTADO MATERIALES'!$C$140</f>
        <v>CEMENTO BLANCO</v>
      </c>
      <c r="B354" s="1611"/>
      <c r="C354" s="444" t="str">
        <f>+'LISTADO MATERIALES'!$D$140</f>
        <v>KG</v>
      </c>
      <c r="D354" s="464">
        <f>+'LISTADO MATERIALES'!$E$140</f>
        <v>1103</v>
      </c>
      <c r="E354" s="444">
        <v>0.4</v>
      </c>
      <c r="F354" s="464">
        <f t="shared" si="27"/>
        <v>441.20000000000005</v>
      </c>
      <c r="G354" s="751"/>
    </row>
    <row r="355" spans="1:7" ht="13.5" customHeight="1">
      <c r="A355" s="1996"/>
      <c r="B355" s="1819"/>
      <c r="C355" s="708"/>
      <c r="D355" s="434"/>
      <c r="E355" s="708"/>
      <c r="F355" s="434"/>
      <c r="G355" s="435"/>
    </row>
    <row r="356" spans="1:7" ht="13.5" customHeight="1">
      <c r="A356" s="2015" t="s">
        <v>1560</v>
      </c>
      <c r="B356" s="1601"/>
      <c r="C356" s="1601"/>
      <c r="D356" s="1601"/>
      <c r="E356" s="1601"/>
      <c r="F356" s="1801"/>
      <c r="G356" s="769">
        <f>SUM(F352:F355)</f>
        <v>68983.679999999993</v>
      </c>
    </row>
    <row r="357" spans="1:7" ht="13.5" customHeight="1">
      <c r="A357" s="621" t="s">
        <v>1563</v>
      </c>
      <c r="B357" s="618"/>
      <c r="C357" s="618"/>
      <c r="D357" s="618"/>
      <c r="E357" s="618"/>
      <c r="F357" s="618"/>
      <c r="G357" s="618"/>
    </row>
    <row r="358" spans="1:7" ht="13.5" customHeight="1">
      <c r="A358" s="1975" t="s">
        <v>1556</v>
      </c>
      <c r="B358" s="1801"/>
      <c r="C358" s="424" t="s">
        <v>6</v>
      </c>
      <c r="D358" s="424" t="s">
        <v>1562</v>
      </c>
      <c r="E358" s="424" t="s">
        <v>7</v>
      </c>
      <c r="F358" s="424" t="s">
        <v>1559</v>
      </c>
      <c r="G358" s="690"/>
    </row>
    <row r="359" spans="1:7" ht="13.5" customHeight="1">
      <c r="A359" s="1987" t="str">
        <f>+'LISTADO EQUIPOS'!$C$125</f>
        <v>VOLQUETA (5-6)M3</v>
      </c>
      <c r="B359" s="1967"/>
      <c r="C359" s="744" t="str">
        <f>+'LISTADO EQUIPOS'!$D$125</f>
        <v>VJ</v>
      </c>
      <c r="D359" s="675">
        <f>+'LISTADO EQUIPOS'!$E$125</f>
        <v>90000</v>
      </c>
      <c r="E359" s="1053">
        <v>0</v>
      </c>
      <c r="F359" s="464">
        <f t="shared" ref="F359:F360" si="28">D359*E359</f>
        <v>0</v>
      </c>
      <c r="G359" s="688"/>
    </row>
    <row r="360" spans="1:7" ht="13.5" customHeight="1">
      <c r="A360" s="1996"/>
      <c r="B360" s="1819"/>
      <c r="C360" s="744"/>
      <c r="D360" s="434"/>
      <c r="E360" s="746"/>
      <c r="F360" s="434">
        <f t="shared" si="28"/>
        <v>0</v>
      </c>
      <c r="G360" s="768"/>
    </row>
    <row r="361" spans="1:7" ht="13.5" customHeight="1">
      <c r="A361" s="2015" t="s">
        <v>1560</v>
      </c>
      <c r="B361" s="1601"/>
      <c r="C361" s="1601"/>
      <c r="D361" s="1601"/>
      <c r="E361" s="1601"/>
      <c r="F361" s="1801"/>
      <c r="G361" s="769">
        <f>SUM(F360)</f>
        <v>0</v>
      </c>
    </row>
    <row r="362" spans="1:7" ht="13.5" customHeight="1">
      <c r="A362" s="621" t="s">
        <v>1564</v>
      </c>
      <c r="B362" s="618"/>
      <c r="C362" s="618"/>
      <c r="D362" s="618"/>
      <c r="E362" s="618"/>
      <c r="F362" s="618"/>
      <c r="G362" s="618"/>
    </row>
    <row r="363" spans="1:7" ht="13.5" customHeight="1">
      <c r="A363" s="1975" t="s">
        <v>1565</v>
      </c>
      <c r="B363" s="1801"/>
      <c r="C363" s="424" t="s">
        <v>1566</v>
      </c>
      <c r="D363" s="424" t="s">
        <v>6</v>
      </c>
      <c r="E363" s="424" t="s">
        <v>7</v>
      </c>
      <c r="F363" s="424" t="s">
        <v>1559</v>
      </c>
      <c r="G363" s="693"/>
    </row>
    <row r="364" spans="1:7" ht="13.5" customHeight="1">
      <c r="A364" s="2004" t="str">
        <f>+'MANO DE OBRA'!$A$64</f>
        <v>Oficial (Incl. Prestaciones)</v>
      </c>
      <c r="B364" s="1888"/>
      <c r="C364" s="679">
        <f>+'MANO DE OBRA'!$E$64</f>
        <v>15031.25</v>
      </c>
      <c r="D364" s="680">
        <v>1</v>
      </c>
      <c r="E364" s="680">
        <v>0.6</v>
      </c>
      <c r="F364" s="710">
        <f t="shared" ref="F364:F365" si="29">+(C364*D364)*E364</f>
        <v>9018.75</v>
      </c>
      <c r="G364" s="688"/>
    </row>
    <row r="365" spans="1:7" ht="13.5" customHeight="1">
      <c r="A365" s="1984" t="str">
        <f>+'MANO DE OBRA'!$A$65</f>
        <v>Ayudante (Incl. Prestaciones)</v>
      </c>
      <c r="B365" s="1819"/>
      <c r="C365" s="747">
        <f>+'MANO DE OBRA'!$E$65</f>
        <v>10972.8125</v>
      </c>
      <c r="D365" s="614">
        <v>1</v>
      </c>
      <c r="E365" s="614">
        <f>+E364</f>
        <v>0.6</v>
      </c>
      <c r="F365" s="753">
        <f t="shared" si="29"/>
        <v>6583.6875</v>
      </c>
      <c r="G365" s="435"/>
    </row>
    <row r="366" spans="1:7" ht="13.5" customHeight="1">
      <c r="A366" s="2015" t="str">
        <f>+A361</f>
        <v>SUB-TOTAL</v>
      </c>
      <c r="B366" s="1601"/>
      <c r="C366" s="1601"/>
      <c r="D366" s="1601"/>
      <c r="E366" s="1601"/>
      <c r="F366" s="1801"/>
      <c r="G366" s="769">
        <f>SUM(F364:F365)</f>
        <v>15602.4375</v>
      </c>
    </row>
    <row r="367" spans="1:7" ht="11.25" customHeight="1">
      <c r="A367" s="618"/>
      <c r="B367" s="618"/>
      <c r="C367" s="618"/>
      <c r="D367" s="618"/>
      <c r="E367" s="618"/>
      <c r="F367" s="748"/>
      <c r="G367" s="618"/>
    </row>
    <row r="368" spans="1:7" ht="13.5" customHeight="1">
      <c r="A368" s="2015" t="s">
        <v>1567</v>
      </c>
      <c r="B368" s="1601"/>
      <c r="C368" s="1601"/>
      <c r="D368" s="1601"/>
      <c r="E368" s="1601"/>
      <c r="F368" s="1801"/>
      <c r="G368" s="1029">
        <f>ROUND(G349+G356+G361+G366,0)</f>
        <v>95356</v>
      </c>
    </row>
    <row r="371" spans="1:7" ht="27" customHeight="1">
      <c r="A371" s="2005" t="s">
        <v>1604</v>
      </c>
      <c r="B371" s="1616"/>
      <c r="C371" s="1624"/>
      <c r="D371" s="567"/>
      <c r="E371" s="567"/>
      <c r="F371" s="567"/>
      <c r="G371" s="668"/>
    </row>
    <row r="372" spans="1:7" ht="24" customHeight="1">
      <c r="A372" s="2012" t="s">
        <v>2418</v>
      </c>
      <c r="B372" s="1817"/>
      <c r="C372" s="1972"/>
      <c r="D372" s="669"/>
      <c r="E372" s="669"/>
      <c r="F372" s="669"/>
      <c r="G372" s="670"/>
    </row>
    <row r="373" spans="1:7" ht="13.5" customHeight="1">
      <c r="A373" s="618"/>
      <c r="B373" s="618"/>
      <c r="C373" s="618"/>
      <c r="D373" s="618"/>
      <c r="E373" s="618"/>
      <c r="F373" s="618"/>
      <c r="G373" s="618"/>
    </row>
    <row r="374" spans="1:7" ht="35.25" customHeight="1">
      <c r="A374" s="1991" t="e">
        <f ca="1">A10</f>
        <v>#NAME?</v>
      </c>
      <c r="B374" s="1601"/>
      <c r="C374" s="1602"/>
      <c r="D374" s="1974" t="s">
        <v>2426</v>
      </c>
      <c r="E374" s="1601"/>
      <c r="F374" s="1601"/>
      <c r="G374" s="1602"/>
    </row>
    <row r="375" spans="1:7" ht="13.5" customHeight="1">
      <c r="A375" s="620"/>
      <c r="B375" s="620"/>
      <c r="C375" s="620"/>
      <c r="D375" s="620"/>
      <c r="E375" s="620"/>
      <c r="F375" s="620"/>
      <c r="G375" s="620"/>
    </row>
    <row r="376" spans="1:7" ht="12.75" customHeight="1">
      <c r="A376" s="572"/>
      <c r="B376" s="618"/>
      <c r="C376" s="616"/>
      <c r="D376" s="421" t="s">
        <v>1553</v>
      </c>
      <c r="E376" s="422" t="s">
        <v>228</v>
      </c>
      <c r="F376" s="572"/>
      <c r="G376" s="572"/>
    </row>
    <row r="377" spans="1:7" ht="13.5" customHeight="1">
      <c r="A377" s="621" t="s">
        <v>1555</v>
      </c>
      <c r="B377" s="618"/>
      <c r="C377" s="618"/>
      <c r="D377" s="618"/>
      <c r="E377" s="618"/>
      <c r="F377" s="618"/>
      <c r="G377" s="618"/>
    </row>
    <row r="378" spans="1:7" ht="13.5" customHeight="1">
      <c r="A378" s="1975" t="s">
        <v>1556</v>
      </c>
      <c r="B378" s="1601"/>
      <c r="C378" s="1801"/>
      <c r="D378" s="424" t="s">
        <v>208</v>
      </c>
      <c r="E378" s="424" t="s">
        <v>1558</v>
      </c>
      <c r="F378" s="424" t="s">
        <v>1559</v>
      </c>
      <c r="G378" s="425"/>
    </row>
    <row r="379" spans="1:7" ht="13.5" customHeight="1">
      <c r="A379" s="1987" t="str">
        <f>+'LISTADO EQUIPOS'!$C$22</f>
        <v>HERRAMIENTA MENOR.</v>
      </c>
      <c r="B379" s="1811"/>
      <c r="C379" s="1967"/>
      <c r="D379" s="675">
        <f>+'LISTADO EQUIPOS'!$E$22/8</f>
        <v>2850</v>
      </c>
      <c r="E379" s="687">
        <f>+E396</f>
        <v>0.6</v>
      </c>
      <c r="F379" s="675">
        <f t="shared" ref="F379:F380" si="30">+E379*D379</f>
        <v>1710</v>
      </c>
      <c r="G379" s="688"/>
    </row>
    <row r="380" spans="1:7" ht="13.5" customHeight="1">
      <c r="A380" s="1995" t="str">
        <f>+'LISTADO EQUIPOS'!$C$32</f>
        <v>PULIDORA PARA PISO + OPERARIO</v>
      </c>
      <c r="B380" s="1610"/>
      <c r="C380" s="1611"/>
      <c r="D380" s="464">
        <f>+'LISTADO EQUIPOS'!$E$32</f>
        <v>9060</v>
      </c>
      <c r="E380" s="706">
        <v>1</v>
      </c>
      <c r="F380" s="464">
        <f t="shared" si="30"/>
        <v>9060</v>
      </c>
      <c r="G380" s="751"/>
    </row>
    <row r="381" spans="1:7" ht="13.5" customHeight="1">
      <c r="A381" s="2015" t="s">
        <v>1560</v>
      </c>
      <c r="B381" s="1601"/>
      <c r="C381" s="1601"/>
      <c r="D381" s="1601"/>
      <c r="E381" s="1601"/>
      <c r="F381" s="1801"/>
      <c r="G381" s="769">
        <f>SUM(F379:F380)</f>
        <v>10770</v>
      </c>
    </row>
    <row r="382" spans="1:7" ht="13.5" customHeight="1">
      <c r="A382" s="621" t="s">
        <v>1561</v>
      </c>
      <c r="B382" s="618"/>
      <c r="C382" s="618"/>
      <c r="D382" s="618"/>
      <c r="E382" s="618"/>
      <c r="F382" s="618"/>
      <c r="G382" s="618"/>
    </row>
    <row r="383" spans="1:7" ht="13.5" customHeight="1">
      <c r="A383" s="1975" t="s">
        <v>1556</v>
      </c>
      <c r="B383" s="1801"/>
      <c r="C383" s="424" t="s">
        <v>6</v>
      </c>
      <c r="D383" s="424" t="s">
        <v>1562</v>
      </c>
      <c r="E383" s="424" t="s">
        <v>7</v>
      </c>
      <c r="F383" s="424" t="s">
        <v>1559</v>
      </c>
      <c r="G383" s="425"/>
    </row>
    <row r="384" spans="1:7" ht="13.5" customHeight="1">
      <c r="A384" s="1987" t="str">
        <f>+'ANALISIS BASICOS'!$A$228</f>
        <v>MORTERO 1:4</v>
      </c>
      <c r="B384" s="1967"/>
      <c r="C384" s="674" t="str">
        <f>+'ANALISIS BASICOS'!$E$204</f>
        <v>M3</v>
      </c>
      <c r="D384" s="675">
        <f>+'ANALISIS BASICOS'!$G$228</f>
        <v>384656</v>
      </c>
      <c r="E384" s="674">
        <v>0.04</v>
      </c>
      <c r="F384" s="675">
        <f t="shared" ref="F384:F386" si="31">+E384*D384</f>
        <v>15386.24</v>
      </c>
      <c r="G384" s="688"/>
    </row>
    <row r="385" spans="1:7" ht="13.5" customHeight="1">
      <c r="A385" s="1995" t="str">
        <f>+'LISTADO MATERIALES'!$C$313</f>
        <v>BALDOSIN GRANITO ALFA 30 X 30 VILLA/LEYVA G5</v>
      </c>
      <c r="B385" s="1611"/>
      <c r="C385" s="444" t="str">
        <f>+'LISTADO MATERIALES'!$D$313</f>
        <v>M2</v>
      </c>
      <c r="D385" s="464">
        <f>+'LISTADO MATERIALES'!$E$313</f>
        <v>31553</v>
      </c>
      <c r="E385" s="444">
        <v>1.03</v>
      </c>
      <c r="F385" s="464">
        <f t="shared" si="31"/>
        <v>32499.59</v>
      </c>
      <c r="G385" s="751"/>
    </row>
    <row r="386" spans="1:7" ht="13.5" customHeight="1">
      <c r="A386" s="1995" t="str">
        <f>+'LISTADO MATERIALES'!$C$140</f>
        <v>CEMENTO BLANCO</v>
      </c>
      <c r="B386" s="1611"/>
      <c r="C386" s="444" t="str">
        <f>+'LISTADO MATERIALES'!$D$140</f>
        <v>KG</v>
      </c>
      <c r="D386" s="464">
        <f>+'LISTADO MATERIALES'!$E$140</f>
        <v>1103</v>
      </c>
      <c r="E386" s="444">
        <v>0.4</v>
      </c>
      <c r="F386" s="464">
        <f t="shared" si="31"/>
        <v>441.20000000000005</v>
      </c>
      <c r="G386" s="751"/>
    </row>
    <row r="387" spans="1:7" ht="13.5" customHeight="1">
      <c r="A387" s="1996"/>
      <c r="B387" s="1819"/>
      <c r="C387" s="708"/>
      <c r="D387" s="434"/>
      <c r="E387" s="708"/>
      <c r="F387" s="434"/>
      <c r="G387" s="435"/>
    </row>
    <row r="388" spans="1:7" ht="13.5" customHeight="1">
      <c r="A388" s="2015" t="s">
        <v>1560</v>
      </c>
      <c r="B388" s="1601"/>
      <c r="C388" s="1601"/>
      <c r="D388" s="1601"/>
      <c r="E388" s="1601"/>
      <c r="F388" s="1801"/>
      <c r="G388" s="769">
        <f>SUM(F384:F387)</f>
        <v>48327.03</v>
      </c>
    </row>
    <row r="389" spans="1:7" ht="13.5" customHeight="1">
      <c r="A389" s="621" t="s">
        <v>1563</v>
      </c>
      <c r="B389" s="618"/>
      <c r="C389" s="618"/>
      <c r="D389" s="618"/>
      <c r="E389" s="618"/>
      <c r="F389" s="618"/>
      <c r="G389" s="618"/>
    </row>
    <row r="390" spans="1:7" ht="13.5" customHeight="1">
      <c r="A390" s="1975" t="s">
        <v>1556</v>
      </c>
      <c r="B390" s="1801"/>
      <c r="C390" s="424" t="s">
        <v>6</v>
      </c>
      <c r="D390" s="424" t="s">
        <v>1562</v>
      </c>
      <c r="E390" s="424" t="s">
        <v>7</v>
      </c>
      <c r="F390" s="424" t="s">
        <v>1559</v>
      </c>
      <c r="G390" s="690"/>
    </row>
    <row r="391" spans="1:7" ht="13.5" customHeight="1">
      <c r="A391" s="1987" t="str">
        <f>+'LISTADO EQUIPOS'!$C$125</f>
        <v>VOLQUETA (5-6)M3</v>
      </c>
      <c r="B391" s="1967"/>
      <c r="C391" s="744" t="str">
        <f>+'LISTADO EQUIPOS'!$D$125</f>
        <v>VJ</v>
      </c>
      <c r="D391" s="675">
        <f>+'LISTADO EQUIPOS'!$E$125</f>
        <v>90000</v>
      </c>
      <c r="E391" s="1053">
        <v>0</v>
      </c>
      <c r="F391" s="464">
        <f t="shared" ref="F391:F392" si="32">D391*E391</f>
        <v>0</v>
      </c>
      <c r="G391" s="688"/>
    </row>
    <row r="392" spans="1:7" ht="13.5" customHeight="1">
      <c r="A392" s="1996"/>
      <c r="B392" s="1819"/>
      <c r="C392" s="744"/>
      <c r="D392" s="434"/>
      <c r="E392" s="746"/>
      <c r="F392" s="434">
        <f t="shared" si="32"/>
        <v>0</v>
      </c>
      <c r="G392" s="768"/>
    </row>
    <row r="393" spans="1:7" ht="13.5" customHeight="1">
      <c r="A393" s="2015" t="s">
        <v>1560</v>
      </c>
      <c r="B393" s="1601"/>
      <c r="C393" s="1601"/>
      <c r="D393" s="1601"/>
      <c r="E393" s="1601"/>
      <c r="F393" s="1801"/>
      <c r="G393" s="769">
        <f>SUM(F392)</f>
        <v>0</v>
      </c>
    </row>
    <row r="394" spans="1:7" ht="13.5" customHeight="1">
      <c r="A394" s="621" t="s">
        <v>1564</v>
      </c>
      <c r="B394" s="618"/>
      <c r="C394" s="618"/>
      <c r="D394" s="618"/>
      <c r="E394" s="618"/>
      <c r="F394" s="618"/>
      <c r="G394" s="618"/>
    </row>
    <row r="395" spans="1:7" ht="13.5" customHeight="1">
      <c r="A395" s="1975" t="s">
        <v>1565</v>
      </c>
      <c r="B395" s="1801"/>
      <c r="C395" s="424" t="s">
        <v>1566</v>
      </c>
      <c r="D395" s="424" t="s">
        <v>6</v>
      </c>
      <c r="E395" s="424" t="s">
        <v>7</v>
      </c>
      <c r="F395" s="424" t="s">
        <v>1559</v>
      </c>
      <c r="G395" s="693"/>
    </row>
    <row r="396" spans="1:7" ht="13.5" customHeight="1">
      <c r="A396" s="2004" t="str">
        <f>+'MANO DE OBRA'!$A$64</f>
        <v>Oficial (Incl. Prestaciones)</v>
      </c>
      <c r="B396" s="1888"/>
      <c r="C396" s="679">
        <f>+'MANO DE OBRA'!$E$64</f>
        <v>15031.25</v>
      </c>
      <c r="D396" s="680">
        <v>1</v>
      </c>
      <c r="E396" s="680">
        <v>0.6</v>
      </c>
      <c r="F396" s="710">
        <f t="shared" ref="F396:F397" si="33">+(C396*D396)*E396</f>
        <v>9018.75</v>
      </c>
      <c r="G396" s="688"/>
    </row>
    <row r="397" spans="1:7" ht="13.5" customHeight="1">
      <c r="A397" s="1984" t="str">
        <f>+'MANO DE OBRA'!$A$65</f>
        <v>Ayudante (Incl. Prestaciones)</v>
      </c>
      <c r="B397" s="1819"/>
      <c r="C397" s="747">
        <f>+'MANO DE OBRA'!$E$65</f>
        <v>10972.8125</v>
      </c>
      <c r="D397" s="614">
        <v>1</v>
      </c>
      <c r="E397" s="614">
        <f>+E396</f>
        <v>0.6</v>
      </c>
      <c r="F397" s="753">
        <f t="shared" si="33"/>
        <v>6583.6875</v>
      </c>
      <c r="G397" s="435"/>
    </row>
    <row r="398" spans="1:7" ht="13.5" customHeight="1">
      <c r="A398" s="2015" t="str">
        <f>+A393</f>
        <v>SUB-TOTAL</v>
      </c>
      <c r="B398" s="1601"/>
      <c r="C398" s="1601"/>
      <c r="D398" s="1601"/>
      <c r="E398" s="1601"/>
      <c r="F398" s="1801"/>
      <c r="G398" s="769">
        <f>SUM(F396:F397)</f>
        <v>15602.4375</v>
      </c>
    </row>
    <row r="399" spans="1:7" ht="11.25" customHeight="1">
      <c r="A399" s="618"/>
      <c r="B399" s="618"/>
      <c r="C399" s="618"/>
      <c r="D399" s="618"/>
      <c r="E399" s="618"/>
      <c r="F399" s="748"/>
      <c r="G399" s="618"/>
    </row>
    <row r="400" spans="1:7" ht="13.5" customHeight="1">
      <c r="A400" s="2015" t="s">
        <v>1567</v>
      </c>
      <c r="B400" s="1601"/>
      <c r="C400" s="1601"/>
      <c r="D400" s="1601"/>
      <c r="E400" s="1601"/>
      <c r="F400" s="1801"/>
      <c r="G400" s="1029">
        <f>ROUND(G381+G388+G393+G398,0)</f>
        <v>74699</v>
      </c>
    </row>
    <row r="403" spans="1:7" ht="27" customHeight="1">
      <c r="A403" s="2005" t="s">
        <v>1604</v>
      </c>
      <c r="B403" s="1616"/>
      <c r="C403" s="1624"/>
      <c r="D403" s="567"/>
      <c r="E403" s="567"/>
      <c r="F403" s="567"/>
      <c r="G403" s="668"/>
    </row>
    <row r="404" spans="1:7" ht="24" customHeight="1">
      <c r="A404" s="2012" t="s">
        <v>2418</v>
      </c>
      <c r="B404" s="1817"/>
      <c r="C404" s="1972"/>
      <c r="D404" s="669"/>
      <c r="E404" s="669"/>
      <c r="F404" s="669"/>
      <c r="G404" s="670"/>
    </row>
    <row r="405" spans="1:7" ht="13.5" customHeight="1">
      <c r="A405" s="618"/>
      <c r="B405" s="618"/>
      <c r="C405" s="618"/>
      <c r="D405" s="618"/>
      <c r="E405" s="618"/>
      <c r="F405" s="618"/>
      <c r="G405" s="618"/>
    </row>
    <row r="406" spans="1:7" ht="35.25" customHeight="1">
      <c r="A406" s="1991" t="e">
        <f ca="1">A10</f>
        <v>#NAME?</v>
      </c>
      <c r="B406" s="1601"/>
      <c r="C406" s="1602"/>
      <c r="D406" s="1974" t="s">
        <v>2427</v>
      </c>
      <c r="E406" s="1601"/>
      <c r="F406" s="1601"/>
      <c r="G406" s="1602"/>
    </row>
    <row r="407" spans="1:7" ht="13.5" customHeight="1">
      <c r="A407" s="620"/>
      <c r="B407" s="620"/>
      <c r="C407" s="620"/>
      <c r="D407" s="620"/>
      <c r="E407" s="620"/>
      <c r="F407" s="620"/>
      <c r="G407" s="620"/>
    </row>
    <row r="408" spans="1:7" ht="12.75" customHeight="1">
      <c r="A408" s="572"/>
      <c r="B408" s="618"/>
      <c r="C408" s="616"/>
      <c r="D408" s="421" t="s">
        <v>1553</v>
      </c>
      <c r="E408" s="422" t="s">
        <v>228</v>
      </c>
      <c r="F408" s="572"/>
      <c r="G408" s="572"/>
    </row>
    <row r="409" spans="1:7" ht="13.5" customHeight="1">
      <c r="A409" s="621" t="s">
        <v>1555</v>
      </c>
      <c r="B409" s="618"/>
      <c r="C409" s="618"/>
      <c r="D409" s="618"/>
      <c r="E409" s="618"/>
      <c r="F409" s="618"/>
      <c r="G409" s="618"/>
    </row>
    <row r="410" spans="1:7" ht="13.5" customHeight="1">
      <c r="A410" s="1975" t="s">
        <v>1556</v>
      </c>
      <c r="B410" s="1601"/>
      <c r="C410" s="1801"/>
      <c r="D410" s="424" t="s">
        <v>208</v>
      </c>
      <c r="E410" s="424" t="s">
        <v>1558</v>
      </c>
      <c r="F410" s="424" t="s">
        <v>1559</v>
      </c>
      <c r="G410" s="425"/>
    </row>
    <row r="411" spans="1:7" ht="13.5" customHeight="1">
      <c r="A411" s="1987" t="str">
        <f>+'LISTADO EQUIPOS'!$C$22</f>
        <v>HERRAMIENTA MENOR.</v>
      </c>
      <c r="B411" s="1811"/>
      <c r="C411" s="1967"/>
      <c r="D411" s="675">
        <f>+'LISTADO EQUIPOS'!$E$22/8</f>
        <v>2850</v>
      </c>
      <c r="E411" s="687">
        <f>+E428</f>
        <v>0.5</v>
      </c>
      <c r="F411" s="675">
        <f>+E411*D411</f>
        <v>1425</v>
      </c>
      <c r="G411" s="688"/>
    </row>
    <row r="412" spans="1:7" ht="13.5" customHeight="1">
      <c r="A412" s="1995"/>
      <c r="B412" s="1610"/>
      <c r="C412" s="1611"/>
      <c r="D412" s="464"/>
      <c r="E412" s="706"/>
      <c r="F412" s="464"/>
      <c r="G412" s="751"/>
    </row>
    <row r="413" spans="1:7" ht="13.5" customHeight="1">
      <c r="A413" s="2015" t="s">
        <v>1560</v>
      </c>
      <c r="B413" s="1601"/>
      <c r="C413" s="1601"/>
      <c r="D413" s="1601"/>
      <c r="E413" s="1601"/>
      <c r="F413" s="1801"/>
      <c r="G413" s="769">
        <f>SUM(F411:F412)</f>
        <v>1425</v>
      </c>
    </row>
    <row r="414" spans="1:7" ht="13.5" customHeight="1">
      <c r="A414" s="621" t="s">
        <v>1561</v>
      </c>
      <c r="B414" s="618"/>
      <c r="C414" s="618"/>
      <c r="D414" s="618"/>
      <c r="E414" s="618"/>
      <c r="F414" s="618"/>
      <c r="G414" s="618"/>
    </row>
    <row r="415" spans="1:7" ht="13.5" customHeight="1">
      <c r="A415" s="1975" t="s">
        <v>1556</v>
      </c>
      <c r="B415" s="1801"/>
      <c r="C415" s="424" t="s">
        <v>6</v>
      </c>
      <c r="D415" s="424" t="s">
        <v>1562</v>
      </c>
      <c r="E415" s="424" t="s">
        <v>7</v>
      </c>
      <c r="F415" s="424" t="s">
        <v>1559</v>
      </c>
      <c r="G415" s="425"/>
    </row>
    <row r="416" spans="1:7" ht="13.5" customHeight="1">
      <c r="A416" s="1987" t="str">
        <f>+'ANALISIS BASICOS'!$A$228</f>
        <v>MORTERO 1:4</v>
      </c>
      <c r="B416" s="1967"/>
      <c r="C416" s="674" t="str">
        <f>+'ANALISIS BASICOS'!$E$204</f>
        <v>M3</v>
      </c>
      <c r="D416" s="675">
        <f>+'ANALISIS BASICOS'!$G$228</f>
        <v>384656</v>
      </c>
      <c r="E416" s="674">
        <v>0.03</v>
      </c>
      <c r="F416" s="675">
        <f t="shared" ref="F416:F418" si="34">+E416*D416</f>
        <v>11539.68</v>
      </c>
      <c r="G416" s="688"/>
    </row>
    <row r="417" spans="1:7" ht="13.5" customHeight="1">
      <c r="A417" s="1995" t="str">
        <f>+'LISTADO MATERIALES'!$C$311</f>
        <v>BALDOSIN DE CEMENTO</v>
      </c>
      <c r="B417" s="1611"/>
      <c r="C417" s="444" t="str">
        <f>+'LISTADO MATERIALES'!$D$311</f>
        <v>M2</v>
      </c>
      <c r="D417" s="464">
        <f>+'LISTADO MATERIALES'!$E$311</f>
        <v>15225</v>
      </c>
      <c r="E417" s="444">
        <v>1.03</v>
      </c>
      <c r="F417" s="464">
        <f t="shared" si="34"/>
        <v>15681.75</v>
      </c>
      <c r="G417" s="751"/>
    </row>
    <row r="418" spans="1:7" ht="13.5" customHeight="1">
      <c r="A418" s="1995" t="str">
        <f>+'LISTADO MATERIALES'!$C$140</f>
        <v>CEMENTO BLANCO</v>
      </c>
      <c r="B418" s="1611"/>
      <c r="C418" s="444" t="str">
        <f>+'LISTADO MATERIALES'!$D$140</f>
        <v>KG</v>
      </c>
      <c r="D418" s="464">
        <f>+'LISTADO MATERIALES'!$E$140</f>
        <v>1103</v>
      </c>
      <c r="E418" s="444">
        <v>0.5</v>
      </c>
      <c r="F418" s="464">
        <f t="shared" si="34"/>
        <v>551.5</v>
      </c>
      <c r="G418" s="751"/>
    </row>
    <row r="419" spans="1:7" ht="13.5" customHeight="1">
      <c r="A419" s="1996"/>
      <c r="B419" s="1819"/>
      <c r="C419" s="708"/>
      <c r="D419" s="434"/>
      <c r="E419" s="708"/>
      <c r="F419" s="434"/>
      <c r="G419" s="435"/>
    </row>
    <row r="420" spans="1:7" ht="13.5" customHeight="1">
      <c r="A420" s="2015" t="s">
        <v>1560</v>
      </c>
      <c r="B420" s="1601"/>
      <c r="C420" s="1601"/>
      <c r="D420" s="1601"/>
      <c r="E420" s="1601"/>
      <c r="F420" s="1801"/>
      <c r="G420" s="769">
        <f>SUM(F416:F419)</f>
        <v>27772.93</v>
      </c>
    </row>
    <row r="421" spans="1:7" ht="13.5" customHeight="1">
      <c r="A421" s="621" t="s">
        <v>1563</v>
      </c>
      <c r="B421" s="618"/>
      <c r="C421" s="618"/>
      <c r="D421" s="618"/>
      <c r="E421" s="618"/>
      <c r="F421" s="618"/>
      <c r="G421" s="618"/>
    </row>
    <row r="422" spans="1:7" ht="13.5" customHeight="1">
      <c r="A422" s="1975" t="s">
        <v>1556</v>
      </c>
      <c r="B422" s="1801"/>
      <c r="C422" s="424" t="s">
        <v>6</v>
      </c>
      <c r="D422" s="424" t="s">
        <v>1562</v>
      </c>
      <c r="E422" s="424" t="s">
        <v>7</v>
      </c>
      <c r="F422" s="424" t="s">
        <v>1559</v>
      </c>
      <c r="G422" s="690"/>
    </row>
    <row r="423" spans="1:7" ht="13.5" customHeight="1">
      <c r="A423" s="1987" t="str">
        <f>+'LISTADO EQUIPOS'!$C$125</f>
        <v>VOLQUETA (5-6)M3</v>
      </c>
      <c r="B423" s="1967"/>
      <c r="C423" s="744" t="str">
        <f>+'LISTADO EQUIPOS'!$D$125</f>
        <v>VJ</v>
      </c>
      <c r="D423" s="675">
        <f>+'LISTADO EQUIPOS'!$E$125</f>
        <v>90000</v>
      </c>
      <c r="E423" s="1053">
        <v>0</v>
      </c>
      <c r="F423" s="464">
        <f t="shared" ref="F423:F424" si="35">D423*E423</f>
        <v>0</v>
      </c>
      <c r="G423" s="688"/>
    </row>
    <row r="424" spans="1:7" ht="13.5" customHeight="1">
      <c r="A424" s="1996"/>
      <c r="B424" s="1819"/>
      <c r="C424" s="744"/>
      <c r="D424" s="434"/>
      <c r="E424" s="746"/>
      <c r="F424" s="434">
        <f t="shared" si="35"/>
        <v>0</v>
      </c>
      <c r="G424" s="768"/>
    </row>
    <row r="425" spans="1:7" ht="13.5" customHeight="1">
      <c r="A425" s="2015" t="s">
        <v>1560</v>
      </c>
      <c r="B425" s="1601"/>
      <c r="C425" s="1601"/>
      <c r="D425" s="1601"/>
      <c r="E425" s="1601"/>
      <c r="F425" s="1801"/>
      <c r="G425" s="769">
        <f>SUM(F424)</f>
        <v>0</v>
      </c>
    </row>
    <row r="426" spans="1:7" ht="13.5" customHeight="1">
      <c r="A426" s="621" t="s">
        <v>1564</v>
      </c>
      <c r="B426" s="618"/>
      <c r="C426" s="618"/>
      <c r="D426" s="618"/>
      <c r="E426" s="618"/>
      <c r="F426" s="618"/>
      <c r="G426" s="618"/>
    </row>
    <row r="427" spans="1:7" ht="13.5" customHeight="1">
      <c r="A427" s="1975" t="s">
        <v>1565</v>
      </c>
      <c r="B427" s="1801"/>
      <c r="C427" s="424" t="s">
        <v>1566</v>
      </c>
      <c r="D427" s="424" t="s">
        <v>6</v>
      </c>
      <c r="E427" s="424" t="s">
        <v>7</v>
      </c>
      <c r="F427" s="424" t="s">
        <v>1559</v>
      </c>
      <c r="G427" s="693"/>
    </row>
    <row r="428" spans="1:7" ht="13.5" customHeight="1">
      <c r="A428" s="2004" t="str">
        <f>+'MANO DE OBRA'!$A$64</f>
        <v>Oficial (Incl. Prestaciones)</v>
      </c>
      <c r="B428" s="1888"/>
      <c r="C428" s="679">
        <f>+'MANO DE OBRA'!$E$64</f>
        <v>15031.25</v>
      </c>
      <c r="D428" s="680">
        <v>1</v>
      </c>
      <c r="E428" s="680">
        <v>0.5</v>
      </c>
      <c r="F428" s="710">
        <f t="shared" ref="F428:F429" si="36">+(C428*D428)*E428</f>
        <v>7515.625</v>
      </c>
      <c r="G428" s="688"/>
    </row>
    <row r="429" spans="1:7" ht="13.5" customHeight="1">
      <c r="A429" s="1984" t="str">
        <f>+'MANO DE OBRA'!$A$65</f>
        <v>Ayudante (Incl. Prestaciones)</v>
      </c>
      <c r="B429" s="1819"/>
      <c r="C429" s="747">
        <f>+'MANO DE OBRA'!$E$65</f>
        <v>10972.8125</v>
      </c>
      <c r="D429" s="614">
        <v>1</v>
      </c>
      <c r="E429" s="614">
        <f>+E428</f>
        <v>0.5</v>
      </c>
      <c r="F429" s="753">
        <f t="shared" si="36"/>
        <v>5486.40625</v>
      </c>
      <c r="G429" s="435"/>
    </row>
    <row r="430" spans="1:7" ht="13.5" customHeight="1">
      <c r="A430" s="2015" t="str">
        <f>+A425</f>
        <v>SUB-TOTAL</v>
      </c>
      <c r="B430" s="1601"/>
      <c r="C430" s="1601"/>
      <c r="D430" s="1601"/>
      <c r="E430" s="1601"/>
      <c r="F430" s="1801"/>
      <c r="G430" s="769">
        <f>SUM(F428:F429)</f>
        <v>13002.03125</v>
      </c>
    </row>
    <row r="431" spans="1:7" ht="11.25" customHeight="1">
      <c r="A431" s="618"/>
      <c r="B431" s="618"/>
      <c r="C431" s="618"/>
      <c r="D431" s="618"/>
      <c r="E431" s="618"/>
      <c r="F431" s="748"/>
      <c r="G431" s="618"/>
    </row>
    <row r="432" spans="1:7" ht="13.5" customHeight="1">
      <c r="A432" s="2015" t="s">
        <v>1567</v>
      </c>
      <c r="B432" s="1601"/>
      <c r="C432" s="1601"/>
      <c r="D432" s="1601"/>
      <c r="E432" s="1601"/>
      <c r="F432" s="1801"/>
      <c r="G432" s="1029">
        <f>ROUND(G413+G420+G425+G430,0)</f>
        <v>42200</v>
      </c>
    </row>
    <row r="435" spans="1:7" ht="27" customHeight="1">
      <c r="A435" s="2005" t="s">
        <v>1604</v>
      </c>
      <c r="B435" s="1616"/>
      <c r="C435" s="1624"/>
      <c r="D435" s="567"/>
      <c r="E435" s="567"/>
      <c r="F435" s="567"/>
      <c r="G435" s="668"/>
    </row>
    <row r="436" spans="1:7" ht="24" customHeight="1">
      <c r="A436" s="2012" t="s">
        <v>2418</v>
      </c>
      <c r="B436" s="1817"/>
      <c r="C436" s="1972"/>
      <c r="D436" s="669"/>
      <c r="E436" s="669"/>
      <c r="F436" s="669"/>
      <c r="G436" s="670"/>
    </row>
    <row r="437" spans="1:7" ht="13.5" customHeight="1">
      <c r="A437" s="618"/>
      <c r="B437" s="618"/>
      <c r="C437" s="618"/>
      <c r="D437" s="618"/>
      <c r="E437" s="618"/>
      <c r="F437" s="618"/>
      <c r="G437" s="618"/>
    </row>
    <row r="438" spans="1:7" ht="35.25" customHeight="1">
      <c r="A438" s="1991" t="e">
        <f ca="1">A10</f>
        <v>#NAME?</v>
      </c>
      <c r="B438" s="1601"/>
      <c r="C438" s="1602"/>
      <c r="D438" s="1974" t="s">
        <v>2428</v>
      </c>
      <c r="E438" s="1601"/>
      <c r="F438" s="1601"/>
      <c r="G438" s="1602"/>
    </row>
    <row r="439" spans="1:7" ht="13.5" customHeight="1">
      <c r="A439" s="620"/>
      <c r="B439" s="620"/>
      <c r="C439" s="620"/>
      <c r="D439" s="620"/>
      <c r="E439" s="620"/>
      <c r="F439" s="620"/>
      <c r="G439" s="620"/>
    </row>
    <row r="440" spans="1:7" ht="12.75" customHeight="1">
      <c r="A440" s="572"/>
      <c r="B440" s="618"/>
      <c r="C440" s="616"/>
      <c r="D440" s="421" t="s">
        <v>1553</v>
      </c>
      <c r="E440" s="422" t="s">
        <v>228</v>
      </c>
      <c r="F440" s="572"/>
      <c r="G440" s="572"/>
    </row>
    <row r="441" spans="1:7" ht="13.5" customHeight="1">
      <c r="A441" s="621" t="s">
        <v>1555</v>
      </c>
      <c r="B441" s="618"/>
      <c r="C441" s="618"/>
      <c r="D441" s="618"/>
      <c r="E441" s="618"/>
      <c r="F441" s="618"/>
      <c r="G441" s="618"/>
    </row>
    <row r="442" spans="1:7" ht="13.5" customHeight="1">
      <c r="A442" s="1975" t="s">
        <v>1556</v>
      </c>
      <c r="B442" s="1601"/>
      <c r="C442" s="1801"/>
      <c r="D442" s="424" t="s">
        <v>208</v>
      </c>
      <c r="E442" s="424" t="s">
        <v>1558</v>
      </c>
      <c r="F442" s="424" t="s">
        <v>1559</v>
      </c>
      <c r="G442" s="425"/>
    </row>
    <row r="443" spans="1:7" ht="13.5" customHeight="1">
      <c r="A443" s="1987" t="str">
        <f>+'LISTADO EQUIPOS'!$C$22</f>
        <v>HERRAMIENTA MENOR.</v>
      </c>
      <c r="B443" s="1811"/>
      <c r="C443" s="1967"/>
      <c r="D443" s="675">
        <f>+'LISTADO EQUIPOS'!$E$22/8</f>
        <v>2850</v>
      </c>
      <c r="E443" s="687">
        <f>+E460</f>
        <v>0.6</v>
      </c>
      <c r="F443" s="675">
        <f>+E443*D443</f>
        <v>1710</v>
      </c>
      <c r="G443" s="688"/>
    </row>
    <row r="444" spans="1:7" ht="13.5" customHeight="1">
      <c r="A444" s="1995"/>
      <c r="B444" s="1610"/>
      <c r="C444" s="1611"/>
      <c r="D444" s="464"/>
      <c r="E444" s="706"/>
      <c r="F444" s="464"/>
      <c r="G444" s="751"/>
    </row>
    <row r="445" spans="1:7" ht="13.5" customHeight="1">
      <c r="A445" s="2015" t="s">
        <v>1560</v>
      </c>
      <c r="B445" s="1601"/>
      <c r="C445" s="1601"/>
      <c r="D445" s="1601"/>
      <c r="E445" s="1601"/>
      <c r="F445" s="1801"/>
      <c r="G445" s="769">
        <f>SUM(F443:F444)</f>
        <v>1710</v>
      </c>
    </row>
    <row r="446" spans="1:7" ht="13.5" customHeight="1">
      <c r="A446" s="621" t="s">
        <v>1561</v>
      </c>
      <c r="B446" s="618"/>
      <c r="C446" s="618"/>
      <c r="D446" s="618"/>
      <c r="E446" s="618"/>
      <c r="F446" s="618"/>
      <c r="G446" s="618"/>
    </row>
    <row r="447" spans="1:7" ht="13.5" customHeight="1">
      <c r="A447" s="1975" t="s">
        <v>1556</v>
      </c>
      <c r="B447" s="1801"/>
      <c r="C447" s="424" t="s">
        <v>6</v>
      </c>
      <c r="D447" s="424" t="s">
        <v>1562</v>
      </c>
      <c r="E447" s="424" t="s">
        <v>7</v>
      </c>
      <c r="F447" s="424" t="s">
        <v>1559</v>
      </c>
      <c r="G447" s="425"/>
    </row>
    <row r="448" spans="1:7" ht="13.5" customHeight="1">
      <c r="A448" s="1995" t="str">
        <f>+'ANALISIS BASICOS'!$A$228</f>
        <v>MORTERO 1:4</v>
      </c>
      <c r="B448" s="1611"/>
      <c r="C448" s="444" t="str">
        <f>+'ANALISIS BASICOS'!$E$204</f>
        <v>M3</v>
      </c>
      <c r="D448" s="464">
        <f>+'ANALISIS BASICOS'!$G$228</f>
        <v>384656</v>
      </c>
      <c r="E448" s="444">
        <v>0.03</v>
      </c>
      <c r="F448" s="464">
        <f t="shared" ref="F448:F451" si="37">+E448*D448</f>
        <v>11539.68</v>
      </c>
      <c r="G448" s="751"/>
    </row>
    <row r="449" spans="1:7" ht="13.5" customHeight="1">
      <c r="A449" s="1995" t="str">
        <f>+'LISTADO MATERIALES'!$C$358</f>
        <v>TABLÓN LISO 25X25</v>
      </c>
      <c r="B449" s="1611"/>
      <c r="C449" s="444" t="str">
        <f>+'LISTADO MATERIALES'!$D$358</f>
        <v>M2</v>
      </c>
      <c r="D449" s="464">
        <f>+'LISTADO MATERIALES'!$E$358</f>
        <v>14175</v>
      </c>
      <c r="E449" s="444">
        <v>1.05</v>
      </c>
      <c r="F449" s="464">
        <f t="shared" si="37"/>
        <v>14883.75</v>
      </c>
      <c r="G449" s="751"/>
    </row>
    <row r="450" spans="1:7" ht="13.5" customHeight="1">
      <c r="A450" s="1995" t="str">
        <f>+'LISTADO MATERIALES'!$C$140</f>
        <v>CEMENTO BLANCO</v>
      </c>
      <c r="B450" s="1611"/>
      <c r="C450" s="444" t="str">
        <f>+'LISTADO MATERIALES'!$D$140</f>
        <v>KG</v>
      </c>
      <c r="D450" s="464">
        <f>+'LISTADO MATERIALES'!$E$140</f>
        <v>1103</v>
      </c>
      <c r="E450" s="444">
        <v>0.4</v>
      </c>
      <c r="F450" s="464">
        <f t="shared" si="37"/>
        <v>441.20000000000005</v>
      </c>
      <c r="G450" s="751"/>
    </row>
    <row r="451" spans="1:7" ht="13.5" customHeight="1">
      <c r="A451" s="1996" t="str">
        <f>+'LISTADO MATERIALES'!$C$144</f>
        <v>COLOR MINERAL NAL.</v>
      </c>
      <c r="B451" s="1819"/>
      <c r="C451" s="708" t="str">
        <f>+'LISTADO MATERIALES'!$D$144</f>
        <v>KG</v>
      </c>
      <c r="D451" s="434">
        <f>+'LISTADO MATERIALES'!$E$144</f>
        <v>8925</v>
      </c>
      <c r="E451" s="708">
        <v>0.13</v>
      </c>
      <c r="F451" s="434">
        <f t="shared" si="37"/>
        <v>1160.25</v>
      </c>
      <c r="G451" s="435"/>
    </row>
    <row r="452" spans="1:7" ht="13.5" customHeight="1">
      <c r="A452" s="2015" t="s">
        <v>1560</v>
      </c>
      <c r="B452" s="1601"/>
      <c r="C452" s="1601"/>
      <c r="D452" s="1601"/>
      <c r="E452" s="1601"/>
      <c r="F452" s="1801"/>
      <c r="G452" s="769">
        <f>SUM(F448:F451)</f>
        <v>28024.880000000001</v>
      </c>
    </row>
    <row r="453" spans="1:7" ht="13.5" customHeight="1">
      <c r="A453" s="621" t="s">
        <v>1563</v>
      </c>
      <c r="B453" s="618"/>
      <c r="C453" s="618"/>
      <c r="D453" s="618"/>
      <c r="E453" s="618"/>
      <c r="F453" s="618"/>
      <c r="G453" s="618"/>
    </row>
    <row r="454" spans="1:7" ht="13.5" customHeight="1">
      <c r="A454" s="1975" t="s">
        <v>1556</v>
      </c>
      <c r="B454" s="1801"/>
      <c r="C454" s="424" t="s">
        <v>6</v>
      </c>
      <c r="D454" s="424" t="s">
        <v>1562</v>
      </c>
      <c r="E454" s="424" t="s">
        <v>7</v>
      </c>
      <c r="F454" s="424" t="s">
        <v>1559</v>
      </c>
      <c r="G454" s="690"/>
    </row>
    <row r="455" spans="1:7" ht="13.5" customHeight="1">
      <c r="A455" s="1987" t="str">
        <f>+'LISTADO EQUIPOS'!$C$125</f>
        <v>VOLQUETA (5-6)M3</v>
      </c>
      <c r="B455" s="1967"/>
      <c r="C455" s="744" t="str">
        <f>+'LISTADO EQUIPOS'!$D$125</f>
        <v>VJ</v>
      </c>
      <c r="D455" s="675">
        <f>+'LISTADO EQUIPOS'!$E$125</f>
        <v>90000</v>
      </c>
      <c r="E455" s="1053">
        <v>0</v>
      </c>
      <c r="F455" s="464">
        <f t="shared" ref="F455:F456" si="38">D455*E455</f>
        <v>0</v>
      </c>
      <c r="G455" s="688"/>
    </row>
    <row r="456" spans="1:7" ht="13.5" customHeight="1">
      <c r="A456" s="1996"/>
      <c r="B456" s="1819"/>
      <c r="C456" s="744"/>
      <c r="D456" s="434"/>
      <c r="E456" s="746"/>
      <c r="F456" s="434">
        <f t="shared" si="38"/>
        <v>0</v>
      </c>
      <c r="G456" s="768"/>
    </row>
    <row r="457" spans="1:7" ht="13.5" customHeight="1">
      <c r="A457" s="2015" t="s">
        <v>1560</v>
      </c>
      <c r="B457" s="1601"/>
      <c r="C457" s="1601"/>
      <c r="D457" s="1601"/>
      <c r="E457" s="1601"/>
      <c r="F457" s="1801"/>
      <c r="G457" s="769">
        <f>SUM(F456)</f>
        <v>0</v>
      </c>
    </row>
    <row r="458" spans="1:7" ht="13.5" customHeight="1">
      <c r="A458" s="621" t="s">
        <v>1564</v>
      </c>
      <c r="B458" s="618"/>
      <c r="C458" s="618"/>
      <c r="D458" s="618"/>
      <c r="E458" s="618"/>
      <c r="F458" s="618"/>
      <c r="G458" s="618"/>
    </row>
    <row r="459" spans="1:7" ht="13.5" customHeight="1">
      <c r="A459" s="1975" t="s">
        <v>1565</v>
      </c>
      <c r="B459" s="1801"/>
      <c r="C459" s="424" t="s">
        <v>1566</v>
      </c>
      <c r="D459" s="424" t="s">
        <v>6</v>
      </c>
      <c r="E459" s="424" t="s">
        <v>7</v>
      </c>
      <c r="F459" s="424" t="s">
        <v>1559</v>
      </c>
      <c r="G459" s="693"/>
    </row>
    <row r="460" spans="1:7" ht="13.5" customHeight="1">
      <c r="A460" s="2004" t="str">
        <f>+'MANO DE OBRA'!$A$64</f>
        <v>Oficial (Incl. Prestaciones)</v>
      </c>
      <c r="B460" s="1888"/>
      <c r="C460" s="679">
        <f>+'MANO DE OBRA'!$E$64</f>
        <v>15031.25</v>
      </c>
      <c r="D460" s="680">
        <v>1</v>
      </c>
      <c r="E460" s="680">
        <v>0.6</v>
      </c>
      <c r="F460" s="710">
        <f t="shared" ref="F460:F461" si="39">+(C460*D460)*E460</f>
        <v>9018.75</v>
      </c>
      <c r="G460" s="688"/>
    </row>
    <row r="461" spans="1:7" ht="13.5" customHeight="1">
      <c r="A461" s="1984" t="str">
        <f>+'MANO DE OBRA'!$A$65</f>
        <v>Ayudante (Incl. Prestaciones)</v>
      </c>
      <c r="B461" s="1819"/>
      <c r="C461" s="747">
        <f>+'MANO DE OBRA'!$E$65</f>
        <v>10972.8125</v>
      </c>
      <c r="D461" s="614">
        <v>1</v>
      </c>
      <c r="E461" s="614">
        <f>+E460</f>
        <v>0.6</v>
      </c>
      <c r="F461" s="753">
        <f t="shared" si="39"/>
        <v>6583.6875</v>
      </c>
      <c r="G461" s="435"/>
    </row>
    <row r="462" spans="1:7" ht="13.5" customHeight="1">
      <c r="A462" s="2015" t="str">
        <f>+A457</f>
        <v>SUB-TOTAL</v>
      </c>
      <c r="B462" s="1601"/>
      <c r="C462" s="1601"/>
      <c r="D462" s="1601"/>
      <c r="E462" s="1601"/>
      <c r="F462" s="1801"/>
      <c r="G462" s="769">
        <f>SUM(F460:F461)</f>
        <v>15602.4375</v>
      </c>
    </row>
    <row r="463" spans="1:7" ht="11.25" customHeight="1">
      <c r="A463" s="618"/>
      <c r="B463" s="618"/>
      <c r="C463" s="618"/>
      <c r="D463" s="618"/>
      <c r="E463" s="618"/>
      <c r="F463" s="748"/>
      <c r="G463" s="618"/>
    </row>
    <row r="464" spans="1:7" ht="13.5" customHeight="1">
      <c r="A464" s="2015" t="s">
        <v>1567</v>
      </c>
      <c r="B464" s="1601"/>
      <c r="C464" s="1601"/>
      <c r="D464" s="1601"/>
      <c r="E464" s="1601"/>
      <c r="F464" s="1801"/>
      <c r="G464" s="1029">
        <f>ROUND(G445+G452+G457+G462,0)</f>
        <v>45337</v>
      </c>
    </row>
    <row r="467" spans="1:7" ht="27" customHeight="1">
      <c r="A467" s="2005" t="s">
        <v>1604</v>
      </c>
      <c r="B467" s="1616"/>
      <c r="C467" s="1624"/>
      <c r="D467" s="567"/>
      <c r="E467" s="567"/>
      <c r="F467" s="567"/>
      <c r="G467" s="668"/>
    </row>
    <row r="468" spans="1:7" ht="24" customHeight="1">
      <c r="A468" s="2012"/>
      <c r="B468" s="1817"/>
      <c r="C468" s="1972"/>
      <c r="D468" s="669"/>
      <c r="E468" s="669"/>
      <c r="F468" s="669"/>
      <c r="G468" s="670"/>
    </row>
    <row r="469" spans="1:7" ht="13.5" customHeight="1">
      <c r="A469" s="618"/>
      <c r="B469" s="618"/>
      <c r="C469" s="618"/>
      <c r="D469" s="618"/>
      <c r="E469" s="618"/>
      <c r="F469" s="618"/>
      <c r="G469" s="618"/>
    </row>
    <row r="470" spans="1:7" ht="35.25" customHeight="1">
      <c r="A470" s="1991" t="e">
        <f ca="1">A10</f>
        <v>#NAME?</v>
      </c>
      <c r="B470" s="1601"/>
      <c r="C470" s="1602"/>
      <c r="D470" s="1974" t="s">
        <v>2429</v>
      </c>
      <c r="E470" s="1601"/>
      <c r="F470" s="1601"/>
      <c r="G470" s="1602"/>
    </row>
    <row r="471" spans="1:7" ht="13.5" customHeight="1">
      <c r="A471" s="620"/>
      <c r="B471" s="620"/>
      <c r="C471" s="620"/>
      <c r="D471" s="620"/>
      <c r="E471" s="620"/>
      <c r="F471" s="620"/>
      <c r="G471" s="620"/>
    </row>
    <row r="472" spans="1:7" ht="12.75" customHeight="1">
      <c r="A472" s="572"/>
      <c r="B472" s="618"/>
      <c r="C472" s="616"/>
      <c r="D472" s="421" t="s">
        <v>1553</v>
      </c>
      <c r="E472" s="422" t="s">
        <v>228</v>
      </c>
      <c r="F472" s="572"/>
      <c r="G472" s="572"/>
    </row>
    <row r="473" spans="1:7" ht="13.5" customHeight="1">
      <c r="A473" s="621" t="s">
        <v>1555</v>
      </c>
      <c r="B473" s="618"/>
      <c r="C473" s="618"/>
      <c r="D473" s="618"/>
      <c r="E473" s="618"/>
      <c r="F473" s="618"/>
      <c r="G473" s="618"/>
    </row>
    <row r="474" spans="1:7" ht="13.5" customHeight="1">
      <c r="A474" s="1975" t="s">
        <v>1556</v>
      </c>
      <c r="B474" s="1601"/>
      <c r="C474" s="1801"/>
      <c r="D474" s="424" t="s">
        <v>208</v>
      </c>
      <c r="E474" s="424" t="s">
        <v>1558</v>
      </c>
      <c r="F474" s="424" t="s">
        <v>1559</v>
      </c>
      <c r="G474" s="425"/>
    </row>
    <row r="475" spans="1:7" ht="13.5" customHeight="1">
      <c r="A475" s="1987" t="str">
        <f>+'LISTADO EQUIPOS'!$C$22</f>
        <v>HERRAMIENTA MENOR.</v>
      </c>
      <c r="B475" s="1811"/>
      <c r="C475" s="1967"/>
      <c r="D475" s="739" t="s">
        <v>1569</v>
      </c>
      <c r="E475" s="687"/>
      <c r="F475" s="675">
        <v>500</v>
      </c>
      <c r="G475" s="688"/>
    </row>
    <row r="476" spans="1:7" ht="13.5" customHeight="1">
      <c r="A476" s="1996"/>
      <c r="B476" s="1807"/>
      <c r="C476" s="1819"/>
      <c r="D476" s="434"/>
      <c r="E476" s="433"/>
      <c r="F476" s="434"/>
      <c r="G476" s="435"/>
    </row>
    <row r="477" spans="1:7" ht="13.5" customHeight="1">
      <c r="A477" s="2015" t="s">
        <v>1560</v>
      </c>
      <c r="B477" s="1601"/>
      <c r="C477" s="1601"/>
      <c r="D477" s="1601"/>
      <c r="E477" s="1601"/>
      <c r="F477" s="1801"/>
      <c r="G477" s="769">
        <f>SUM(F475:F476)</f>
        <v>500</v>
      </c>
    </row>
    <row r="478" spans="1:7" ht="13.5" customHeight="1">
      <c r="A478" s="621" t="s">
        <v>1561</v>
      </c>
      <c r="B478" s="618"/>
      <c r="C478" s="618"/>
      <c r="D478" s="618"/>
      <c r="E478" s="618"/>
      <c r="F478" s="618"/>
      <c r="G478" s="618"/>
    </row>
    <row r="479" spans="1:7" ht="13.5" customHeight="1">
      <c r="A479" s="1975" t="s">
        <v>1556</v>
      </c>
      <c r="B479" s="1801"/>
      <c r="C479" s="424" t="s">
        <v>6</v>
      </c>
      <c r="D479" s="424" t="s">
        <v>1562</v>
      </c>
      <c r="E479" s="424" t="s">
        <v>7</v>
      </c>
      <c r="F479" s="424" t="s">
        <v>1559</v>
      </c>
      <c r="G479" s="425"/>
    </row>
    <row r="480" spans="1:7" ht="13.5" customHeight="1">
      <c r="A480" s="1987" t="str">
        <f>+'ANALISIS BASICOS'!$A$228</f>
        <v>MORTERO 1:4</v>
      </c>
      <c r="B480" s="1967"/>
      <c r="C480" s="674" t="str">
        <f>+'ANALISIS BASICOS'!$E$204</f>
        <v>M3</v>
      </c>
      <c r="D480" s="675">
        <f>+'ANALISIS BASICOS'!$G$228</f>
        <v>384656</v>
      </c>
      <c r="E480" s="674">
        <v>0.02</v>
      </c>
      <c r="F480" s="675">
        <f t="shared" ref="F480:F482" si="40">+E480*D480</f>
        <v>7693.12</v>
      </c>
      <c r="G480" s="688"/>
    </row>
    <row r="481" spans="1:7" ht="18" customHeight="1">
      <c r="A481" s="1995" t="str">
        <f>+'LISTADO MATERIALES'!$C$357</f>
        <v>TABLÓN DE GRES ALFA O SIMILAR 33X33</v>
      </c>
      <c r="B481" s="1611"/>
      <c r="C481" s="444" t="str">
        <f>+'LISTADO MATERIALES'!$D$357</f>
        <v>M2</v>
      </c>
      <c r="D481" s="464">
        <f>+'LISTADO MATERIALES'!$E$357</f>
        <v>18375</v>
      </c>
      <c r="E481" s="444">
        <v>1.05</v>
      </c>
      <c r="F481" s="464">
        <f t="shared" si="40"/>
        <v>19293.75</v>
      </c>
      <c r="G481" s="751"/>
    </row>
    <row r="482" spans="1:7" ht="13.5" customHeight="1">
      <c r="A482" s="1995" t="str">
        <f>+'LISTADO MATERIALES'!$C$144</f>
        <v>COLOR MINERAL NAL.</v>
      </c>
      <c r="B482" s="1611"/>
      <c r="C482" s="444" t="str">
        <f>+'LISTADO MATERIALES'!$D$144</f>
        <v>KG</v>
      </c>
      <c r="D482" s="464">
        <f>+'LISTADO MATERIALES'!$E$144</f>
        <v>8925</v>
      </c>
      <c r="E482" s="444">
        <v>0.1</v>
      </c>
      <c r="F482" s="464">
        <f t="shared" si="40"/>
        <v>892.5</v>
      </c>
      <c r="G482" s="751"/>
    </row>
    <row r="483" spans="1:7" ht="13.5" customHeight="1">
      <c r="A483" s="1995"/>
      <c r="B483" s="1611"/>
      <c r="C483" s="444"/>
      <c r="D483" s="464"/>
      <c r="E483" s="444"/>
      <c r="F483" s="464"/>
      <c r="G483" s="751"/>
    </row>
    <row r="484" spans="1:7" ht="13.5" customHeight="1">
      <c r="A484" s="2015" t="s">
        <v>1560</v>
      </c>
      <c r="B484" s="1601"/>
      <c r="C484" s="1601"/>
      <c r="D484" s="1601"/>
      <c r="E484" s="1601"/>
      <c r="F484" s="1801"/>
      <c r="G484" s="769">
        <f>SUM(F480:F483)</f>
        <v>27879.37</v>
      </c>
    </row>
    <row r="485" spans="1:7" ht="13.5" customHeight="1">
      <c r="A485" s="621" t="s">
        <v>1563</v>
      </c>
      <c r="B485" s="618"/>
      <c r="C485" s="618"/>
      <c r="D485" s="618"/>
      <c r="E485" s="618"/>
      <c r="F485" s="618"/>
      <c r="G485" s="618"/>
    </row>
    <row r="486" spans="1:7" ht="13.5" customHeight="1">
      <c r="A486" s="1975" t="s">
        <v>1556</v>
      </c>
      <c r="B486" s="1801"/>
      <c r="C486" s="424" t="s">
        <v>6</v>
      </c>
      <c r="D486" s="424" t="s">
        <v>1562</v>
      </c>
      <c r="E486" s="424" t="s">
        <v>7</v>
      </c>
      <c r="F486" s="424" t="s">
        <v>1559</v>
      </c>
      <c r="G486" s="690"/>
    </row>
    <row r="487" spans="1:7" ht="13.5" customHeight="1">
      <c r="A487" s="1987" t="str">
        <f>+'LISTADO EQUIPOS'!$C$125</f>
        <v>VOLQUETA (5-6)M3</v>
      </c>
      <c r="B487" s="1967"/>
      <c r="C487" s="744" t="str">
        <f>+'LISTADO EQUIPOS'!$D$125</f>
        <v>VJ</v>
      </c>
      <c r="D487" s="675">
        <f>+'LISTADO EQUIPOS'!$E$125</f>
        <v>90000</v>
      </c>
      <c r="E487" s="1046">
        <v>0.03</v>
      </c>
      <c r="F487" s="464">
        <f>D487*E487</f>
        <v>2700</v>
      </c>
      <c r="G487" s="688"/>
    </row>
    <row r="488" spans="1:7" ht="13.5" customHeight="1">
      <c r="A488" s="1996"/>
      <c r="B488" s="1819"/>
      <c r="C488" s="744"/>
      <c r="D488" s="434"/>
      <c r="E488" s="746"/>
      <c r="F488" s="434"/>
      <c r="G488" s="768"/>
    </row>
    <row r="489" spans="1:7" ht="13.5" customHeight="1">
      <c r="A489" s="2015" t="s">
        <v>1560</v>
      </c>
      <c r="B489" s="1601"/>
      <c r="C489" s="1601"/>
      <c r="D489" s="1601"/>
      <c r="E489" s="1601"/>
      <c r="F489" s="1801"/>
      <c r="G489" s="769">
        <f>SUM(F488)</f>
        <v>0</v>
      </c>
    </row>
    <row r="490" spans="1:7" ht="13.5" customHeight="1">
      <c r="A490" s="621" t="s">
        <v>1564</v>
      </c>
      <c r="B490" s="618"/>
      <c r="C490" s="618"/>
      <c r="D490" s="618"/>
      <c r="E490" s="618"/>
      <c r="F490" s="618"/>
      <c r="G490" s="618"/>
    </row>
    <row r="491" spans="1:7" ht="13.5" customHeight="1">
      <c r="A491" s="1975" t="s">
        <v>1565</v>
      </c>
      <c r="B491" s="1801"/>
      <c r="C491" s="424" t="s">
        <v>1566</v>
      </c>
      <c r="D491" s="424" t="s">
        <v>6</v>
      </c>
      <c r="E491" s="424" t="s">
        <v>7</v>
      </c>
      <c r="F491" s="424" t="s">
        <v>1559</v>
      </c>
      <c r="G491" s="693"/>
    </row>
    <row r="492" spans="1:7" ht="13.5" customHeight="1">
      <c r="A492" s="2004" t="str">
        <f>+'MANO DE OBRA'!$A$64</f>
        <v>Oficial (Incl. Prestaciones)</v>
      </c>
      <c r="B492" s="1888"/>
      <c r="C492" s="679">
        <f>+'MANO DE OBRA'!$E$64</f>
        <v>15031.25</v>
      </c>
      <c r="D492" s="680">
        <v>1</v>
      </c>
      <c r="E492" s="680">
        <v>1.9</v>
      </c>
      <c r="F492" s="785">
        <f t="shared" ref="F492:F493" si="41">+(C492*D492)/E492</f>
        <v>7911.1842105263158</v>
      </c>
      <c r="G492" s="688"/>
    </row>
    <row r="493" spans="1:7" ht="13.5" customHeight="1">
      <c r="A493" s="1984" t="str">
        <f>+'MANO DE OBRA'!$A$65</f>
        <v>Ayudante (Incl. Prestaciones)</v>
      </c>
      <c r="B493" s="1819"/>
      <c r="C493" s="747">
        <f>+'MANO DE OBRA'!$E$65</f>
        <v>10972.8125</v>
      </c>
      <c r="D493" s="614">
        <v>3</v>
      </c>
      <c r="E493" s="614">
        <f>+E492</f>
        <v>1.9</v>
      </c>
      <c r="F493" s="787">
        <f t="shared" si="41"/>
        <v>17325.493421052633</v>
      </c>
      <c r="G493" s="435"/>
    </row>
    <row r="494" spans="1:7" ht="13.5" customHeight="1">
      <c r="A494" s="2015" t="str">
        <f>+A489</f>
        <v>SUB-TOTAL</v>
      </c>
      <c r="B494" s="1601"/>
      <c r="C494" s="1601"/>
      <c r="D494" s="1601"/>
      <c r="E494" s="1601"/>
      <c r="F494" s="1801"/>
      <c r="G494" s="769">
        <f>SUM(F492:F493)</f>
        <v>25236.67763157895</v>
      </c>
    </row>
    <row r="495" spans="1:7" ht="11.25" customHeight="1">
      <c r="A495" s="618"/>
      <c r="B495" s="618"/>
      <c r="C495" s="618"/>
      <c r="D495" s="618"/>
      <c r="E495" s="618"/>
      <c r="F495" s="748"/>
      <c r="G495" s="618"/>
    </row>
    <row r="496" spans="1:7" ht="13.5" customHeight="1">
      <c r="A496" s="2015" t="s">
        <v>1567</v>
      </c>
      <c r="B496" s="1601"/>
      <c r="C496" s="1601"/>
      <c r="D496" s="1601"/>
      <c r="E496" s="1601"/>
      <c r="F496" s="1801"/>
      <c r="G496" s="1029">
        <f>ROUND(G477+G484+G489+G494,0)</f>
        <v>53616</v>
      </c>
    </row>
    <row r="499" spans="1:7" ht="24" customHeight="1">
      <c r="A499" s="1994" t="e">
        <f>+'ANALISIS BASICOS'!$A$7</f>
        <v>#REF!</v>
      </c>
      <c r="B499" s="1616"/>
      <c r="C499" s="1624"/>
      <c r="D499" s="1990"/>
      <c r="E499" s="1616"/>
      <c r="F499" s="1616"/>
      <c r="G499" s="1624"/>
    </row>
    <row r="500" spans="1:7" ht="27.75" customHeight="1">
      <c r="A500" s="1971"/>
      <c r="B500" s="1817"/>
      <c r="C500" s="1972"/>
      <c r="D500" s="1971"/>
      <c r="E500" s="1817"/>
      <c r="F500" s="1817"/>
      <c r="G500" s="1972"/>
    </row>
    <row r="501" spans="1:7" ht="13.5" customHeight="1">
      <c r="A501" s="618"/>
      <c r="B501" s="618"/>
      <c r="C501" s="618"/>
      <c r="D501" s="618"/>
      <c r="E501" s="618"/>
      <c r="F501" s="618"/>
      <c r="G501" s="618"/>
    </row>
    <row r="502" spans="1:7" ht="39" customHeight="1">
      <c r="A502" s="1991" t="e">
        <f ca="1">A10</f>
        <v>#NAME?</v>
      </c>
      <c r="B502" s="1601"/>
      <c r="C502" s="1602"/>
      <c r="D502" s="1974" t="s">
        <v>2430</v>
      </c>
      <c r="E502" s="1601"/>
      <c r="F502" s="1601"/>
      <c r="G502" s="1602"/>
    </row>
    <row r="503" spans="1:7" ht="13.5" customHeight="1">
      <c r="A503" s="620"/>
      <c r="B503" s="620"/>
      <c r="C503" s="620"/>
      <c r="D503" s="620"/>
      <c r="E503" s="620"/>
      <c r="F503" s="620"/>
      <c r="G503" s="620"/>
    </row>
    <row r="504" spans="1:7" ht="12.75" customHeight="1">
      <c r="A504" s="572"/>
      <c r="B504" s="618"/>
      <c r="C504" s="616"/>
      <c r="D504" s="421" t="s">
        <v>1553</v>
      </c>
      <c r="E504" s="422" t="s">
        <v>228</v>
      </c>
      <c r="F504" s="421" t="s">
        <v>1554</v>
      </c>
      <c r="G504" s="422" t="s">
        <v>159</v>
      </c>
    </row>
    <row r="505" spans="1:7" ht="13.5" customHeight="1">
      <c r="A505" s="621" t="s">
        <v>1555</v>
      </c>
      <c r="B505" s="618"/>
      <c r="C505" s="618"/>
      <c r="D505" s="618"/>
      <c r="E505" s="618"/>
      <c r="F505" s="618"/>
      <c r="G505" s="618"/>
    </row>
    <row r="506" spans="1:7" ht="13.5" customHeight="1">
      <c r="A506" s="1975" t="s">
        <v>1556</v>
      </c>
      <c r="B506" s="1601"/>
      <c r="C506" s="1801"/>
      <c r="D506" s="424" t="s">
        <v>208</v>
      </c>
      <c r="E506" s="424" t="s">
        <v>1558</v>
      </c>
      <c r="F506" s="424" t="s">
        <v>1559</v>
      </c>
      <c r="G506" s="425"/>
    </row>
    <row r="507" spans="1:7" ht="13.5" customHeight="1">
      <c r="A507" s="1987" t="str">
        <f>+'LISTADO EQUIPOS'!$C$22</f>
        <v>HERRAMIENTA MENOR.</v>
      </c>
      <c r="B507" s="1811"/>
      <c r="C507" s="1967"/>
      <c r="D507" s="675">
        <f>+'LISTADO EQUIPOS'!$E$22/8</f>
        <v>2850</v>
      </c>
      <c r="E507" s="687">
        <f>0.9</f>
        <v>0.9</v>
      </c>
      <c r="F507" s="442">
        <f>+E507*D507</f>
        <v>2565</v>
      </c>
      <c r="G507" s="688"/>
    </row>
    <row r="508" spans="1:7" ht="13.5" customHeight="1">
      <c r="A508" s="1996"/>
      <c r="B508" s="1807"/>
      <c r="C508" s="1819"/>
      <c r="D508" s="434"/>
      <c r="E508" s="433"/>
      <c r="F508" s="434"/>
      <c r="G508" s="435"/>
    </row>
    <row r="509" spans="1:7" ht="13.5" customHeight="1">
      <c r="A509" s="2015" t="s">
        <v>1560</v>
      </c>
      <c r="B509" s="1601"/>
      <c r="C509" s="1601"/>
      <c r="D509" s="1601"/>
      <c r="E509" s="1601"/>
      <c r="F509" s="1801"/>
      <c r="G509" s="462">
        <f>SUM(F507:F508)</f>
        <v>2565</v>
      </c>
    </row>
    <row r="510" spans="1:7" ht="13.5" customHeight="1">
      <c r="A510" s="621" t="s">
        <v>1561</v>
      </c>
      <c r="B510" s="618"/>
      <c r="C510" s="618"/>
      <c r="D510" s="618"/>
      <c r="E510" s="618"/>
      <c r="F510" s="618"/>
      <c r="G510" s="743"/>
    </row>
    <row r="511" spans="1:7" ht="13.5" customHeight="1">
      <c r="A511" s="1975" t="s">
        <v>1556</v>
      </c>
      <c r="B511" s="1801"/>
      <c r="C511" s="424" t="s">
        <v>6</v>
      </c>
      <c r="D511" s="424" t="s">
        <v>1562</v>
      </c>
      <c r="E511" s="424" t="s">
        <v>7</v>
      </c>
      <c r="F511" s="424" t="s">
        <v>1559</v>
      </c>
      <c r="G511" s="673"/>
    </row>
    <row r="512" spans="1:7" ht="13.5" customHeight="1">
      <c r="A512" s="1987" t="str">
        <f>+'LISTADO MATERIALES'!$C$352</f>
        <v>TABLETA CERAMICA TIPO GRANILLA</v>
      </c>
      <c r="B512" s="1967"/>
      <c r="C512" s="674" t="str">
        <f>+'LISTADO MATERIALES'!$D$352</f>
        <v>M2</v>
      </c>
      <c r="D512" s="675">
        <v>20500</v>
      </c>
      <c r="E512" s="674">
        <v>1.03</v>
      </c>
      <c r="F512" s="442">
        <f t="shared" ref="F512:F513" si="42">+E512*D512</f>
        <v>21115</v>
      </c>
      <c r="G512" s="676"/>
    </row>
    <row r="513" spans="1:7" ht="13.5" customHeight="1">
      <c r="A513" s="1995" t="str">
        <f>+'LISTADO MATERIALES'!$C$169</f>
        <v>PEGAENCHAPE</v>
      </c>
      <c r="B513" s="1611"/>
      <c r="C513" s="444" t="str">
        <f>+'LISTADO MATERIALES'!$D$169</f>
        <v>KG</v>
      </c>
      <c r="D513" s="464">
        <f>+'LISTADO MATERIALES'!$E$169</f>
        <v>1260</v>
      </c>
      <c r="E513" s="444">
        <v>3.5</v>
      </c>
      <c r="F513" s="440">
        <f t="shared" si="42"/>
        <v>4410</v>
      </c>
      <c r="G513" s="707"/>
    </row>
    <row r="514" spans="1:7" ht="13.5" customHeight="1">
      <c r="A514" s="1995"/>
      <c r="B514" s="1611"/>
      <c r="C514" s="444"/>
      <c r="D514" s="464"/>
      <c r="E514" s="444"/>
      <c r="F514" s="464"/>
      <c r="G514" s="707"/>
    </row>
    <row r="515" spans="1:7" ht="13.5" customHeight="1">
      <c r="A515" s="1996"/>
      <c r="B515" s="1819"/>
      <c r="C515" s="708"/>
      <c r="D515" s="434"/>
      <c r="E515" s="708"/>
      <c r="F515" s="434"/>
      <c r="G515" s="709"/>
    </row>
    <row r="516" spans="1:7" ht="13.5" customHeight="1">
      <c r="A516" s="2015" t="s">
        <v>1560</v>
      </c>
      <c r="B516" s="1601"/>
      <c r="C516" s="1601"/>
      <c r="D516" s="1601"/>
      <c r="E516" s="1601"/>
      <c r="F516" s="1801"/>
      <c r="G516" s="462">
        <f>SUM(F512:F515)</f>
        <v>25525</v>
      </c>
    </row>
    <row r="517" spans="1:7" ht="13.5" customHeight="1">
      <c r="A517" s="621" t="s">
        <v>1563</v>
      </c>
      <c r="B517" s="618"/>
      <c r="C517" s="618"/>
      <c r="D517" s="618"/>
      <c r="E517" s="618"/>
      <c r="F517" s="618"/>
      <c r="G517" s="743"/>
    </row>
    <row r="518" spans="1:7" ht="13.5" customHeight="1">
      <c r="A518" s="1975" t="s">
        <v>1556</v>
      </c>
      <c r="B518" s="1801"/>
      <c r="C518" s="424" t="s">
        <v>6</v>
      </c>
      <c r="D518" s="424" t="s">
        <v>1562</v>
      </c>
      <c r="E518" s="424" t="s">
        <v>7</v>
      </c>
      <c r="F518" s="424" t="s">
        <v>1559</v>
      </c>
      <c r="G518" s="438"/>
    </row>
    <row r="519" spans="1:7" ht="13.5" customHeight="1">
      <c r="A519" s="1987"/>
      <c r="B519" s="1967"/>
      <c r="C519" s="744"/>
      <c r="D519" s="675"/>
      <c r="E519" s="745"/>
      <c r="F519" s="464"/>
      <c r="G519" s="676"/>
    </row>
    <row r="520" spans="1:7" ht="13.5" customHeight="1">
      <c r="A520" s="1996"/>
      <c r="B520" s="1819"/>
      <c r="C520" s="744"/>
      <c r="D520" s="434"/>
      <c r="E520" s="746"/>
      <c r="F520" s="434"/>
      <c r="G520" s="457"/>
    </row>
    <row r="521" spans="1:7" ht="13.5" customHeight="1">
      <c r="A521" s="2015" t="s">
        <v>1560</v>
      </c>
      <c r="B521" s="1601"/>
      <c r="C521" s="1601"/>
      <c r="D521" s="1601"/>
      <c r="E521" s="1601"/>
      <c r="F521" s="1801"/>
      <c r="G521" s="462"/>
    </row>
    <row r="522" spans="1:7" ht="13.5" customHeight="1">
      <c r="A522" s="621" t="s">
        <v>1564</v>
      </c>
      <c r="B522" s="618"/>
      <c r="C522" s="618"/>
      <c r="D522" s="618"/>
      <c r="E522" s="618"/>
      <c r="F522" s="618"/>
      <c r="G522" s="743"/>
    </row>
    <row r="523" spans="1:7" ht="13.5" customHeight="1">
      <c r="A523" s="1975" t="s">
        <v>1565</v>
      </c>
      <c r="B523" s="1801"/>
      <c r="C523" s="424" t="s">
        <v>1566</v>
      </c>
      <c r="D523" s="424" t="s">
        <v>6</v>
      </c>
      <c r="E523" s="424" t="s">
        <v>7</v>
      </c>
      <c r="F523" s="424" t="s">
        <v>1559</v>
      </c>
      <c r="G523" s="462"/>
    </row>
    <row r="524" spans="1:7" ht="13.5" customHeight="1">
      <c r="A524" s="2004" t="str">
        <f>+'MANO DE OBRA'!$A$64</f>
        <v>Oficial (Incl. Prestaciones)</v>
      </c>
      <c r="B524" s="1888"/>
      <c r="C524" s="679">
        <f>+'MANO DE OBRA'!$E$64</f>
        <v>15031.25</v>
      </c>
      <c r="D524" s="680">
        <v>1</v>
      </c>
      <c r="E524" s="680">
        <v>0.9</v>
      </c>
      <c r="F524" s="694">
        <f t="shared" ref="F524:F525" si="43">+(C524*D524)*E524</f>
        <v>13528.125</v>
      </c>
      <c r="G524" s="676"/>
    </row>
    <row r="525" spans="1:7" ht="13.5" customHeight="1">
      <c r="A525" s="1984" t="str">
        <f>+'MANO DE OBRA'!$A$65</f>
        <v>Ayudante (Incl. Prestaciones)</v>
      </c>
      <c r="B525" s="1819"/>
      <c r="C525" s="747">
        <f>+'MANO DE OBRA'!$E$65</f>
        <v>10972.8125</v>
      </c>
      <c r="D525" s="614">
        <v>1</v>
      </c>
      <c r="E525" s="614">
        <f>+E524</f>
        <v>0.9</v>
      </c>
      <c r="F525" s="455">
        <f t="shared" si="43"/>
        <v>9875.53125</v>
      </c>
      <c r="G525" s="709"/>
    </row>
    <row r="526" spans="1:7" ht="13.5" customHeight="1">
      <c r="A526" s="2015" t="str">
        <f>+A521</f>
        <v>SUB-TOTAL</v>
      </c>
      <c r="B526" s="1601"/>
      <c r="C526" s="1601"/>
      <c r="D526" s="1601"/>
      <c r="E526" s="1601"/>
      <c r="F526" s="1801"/>
      <c r="G526" s="462">
        <f>SUM(F524:F525)</f>
        <v>23403.65625</v>
      </c>
    </row>
    <row r="527" spans="1:7" ht="11.25" customHeight="1">
      <c r="A527" s="618"/>
      <c r="B527" s="618"/>
      <c r="C527" s="618"/>
      <c r="D527" s="618"/>
      <c r="E527" s="618"/>
      <c r="F527" s="748"/>
      <c r="G527" s="743"/>
    </row>
    <row r="528" spans="1:7" ht="13.5" customHeight="1">
      <c r="A528" s="2015" t="s">
        <v>1567</v>
      </c>
      <c r="B528" s="1601"/>
      <c r="C528" s="1601"/>
      <c r="D528" s="1601"/>
      <c r="E528" s="1601"/>
      <c r="F528" s="1801"/>
      <c r="G528" s="459">
        <f>ROUND(G509+G516+G521+G526,0)</f>
        <v>51494</v>
      </c>
    </row>
    <row r="531" spans="1:7" ht="27" customHeight="1">
      <c r="A531" s="2005" t="s">
        <v>1604</v>
      </c>
      <c r="B531" s="1616"/>
      <c r="C531" s="1624"/>
      <c r="D531" s="567"/>
      <c r="E531" s="567"/>
      <c r="F531" s="567"/>
      <c r="G531" s="668"/>
    </row>
    <row r="532" spans="1:7" ht="24" customHeight="1">
      <c r="A532" s="1971"/>
      <c r="B532" s="1817"/>
      <c r="C532" s="1972"/>
      <c r="D532" s="669"/>
      <c r="E532" s="669"/>
      <c r="F532" s="669"/>
      <c r="G532" s="670"/>
    </row>
    <row r="533" spans="1:7" ht="13.5" customHeight="1">
      <c r="A533" s="618"/>
      <c r="B533" s="618"/>
      <c r="C533" s="618"/>
      <c r="D533" s="618"/>
      <c r="E533" s="618"/>
      <c r="F533" s="618"/>
      <c r="G533" s="618"/>
    </row>
    <row r="534" spans="1:7" ht="35.25" customHeight="1">
      <c r="A534" s="1973" t="e">
        <f ca="1">A10</f>
        <v>#NAME?</v>
      </c>
      <c r="B534" s="1601"/>
      <c r="C534" s="1602"/>
      <c r="D534" s="1974" t="s">
        <v>2431</v>
      </c>
      <c r="E534" s="1601"/>
      <c r="F534" s="1601"/>
      <c r="G534" s="1602"/>
    </row>
    <row r="535" spans="1:7" ht="13.5" customHeight="1">
      <c r="A535" s="620"/>
      <c r="B535" s="620"/>
      <c r="C535" s="620"/>
      <c r="D535" s="620"/>
      <c r="E535" s="620"/>
      <c r="F535" s="620"/>
      <c r="G535" s="620"/>
    </row>
    <row r="536" spans="1:7" ht="12.75" customHeight="1">
      <c r="A536" s="572"/>
      <c r="B536" s="618"/>
      <c r="C536" s="616"/>
      <c r="D536" s="421" t="s">
        <v>1553</v>
      </c>
      <c r="E536" s="422" t="s">
        <v>228</v>
      </c>
      <c r="F536" s="572"/>
      <c r="G536" s="572"/>
    </row>
    <row r="537" spans="1:7" ht="13.5" customHeight="1">
      <c r="A537" s="621" t="s">
        <v>1555</v>
      </c>
      <c r="B537" s="618"/>
      <c r="C537" s="618"/>
      <c r="D537" s="618"/>
      <c r="E537" s="618"/>
      <c r="F537" s="618"/>
      <c r="G537" s="618"/>
    </row>
    <row r="538" spans="1:7" ht="13.5" customHeight="1">
      <c r="A538" s="1975" t="s">
        <v>1556</v>
      </c>
      <c r="B538" s="1601"/>
      <c r="C538" s="1801"/>
      <c r="D538" s="424" t="s">
        <v>208</v>
      </c>
      <c r="E538" s="424" t="s">
        <v>1558</v>
      </c>
      <c r="F538" s="424" t="s">
        <v>1559</v>
      </c>
      <c r="G538" s="425"/>
    </row>
    <row r="539" spans="1:7" ht="13.5" customHeight="1">
      <c r="A539" s="1987" t="str">
        <f>+'LISTADO EQUIPOS'!$C$22</f>
        <v>HERRAMIENTA MENOR.</v>
      </c>
      <c r="B539" s="1811"/>
      <c r="C539" s="1967"/>
      <c r="D539" s="675">
        <f>+'LISTADO EQUIPOS'!$E$22/8</f>
        <v>2850</v>
      </c>
      <c r="E539" s="687">
        <f>+E556</f>
        <v>0</v>
      </c>
      <c r="F539" s="442">
        <f>+E539*D539</f>
        <v>0</v>
      </c>
      <c r="G539" s="688"/>
    </row>
    <row r="540" spans="1:7" ht="13.5" customHeight="1">
      <c r="A540" s="1996"/>
      <c r="B540" s="1807"/>
      <c r="C540" s="1819"/>
      <c r="D540" s="434"/>
      <c r="E540" s="758"/>
      <c r="F540" s="434"/>
      <c r="G540" s="435"/>
    </row>
    <row r="541" spans="1:7" ht="13.5" customHeight="1">
      <c r="A541" s="2015" t="s">
        <v>1560</v>
      </c>
      <c r="B541" s="1601"/>
      <c r="C541" s="1601"/>
      <c r="D541" s="1601"/>
      <c r="E541" s="1601"/>
      <c r="F541" s="1801"/>
      <c r="G541" s="462">
        <f>SUM(F539:F540)</f>
        <v>0</v>
      </c>
    </row>
    <row r="542" spans="1:7" ht="13.5" customHeight="1">
      <c r="A542" s="621" t="s">
        <v>1561</v>
      </c>
      <c r="B542" s="618"/>
      <c r="C542" s="618"/>
      <c r="D542" s="618"/>
      <c r="E542" s="618"/>
      <c r="F542" s="618"/>
      <c r="G542" s="743"/>
    </row>
    <row r="543" spans="1:7" ht="13.5" customHeight="1">
      <c r="A543" s="1975" t="s">
        <v>1556</v>
      </c>
      <c r="B543" s="1801"/>
      <c r="C543" s="424" t="s">
        <v>6</v>
      </c>
      <c r="D543" s="424" t="s">
        <v>1562</v>
      </c>
      <c r="E543" s="424" t="s">
        <v>7</v>
      </c>
      <c r="F543" s="424" t="s">
        <v>1559</v>
      </c>
      <c r="G543" s="673"/>
    </row>
    <row r="544" spans="1:7" ht="13.5" customHeight="1">
      <c r="A544" s="1987" t="str">
        <f>+'ANALISIS BASICOS'!$A$228</f>
        <v>MORTERO 1:4</v>
      </c>
      <c r="B544" s="1967"/>
      <c r="C544" s="674" t="str">
        <f>+'ANALISIS BASICOS'!$E$204</f>
        <v>M3</v>
      </c>
      <c r="D544" s="675">
        <f>+'ANALISIS BASICOS'!$G$228</f>
        <v>384656</v>
      </c>
      <c r="E544" s="674">
        <v>0.03</v>
      </c>
      <c r="F544" s="442">
        <f t="shared" ref="F544:F548" si="44">+E544*D544</f>
        <v>11539.68</v>
      </c>
      <c r="G544" s="676"/>
    </row>
    <row r="545" spans="1:7" ht="13.5" customHeight="1">
      <c r="A545" s="1995" t="str">
        <f>+'LISTADO MATERIALES'!$C$141</f>
        <v>CEMENTO GRIS</v>
      </c>
      <c r="B545" s="1611"/>
      <c r="C545" s="444" t="str">
        <f>+'LISTADO MATERIALES'!$D$141</f>
        <v>KG</v>
      </c>
      <c r="D545" s="464">
        <f>+'LISTADO MATERIALES'!$E$141</f>
        <v>600</v>
      </c>
      <c r="E545" s="444">
        <v>7.73</v>
      </c>
      <c r="F545" s="440">
        <f t="shared" si="44"/>
        <v>4638</v>
      </c>
      <c r="G545" s="707"/>
    </row>
    <row r="546" spans="1:7" ht="13.5" customHeight="1">
      <c r="A546" s="1995" t="str">
        <f>+'LISTADO MATERIALES'!$C$155</f>
        <v>GRAVILLA # 2</v>
      </c>
      <c r="B546" s="1611"/>
      <c r="C546" s="444" t="str">
        <f>+'LISTADO MATERIALES'!$D$155</f>
        <v>BTO</v>
      </c>
      <c r="D546" s="464">
        <f>+'LISTADO MATERIALES'!$E$155</f>
        <v>5565</v>
      </c>
      <c r="E546" s="444">
        <v>0.5</v>
      </c>
      <c r="F546" s="440">
        <f t="shared" si="44"/>
        <v>2782.5</v>
      </c>
      <c r="G546" s="707"/>
    </row>
    <row r="547" spans="1:7" ht="13.5" customHeight="1">
      <c r="A547" s="1995" t="str">
        <f>+'LISTADO MATERIALES'!$C$320</f>
        <v>DILATACIÓN DE VIDRIO</v>
      </c>
      <c r="B547" s="1611"/>
      <c r="C547" s="444" t="str">
        <f>+'LISTADO MATERIALES'!$D$320</f>
        <v>ML</v>
      </c>
      <c r="D547" s="464">
        <f>+'LISTADO MATERIALES'!$E$320</f>
        <v>1050</v>
      </c>
      <c r="E547" s="444">
        <v>1.8</v>
      </c>
      <c r="F547" s="440">
        <f t="shared" si="44"/>
        <v>1890</v>
      </c>
      <c r="G547" s="707"/>
    </row>
    <row r="548" spans="1:7" ht="13.5" customHeight="1">
      <c r="A548" s="1995" t="str">
        <f>+'LISTADO MATERIALES'!$C$723</f>
        <v>AGUA</v>
      </c>
      <c r="B548" s="1611"/>
      <c r="C548" s="444" t="str">
        <f>+'LISTADO MATERIALES'!$D$723</f>
        <v>LT</v>
      </c>
      <c r="D548" s="464">
        <f>+'LISTADO MATERIALES'!$E$723</f>
        <v>21</v>
      </c>
      <c r="E548" s="444">
        <v>32</v>
      </c>
      <c r="F548" s="440">
        <f t="shared" si="44"/>
        <v>672</v>
      </c>
      <c r="G548" s="707"/>
    </row>
    <row r="549" spans="1:7" ht="13.5" customHeight="1">
      <c r="A549" s="1995"/>
      <c r="B549" s="1611"/>
      <c r="C549" s="444"/>
      <c r="D549" s="464"/>
      <c r="E549" s="444"/>
      <c r="F549" s="464"/>
      <c r="G549" s="707"/>
    </row>
    <row r="550" spans="1:7" ht="13.5" customHeight="1">
      <c r="A550" s="2015" t="s">
        <v>1560</v>
      </c>
      <c r="B550" s="1601"/>
      <c r="C550" s="1601"/>
      <c r="D550" s="1601"/>
      <c r="E550" s="1601"/>
      <c r="F550" s="1801"/>
      <c r="G550" s="462">
        <f>SUM(F544:F549)</f>
        <v>21522.18</v>
      </c>
    </row>
    <row r="551" spans="1:7" ht="13.5" customHeight="1">
      <c r="A551" s="621" t="s">
        <v>1563</v>
      </c>
      <c r="B551" s="618"/>
      <c r="C551" s="618"/>
      <c r="D551" s="618"/>
      <c r="E551" s="618"/>
      <c r="F551" s="618"/>
      <c r="G551" s="743"/>
    </row>
    <row r="552" spans="1:7" ht="13.5" customHeight="1">
      <c r="A552" s="1975" t="s">
        <v>1556</v>
      </c>
      <c r="B552" s="1801"/>
      <c r="C552" s="424" t="s">
        <v>6</v>
      </c>
      <c r="D552" s="424" t="s">
        <v>1562</v>
      </c>
      <c r="E552" s="424" t="s">
        <v>7</v>
      </c>
      <c r="F552" s="424" t="s">
        <v>1559</v>
      </c>
      <c r="G552" s="438"/>
    </row>
    <row r="553" spans="1:7" ht="13.5" customHeight="1">
      <c r="A553" s="1987"/>
      <c r="B553" s="1967"/>
      <c r="C553" s="744"/>
      <c r="D553" s="675"/>
      <c r="E553" s="745"/>
      <c r="F553" s="464"/>
      <c r="G553" s="676"/>
    </row>
    <row r="554" spans="1:7" ht="13.5" customHeight="1">
      <c r="A554" s="1996"/>
      <c r="B554" s="1819"/>
      <c r="C554" s="744"/>
      <c r="D554" s="434"/>
      <c r="E554" s="746"/>
      <c r="F554" s="434"/>
      <c r="G554" s="457"/>
    </row>
    <row r="555" spans="1:7" ht="13.5" customHeight="1">
      <c r="A555" s="2015" t="s">
        <v>1560</v>
      </c>
      <c r="B555" s="1601"/>
      <c r="C555" s="1601"/>
      <c r="D555" s="1601"/>
      <c r="E555" s="1601"/>
      <c r="F555" s="1801"/>
      <c r="G555" s="462"/>
    </row>
    <row r="556" spans="1:7" ht="13.5" customHeight="1">
      <c r="A556" s="621" t="s">
        <v>1564</v>
      </c>
      <c r="B556" s="618"/>
      <c r="C556" s="618"/>
      <c r="D556" s="618"/>
      <c r="E556" s="618"/>
      <c r="F556" s="618"/>
      <c r="G556" s="743"/>
    </row>
    <row r="557" spans="1:7" ht="13.5" customHeight="1">
      <c r="A557" s="1975" t="s">
        <v>1565</v>
      </c>
      <c r="B557" s="1801"/>
      <c r="C557" s="424" t="s">
        <v>1566</v>
      </c>
      <c r="D557" s="424" t="s">
        <v>6</v>
      </c>
      <c r="E557" s="424" t="s">
        <v>7</v>
      </c>
      <c r="F557" s="424" t="s">
        <v>1559</v>
      </c>
      <c r="G557" s="462"/>
    </row>
    <row r="558" spans="1:7" ht="13.5" customHeight="1">
      <c r="A558" s="2004" t="str">
        <f>+'MANO DE OBRA'!$A$64</f>
        <v>Oficial (Incl. Prestaciones)</v>
      </c>
      <c r="B558" s="1888"/>
      <c r="C558" s="679">
        <f>+'MANO DE OBRA'!$E$64</f>
        <v>15031.25</v>
      </c>
      <c r="D558" s="680">
        <v>1</v>
      </c>
      <c r="E558" s="680">
        <v>1</v>
      </c>
      <c r="F558" s="694">
        <f t="shared" ref="F558:F559" si="45">+(C558*D558)*E558</f>
        <v>15031.25</v>
      </c>
      <c r="G558" s="676"/>
    </row>
    <row r="559" spans="1:7" ht="13.5" customHeight="1">
      <c r="A559" s="1984" t="str">
        <f>+'MANO DE OBRA'!$A$65</f>
        <v>Ayudante (Incl. Prestaciones)</v>
      </c>
      <c r="B559" s="1819"/>
      <c r="C559" s="747">
        <f>+'MANO DE OBRA'!$E$65</f>
        <v>10972.8125</v>
      </c>
      <c r="D559" s="614">
        <v>1</v>
      </c>
      <c r="E559" s="614">
        <f>+E558</f>
        <v>1</v>
      </c>
      <c r="F559" s="455">
        <f t="shared" si="45"/>
        <v>10972.8125</v>
      </c>
      <c r="G559" s="709"/>
    </row>
    <row r="560" spans="1:7" ht="13.5" customHeight="1">
      <c r="A560" s="2015" t="str">
        <f>+A555</f>
        <v>SUB-TOTAL</v>
      </c>
      <c r="B560" s="1601"/>
      <c r="C560" s="1601"/>
      <c r="D560" s="1601"/>
      <c r="E560" s="1601"/>
      <c r="F560" s="1801"/>
      <c r="G560" s="462">
        <f>SUM(F558:F559)</f>
        <v>26004.0625</v>
      </c>
    </row>
    <row r="562" spans="1:7" ht="13.5" customHeight="1">
      <c r="A562" s="2015" t="s">
        <v>1567</v>
      </c>
      <c r="B562" s="1601"/>
      <c r="C562" s="1601"/>
      <c r="D562" s="1601"/>
      <c r="E562" s="1601"/>
      <c r="F562" s="1801"/>
      <c r="G562" s="459">
        <f>ROUND(G541+G550+G555+G560,0)</f>
        <v>47526</v>
      </c>
    </row>
    <row r="563" spans="1:7" ht="13.5" customHeight="1">
      <c r="A563" s="616"/>
      <c r="B563" s="616"/>
      <c r="C563" s="616"/>
      <c r="D563" s="616"/>
      <c r="E563" s="616"/>
      <c r="F563" s="616"/>
      <c r="G563" s="616"/>
    </row>
    <row r="564" spans="1:7" ht="13.5" customHeight="1">
      <c r="A564" s="616"/>
      <c r="B564" s="616"/>
      <c r="C564" s="616"/>
      <c r="D564" s="616"/>
      <c r="E564" s="616"/>
      <c r="F564" s="616"/>
      <c r="G564" s="616"/>
    </row>
    <row r="565" spans="1:7" ht="27" customHeight="1">
      <c r="A565" s="2005" t="s">
        <v>1604</v>
      </c>
      <c r="B565" s="1616"/>
      <c r="C565" s="1624"/>
      <c r="D565" s="567"/>
      <c r="E565" s="567"/>
      <c r="F565" s="567"/>
      <c r="G565" s="668"/>
    </row>
    <row r="566" spans="1:7" ht="24" customHeight="1">
      <c r="A566" s="1971"/>
      <c r="B566" s="1817"/>
      <c r="C566" s="1972"/>
      <c r="D566" s="669"/>
      <c r="E566" s="669"/>
      <c r="F566" s="669"/>
      <c r="G566" s="670"/>
    </row>
    <row r="567" spans="1:7" ht="13.5" customHeight="1">
      <c r="A567" s="618"/>
      <c r="B567" s="618"/>
      <c r="C567" s="618"/>
      <c r="D567" s="618"/>
      <c r="E567" s="618"/>
      <c r="F567" s="618"/>
      <c r="G567" s="618"/>
    </row>
    <row r="568" spans="1:7" ht="35.25" customHeight="1">
      <c r="A568" s="1973" t="e">
        <f ca="1">A10</f>
        <v>#NAME?</v>
      </c>
      <c r="B568" s="1601"/>
      <c r="C568" s="1602"/>
      <c r="D568" s="1974" t="s">
        <v>2432</v>
      </c>
      <c r="E568" s="1601"/>
      <c r="F568" s="1601"/>
      <c r="G568" s="1602"/>
    </row>
    <row r="569" spans="1:7" ht="13.5" customHeight="1">
      <c r="A569" s="620"/>
      <c r="B569" s="620"/>
      <c r="C569" s="620"/>
      <c r="D569" s="620"/>
      <c r="E569" s="620"/>
      <c r="F569" s="620"/>
      <c r="G569" s="620"/>
    </row>
    <row r="570" spans="1:7" ht="12.75" customHeight="1">
      <c r="A570" s="572"/>
      <c r="B570" s="618"/>
      <c r="C570" s="616"/>
      <c r="D570" s="421" t="s">
        <v>1553</v>
      </c>
      <c r="E570" s="422" t="s">
        <v>228</v>
      </c>
      <c r="F570" s="572"/>
      <c r="G570" s="572"/>
    </row>
    <row r="571" spans="1:7" ht="13.5" customHeight="1">
      <c r="A571" s="621" t="s">
        <v>1555</v>
      </c>
      <c r="B571" s="618"/>
      <c r="C571" s="618"/>
      <c r="D571" s="618"/>
      <c r="E571" s="618"/>
      <c r="F571" s="618"/>
      <c r="G571" s="618"/>
    </row>
    <row r="572" spans="1:7" ht="13.5" customHeight="1">
      <c r="A572" s="1975" t="s">
        <v>1556</v>
      </c>
      <c r="B572" s="1601"/>
      <c r="C572" s="1801"/>
      <c r="D572" s="424" t="s">
        <v>208</v>
      </c>
      <c r="E572" s="424" t="s">
        <v>1558</v>
      </c>
      <c r="F572" s="424" t="s">
        <v>1559</v>
      </c>
      <c r="G572" s="425"/>
    </row>
    <row r="573" spans="1:7" ht="13.5" customHeight="1">
      <c r="A573" s="1987" t="str">
        <f>+'LISTADO EQUIPOS'!$C$22</f>
        <v>HERRAMIENTA MENOR.</v>
      </c>
      <c r="B573" s="1811"/>
      <c r="C573" s="1967"/>
      <c r="D573" s="675">
        <f>+'LISTADO EQUIPOS'!$E$22/8</f>
        <v>2850</v>
      </c>
      <c r="E573" s="687">
        <f>+E594</f>
        <v>1.5</v>
      </c>
      <c r="F573" s="442">
        <f t="shared" ref="F573:F574" si="46">+E573*D573</f>
        <v>4275</v>
      </c>
      <c r="G573" s="688"/>
    </row>
    <row r="574" spans="1:7" ht="13.5" customHeight="1">
      <c r="A574" s="1996" t="str">
        <f>+'LISTADO EQUIPOS'!$C$32</f>
        <v>PULIDORA PARA PISO + OPERARIO</v>
      </c>
      <c r="B574" s="1807"/>
      <c r="C574" s="1819"/>
      <c r="D574" s="434">
        <f>+'LISTADO EQUIPOS'!$E$32</f>
        <v>9060</v>
      </c>
      <c r="E574" s="433">
        <v>1</v>
      </c>
      <c r="F574" s="700">
        <f t="shared" si="46"/>
        <v>9060</v>
      </c>
      <c r="G574" s="435"/>
    </row>
    <row r="575" spans="1:7" ht="13.5" customHeight="1">
      <c r="A575" s="2015" t="s">
        <v>1560</v>
      </c>
      <c r="B575" s="1601"/>
      <c r="C575" s="1601"/>
      <c r="D575" s="1601"/>
      <c r="E575" s="1601"/>
      <c r="F575" s="1801"/>
      <c r="G575" s="462">
        <f>SUM(F573:F574)</f>
        <v>13335</v>
      </c>
    </row>
    <row r="576" spans="1:7" ht="13.5" customHeight="1">
      <c r="A576" s="621" t="s">
        <v>1561</v>
      </c>
      <c r="B576" s="618"/>
      <c r="C576" s="618"/>
      <c r="D576" s="618"/>
      <c r="E576" s="618"/>
      <c r="F576" s="618"/>
      <c r="G576" s="743"/>
    </row>
    <row r="577" spans="1:7" ht="13.5" customHeight="1">
      <c r="A577" s="1975" t="s">
        <v>1556</v>
      </c>
      <c r="B577" s="1801"/>
      <c r="C577" s="424" t="s">
        <v>6</v>
      </c>
      <c r="D577" s="424" t="s">
        <v>1562</v>
      </c>
      <c r="E577" s="424" t="s">
        <v>7</v>
      </c>
      <c r="F577" s="424" t="s">
        <v>1559</v>
      </c>
      <c r="G577" s="673"/>
    </row>
    <row r="578" spans="1:7" ht="13.5" customHeight="1">
      <c r="A578" s="1995" t="str">
        <f>+'ANALISIS BASICOS'!$A$164</f>
        <v xml:space="preserve">MORTERO 1:3 </v>
      </c>
      <c r="B578" s="1611"/>
      <c r="C578" s="444" t="str">
        <f>+'ANALISIS BASICOS'!$E$140</f>
        <v>M3</v>
      </c>
      <c r="D578" s="464">
        <f>+'ANALISIS BASICOS'!$G$164</f>
        <v>434608</v>
      </c>
      <c r="E578" s="444">
        <v>0.04</v>
      </c>
      <c r="F578" s="440">
        <f t="shared" ref="F578:F584" si="47">+E578*D578</f>
        <v>17384.32</v>
      </c>
      <c r="G578" s="707"/>
    </row>
    <row r="579" spans="1:7" ht="12.75" customHeight="1">
      <c r="A579" s="1995" t="str">
        <f>+'LISTADO MATERIALES'!$C$140</f>
        <v>CEMENTO BLANCO</v>
      </c>
      <c r="B579" s="1611"/>
      <c r="C579" s="444" t="str">
        <f>+'LISTADO MATERIALES'!$D$140</f>
        <v>KG</v>
      </c>
      <c r="D579" s="464">
        <f>+'LISTADO MATERIALES'!$E$140</f>
        <v>1103</v>
      </c>
      <c r="E579" s="444">
        <v>10</v>
      </c>
      <c r="F579" s="440">
        <f t="shared" si="47"/>
        <v>11030</v>
      </c>
      <c r="G579" s="707"/>
    </row>
    <row r="580" spans="1:7" ht="12.75" customHeight="1">
      <c r="A580" s="1995" t="str">
        <f>+'LISTADO MATERIALES'!$C$152</f>
        <v>GRANITO # 2 (BLANCO) 25 Kg</v>
      </c>
      <c r="B580" s="1611"/>
      <c r="C580" s="444" t="str">
        <f>+'LISTADO MATERIALES'!$D$152</f>
        <v>BTO</v>
      </c>
      <c r="D580" s="464">
        <f>+'LISTADO MATERIALES'!$E$152</f>
        <v>9450</v>
      </c>
      <c r="E580" s="444">
        <v>0.69</v>
      </c>
      <c r="F580" s="440">
        <f t="shared" si="47"/>
        <v>6520.4999999999991</v>
      </c>
      <c r="G580" s="707"/>
    </row>
    <row r="581" spans="1:7" ht="12.75" customHeight="1">
      <c r="A581" s="1995" t="str">
        <f>+'LISTADO MATERIALES'!$C$153</f>
        <v>GRANITO # 2 (NEGRO) 25 Kg</v>
      </c>
      <c r="B581" s="1611"/>
      <c r="C581" s="444" t="str">
        <f>+'LISTADO MATERIALES'!$D$153</f>
        <v>BTO</v>
      </c>
      <c r="D581" s="464">
        <f>+'LISTADO MATERIALES'!$E$153</f>
        <v>11550</v>
      </c>
      <c r="E581" s="444">
        <v>0.28999999999999998</v>
      </c>
      <c r="F581" s="440">
        <f t="shared" si="47"/>
        <v>3349.4999999999995</v>
      </c>
      <c r="G581" s="707"/>
    </row>
    <row r="582" spans="1:7" ht="13.5" customHeight="1">
      <c r="A582" s="1995" t="str">
        <f>+'LISTADO MATERIALES'!$C$755</f>
        <v>PIRLAN DE COBRE</v>
      </c>
      <c r="B582" s="1611"/>
      <c r="C582" s="444" t="str">
        <f>+'LISTADO MATERIALES'!$D$755</f>
        <v>ML</v>
      </c>
      <c r="D582" s="464">
        <f>+'LISTADO MATERIALES'!$E$755</f>
        <v>8348</v>
      </c>
      <c r="E582" s="444">
        <v>1.3</v>
      </c>
      <c r="F582" s="440">
        <f t="shared" si="47"/>
        <v>10852.4</v>
      </c>
      <c r="G582" s="707"/>
    </row>
    <row r="583" spans="1:7" ht="13.5" customHeight="1">
      <c r="A583" s="1995" t="str">
        <f>+'LISTADO MATERIALES'!$C$317</f>
        <v>CERA PISO</v>
      </c>
      <c r="B583" s="1611"/>
      <c r="C583" s="444" t="str">
        <f>+'LISTADO MATERIALES'!$D$317</f>
        <v>LB</v>
      </c>
      <c r="D583" s="464">
        <f>+'LISTADO MATERIALES'!$E$317</f>
        <v>6888</v>
      </c>
      <c r="E583" s="444">
        <v>0.1</v>
      </c>
      <c r="F583" s="440">
        <f t="shared" si="47"/>
        <v>688.80000000000007</v>
      </c>
      <c r="G583" s="707"/>
    </row>
    <row r="584" spans="1:7" ht="13.5" customHeight="1">
      <c r="A584" s="1995" t="str">
        <f>+'LISTADO MATERIALES'!$C$723</f>
        <v>AGUA</v>
      </c>
      <c r="B584" s="1611"/>
      <c r="C584" s="444" t="str">
        <f>+'LISTADO MATERIALES'!$D$723</f>
        <v>LT</v>
      </c>
      <c r="D584" s="464">
        <f>+'LISTADO MATERIALES'!$E$723</f>
        <v>21</v>
      </c>
      <c r="E584" s="444">
        <v>74</v>
      </c>
      <c r="F584" s="440">
        <f t="shared" si="47"/>
        <v>1554</v>
      </c>
      <c r="G584" s="707"/>
    </row>
    <row r="585" spans="1:7" ht="13.5" customHeight="1">
      <c r="A585" s="1995"/>
      <c r="B585" s="1611"/>
      <c r="C585" s="444"/>
      <c r="D585" s="464"/>
      <c r="E585" s="444"/>
      <c r="F585" s="464"/>
      <c r="G585" s="707"/>
    </row>
    <row r="586" spans="1:7" ht="13.5" customHeight="1">
      <c r="A586" s="2015" t="s">
        <v>1560</v>
      </c>
      <c r="B586" s="1601"/>
      <c r="C586" s="1601"/>
      <c r="D586" s="1601"/>
      <c r="E586" s="1601"/>
      <c r="F586" s="1801"/>
      <c r="G586" s="462">
        <f>SUM(F578:F585)</f>
        <v>51379.520000000004</v>
      </c>
    </row>
    <row r="587" spans="1:7" ht="13.5" customHeight="1">
      <c r="A587" s="621" t="s">
        <v>1563</v>
      </c>
      <c r="B587" s="618"/>
      <c r="C587" s="618"/>
      <c r="D587" s="618"/>
      <c r="E587" s="618"/>
      <c r="F587" s="618"/>
      <c r="G587" s="743"/>
    </row>
    <row r="588" spans="1:7" ht="13.5" customHeight="1">
      <c r="A588" s="1975" t="s">
        <v>1556</v>
      </c>
      <c r="B588" s="1801"/>
      <c r="C588" s="424" t="s">
        <v>6</v>
      </c>
      <c r="D588" s="424" t="s">
        <v>1562</v>
      </c>
      <c r="E588" s="424" t="s">
        <v>7</v>
      </c>
      <c r="F588" s="424" t="s">
        <v>1559</v>
      </c>
      <c r="G588" s="438"/>
    </row>
    <row r="589" spans="1:7" ht="13.5" customHeight="1">
      <c r="A589" s="1987"/>
      <c r="B589" s="1967"/>
      <c r="C589" s="744"/>
      <c r="D589" s="675"/>
      <c r="E589" s="745"/>
      <c r="F589" s="464"/>
      <c r="G589" s="676"/>
    </row>
    <row r="590" spans="1:7" ht="13.5" customHeight="1">
      <c r="A590" s="1996"/>
      <c r="B590" s="1819"/>
      <c r="C590" s="744"/>
      <c r="D590" s="434"/>
      <c r="E590" s="746"/>
      <c r="F590" s="434"/>
      <c r="G590" s="457"/>
    </row>
    <row r="591" spans="1:7" ht="13.5" customHeight="1">
      <c r="A591" s="2015" t="s">
        <v>1560</v>
      </c>
      <c r="B591" s="1601"/>
      <c r="C591" s="1601"/>
      <c r="D591" s="1601"/>
      <c r="E591" s="1601"/>
      <c r="F591" s="1801"/>
      <c r="G591" s="462"/>
    </row>
    <row r="592" spans="1:7" ht="13.5" customHeight="1">
      <c r="A592" s="621" t="s">
        <v>1564</v>
      </c>
      <c r="B592" s="618"/>
      <c r="C592" s="618"/>
      <c r="D592" s="618"/>
      <c r="E592" s="618"/>
      <c r="F592" s="618"/>
      <c r="G592" s="743"/>
    </row>
    <row r="593" spans="1:7" ht="13.5" customHeight="1">
      <c r="A593" s="1975" t="s">
        <v>1565</v>
      </c>
      <c r="B593" s="1801"/>
      <c r="C593" s="424" t="s">
        <v>1566</v>
      </c>
      <c r="D593" s="424" t="s">
        <v>6</v>
      </c>
      <c r="E593" s="424" t="s">
        <v>7</v>
      </c>
      <c r="F593" s="424" t="s">
        <v>1559</v>
      </c>
      <c r="G593" s="462"/>
    </row>
    <row r="594" spans="1:7" ht="13.5" customHeight="1">
      <c r="A594" s="2004" t="str">
        <f>+'MANO DE OBRA'!$A$64</f>
        <v>Oficial (Incl. Prestaciones)</v>
      </c>
      <c r="B594" s="1888"/>
      <c r="C594" s="679">
        <f>+'MANO DE OBRA'!$E$64</f>
        <v>15031.25</v>
      </c>
      <c r="D594" s="680">
        <v>1</v>
      </c>
      <c r="E594" s="680">
        <v>1.5</v>
      </c>
      <c r="F594" s="694">
        <f t="shared" ref="F594:F595" si="48">+(C594*D594)*E594</f>
        <v>22546.875</v>
      </c>
      <c r="G594" s="676"/>
    </row>
    <row r="595" spans="1:7" ht="13.5" customHeight="1">
      <c r="A595" s="1984" t="str">
        <f>+'MANO DE OBRA'!$A$65</f>
        <v>Ayudante (Incl. Prestaciones)</v>
      </c>
      <c r="B595" s="1819"/>
      <c r="C595" s="747">
        <f>+'MANO DE OBRA'!$E$65</f>
        <v>10972.8125</v>
      </c>
      <c r="D595" s="614">
        <v>1</v>
      </c>
      <c r="E595" s="614">
        <f>+E594</f>
        <v>1.5</v>
      </c>
      <c r="F595" s="455">
        <f t="shared" si="48"/>
        <v>16459.21875</v>
      </c>
      <c r="G595" s="709"/>
    </row>
    <row r="596" spans="1:7" ht="13.5" customHeight="1">
      <c r="A596" s="2015" t="str">
        <f>+A591</f>
        <v>SUB-TOTAL</v>
      </c>
      <c r="B596" s="1601"/>
      <c r="C596" s="1601"/>
      <c r="D596" s="1601"/>
      <c r="E596" s="1601"/>
      <c r="F596" s="1801"/>
      <c r="G596" s="462">
        <f>SUM(F594:F595)</f>
        <v>39006.09375</v>
      </c>
    </row>
    <row r="597" spans="1:7" ht="11.25" customHeight="1">
      <c r="A597" s="618"/>
      <c r="B597" s="618"/>
      <c r="C597" s="618"/>
      <c r="D597" s="618"/>
      <c r="E597" s="618"/>
      <c r="F597" s="748"/>
      <c r="G597" s="743"/>
    </row>
    <row r="598" spans="1:7" ht="13.5" customHeight="1">
      <c r="A598" s="2015" t="s">
        <v>1567</v>
      </c>
      <c r="B598" s="1601"/>
      <c r="C598" s="1601"/>
      <c r="D598" s="1601"/>
      <c r="E598" s="1601"/>
      <c r="F598" s="1801"/>
      <c r="G598" s="459">
        <f>ROUND(G575+G586+G591+G596,0)</f>
        <v>103721</v>
      </c>
    </row>
    <row r="599" spans="1:7" ht="13.5" customHeight="1">
      <c r="A599" s="616"/>
      <c r="B599" s="616"/>
      <c r="C599" s="616"/>
      <c r="D599" s="616"/>
      <c r="E599" s="616"/>
      <c r="F599" s="616"/>
      <c r="G599" s="616"/>
    </row>
    <row r="600" spans="1:7" ht="13.5" customHeight="1">
      <c r="A600" s="616"/>
      <c r="B600" s="616"/>
      <c r="C600" s="616"/>
      <c r="D600" s="616"/>
      <c r="E600" s="616"/>
      <c r="F600" s="616"/>
      <c r="G600" s="616"/>
    </row>
    <row r="601" spans="1:7" ht="27" customHeight="1">
      <c r="A601" s="2005" t="s">
        <v>1604</v>
      </c>
      <c r="B601" s="1616"/>
      <c r="C601" s="1624"/>
      <c r="D601" s="567"/>
      <c r="E601" s="567"/>
      <c r="F601" s="567"/>
      <c r="G601" s="668"/>
    </row>
    <row r="602" spans="1:7" ht="24" customHeight="1">
      <c r="A602" s="2012" t="s">
        <v>2418</v>
      </c>
      <c r="B602" s="1817"/>
      <c r="C602" s="1972"/>
      <c r="D602" s="669"/>
      <c r="E602" s="669"/>
      <c r="F602" s="669"/>
      <c r="G602" s="670"/>
    </row>
    <row r="603" spans="1:7" ht="13.5" customHeight="1">
      <c r="A603" s="618"/>
      <c r="B603" s="618"/>
      <c r="C603" s="618"/>
      <c r="D603" s="618"/>
      <c r="E603" s="618"/>
      <c r="F603" s="618"/>
      <c r="G603" s="618"/>
    </row>
    <row r="604" spans="1:7" ht="35.25" customHeight="1">
      <c r="A604" s="1991" t="e">
        <v>#REF!</v>
      </c>
      <c r="B604" s="1601"/>
      <c r="C604" s="1602"/>
      <c r="D604" s="1974" t="s">
        <v>2433</v>
      </c>
      <c r="E604" s="1601"/>
      <c r="F604" s="1601"/>
      <c r="G604" s="1602"/>
    </row>
    <row r="605" spans="1:7" ht="13.5" customHeight="1">
      <c r="A605" s="620"/>
      <c r="B605" s="620"/>
      <c r="C605" s="620"/>
      <c r="D605" s="620"/>
      <c r="E605" s="620"/>
      <c r="F605" s="620"/>
      <c r="G605" s="620"/>
    </row>
    <row r="606" spans="1:7" ht="12.75" customHeight="1">
      <c r="A606" s="572"/>
      <c r="B606" s="618"/>
      <c r="C606" s="616"/>
      <c r="D606" s="421" t="s">
        <v>1553</v>
      </c>
      <c r="E606" s="422" t="s">
        <v>120</v>
      </c>
      <c r="F606" s="572"/>
      <c r="G606" s="572"/>
    </row>
    <row r="607" spans="1:7" ht="13.5" customHeight="1">
      <c r="A607" s="621" t="s">
        <v>1555</v>
      </c>
      <c r="B607" s="618"/>
      <c r="C607" s="618"/>
      <c r="D607" s="618"/>
      <c r="E607" s="618"/>
      <c r="F607" s="618"/>
      <c r="G607" s="618"/>
    </row>
    <row r="608" spans="1:7" ht="13.5" customHeight="1">
      <c r="A608" s="1975" t="s">
        <v>1556</v>
      </c>
      <c r="B608" s="1601"/>
      <c r="C608" s="1801"/>
      <c r="D608" s="424" t="s">
        <v>208</v>
      </c>
      <c r="E608" s="424" t="s">
        <v>1558</v>
      </c>
      <c r="F608" s="424" t="s">
        <v>1559</v>
      </c>
      <c r="G608" s="425"/>
    </row>
    <row r="609" spans="1:7" ht="13.5" customHeight="1">
      <c r="A609" s="1987" t="str">
        <f>+'LISTADO EQUIPOS'!$C$22</f>
        <v>HERRAMIENTA MENOR.</v>
      </c>
      <c r="B609" s="1811"/>
      <c r="C609" s="1967"/>
      <c r="D609" s="675">
        <f>+'LISTADO EQUIPOS'!$E$22/8</f>
        <v>2850</v>
      </c>
      <c r="E609" s="687">
        <f>+E628</f>
        <v>0.9</v>
      </c>
      <c r="F609" s="675">
        <f t="shared" ref="F609:F610" si="49">+E609*D609</f>
        <v>2565</v>
      </c>
      <c r="G609" s="688"/>
    </row>
    <row r="610" spans="1:7" ht="13.5" customHeight="1">
      <c r="A610" s="1996" t="str">
        <f>+'LISTADO EQUIPOS'!$C$31</f>
        <v>PULIDORA MANUAL</v>
      </c>
      <c r="B610" s="1807"/>
      <c r="C610" s="1819"/>
      <c r="D610" s="434">
        <f>+'LISTADO EQUIPOS'!$E$31</f>
        <v>11400</v>
      </c>
      <c r="E610" s="433">
        <v>2.5000000000000001E-2</v>
      </c>
      <c r="F610" s="434">
        <f t="shared" si="49"/>
        <v>285</v>
      </c>
      <c r="G610" s="435"/>
    </row>
    <row r="611" spans="1:7" ht="13.5" customHeight="1">
      <c r="A611" s="2015" t="s">
        <v>1560</v>
      </c>
      <c r="B611" s="1601"/>
      <c r="C611" s="1601"/>
      <c r="D611" s="1601"/>
      <c r="E611" s="1601"/>
      <c r="F611" s="1801"/>
      <c r="G611" s="769">
        <f>SUM(F609:F610)</f>
        <v>2850</v>
      </c>
    </row>
    <row r="612" spans="1:7" ht="13.5" customHeight="1">
      <c r="A612" s="621" t="s">
        <v>1561</v>
      </c>
      <c r="B612" s="618"/>
      <c r="C612" s="618"/>
      <c r="D612" s="618"/>
      <c r="E612" s="618"/>
      <c r="F612" s="618"/>
      <c r="G612" s="618"/>
    </row>
    <row r="613" spans="1:7" ht="13.5" customHeight="1">
      <c r="A613" s="1975" t="s">
        <v>1556</v>
      </c>
      <c r="B613" s="1801"/>
      <c r="C613" s="424" t="s">
        <v>6</v>
      </c>
      <c r="D613" s="424" t="s">
        <v>1562</v>
      </c>
      <c r="E613" s="424" t="s">
        <v>7</v>
      </c>
      <c r="F613" s="424" t="s">
        <v>1559</v>
      </c>
      <c r="G613" s="425"/>
    </row>
    <row r="614" spans="1:7" ht="13.5" customHeight="1">
      <c r="A614" s="1987" t="str">
        <f>+'LISTADO MATERIALES'!$C$140</f>
        <v>CEMENTO BLANCO</v>
      </c>
      <c r="B614" s="1967"/>
      <c r="C614" s="674" t="str">
        <f>+'LISTADO MATERIALES'!$D$140</f>
        <v>KG</v>
      </c>
      <c r="D614" s="675">
        <f>+'LISTADO MATERIALES'!$E$140</f>
        <v>1103</v>
      </c>
      <c r="E614" s="687">
        <v>10</v>
      </c>
      <c r="F614" s="675">
        <f t="shared" ref="F614:F619" si="50">+E614*D614</f>
        <v>11030</v>
      </c>
      <c r="G614" s="688"/>
    </row>
    <row r="615" spans="1:7" ht="13.5" customHeight="1">
      <c r="A615" s="1995" t="str">
        <f>+'LISTADO MATERIALES'!$C$152</f>
        <v>GRANITO # 2 (BLANCO) 25 Kg</v>
      </c>
      <c r="B615" s="1611"/>
      <c r="C615" s="444" t="str">
        <f>+'LISTADO MATERIALES'!$D$152</f>
        <v>BTO</v>
      </c>
      <c r="D615" s="464">
        <f>+'LISTADO MATERIALES'!$E$152</f>
        <v>9450</v>
      </c>
      <c r="E615" s="706">
        <v>0.69</v>
      </c>
      <c r="F615" s="464">
        <f t="shared" si="50"/>
        <v>6520.4999999999991</v>
      </c>
      <c r="G615" s="751"/>
    </row>
    <row r="616" spans="1:7" ht="13.5" customHeight="1">
      <c r="A616" s="1995" t="str">
        <f>+'LISTADO MATERIALES'!$C$153</f>
        <v>GRANITO # 2 (NEGRO) 25 Kg</v>
      </c>
      <c r="B616" s="1611"/>
      <c r="C616" s="444" t="str">
        <f>+'LISTADO MATERIALES'!$D$153</f>
        <v>BTO</v>
      </c>
      <c r="D616" s="464">
        <f>+'LISTADO MATERIALES'!$E$153</f>
        <v>11550</v>
      </c>
      <c r="E616" s="706">
        <v>0.28999999999999998</v>
      </c>
      <c r="F616" s="464">
        <f t="shared" si="50"/>
        <v>3349.4999999999995</v>
      </c>
      <c r="G616" s="751"/>
    </row>
    <row r="617" spans="1:7" ht="13.5" customHeight="1">
      <c r="A617" s="1995" t="str">
        <f>+'LISTADO MATERIALES'!$C$755</f>
        <v>PIRLAN DE COBRE</v>
      </c>
      <c r="B617" s="1611"/>
      <c r="C617" s="444" t="str">
        <f>+'LISTADO MATERIALES'!$D$755</f>
        <v>ML</v>
      </c>
      <c r="D617" s="464">
        <f>+'LISTADO MATERIALES'!$E$755</f>
        <v>8348</v>
      </c>
      <c r="E617" s="706">
        <v>1</v>
      </c>
      <c r="F617" s="464">
        <f t="shared" si="50"/>
        <v>8348</v>
      </c>
      <c r="G617" s="751"/>
    </row>
    <row r="618" spans="1:7" ht="13.5" customHeight="1">
      <c r="A618" s="1995" t="str">
        <f>+'LISTADO MATERIALES'!$C$317</f>
        <v>CERA PISO</v>
      </c>
      <c r="B618" s="1611"/>
      <c r="C618" s="444" t="str">
        <f>+'LISTADO MATERIALES'!$D$317</f>
        <v>LB</v>
      </c>
      <c r="D618" s="464">
        <f>+'LISTADO MATERIALES'!$E$317</f>
        <v>6888</v>
      </c>
      <c r="E618" s="706">
        <v>0.02</v>
      </c>
      <c r="F618" s="464">
        <f t="shared" si="50"/>
        <v>137.76</v>
      </c>
      <c r="G618" s="751"/>
    </row>
    <row r="619" spans="1:7" ht="13.5" customHeight="1">
      <c r="A619" s="1995" t="str">
        <f>+'LISTADO MATERIALES'!$C$723</f>
        <v>AGUA</v>
      </c>
      <c r="B619" s="1611"/>
      <c r="C619" s="444" t="str">
        <f>+'LISTADO MATERIALES'!$D$723</f>
        <v>LT</v>
      </c>
      <c r="D619" s="464">
        <f>+'LISTADO MATERIALES'!$E$723</f>
        <v>21</v>
      </c>
      <c r="E619" s="706">
        <v>25</v>
      </c>
      <c r="F619" s="464">
        <f t="shared" si="50"/>
        <v>525</v>
      </c>
      <c r="G619" s="751"/>
    </row>
    <row r="620" spans="1:7" ht="13.5" customHeight="1">
      <c r="A620" s="2015" t="s">
        <v>1560</v>
      </c>
      <c r="B620" s="1601"/>
      <c r="C620" s="1601"/>
      <c r="D620" s="1601"/>
      <c r="E620" s="1601"/>
      <c r="F620" s="1801"/>
      <c r="G620" s="769">
        <f>SUM(F614:F619)</f>
        <v>29910.76</v>
      </c>
    </row>
    <row r="621" spans="1:7" ht="13.5" customHeight="1">
      <c r="A621" s="621" t="s">
        <v>1563</v>
      </c>
      <c r="B621" s="618"/>
      <c r="C621" s="618"/>
      <c r="D621" s="618"/>
      <c r="E621" s="618"/>
      <c r="F621" s="618"/>
      <c r="G621" s="618"/>
    </row>
    <row r="622" spans="1:7" ht="13.5" customHeight="1">
      <c r="A622" s="1975" t="s">
        <v>1556</v>
      </c>
      <c r="B622" s="1801"/>
      <c r="C622" s="424" t="s">
        <v>6</v>
      </c>
      <c r="D622" s="424" t="s">
        <v>1562</v>
      </c>
      <c r="E622" s="424" t="s">
        <v>7</v>
      </c>
      <c r="F622" s="424" t="s">
        <v>1559</v>
      </c>
      <c r="G622" s="690"/>
    </row>
    <row r="623" spans="1:7" ht="13.5" customHeight="1">
      <c r="A623" s="1987" t="str">
        <f>+'LISTADO EQUIPOS'!$C$125</f>
        <v>VOLQUETA (5-6)M3</v>
      </c>
      <c r="B623" s="1967"/>
      <c r="C623" s="744" t="str">
        <f>+'LISTADO EQUIPOS'!$D$125</f>
        <v>VJ</v>
      </c>
      <c r="D623" s="675">
        <f>+'LISTADO EQUIPOS'!$E$125</f>
        <v>90000</v>
      </c>
      <c r="E623" s="1053">
        <v>0</v>
      </c>
      <c r="F623" s="464">
        <f>D623*E623</f>
        <v>0</v>
      </c>
      <c r="G623" s="688"/>
    </row>
    <row r="624" spans="1:7" ht="13.5" customHeight="1">
      <c r="A624" s="1996"/>
      <c r="B624" s="1819"/>
      <c r="C624" s="744"/>
      <c r="D624" s="434"/>
      <c r="E624" s="746"/>
      <c r="F624" s="434"/>
      <c r="G624" s="768"/>
    </row>
    <row r="625" spans="1:7" ht="13.5" customHeight="1">
      <c r="A625" s="2015" t="s">
        <v>1560</v>
      </c>
      <c r="B625" s="1601"/>
      <c r="C625" s="1601"/>
      <c r="D625" s="1601"/>
      <c r="E625" s="1601"/>
      <c r="F625" s="1801"/>
      <c r="G625" s="769">
        <f>SUM(F624)</f>
        <v>0</v>
      </c>
    </row>
    <row r="626" spans="1:7" ht="13.5" customHeight="1">
      <c r="A626" s="621" t="s">
        <v>1564</v>
      </c>
      <c r="B626" s="618"/>
      <c r="C626" s="618"/>
      <c r="D626" s="618"/>
      <c r="E626" s="618"/>
      <c r="F626" s="618"/>
      <c r="G626" s="618"/>
    </row>
    <row r="627" spans="1:7" ht="13.5" customHeight="1">
      <c r="A627" s="1975" t="s">
        <v>1565</v>
      </c>
      <c r="B627" s="1801"/>
      <c r="C627" s="424" t="s">
        <v>1566</v>
      </c>
      <c r="D627" s="424" t="s">
        <v>6</v>
      </c>
      <c r="E627" s="424" t="s">
        <v>7</v>
      </c>
      <c r="F627" s="424" t="s">
        <v>1559</v>
      </c>
      <c r="G627" s="693"/>
    </row>
    <row r="628" spans="1:7" ht="13.5" customHeight="1">
      <c r="A628" s="2004" t="str">
        <f>+'MANO DE OBRA'!$A$64</f>
        <v>Oficial (Incl. Prestaciones)</v>
      </c>
      <c r="B628" s="1888"/>
      <c r="C628" s="679">
        <f>+'MANO DE OBRA'!$E$64</f>
        <v>15031.25</v>
      </c>
      <c r="D628" s="680">
        <v>1</v>
      </c>
      <c r="E628" s="680">
        <v>0.9</v>
      </c>
      <c r="F628" s="710">
        <f t="shared" ref="F628:F629" si="51">+(C628*D628)*E628</f>
        <v>13528.125</v>
      </c>
      <c r="G628" s="688"/>
    </row>
    <row r="629" spans="1:7" ht="13.5" customHeight="1">
      <c r="A629" s="1984" t="str">
        <f>+'MANO DE OBRA'!$A$65</f>
        <v>Ayudante (Incl. Prestaciones)</v>
      </c>
      <c r="B629" s="1819"/>
      <c r="C629" s="747">
        <f>+'MANO DE OBRA'!$E$65</f>
        <v>10972.8125</v>
      </c>
      <c r="D629" s="614">
        <v>1</v>
      </c>
      <c r="E629" s="614">
        <f>+E628</f>
        <v>0.9</v>
      </c>
      <c r="F629" s="753">
        <f t="shared" si="51"/>
        <v>9875.53125</v>
      </c>
      <c r="G629" s="435"/>
    </row>
    <row r="630" spans="1:7" ht="13.5" customHeight="1">
      <c r="A630" s="2015" t="str">
        <f>+A625</f>
        <v>SUB-TOTAL</v>
      </c>
      <c r="B630" s="1601"/>
      <c r="C630" s="1601"/>
      <c r="D630" s="1601"/>
      <c r="E630" s="1601"/>
      <c r="F630" s="1801"/>
      <c r="G630" s="769">
        <f>SUM(F628:F629)</f>
        <v>23403.65625</v>
      </c>
    </row>
    <row r="631" spans="1:7" ht="11.25" customHeight="1">
      <c r="A631" s="618"/>
      <c r="B631" s="618"/>
      <c r="C631" s="618"/>
      <c r="D631" s="618"/>
      <c r="E631" s="618"/>
      <c r="F631" s="748"/>
      <c r="G631" s="618"/>
    </row>
    <row r="632" spans="1:7" ht="13.5" customHeight="1">
      <c r="A632" s="2015" t="s">
        <v>1567</v>
      </c>
      <c r="B632" s="1601"/>
      <c r="C632" s="1601"/>
      <c r="D632" s="1601"/>
      <c r="E632" s="1601"/>
      <c r="F632" s="1801"/>
      <c r="G632" s="1029">
        <f>ROUND(G611+G620+G625+G630,0)</f>
        <v>56164</v>
      </c>
    </row>
    <row r="633" spans="1:7" ht="13.5" customHeight="1">
      <c r="A633" s="616"/>
      <c r="B633" s="616"/>
      <c r="C633" s="616"/>
      <c r="D633" s="616"/>
      <c r="E633" s="616"/>
      <c r="F633" s="616"/>
      <c r="G633" s="616"/>
    </row>
    <row r="634" spans="1:7" ht="13.5" customHeight="1">
      <c r="A634" s="616"/>
      <c r="B634" s="616"/>
      <c r="C634" s="616"/>
      <c r="D634" s="616"/>
      <c r="E634" s="616"/>
      <c r="F634" s="616"/>
      <c r="G634" s="616"/>
    </row>
    <row r="635" spans="1:7" ht="27" customHeight="1">
      <c r="A635" s="2005" t="s">
        <v>1604</v>
      </c>
      <c r="B635" s="1616"/>
      <c r="C635" s="1624"/>
      <c r="D635" s="567"/>
      <c r="E635" s="567"/>
      <c r="F635" s="567"/>
      <c r="G635" s="668"/>
    </row>
    <row r="636" spans="1:7" ht="24" customHeight="1">
      <c r="A636" s="2012" t="s">
        <v>2418</v>
      </c>
      <c r="B636" s="1817"/>
      <c r="C636" s="1972"/>
      <c r="D636" s="669"/>
      <c r="E636" s="669"/>
      <c r="F636" s="669"/>
      <c r="G636" s="670"/>
    </row>
    <row r="637" spans="1:7" ht="13.5" customHeight="1">
      <c r="A637" s="618"/>
      <c r="B637" s="618"/>
      <c r="C637" s="618"/>
      <c r="D637" s="618"/>
      <c r="E637" s="618"/>
      <c r="F637" s="618"/>
      <c r="G637" s="618"/>
    </row>
    <row r="638" spans="1:7" ht="35.25" customHeight="1">
      <c r="A638" s="1991" t="e">
        <v>#REF!</v>
      </c>
      <c r="B638" s="1601"/>
      <c r="C638" s="1602"/>
      <c r="D638" s="1974" t="s">
        <v>2434</v>
      </c>
      <c r="E638" s="1601"/>
      <c r="F638" s="1601"/>
      <c r="G638" s="1602"/>
    </row>
    <row r="639" spans="1:7" ht="13.5" customHeight="1">
      <c r="A639" s="620"/>
      <c r="B639" s="620"/>
      <c r="C639" s="620"/>
      <c r="D639" s="620"/>
      <c r="E639" s="620"/>
      <c r="F639" s="620"/>
      <c r="G639" s="620"/>
    </row>
    <row r="640" spans="1:7" ht="12.75" customHeight="1">
      <c r="A640" s="572"/>
      <c r="B640" s="618"/>
      <c r="C640" s="616"/>
      <c r="D640" s="421" t="s">
        <v>1553</v>
      </c>
      <c r="E640" s="422" t="s">
        <v>120</v>
      </c>
      <c r="F640" s="572"/>
      <c r="G640" s="572"/>
    </row>
    <row r="641" spans="1:7" ht="13.5" customHeight="1">
      <c r="A641" s="621" t="s">
        <v>1555</v>
      </c>
      <c r="B641" s="618"/>
      <c r="C641" s="618"/>
      <c r="D641" s="618"/>
      <c r="E641" s="618"/>
      <c r="F641" s="618"/>
      <c r="G641" s="618"/>
    </row>
    <row r="642" spans="1:7" ht="13.5" customHeight="1">
      <c r="A642" s="1975" t="s">
        <v>1556</v>
      </c>
      <c r="B642" s="1601"/>
      <c r="C642" s="1801"/>
      <c r="D642" s="424" t="s">
        <v>208</v>
      </c>
      <c r="E642" s="424" t="s">
        <v>1558</v>
      </c>
      <c r="F642" s="424" t="s">
        <v>1559</v>
      </c>
      <c r="G642" s="425"/>
    </row>
    <row r="643" spans="1:7" ht="13.5" customHeight="1">
      <c r="A643" s="1987" t="str">
        <f>+'LISTADO EQUIPOS'!$C$22</f>
        <v>HERRAMIENTA MENOR.</v>
      </c>
      <c r="B643" s="1811"/>
      <c r="C643" s="1967"/>
      <c r="D643" s="675">
        <f>+'LISTADO EQUIPOS'!$E$22/8</f>
        <v>2850</v>
      </c>
      <c r="E643" s="687">
        <f>+E661</f>
        <v>0.26</v>
      </c>
      <c r="F643" s="675">
        <f>+E643*D643</f>
        <v>741</v>
      </c>
      <c r="G643" s="688"/>
    </row>
    <row r="644" spans="1:7" ht="13.5" customHeight="1">
      <c r="A644" s="1995"/>
      <c r="B644" s="1610"/>
      <c r="C644" s="1611"/>
      <c r="D644" s="464"/>
      <c r="E644" s="706"/>
      <c r="F644" s="464"/>
      <c r="G644" s="751"/>
    </row>
    <row r="645" spans="1:7" ht="13.5" customHeight="1">
      <c r="A645" s="1996"/>
      <c r="B645" s="1807"/>
      <c r="C645" s="1819"/>
      <c r="D645" s="434"/>
      <c r="E645" s="758"/>
      <c r="F645" s="434"/>
      <c r="G645" s="435"/>
    </row>
    <row r="646" spans="1:7" ht="13.5" customHeight="1">
      <c r="A646" s="2015" t="s">
        <v>1560</v>
      </c>
      <c r="B646" s="1601"/>
      <c r="C646" s="1601"/>
      <c r="D646" s="1601"/>
      <c r="E646" s="1601"/>
      <c r="F646" s="1801"/>
      <c r="G646" s="769">
        <f>SUM(F643:F645)</f>
        <v>741</v>
      </c>
    </row>
    <row r="647" spans="1:7" ht="13.5" customHeight="1">
      <c r="A647" s="621" t="s">
        <v>1561</v>
      </c>
      <c r="B647" s="618"/>
      <c r="C647" s="618"/>
      <c r="D647" s="618"/>
      <c r="E647" s="618"/>
      <c r="F647" s="618"/>
      <c r="G647" s="618"/>
    </row>
    <row r="648" spans="1:7" ht="13.5" customHeight="1">
      <c r="A648" s="1975" t="s">
        <v>1556</v>
      </c>
      <c r="B648" s="1801"/>
      <c r="C648" s="424" t="s">
        <v>6</v>
      </c>
      <c r="D648" s="424" t="s">
        <v>1562</v>
      </c>
      <c r="E648" s="424" t="s">
        <v>7</v>
      </c>
      <c r="F648" s="424" t="s">
        <v>1559</v>
      </c>
      <c r="G648" s="425"/>
    </row>
    <row r="649" spans="1:7" ht="13.5" customHeight="1">
      <c r="A649" s="1987" t="str">
        <f>+'ANALISIS BASICOS'!$A$228</f>
        <v>MORTERO 1:4</v>
      </c>
      <c r="B649" s="1967"/>
      <c r="C649" s="674" t="str">
        <f>+'ANALISIS BASICOS'!$E$204</f>
        <v>M3</v>
      </c>
      <c r="D649" s="675">
        <f>+'ANALISIS BASICOS'!$G$228</f>
        <v>384656</v>
      </c>
      <c r="E649" s="674">
        <v>0.01</v>
      </c>
      <c r="F649" s="675">
        <f t="shared" ref="F649:F651" si="52">+E649*D649</f>
        <v>3846.56</v>
      </c>
      <c r="G649" s="688"/>
    </row>
    <row r="650" spans="1:7" ht="13.5" customHeight="1">
      <c r="A650" s="1995" t="str">
        <f>+'LISTADO MATERIALES'!$C$350</f>
        <v>TABLETA ALFA 0.30 X 0.30</v>
      </c>
      <c r="B650" s="1611"/>
      <c r="C650" s="444" t="str">
        <f>+'LISTADO MATERIALES'!$D$350</f>
        <v>M2</v>
      </c>
      <c r="D650" s="464">
        <f>+'LISTADO MATERIALES'!$E$350</f>
        <v>30975</v>
      </c>
      <c r="E650" s="444">
        <v>0.33</v>
      </c>
      <c r="F650" s="464">
        <f t="shared" si="52"/>
        <v>10221.75</v>
      </c>
      <c r="G650" s="751"/>
    </row>
    <row r="651" spans="1:7" ht="13.5" customHeight="1">
      <c r="A651" s="1995" t="str">
        <f>+'LISTADO MATERIALES'!$C$140</f>
        <v>CEMENTO BLANCO</v>
      </c>
      <c r="B651" s="1611"/>
      <c r="C651" s="444" t="str">
        <f>+'LISTADO MATERIALES'!$D$140</f>
        <v>KG</v>
      </c>
      <c r="D651" s="464">
        <f>+'LISTADO MATERIALES'!$E$140</f>
        <v>1103</v>
      </c>
      <c r="E651" s="444">
        <v>0.13</v>
      </c>
      <c r="F651" s="464">
        <f t="shared" si="52"/>
        <v>143.39000000000001</v>
      </c>
      <c r="G651" s="751"/>
    </row>
    <row r="652" spans="1:7" ht="13.5" customHeight="1">
      <c r="A652" s="1995"/>
      <c r="B652" s="1611"/>
      <c r="C652" s="444"/>
      <c r="D652" s="464"/>
      <c r="E652" s="444"/>
      <c r="F652" s="464"/>
      <c r="G652" s="751"/>
    </row>
    <row r="653" spans="1:7" ht="13.5" customHeight="1">
      <c r="A653" s="2015" t="s">
        <v>1560</v>
      </c>
      <c r="B653" s="1601"/>
      <c r="C653" s="1601"/>
      <c r="D653" s="1601"/>
      <c r="E653" s="1601"/>
      <c r="F653" s="1801"/>
      <c r="G653" s="769">
        <f>SUM(F649:F652)</f>
        <v>14211.699999999999</v>
      </c>
    </row>
    <row r="654" spans="1:7" ht="13.5" customHeight="1">
      <c r="A654" s="621" t="s">
        <v>1563</v>
      </c>
      <c r="B654" s="618"/>
      <c r="C654" s="618"/>
      <c r="D654" s="618"/>
      <c r="E654" s="618"/>
      <c r="F654" s="618"/>
      <c r="G654" s="618"/>
    </row>
    <row r="655" spans="1:7" ht="13.5" customHeight="1">
      <c r="A655" s="1975" t="s">
        <v>1556</v>
      </c>
      <c r="B655" s="1801"/>
      <c r="C655" s="424" t="s">
        <v>6</v>
      </c>
      <c r="D655" s="424" t="s">
        <v>1562</v>
      </c>
      <c r="E655" s="424" t="s">
        <v>7</v>
      </c>
      <c r="F655" s="424" t="s">
        <v>1559</v>
      </c>
      <c r="G655" s="690"/>
    </row>
    <row r="656" spans="1:7" ht="13.5" customHeight="1">
      <c r="A656" s="1987" t="str">
        <f>+'LISTADO EQUIPOS'!$C$125</f>
        <v>VOLQUETA (5-6)M3</v>
      </c>
      <c r="B656" s="1967"/>
      <c r="C656" s="744" t="str">
        <f>+'LISTADO EQUIPOS'!$D$125</f>
        <v>VJ</v>
      </c>
      <c r="D656" s="675">
        <f>+'LISTADO EQUIPOS'!$E$125</f>
        <v>90000</v>
      </c>
      <c r="E656" s="1053">
        <v>0</v>
      </c>
      <c r="F656" s="464">
        <f>D656*E656</f>
        <v>0</v>
      </c>
      <c r="G656" s="688"/>
    </row>
    <row r="657" spans="1:7" ht="13.5" customHeight="1">
      <c r="A657" s="1996"/>
      <c r="B657" s="1819"/>
      <c r="C657" s="744"/>
      <c r="D657" s="434"/>
      <c r="E657" s="746"/>
      <c r="F657" s="434"/>
      <c r="G657" s="768"/>
    </row>
    <row r="658" spans="1:7" ht="13.5" customHeight="1">
      <c r="A658" s="2015" t="s">
        <v>1560</v>
      </c>
      <c r="B658" s="1601"/>
      <c r="C658" s="1601"/>
      <c r="D658" s="1601"/>
      <c r="E658" s="1601"/>
      <c r="F658" s="1801"/>
      <c r="G658" s="769">
        <f>SUM(F657)</f>
        <v>0</v>
      </c>
    </row>
    <row r="659" spans="1:7" ht="13.5" customHeight="1">
      <c r="A659" s="621" t="s">
        <v>1564</v>
      </c>
      <c r="B659" s="618"/>
      <c r="C659" s="618"/>
      <c r="D659" s="618"/>
      <c r="E659" s="618"/>
      <c r="F659" s="618"/>
      <c r="G659" s="618"/>
    </row>
    <row r="660" spans="1:7" ht="13.5" customHeight="1">
      <c r="A660" s="1975" t="s">
        <v>1565</v>
      </c>
      <c r="B660" s="1801"/>
      <c r="C660" s="424" t="s">
        <v>1566</v>
      </c>
      <c r="D660" s="424" t="s">
        <v>6</v>
      </c>
      <c r="E660" s="424" t="s">
        <v>7</v>
      </c>
      <c r="F660" s="424" t="s">
        <v>1559</v>
      </c>
      <c r="G660" s="693"/>
    </row>
    <row r="661" spans="1:7" ht="13.5" customHeight="1">
      <c r="A661" s="2004" t="str">
        <f>+'MANO DE OBRA'!$A$64</f>
        <v>Oficial (Incl. Prestaciones)</v>
      </c>
      <c r="B661" s="1888"/>
      <c r="C661" s="679">
        <f>+'MANO DE OBRA'!$E$64</f>
        <v>15031.25</v>
      </c>
      <c r="D661" s="680">
        <v>1</v>
      </c>
      <c r="E661" s="680">
        <v>0.26</v>
      </c>
      <c r="F661" s="710">
        <f t="shared" ref="F661:F662" si="53">+(C661*D661)*E661</f>
        <v>3908.125</v>
      </c>
      <c r="G661" s="688"/>
    </row>
    <row r="662" spans="1:7" ht="13.5" customHeight="1">
      <c r="A662" s="1984" t="str">
        <f>+'MANO DE OBRA'!$A$65</f>
        <v>Ayudante (Incl. Prestaciones)</v>
      </c>
      <c r="B662" s="1819"/>
      <c r="C662" s="747">
        <f>+'MANO DE OBRA'!$E$65</f>
        <v>10972.8125</v>
      </c>
      <c r="D662" s="614">
        <v>1</v>
      </c>
      <c r="E662" s="614">
        <f>+E661</f>
        <v>0.26</v>
      </c>
      <c r="F662" s="753">
        <f t="shared" si="53"/>
        <v>2852.9312500000001</v>
      </c>
      <c r="G662" s="435"/>
    </row>
    <row r="663" spans="1:7" ht="13.5" customHeight="1">
      <c r="A663" s="2015" t="str">
        <f>+A658</f>
        <v>SUB-TOTAL</v>
      </c>
      <c r="B663" s="1601"/>
      <c r="C663" s="1601"/>
      <c r="D663" s="1601"/>
      <c r="E663" s="1601"/>
      <c r="F663" s="1801"/>
      <c r="G663" s="769">
        <f>SUM(F661:F662)</f>
        <v>6761.0562499999996</v>
      </c>
    </row>
    <row r="664" spans="1:7" ht="11.25" customHeight="1">
      <c r="A664" s="618"/>
      <c r="B664" s="618"/>
      <c r="C664" s="618"/>
      <c r="D664" s="618"/>
      <c r="E664" s="618"/>
      <c r="F664" s="748"/>
      <c r="G664" s="618"/>
    </row>
    <row r="665" spans="1:7" ht="13.5" customHeight="1">
      <c r="A665" s="2015" t="s">
        <v>1567</v>
      </c>
      <c r="B665" s="1601"/>
      <c r="C665" s="1601"/>
      <c r="D665" s="1601"/>
      <c r="E665" s="1601"/>
      <c r="F665" s="1801"/>
      <c r="G665" s="1029">
        <f>ROUND(G646+G653+G658+G663,0)</f>
        <v>21714</v>
      </c>
    </row>
    <row r="666" spans="1:7" ht="13.5" customHeight="1">
      <c r="A666" s="616"/>
      <c r="B666" s="616"/>
      <c r="C666" s="616"/>
      <c r="D666" s="616"/>
      <c r="E666" s="616"/>
      <c r="F666" s="616"/>
      <c r="G666" s="616"/>
    </row>
    <row r="667" spans="1:7" ht="13.5" customHeight="1">
      <c r="A667" s="616"/>
      <c r="B667" s="616"/>
      <c r="C667" s="616"/>
      <c r="D667" s="616"/>
      <c r="E667" s="616"/>
      <c r="F667" s="616"/>
      <c r="G667" s="616"/>
    </row>
    <row r="668" spans="1:7" ht="27" customHeight="1">
      <c r="A668" s="2005" t="s">
        <v>1604</v>
      </c>
      <c r="B668" s="1616"/>
      <c r="C668" s="1624"/>
      <c r="D668" s="567"/>
      <c r="E668" s="567"/>
      <c r="F668" s="567"/>
      <c r="G668" s="668"/>
    </row>
    <row r="669" spans="1:7" ht="24" customHeight="1">
      <c r="A669" s="2012" t="s">
        <v>2418</v>
      </c>
      <c r="B669" s="1817"/>
      <c r="C669" s="1972"/>
      <c r="D669" s="669"/>
      <c r="E669" s="669"/>
      <c r="F669" s="669"/>
      <c r="G669" s="670"/>
    </row>
    <row r="670" spans="1:7" ht="13.5" customHeight="1">
      <c r="A670" s="618"/>
      <c r="B670" s="618"/>
      <c r="C670" s="618"/>
      <c r="D670" s="618"/>
      <c r="E670" s="618"/>
      <c r="F670" s="618"/>
      <c r="G670" s="618"/>
    </row>
    <row r="671" spans="1:7" ht="35.25" customHeight="1">
      <c r="A671" s="1991" t="e">
        <v>#REF!</v>
      </c>
      <c r="B671" s="1601"/>
      <c r="C671" s="1602"/>
      <c r="D671" s="1974" t="s">
        <v>2435</v>
      </c>
      <c r="E671" s="1601"/>
      <c r="F671" s="1601"/>
      <c r="G671" s="1602"/>
    </row>
    <row r="673" spans="1:7" ht="12.75" customHeight="1">
      <c r="A673" s="572"/>
      <c r="B673" s="618"/>
      <c r="C673" s="616"/>
      <c r="D673" s="421" t="s">
        <v>1553</v>
      </c>
      <c r="E673" s="422" t="s">
        <v>120</v>
      </c>
      <c r="F673" s="572"/>
      <c r="G673" s="572"/>
    </row>
    <row r="674" spans="1:7" ht="13.5" customHeight="1">
      <c r="A674" s="621" t="s">
        <v>1555</v>
      </c>
      <c r="B674" s="618"/>
      <c r="C674" s="618"/>
      <c r="D674" s="618"/>
      <c r="E674" s="618"/>
      <c r="F674" s="618"/>
      <c r="G674" s="618"/>
    </row>
    <row r="675" spans="1:7" ht="13.5" customHeight="1">
      <c r="A675" s="1975" t="s">
        <v>1556</v>
      </c>
      <c r="B675" s="1601"/>
      <c r="C675" s="1801"/>
      <c r="D675" s="424" t="s">
        <v>208</v>
      </c>
      <c r="E675" s="424" t="s">
        <v>1558</v>
      </c>
      <c r="F675" s="424" t="s">
        <v>1559</v>
      </c>
      <c r="G675" s="425"/>
    </row>
    <row r="676" spans="1:7" ht="13.5" customHeight="1">
      <c r="A676" s="1987" t="str">
        <f>+'LISTADO EQUIPOS'!$C$22</f>
        <v>HERRAMIENTA MENOR.</v>
      </c>
      <c r="B676" s="1811"/>
      <c r="C676" s="1967"/>
      <c r="D676" s="675">
        <f>+'LISTADO EQUIPOS'!$E$22/8</f>
        <v>2850</v>
      </c>
      <c r="E676" s="687">
        <f>+E695</f>
        <v>0.95</v>
      </c>
      <c r="F676" s="675">
        <f>+E676*D676</f>
        <v>2707.5</v>
      </c>
      <c r="G676" s="688"/>
    </row>
    <row r="677" spans="1:7" ht="13.5" customHeight="1">
      <c r="A677" s="1996"/>
      <c r="B677" s="1807"/>
      <c r="C677" s="1819"/>
      <c r="D677" s="434"/>
      <c r="E677" s="758"/>
      <c r="F677" s="434"/>
      <c r="G677" s="435"/>
    </row>
    <row r="678" spans="1:7" ht="13.5" customHeight="1">
      <c r="A678" s="2015" t="s">
        <v>1560</v>
      </c>
      <c r="B678" s="1601"/>
      <c r="C678" s="1601"/>
      <c r="D678" s="1601"/>
      <c r="E678" s="1601"/>
      <c r="F678" s="1801"/>
      <c r="G678" s="769">
        <f>SUM(F676:F677)</f>
        <v>2707.5</v>
      </c>
    </row>
    <row r="679" spans="1:7" ht="13.5" customHeight="1">
      <c r="A679" s="621" t="s">
        <v>1561</v>
      </c>
      <c r="B679" s="618"/>
      <c r="C679" s="618"/>
      <c r="D679" s="618"/>
      <c r="E679" s="618"/>
      <c r="F679" s="618"/>
      <c r="G679" s="618"/>
    </row>
    <row r="680" spans="1:7" ht="13.5" customHeight="1">
      <c r="A680" s="1975" t="s">
        <v>1556</v>
      </c>
      <c r="B680" s="1801"/>
      <c r="C680" s="424" t="s">
        <v>6</v>
      </c>
      <c r="D680" s="424" t="s">
        <v>1562</v>
      </c>
      <c r="E680" s="424" t="s">
        <v>7</v>
      </c>
      <c r="F680" s="424" t="s">
        <v>1559</v>
      </c>
      <c r="G680" s="425"/>
    </row>
    <row r="681" spans="1:7" ht="13.5" customHeight="1">
      <c r="A681" s="1987" t="str">
        <f>+'ANALISIS BASICOS'!$A$228</f>
        <v>MORTERO 1:4</v>
      </c>
      <c r="B681" s="1967"/>
      <c r="C681" s="674" t="str">
        <f>+'ANALISIS BASICOS'!$E$204</f>
        <v>M3</v>
      </c>
      <c r="D681" s="675">
        <f>+'ANALISIS BASICOS'!$G$228</f>
        <v>384656</v>
      </c>
      <c r="E681" s="674">
        <v>0.02</v>
      </c>
      <c r="F681" s="675">
        <f t="shared" ref="F681:F685" si="54">+E681*D681</f>
        <v>7693.12</v>
      </c>
      <c r="G681" s="688"/>
    </row>
    <row r="682" spans="1:7" ht="13.5" customHeight="1">
      <c r="A682" s="1995" t="str">
        <f>+'LISTADO MATERIALES'!$C$140</f>
        <v>CEMENTO BLANCO</v>
      </c>
      <c r="B682" s="1611"/>
      <c r="C682" s="444" t="str">
        <f>+'LISTADO MATERIALES'!$D$140</f>
        <v>KG</v>
      </c>
      <c r="D682" s="464">
        <f>+'LISTADO MATERIALES'!$E$140</f>
        <v>1103</v>
      </c>
      <c r="E682" s="444">
        <v>0.13</v>
      </c>
      <c r="F682" s="464">
        <f t="shared" si="54"/>
        <v>143.39000000000001</v>
      </c>
      <c r="G682" s="751"/>
    </row>
    <row r="683" spans="1:7" ht="13.5" customHeight="1">
      <c r="A683" s="1995" t="str">
        <f>+'LISTADO MATERIALES'!$C$154</f>
        <v>GRANITO # 3</v>
      </c>
      <c r="B683" s="1611"/>
      <c r="C683" s="444" t="str">
        <f>+'LISTADO MATERIALES'!$D$154</f>
        <v>BTO</v>
      </c>
      <c r="D683" s="464">
        <f>+'LISTADO MATERIALES'!$E$154</f>
        <v>14616</v>
      </c>
      <c r="E683" s="444">
        <v>0.33</v>
      </c>
      <c r="F683" s="464">
        <f t="shared" si="54"/>
        <v>4823.2800000000007</v>
      </c>
      <c r="G683" s="751"/>
    </row>
    <row r="684" spans="1:7" ht="13.5" customHeight="1">
      <c r="A684" s="1995" t="str">
        <f>+'LISTADO MATERIALES'!$C$318</f>
        <v>DILATACIÓN DE COBRE</v>
      </c>
      <c r="B684" s="1611"/>
      <c r="C684" s="444" t="str">
        <f>+'LISTADO MATERIALES'!$D$318</f>
        <v>ML</v>
      </c>
      <c r="D684" s="464">
        <f>+'LISTADO MATERIALES'!$E$318</f>
        <v>7718</v>
      </c>
      <c r="E684" s="444">
        <v>0.35</v>
      </c>
      <c r="F684" s="464">
        <f t="shared" si="54"/>
        <v>2701.2999999999997</v>
      </c>
      <c r="G684" s="751"/>
    </row>
    <row r="685" spans="1:7" ht="13.5" customHeight="1">
      <c r="A685" s="1995" t="str">
        <f>+'LISTADO MATERIALES'!$C$144</f>
        <v>COLOR MINERAL NAL.</v>
      </c>
      <c r="B685" s="1611"/>
      <c r="C685" s="444" t="str">
        <f>+'LISTADO MATERIALES'!$D$144</f>
        <v>KG</v>
      </c>
      <c r="D685" s="464">
        <f>+'LISTADO MATERIALES'!$E$144</f>
        <v>8925</v>
      </c>
      <c r="E685" s="444">
        <v>0.28000000000000003</v>
      </c>
      <c r="F685" s="464">
        <f t="shared" si="54"/>
        <v>2499.0000000000005</v>
      </c>
      <c r="G685" s="751"/>
    </row>
    <row r="686" spans="1:7" ht="13.5" customHeight="1">
      <c r="A686" s="1995"/>
      <c r="B686" s="1611"/>
      <c r="C686" s="444"/>
      <c r="D686" s="464"/>
      <c r="E686" s="444"/>
      <c r="F686" s="464"/>
      <c r="G686" s="751"/>
    </row>
    <row r="687" spans="1:7" ht="13.5" customHeight="1">
      <c r="A687" s="2015" t="s">
        <v>1560</v>
      </c>
      <c r="B687" s="1601"/>
      <c r="C687" s="1601"/>
      <c r="D687" s="1601"/>
      <c r="E687" s="1601"/>
      <c r="F687" s="1801"/>
      <c r="G687" s="769">
        <f>SUM(F681:F685)</f>
        <v>17860.09</v>
      </c>
    </row>
    <row r="688" spans="1:7" ht="13.5" customHeight="1">
      <c r="A688" s="621" t="s">
        <v>1563</v>
      </c>
      <c r="B688" s="618"/>
      <c r="C688" s="618"/>
      <c r="D688" s="618"/>
      <c r="E688" s="618"/>
      <c r="F688" s="618"/>
      <c r="G688" s="618"/>
    </row>
    <row r="689" spans="1:7" ht="13.5" customHeight="1">
      <c r="A689" s="1975" t="s">
        <v>1556</v>
      </c>
      <c r="B689" s="1801"/>
      <c r="C689" s="424" t="s">
        <v>6</v>
      </c>
      <c r="D689" s="424" t="s">
        <v>1562</v>
      </c>
      <c r="E689" s="424" t="s">
        <v>7</v>
      </c>
      <c r="F689" s="424" t="s">
        <v>1559</v>
      </c>
      <c r="G689" s="690"/>
    </row>
    <row r="690" spans="1:7" ht="13.5" customHeight="1">
      <c r="A690" s="1987" t="str">
        <f>+'LISTADO EQUIPOS'!$C$125</f>
        <v>VOLQUETA (5-6)M3</v>
      </c>
      <c r="B690" s="1967"/>
      <c r="C690" s="744" t="str">
        <f>+'LISTADO EQUIPOS'!$D$125</f>
        <v>VJ</v>
      </c>
      <c r="D690" s="675">
        <f>+'LISTADO EQUIPOS'!$E$125</f>
        <v>90000</v>
      </c>
      <c r="E690" s="1053">
        <v>0</v>
      </c>
      <c r="F690" s="464">
        <f>D690*E690</f>
        <v>0</v>
      </c>
      <c r="G690" s="688"/>
    </row>
    <row r="691" spans="1:7" ht="13.5" customHeight="1">
      <c r="A691" s="1996"/>
      <c r="B691" s="1819"/>
      <c r="C691" s="744"/>
      <c r="D691" s="434"/>
      <c r="E691" s="746"/>
      <c r="F691" s="434"/>
      <c r="G691" s="768"/>
    </row>
    <row r="692" spans="1:7" ht="13.5" customHeight="1">
      <c r="A692" s="2015" t="s">
        <v>1560</v>
      </c>
      <c r="B692" s="1601"/>
      <c r="C692" s="1601"/>
      <c r="D692" s="1601"/>
      <c r="E692" s="1601"/>
      <c r="F692" s="1801"/>
      <c r="G692" s="769">
        <f>SUM(F691)</f>
        <v>0</v>
      </c>
    </row>
    <row r="693" spans="1:7" ht="13.5" customHeight="1">
      <c r="A693" s="621" t="s">
        <v>1564</v>
      </c>
      <c r="B693" s="618"/>
      <c r="C693" s="618"/>
      <c r="D693" s="618"/>
      <c r="E693" s="618"/>
      <c r="F693" s="618"/>
      <c r="G693" s="618"/>
    </row>
    <row r="694" spans="1:7" ht="13.5" customHeight="1">
      <c r="A694" s="1975" t="s">
        <v>1565</v>
      </c>
      <c r="B694" s="1801"/>
      <c r="C694" s="424" t="s">
        <v>1566</v>
      </c>
      <c r="D694" s="424" t="s">
        <v>6</v>
      </c>
      <c r="E694" s="424" t="s">
        <v>7</v>
      </c>
      <c r="F694" s="424" t="s">
        <v>1559</v>
      </c>
      <c r="G694" s="693"/>
    </row>
    <row r="695" spans="1:7" ht="13.5" customHeight="1">
      <c r="A695" s="2004" t="str">
        <f>+'MANO DE OBRA'!$A$64</f>
        <v>Oficial (Incl. Prestaciones)</v>
      </c>
      <c r="B695" s="1888"/>
      <c r="C695" s="679">
        <f>+'MANO DE OBRA'!$E$64</f>
        <v>15031.25</v>
      </c>
      <c r="D695" s="680">
        <v>1</v>
      </c>
      <c r="E695" s="680">
        <v>0.95</v>
      </c>
      <c r="F695" s="710">
        <f t="shared" ref="F695:F696" si="55">+(C695*D695)*E695</f>
        <v>14279.6875</v>
      </c>
      <c r="G695" s="688"/>
    </row>
    <row r="696" spans="1:7" ht="13.5" customHeight="1">
      <c r="A696" s="1984" t="str">
        <f>+'MANO DE OBRA'!$A$65</f>
        <v>Ayudante (Incl. Prestaciones)</v>
      </c>
      <c r="B696" s="1819"/>
      <c r="C696" s="747">
        <f>+'MANO DE OBRA'!$E$65</f>
        <v>10972.8125</v>
      </c>
      <c r="D696" s="614">
        <v>1</v>
      </c>
      <c r="E696" s="614">
        <f>+E695</f>
        <v>0.95</v>
      </c>
      <c r="F696" s="753">
        <f t="shared" si="55"/>
        <v>10424.171875</v>
      </c>
      <c r="G696" s="435"/>
    </row>
    <row r="697" spans="1:7" ht="13.5" customHeight="1">
      <c r="A697" s="2015" t="str">
        <f>+A692</f>
        <v>SUB-TOTAL</v>
      </c>
      <c r="B697" s="1601"/>
      <c r="C697" s="1601"/>
      <c r="D697" s="1601"/>
      <c r="E697" s="1601"/>
      <c r="F697" s="1801"/>
      <c r="G697" s="769">
        <f>SUM(F695:F696)</f>
        <v>24703.859375</v>
      </c>
    </row>
    <row r="698" spans="1:7" ht="11.25" customHeight="1">
      <c r="A698" s="618"/>
      <c r="B698" s="618"/>
      <c r="C698" s="618"/>
      <c r="D698" s="618"/>
      <c r="E698" s="618"/>
      <c r="F698" s="748"/>
      <c r="G698" s="618"/>
    </row>
    <row r="699" spans="1:7" ht="13.5" customHeight="1">
      <c r="A699" s="2015" t="s">
        <v>1567</v>
      </c>
      <c r="B699" s="1601"/>
      <c r="C699" s="1601"/>
      <c r="D699" s="1601"/>
      <c r="E699" s="1601"/>
      <c r="F699" s="1801"/>
      <c r="G699" s="1029">
        <f>ROUND(G678+G687+G692+G697,0)</f>
        <v>45271</v>
      </c>
    </row>
    <row r="700" spans="1:7" ht="13.5" customHeight="1">
      <c r="A700" s="616"/>
      <c r="B700" s="616"/>
      <c r="C700" s="616"/>
      <c r="D700" s="616"/>
      <c r="E700" s="616"/>
      <c r="F700" s="616"/>
      <c r="G700" s="616"/>
    </row>
    <row r="701" spans="1:7" ht="13.5" customHeight="1">
      <c r="A701" s="616"/>
      <c r="B701" s="616"/>
      <c r="C701" s="616"/>
      <c r="D701" s="616"/>
      <c r="E701" s="616"/>
      <c r="F701" s="616"/>
      <c r="G701" s="616"/>
    </row>
    <row r="702" spans="1:7" ht="27" customHeight="1">
      <c r="A702" s="2005" t="s">
        <v>1604</v>
      </c>
      <c r="B702" s="1616"/>
      <c r="C702" s="1624"/>
      <c r="D702" s="567"/>
      <c r="E702" s="567"/>
      <c r="F702" s="567"/>
      <c r="G702" s="668"/>
    </row>
    <row r="703" spans="1:7" ht="24" customHeight="1">
      <c r="A703" s="2012" t="s">
        <v>2418</v>
      </c>
      <c r="B703" s="1817"/>
      <c r="C703" s="1972"/>
      <c r="D703" s="669"/>
      <c r="E703" s="669"/>
      <c r="F703" s="669"/>
      <c r="G703" s="670"/>
    </row>
    <row r="705" spans="1:7" ht="35.25" customHeight="1">
      <c r="A705" s="1991" t="e">
        <v>#REF!</v>
      </c>
      <c r="B705" s="1601"/>
      <c r="C705" s="1602"/>
      <c r="D705" s="1974" t="s">
        <v>2436</v>
      </c>
      <c r="E705" s="1601"/>
      <c r="F705" s="1601"/>
      <c r="G705" s="1602"/>
    </row>
    <row r="706" spans="1:7" ht="13.5" customHeight="1">
      <c r="A706" s="620"/>
      <c r="B706" s="620"/>
      <c r="C706" s="620"/>
      <c r="D706" s="620"/>
      <c r="E706" s="620"/>
      <c r="F706" s="620"/>
      <c r="G706" s="620"/>
    </row>
    <row r="707" spans="1:7" ht="12.75" customHeight="1">
      <c r="A707" s="572"/>
      <c r="B707" s="618"/>
      <c r="C707" s="616"/>
      <c r="D707" s="421" t="s">
        <v>1553</v>
      </c>
      <c r="E707" s="422" t="s">
        <v>228</v>
      </c>
      <c r="F707" s="572"/>
      <c r="G707" s="572"/>
    </row>
    <row r="708" spans="1:7" ht="13.5" customHeight="1">
      <c r="A708" s="621" t="s">
        <v>1555</v>
      </c>
      <c r="B708" s="618"/>
      <c r="C708" s="618"/>
      <c r="D708" s="618"/>
      <c r="E708" s="618"/>
      <c r="F708" s="618"/>
      <c r="G708" s="618"/>
    </row>
    <row r="709" spans="1:7" ht="13.5" customHeight="1">
      <c r="A709" s="1975" t="s">
        <v>1556</v>
      </c>
      <c r="B709" s="1601"/>
      <c r="C709" s="1801"/>
      <c r="D709" s="424" t="s">
        <v>208</v>
      </c>
      <c r="E709" s="424" t="s">
        <v>1558</v>
      </c>
      <c r="F709" s="424" t="s">
        <v>1559</v>
      </c>
      <c r="G709" s="425"/>
    </row>
    <row r="710" spans="1:7" ht="13.5" customHeight="1">
      <c r="A710" s="1987" t="str">
        <f>+'LISTADO EQUIPOS'!$C$22</f>
        <v>HERRAMIENTA MENOR.</v>
      </c>
      <c r="B710" s="1811"/>
      <c r="C710" s="1967"/>
      <c r="D710" s="675">
        <f>+'LISTADO EQUIPOS'!$E$22/8</f>
        <v>2850</v>
      </c>
      <c r="E710" s="687">
        <f>+E728</f>
        <v>0.6</v>
      </c>
      <c r="F710" s="675">
        <f>+E710*D710</f>
        <v>1710</v>
      </c>
      <c r="G710" s="688"/>
    </row>
    <row r="711" spans="1:7" ht="13.5" customHeight="1">
      <c r="A711" s="1996"/>
      <c r="B711" s="1807"/>
      <c r="C711" s="1819"/>
      <c r="D711" s="434"/>
      <c r="E711" s="758"/>
      <c r="F711" s="434"/>
      <c r="G711" s="435"/>
    </row>
    <row r="712" spans="1:7" ht="13.5" customHeight="1">
      <c r="A712" s="2015" t="s">
        <v>1560</v>
      </c>
      <c r="B712" s="1601"/>
      <c r="C712" s="1601"/>
      <c r="D712" s="1601"/>
      <c r="E712" s="1601"/>
      <c r="F712" s="1801"/>
      <c r="G712" s="769">
        <f>SUM(F710:F711)</f>
        <v>1710</v>
      </c>
    </row>
    <row r="713" spans="1:7" ht="13.5" customHeight="1">
      <c r="A713" s="621" t="s">
        <v>1561</v>
      </c>
      <c r="B713" s="618"/>
      <c r="C713" s="618"/>
      <c r="D713" s="618"/>
      <c r="E713" s="618"/>
      <c r="F713" s="618"/>
      <c r="G713" s="618"/>
    </row>
    <row r="714" spans="1:7" ht="13.5" customHeight="1">
      <c r="A714" s="1975" t="s">
        <v>1556</v>
      </c>
      <c r="B714" s="1801"/>
      <c r="C714" s="424" t="s">
        <v>6</v>
      </c>
      <c r="D714" s="424" t="s">
        <v>1562</v>
      </c>
      <c r="E714" s="424" t="s">
        <v>7</v>
      </c>
      <c r="F714" s="424" t="s">
        <v>1559</v>
      </c>
      <c r="G714" s="425"/>
    </row>
    <row r="715" spans="1:7" ht="13.5" customHeight="1">
      <c r="A715" s="1987" t="str">
        <f>+'LISTADO MATERIALES'!$C$312</f>
        <v>BALDOSIN DURAKER 20 X 20</v>
      </c>
      <c r="B715" s="1967"/>
      <c r="C715" s="674" t="str">
        <f>+'LISTADO MATERIALES'!$D$312</f>
        <v>M2</v>
      </c>
      <c r="D715" s="675">
        <f>+'LISTADO MATERIALES'!$E$312</f>
        <v>18900</v>
      </c>
      <c r="E715" s="674">
        <v>1.05</v>
      </c>
      <c r="F715" s="675">
        <f t="shared" ref="F715:F717" si="56">+E715*D715</f>
        <v>19845</v>
      </c>
      <c r="G715" s="688"/>
    </row>
    <row r="716" spans="1:7" ht="13.5" customHeight="1">
      <c r="A716" s="1995" t="str">
        <f>+'LISTADO MATERIALES'!$C$140</f>
        <v>CEMENTO BLANCO</v>
      </c>
      <c r="B716" s="1611"/>
      <c r="C716" s="444" t="str">
        <f>+'LISTADO MATERIALES'!$D$140</f>
        <v>KG</v>
      </c>
      <c r="D716" s="464">
        <f>+'LISTADO MATERIALES'!$E$140</f>
        <v>1103</v>
      </c>
      <c r="E716" s="444">
        <v>0.75</v>
      </c>
      <c r="F716" s="464">
        <f t="shared" si="56"/>
        <v>827.25</v>
      </c>
      <c r="G716" s="751"/>
    </row>
    <row r="717" spans="1:7" ht="13.5" customHeight="1">
      <c r="A717" s="1995" t="str">
        <f>+'LISTADO MATERIALES'!$C$141</f>
        <v>CEMENTO GRIS</v>
      </c>
      <c r="B717" s="1611"/>
      <c r="C717" s="444" t="str">
        <f>+'LISTADO MATERIALES'!$D$141</f>
        <v>KG</v>
      </c>
      <c r="D717" s="464">
        <f>+'LISTADO MATERIALES'!$E$141</f>
        <v>600</v>
      </c>
      <c r="E717" s="444">
        <v>4.95</v>
      </c>
      <c r="F717" s="464">
        <f t="shared" si="56"/>
        <v>2970</v>
      </c>
      <c r="G717" s="751"/>
    </row>
    <row r="718" spans="1:7" ht="13.5" customHeight="1">
      <c r="A718" s="1995"/>
      <c r="B718" s="1611"/>
      <c r="C718" s="444"/>
      <c r="D718" s="464"/>
      <c r="E718" s="444"/>
      <c r="F718" s="464"/>
      <c r="G718" s="751"/>
    </row>
    <row r="719" spans="1:7" ht="13.5" customHeight="1">
      <c r="A719" s="1995"/>
      <c r="B719" s="1611"/>
      <c r="C719" s="444"/>
      <c r="D719" s="464"/>
      <c r="E719" s="444"/>
      <c r="F719" s="464"/>
      <c r="G719" s="751"/>
    </row>
    <row r="720" spans="1:7" ht="13.5" customHeight="1">
      <c r="A720" s="2015" t="s">
        <v>1560</v>
      </c>
      <c r="B720" s="1601"/>
      <c r="C720" s="1601"/>
      <c r="D720" s="1601"/>
      <c r="E720" s="1601"/>
      <c r="F720" s="1801"/>
      <c r="G720" s="769">
        <f>SUM(F715:F718)</f>
        <v>23642.25</v>
      </c>
    </row>
    <row r="721" spans="1:7" ht="13.5" customHeight="1">
      <c r="A721" s="621" t="s">
        <v>1563</v>
      </c>
      <c r="B721" s="618"/>
      <c r="C721" s="618"/>
      <c r="D721" s="618"/>
      <c r="E721" s="618"/>
      <c r="F721" s="618"/>
      <c r="G721" s="618"/>
    </row>
    <row r="722" spans="1:7" ht="13.5" customHeight="1">
      <c r="A722" s="1975" t="s">
        <v>1556</v>
      </c>
      <c r="B722" s="1801"/>
      <c r="C722" s="424" t="s">
        <v>6</v>
      </c>
      <c r="D722" s="424" t="s">
        <v>1562</v>
      </c>
      <c r="E722" s="424" t="s">
        <v>7</v>
      </c>
      <c r="F722" s="424" t="s">
        <v>1559</v>
      </c>
      <c r="G722" s="690"/>
    </row>
    <row r="723" spans="1:7" ht="13.5" customHeight="1">
      <c r="A723" s="1987" t="str">
        <f>+'LISTADO EQUIPOS'!$C$125</f>
        <v>VOLQUETA (5-6)M3</v>
      </c>
      <c r="B723" s="1967"/>
      <c r="C723" s="744" t="str">
        <f>+'LISTADO EQUIPOS'!$D$125</f>
        <v>VJ</v>
      </c>
      <c r="D723" s="675">
        <f>+'LISTADO EQUIPOS'!$E$125</f>
        <v>90000</v>
      </c>
      <c r="E723" s="1053">
        <v>0</v>
      </c>
      <c r="F723" s="464">
        <f>D723*E723</f>
        <v>0</v>
      </c>
      <c r="G723" s="688"/>
    </row>
    <row r="724" spans="1:7" ht="13.5" customHeight="1">
      <c r="A724" s="1996"/>
      <c r="B724" s="1819"/>
      <c r="C724" s="744"/>
      <c r="D724" s="434"/>
      <c r="E724" s="746"/>
      <c r="F724" s="434"/>
      <c r="G724" s="768"/>
    </row>
    <row r="725" spans="1:7" ht="13.5" customHeight="1">
      <c r="A725" s="2015" t="s">
        <v>1560</v>
      </c>
      <c r="B725" s="1601"/>
      <c r="C725" s="1601"/>
      <c r="D725" s="1601"/>
      <c r="E725" s="1601"/>
      <c r="F725" s="1801"/>
      <c r="G725" s="769">
        <f>SUM(F724)</f>
        <v>0</v>
      </c>
    </row>
    <row r="726" spans="1:7" ht="13.5" customHeight="1">
      <c r="A726" s="621" t="s">
        <v>1564</v>
      </c>
      <c r="B726" s="618"/>
      <c r="C726" s="618"/>
      <c r="D726" s="618"/>
      <c r="E726" s="618"/>
      <c r="F726" s="618"/>
      <c r="G726" s="618"/>
    </row>
    <row r="727" spans="1:7" ht="13.5" customHeight="1">
      <c r="A727" s="1975" t="s">
        <v>1565</v>
      </c>
      <c r="B727" s="1801"/>
      <c r="C727" s="424" t="s">
        <v>1566</v>
      </c>
      <c r="D727" s="424" t="s">
        <v>6</v>
      </c>
      <c r="E727" s="424" t="s">
        <v>7</v>
      </c>
      <c r="F727" s="424" t="s">
        <v>1559</v>
      </c>
      <c r="G727" s="693"/>
    </row>
    <row r="728" spans="1:7" ht="13.5" customHeight="1">
      <c r="A728" s="2004" t="str">
        <f>+'MANO DE OBRA'!$A$64</f>
        <v>Oficial (Incl. Prestaciones)</v>
      </c>
      <c r="B728" s="1888"/>
      <c r="C728" s="679">
        <f>+'MANO DE OBRA'!$E$64</f>
        <v>15031.25</v>
      </c>
      <c r="D728" s="680">
        <v>1</v>
      </c>
      <c r="E728" s="680">
        <v>0.6</v>
      </c>
      <c r="F728" s="710">
        <f t="shared" ref="F728:F729" si="57">+(C728*D728)*E728</f>
        <v>9018.75</v>
      </c>
      <c r="G728" s="688"/>
    </row>
    <row r="729" spans="1:7" ht="13.5" customHeight="1">
      <c r="A729" s="1984" t="str">
        <f>+'MANO DE OBRA'!$A$65</f>
        <v>Ayudante (Incl. Prestaciones)</v>
      </c>
      <c r="B729" s="1819"/>
      <c r="C729" s="747">
        <f>+'MANO DE OBRA'!$E$65</f>
        <v>10972.8125</v>
      </c>
      <c r="D729" s="614">
        <v>1</v>
      </c>
      <c r="E729" s="614">
        <f>+E728</f>
        <v>0.6</v>
      </c>
      <c r="F729" s="753">
        <f t="shared" si="57"/>
        <v>6583.6875</v>
      </c>
      <c r="G729" s="435"/>
    </row>
    <row r="730" spans="1:7" ht="13.5" customHeight="1">
      <c r="A730" s="2015" t="str">
        <f>+A725</f>
        <v>SUB-TOTAL</v>
      </c>
      <c r="B730" s="1601"/>
      <c r="C730" s="1601"/>
      <c r="D730" s="1601"/>
      <c r="E730" s="1601"/>
      <c r="F730" s="1801"/>
      <c r="G730" s="769">
        <f>SUM(F728:F729)</f>
        <v>15602.4375</v>
      </c>
    </row>
    <row r="731" spans="1:7" ht="11.25" customHeight="1">
      <c r="A731" s="618"/>
      <c r="B731" s="618"/>
      <c r="C731" s="618"/>
      <c r="D731" s="618"/>
      <c r="E731" s="618"/>
      <c r="F731" s="748"/>
      <c r="G731" s="618"/>
    </row>
    <row r="732" spans="1:7" ht="13.5" customHeight="1">
      <c r="A732" s="2015" t="s">
        <v>1567</v>
      </c>
      <c r="B732" s="1601"/>
      <c r="C732" s="1601"/>
      <c r="D732" s="1601"/>
      <c r="E732" s="1601"/>
      <c r="F732" s="1801"/>
      <c r="G732" s="1029">
        <f>ROUND(G712+G720+G725+G730,0)</f>
        <v>40955</v>
      </c>
    </row>
    <row r="733" spans="1:7" ht="13.5" customHeight="1">
      <c r="A733" s="616"/>
      <c r="B733" s="616"/>
      <c r="C733" s="616"/>
      <c r="D733" s="616"/>
      <c r="E733" s="616"/>
      <c r="F733" s="616"/>
      <c r="G733" s="616"/>
    </row>
    <row r="734" spans="1:7" ht="13.5" customHeight="1">
      <c r="A734" s="616"/>
      <c r="B734" s="616"/>
      <c r="C734" s="616"/>
      <c r="D734" s="616"/>
      <c r="E734" s="616"/>
      <c r="F734" s="616"/>
      <c r="G734" s="616"/>
    </row>
    <row r="735" spans="1:7" ht="27" customHeight="1">
      <c r="A735" s="2005" t="s">
        <v>1604</v>
      </c>
      <c r="B735" s="1616"/>
      <c r="C735" s="1624"/>
      <c r="D735" s="567"/>
      <c r="E735" s="567"/>
      <c r="F735" s="567"/>
      <c r="G735" s="668"/>
    </row>
    <row r="736" spans="1:7" ht="24" customHeight="1">
      <c r="A736" s="2012" t="s">
        <v>2418</v>
      </c>
      <c r="B736" s="1817"/>
      <c r="C736" s="1972"/>
      <c r="D736" s="669"/>
      <c r="E736" s="669"/>
      <c r="F736" s="669"/>
      <c r="G736" s="670"/>
    </row>
    <row r="738" spans="1:7" ht="35.25" customHeight="1">
      <c r="A738" s="1991" t="e">
        <v>#REF!</v>
      </c>
      <c r="B738" s="1601"/>
      <c r="C738" s="1602"/>
      <c r="D738" s="1974" t="s">
        <v>2437</v>
      </c>
      <c r="E738" s="1601"/>
      <c r="F738" s="1601"/>
      <c r="G738" s="1602"/>
    </row>
    <row r="739" spans="1:7" ht="13.5" customHeight="1">
      <c r="A739" s="620"/>
      <c r="B739" s="620"/>
      <c r="C739" s="620"/>
      <c r="D739" s="620"/>
      <c r="E739" s="620"/>
      <c r="F739" s="620"/>
      <c r="G739" s="620"/>
    </row>
    <row r="740" spans="1:7" ht="12.75" customHeight="1">
      <c r="A740" s="572"/>
      <c r="B740" s="618"/>
      <c r="C740" s="616"/>
      <c r="D740" s="421" t="s">
        <v>1553</v>
      </c>
      <c r="E740" s="422" t="s">
        <v>228</v>
      </c>
      <c r="F740" s="572"/>
      <c r="G740" s="572"/>
    </row>
    <row r="741" spans="1:7" ht="13.5" customHeight="1">
      <c r="A741" s="621" t="s">
        <v>1555</v>
      </c>
      <c r="B741" s="618"/>
      <c r="C741" s="618"/>
      <c r="D741" s="618"/>
      <c r="E741" s="618"/>
      <c r="F741" s="618"/>
      <c r="G741" s="618"/>
    </row>
    <row r="742" spans="1:7" ht="13.5" customHeight="1">
      <c r="A742" s="1975" t="s">
        <v>1556</v>
      </c>
      <c r="B742" s="1601"/>
      <c r="C742" s="1801"/>
      <c r="D742" s="424" t="s">
        <v>208</v>
      </c>
      <c r="E742" s="424" t="s">
        <v>1558</v>
      </c>
      <c r="F742" s="424" t="s">
        <v>1559</v>
      </c>
      <c r="G742" s="425"/>
    </row>
    <row r="743" spans="1:7" ht="13.5" customHeight="1">
      <c r="A743" s="1987" t="str">
        <f>+'LISTADO EQUIPOS'!$C$22</f>
        <v>HERRAMIENTA MENOR.</v>
      </c>
      <c r="B743" s="1811"/>
      <c r="C743" s="1967"/>
      <c r="D743" s="675">
        <f>+'LISTADO EQUIPOS'!$E$22/8</f>
        <v>2850</v>
      </c>
      <c r="E743" s="687">
        <f>+E760</f>
        <v>0.5</v>
      </c>
      <c r="F743" s="675">
        <f>+E743*D743</f>
        <v>1425</v>
      </c>
      <c r="G743" s="688"/>
    </row>
    <row r="744" spans="1:7" ht="13.5" customHeight="1">
      <c r="A744" s="1996"/>
      <c r="B744" s="1807"/>
      <c r="C744" s="1819"/>
      <c r="D744" s="434"/>
      <c r="E744" s="758"/>
      <c r="F744" s="434"/>
      <c r="G744" s="435"/>
    </row>
    <row r="745" spans="1:7" ht="13.5" customHeight="1">
      <c r="A745" s="2015" t="s">
        <v>1560</v>
      </c>
      <c r="B745" s="1601"/>
      <c r="C745" s="1601"/>
      <c r="D745" s="1601"/>
      <c r="E745" s="1601"/>
      <c r="F745" s="1801"/>
      <c r="G745" s="769">
        <f>SUM(F743:F744)</f>
        <v>1425</v>
      </c>
    </row>
    <row r="746" spans="1:7" ht="13.5" customHeight="1">
      <c r="A746" s="621" t="s">
        <v>1561</v>
      </c>
      <c r="B746" s="618"/>
      <c r="C746" s="618"/>
      <c r="D746" s="618"/>
      <c r="E746" s="618"/>
      <c r="F746" s="618"/>
      <c r="G746" s="618"/>
    </row>
    <row r="747" spans="1:7" ht="13.5" customHeight="1">
      <c r="A747" s="1975" t="s">
        <v>1556</v>
      </c>
      <c r="B747" s="1801"/>
      <c r="C747" s="424" t="s">
        <v>6</v>
      </c>
      <c r="D747" s="424" t="s">
        <v>1562</v>
      </c>
      <c r="E747" s="424" t="s">
        <v>7</v>
      </c>
      <c r="F747" s="424" t="s">
        <v>1559</v>
      </c>
      <c r="G747" s="425"/>
    </row>
    <row r="748" spans="1:7" ht="13.5" customHeight="1">
      <c r="A748" s="1987" t="str">
        <f>+'LISTADO MATERIALES'!$C$362</f>
        <v>TAPETE DALTON</v>
      </c>
      <c r="B748" s="1967"/>
      <c r="C748" s="674" t="str">
        <f>+'LISTADO MATERIALES'!$D$362</f>
        <v>M2</v>
      </c>
      <c r="D748" s="675">
        <f>+'LISTADO MATERIALES'!$E$362</f>
        <v>22733</v>
      </c>
      <c r="E748" s="674">
        <v>1.03</v>
      </c>
      <c r="F748" s="675">
        <f t="shared" ref="F748:F749" si="58">+E748*D748</f>
        <v>23414.99</v>
      </c>
      <c r="G748" s="688"/>
    </row>
    <row r="749" spans="1:7" ht="13.5" customHeight="1">
      <c r="A749" s="1995" t="str">
        <f>+'LISTADO MATERIALES'!$C$722</f>
        <v>ADHESIVO</v>
      </c>
      <c r="B749" s="1611"/>
      <c r="C749" s="444" t="str">
        <f>+'LISTADO MATERIALES'!$D$722</f>
        <v>GAL</v>
      </c>
      <c r="D749" s="464">
        <f>+'LISTADO MATERIALES'!$E$722</f>
        <v>69300</v>
      </c>
      <c r="E749" s="444">
        <v>0.09</v>
      </c>
      <c r="F749" s="464">
        <f t="shared" si="58"/>
        <v>6237</v>
      </c>
      <c r="G749" s="751"/>
    </row>
    <row r="750" spans="1:7" ht="13.5" customHeight="1">
      <c r="A750" s="1995"/>
      <c r="B750" s="1611"/>
      <c r="C750" s="444"/>
      <c r="D750" s="464"/>
      <c r="E750" s="444"/>
      <c r="F750" s="464"/>
      <c r="G750" s="751"/>
    </row>
    <row r="751" spans="1:7" ht="13.5" customHeight="1">
      <c r="A751" s="1995"/>
      <c r="B751" s="1611"/>
      <c r="C751" s="444"/>
      <c r="D751" s="464"/>
      <c r="E751" s="444"/>
      <c r="F751" s="464"/>
      <c r="G751" s="751"/>
    </row>
    <row r="752" spans="1:7" ht="13.5" customHeight="1">
      <c r="A752" s="2015" t="s">
        <v>1560</v>
      </c>
      <c r="B752" s="1601"/>
      <c r="C752" s="1601"/>
      <c r="D752" s="1601"/>
      <c r="E752" s="1601"/>
      <c r="F752" s="1801"/>
      <c r="G752" s="769">
        <f>SUM(F748:F750)</f>
        <v>29651.99</v>
      </c>
    </row>
    <row r="753" spans="1:7" ht="13.5" customHeight="1">
      <c r="A753" s="621" t="s">
        <v>1563</v>
      </c>
      <c r="B753" s="618"/>
      <c r="C753" s="618"/>
      <c r="D753" s="618"/>
      <c r="E753" s="618"/>
      <c r="F753" s="618"/>
      <c r="G753" s="618"/>
    </row>
    <row r="754" spans="1:7" ht="13.5" customHeight="1">
      <c r="A754" s="1975" t="s">
        <v>1556</v>
      </c>
      <c r="B754" s="1801"/>
      <c r="C754" s="424" t="s">
        <v>6</v>
      </c>
      <c r="D754" s="424" t="s">
        <v>1562</v>
      </c>
      <c r="E754" s="424" t="s">
        <v>7</v>
      </c>
      <c r="F754" s="424" t="s">
        <v>1559</v>
      </c>
      <c r="G754" s="690"/>
    </row>
    <row r="755" spans="1:7" ht="13.5" customHeight="1">
      <c r="A755" s="1987" t="str">
        <f>+'LISTADO EQUIPOS'!$C$125</f>
        <v>VOLQUETA (5-6)M3</v>
      </c>
      <c r="B755" s="1967"/>
      <c r="C755" s="744" t="str">
        <f>+'LISTADO EQUIPOS'!$D$125</f>
        <v>VJ</v>
      </c>
      <c r="D755" s="675">
        <f>+'LISTADO EQUIPOS'!$E$125</f>
        <v>90000</v>
      </c>
      <c r="E755" s="1053">
        <v>0</v>
      </c>
      <c r="F755" s="464">
        <f>D755*E755</f>
        <v>0</v>
      </c>
      <c r="G755" s="688"/>
    </row>
    <row r="756" spans="1:7" ht="13.5" customHeight="1">
      <c r="A756" s="1996"/>
      <c r="B756" s="1819"/>
      <c r="C756" s="744"/>
      <c r="D756" s="434"/>
      <c r="E756" s="746"/>
      <c r="F756" s="434"/>
      <c r="G756" s="768"/>
    </row>
    <row r="757" spans="1:7" ht="13.5" customHeight="1">
      <c r="A757" s="2015" t="s">
        <v>1560</v>
      </c>
      <c r="B757" s="1601"/>
      <c r="C757" s="1601"/>
      <c r="D757" s="1601"/>
      <c r="E757" s="1601"/>
      <c r="F757" s="1801"/>
      <c r="G757" s="769">
        <f>SUM(F756)</f>
        <v>0</v>
      </c>
    </row>
    <row r="758" spans="1:7" ht="13.5" customHeight="1">
      <c r="A758" s="621" t="s">
        <v>1564</v>
      </c>
      <c r="B758" s="618"/>
      <c r="C758" s="618"/>
      <c r="D758" s="618"/>
      <c r="E758" s="618"/>
      <c r="F758" s="618"/>
      <c r="G758" s="618"/>
    </row>
    <row r="759" spans="1:7" ht="13.5" customHeight="1">
      <c r="A759" s="1975" t="s">
        <v>1565</v>
      </c>
      <c r="B759" s="1801"/>
      <c r="C759" s="424" t="s">
        <v>1566</v>
      </c>
      <c r="D759" s="424" t="s">
        <v>6</v>
      </c>
      <c r="E759" s="424" t="s">
        <v>7</v>
      </c>
      <c r="F759" s="424" t="s">
        <v>1559</v>
      </c>
      <c r="G759" s="693"/>
    </row>
    <row r="760" spans="1:7" ht="13.5" customHeight="1">
      <c r="A760" s="2004" t="str">
        <f>+'MANO DE OBRA'!$A$64</f>
        <v>Oficial (Incl. Prestaciones)</v>
      </c>
      <c r="B760" s="1888"/>
      <c r="C760" s="679">
        <f>+'MANO DE OBRA'!$E$64</f>
        <v>15031.25</v>
      </c>
      <c r="D760" s="680">
        <v>1</v>
      </c>
      <c r="E760" s="680">
        <v>0.5</v>
      </c>
      <c r="F760" s="710">
        <f t="shared" ref="F760:F761" si="59">+(C760*D760)*E760</f>
        <v>7515.625</v>
      </c>
      <c r="G760" s="688"/>
    </row>
    <row r="761" spans="1:7" ht="13.5" customHeight="1">
      <c r="A761" s="1984" t="str">
        <f>+'MANO DE OBRA'!$A$65</f>
        <v>Ayudante (Incl. Prestaciones)</v>
      </c>
      <c r="B761" s="1819"/>
      <c r="C761" s="747">
        <f>+'MANO DE OBRA'!$E$65</f>
        <v>10972.8125</v>
      </c>
      <c r="D761" s="614">
        <v>1</v>
      </c>
      <c r="E761" s="614">
        <f>+E760</f>
        <v>0.5</v>
      </c>
      <c r="F761" s="753">
        <f t="shared" si="59"/>
        <v>5486.40625</v>
      </c>
      <c r="G761" s="435"/>
    </row>
    <row r="762" spans="1:7" ht="13.5" customHeight="1">
      <c r="A762" s="2015" t="str">
        <f>+A757</f>
        <v>SUB-TOTAL</v>
      </c>
      <c r="B762" s="1601"/>
      <c r="C762" s="1601"/>
      <c r="D762" s="1601"/>
      <c r="E762" s="1601"/>
      <c r="F762" s="1801"/>
      <c r="G762" s="769">
        <f>SUM(F760:F761)</f>
        <v>13002.03125</v>
      </c>
    </row>
    <row r="763" spans="1:7" ht="11.25" customHeight="1">
      <c r="A763" s="618"/>
      <c r="B763" s="618"/>
      <c r="C763" s="618"/>
      <c r="D763" s="618"/>
      <c r="E763" s="618"/>
      <c r="F763" s="748"/>
      <c r="G763" s="618"/>
    </row>
    <row r="764" spans="1:7" ht="13.5" customHeight="1">
      <c r="A764" s="2015" t="s">
        <v>1567</v>
      </c>
      <c r="B764" s="1601"/>
      <c r="C764" s="1601"/>
      <c r="D764" s="1601"/>
      <c r="E764" s="1601"/>
      <c r="F764" s="1801"/>
      <c r="G764" s="1029">
        <f>ROUND(G745+G752+G757+G762,0)</f>
        <v>44079</v>
      </c>
    </row>
    <row r="765" spans="1:7" ht="13.5" customHeight="1">
      <c r="A765" s="616"/>
      <c r="B765" s="616"/>
      <c r="C765" s="616"/>
      <c r="D765" s="616"/>
      <c r="E765" s="616"/>
      <c r="F765" s="616"/>
      <c r="G765" s="616"/>
    </row>
    <row r="766" spans="1:7" ht="13.5" customHeight="1">
      <c r="A766" s="616"/>
      <c r="B766" s="616"/>
      <c r="C766" s="616"/>
      <c r="D766" s="616"/>
      <c r="E766" s="616"/>
      <c r="F766" s="616"/>
      <c r="G766" s="616"/>
    </row>
    <row r="767" spans="1:7" ht="27" customHeight="1">
      <c r="A767" s="2005" t="s">
        <v>1604</v>
      </c>
      <c r="B767" s="1616"/>
      <c r="C767" s="1624"/>
      <c r="D767" s="567"/>
      <c r="E767" s="567"/>
      <c r="F767" s="567"/>
      <c r="G767" s="668"/>
    </row>
    <row r="768" spans="1:7" ht="24" customHeight="1">
      <c r="A768" s="2012" t="s">
        <v>2418</v>
      </c>
      <c r="B768" s="1817"/>
      <c r="C768" s="1972"/>
      <c r="D768" s="669"/>
      <c r="E768" s="669"/>
      <c r="F768" s="669"/>
      <c r="G768" s="670"/>
    </row>
    <row r="770" spans="1:7" ht="35.25" customHeight="1">
      <c r="A770" s="1991" t="e">
        <v>#REF!</v>
      </c>
      <c r="B770" s="1601"/>
      <c r="C770" s="1602"/>
      <c r="D770" s="1974" t="s">
        <v>2438</v>
      </c>
      <c r="E770" s="1601"/>
      <c r="F770" s="1601"/>
      <c r="G770" s="1602"/>
    </row>
    <row r="771" spans="1:7" ht="13.5" customHeight="1">
      <c r="A771" s="620"/>
      <c r="B771" s="620"/>
      <c r="C771" s="620"/>
      <c r="D771" s="620"/>
      <c r="E771" s="620"/>
      <c r="F771" s="620"/>
      <c r="G771" s="620"/>
    </row>
    <row r="772" spans="1:7" ht="12.75" customHeight="1">
      <c r="A772" s="572"/>
      <c r="B772" s="618"/>
      <c r="C772" s="616"/>
      <c r="D772" s="421" t="s">
        <v>1553</v>
      </c>
      <c r="E772" s="422" t="s">
        <v>120</v>
      </c>
      <c r="F772" s="572"/>
      <c r="G772" s="572"/>
    </row>
    <row r="773" spans="1:7" ht="13.5" customHeight="1">
      <c r="A773" s="621" t="s">
        <v>1555</v>
      </c>
      <c r="B773" s="618"/>
      <c r="C773" s="618"/>
      <c r="D773" s="618"/>
      <c r="E773" s="618"/>
      <c r="F773" s="618"/>
      <c r="G773" s="618"/>
    </row>
    <row r="774" spans="1:7" ht="13.5" customHeight="1">
      <c r="A774" s="1975" t="s">
        <v>1556</v>
      </c>
      <c r="B774" s="1601"/>
      <c r="C774" s="1801"/>
      <c r="D774" s="424" t="s">
        <v>208</v>
      </c>
      <c r="E774" s="424" t="s">
        <v>1558</v>
      </c>
      <c r="F774" s="424" t="s">
        <v>1559</v>
      </c>
      <c r="G774" s="425"/>
    </row>
    <row r="775" spans="1:7" ht="13.5" customHeight="1">
      <c r="A775" s="1987" t="str">
        <f>+'LISTADO EQUIPOS'!$C$22</f>
        <v>HERRAMIENTA MENOR.</v>
      </c>
      <c r="B775" s="1811"/>
      <c r="C775" s="1967"/>
      <c r="D775" s="675">
        <f>+'LISTADO EQUIPOS'!$E$22/8</f>
        <v>2850</v>
      </c>
      <c r="E775" s="687">
        <f>+E797</f>
        <v>1.2</v>
      </c>
      <c r="F775" s="675">
        <f t="shared" ref="F775:F777" si="60">+E775*D775</f>
        <v>3420</v>
      </c>
      <c r="G775" s="688"/>
    </row>
    <row r="776" spans="1:7" ht="13.5" customHeight="1">
      <c r="A776" s="1995" t="str">
        <f>+'LISTADO EQUIPOS'!$C$31</f>
        <v>PULIDORA MANUAL</v>
      </c>
      <c r="B776" s="1610"/>
      <c r="C776" s="1611"/>
      <c r="D776" s="464">
        <f>+'LISTADO EQUIPOS'!$E$31</f>
        <v>11400</v>
      </c>
      <c r="E776" s="706">
        <v>0.02</v>
      </c>
      <c r="F776" s="464">
        <f t="shared" si="60"/>
        <v>228</v>
      </c>
      <c r="G776" s="751"/>
    </row>
    <row r="777" spans="1:7" ht="13.5" customHeight="1">
      <c r="A777" s="1996" t="str">
        <f>+'ANALISIS BASICOS'!$A$360</f>
        <v>FORMALETA EN MADERA</v>
      </c>
      <c r="B777" s="1807"/>
      <c r="C777" s="1819"/>
      <c r="D777" s="434">
        <f>+'ANALISIS BASICOS'!$G$360</f>
        <v>41998</v>
      </c>
      <c r="E777" s="433">
        <v>0.02</v>
      </c>
      <c r="F777" s="434">
        <f t="shared" si="60"/>
        <v>839.96</v>
      </c>
      <c r="G777" s="435"/>
    </row>
    <row r="778" spans="1:7" ht="13.5" customHeight="1">
      <c r="A778" s="2015" t="s">
        <v>1560</v>
      </c>
      <c r="B778" s="1601"/>
      <c r="C778" s="1601"/>
      <c r="D778" s="1601"/>
      <c r="E778" s="1601"/>
      <c r="F778" s="1801"/>
      <c r="G778" s="769">
        <f>SUM(F775:F777)</f>
        <v>4487.96</v>
      </c>
    </row>
    <row r="779" spans="1:7" ht="13.5" customHeight="1">
      <c r="A779" s="621" t="s">
        <v>1561</v>
      </c>
      <c r="B779" s="618"/>
      <c r="C779" s="618"/>
      <c r="D779" s="618"/>
      <c r="E779" s="618"/>
      <c r="F779" s="618"/>
      <c r="G779" s="618"/>
    </row>
    <row r="780" spans="1:7" ht="13.5" customHeight="1">
      <c r="A780" s="1975" t="s">
        <v>1556</v>
      </c>
      <c r="B780" s="1801"/>
      <c r="C780" s="424" t="s">
        <v>6</v>
      </c>
      <c r="D780" s="424" t="s">
        <v>1562</v>
      </c>
      <c r="E780" s="424" t="s">
        <v>7</v>
      </c>
      <c r="F780" s="424" t="s">
        <v>1559</v>
      </c>
      <c r="G780" s="425"/>
    </row>
    <row r="781" spans="1:7" ht="13.5" customHeight="1">
      <c r="A781" s="1987" t="str">
        <f>+'LISTADO MATERIALES'!$C$140</f>
        <v>CEMENTO BLANCO</v>
      </c>
      <c r="B781" s="1967"/>
      <c r="C781" s="674" t="str">
        <f>+'LISTADO MATERIALES'!$D$140</f>
        <v>KG</v>
      </c>
      <c r="D781" s="675">
        <f>+'LISTADO MATERIALES'!$E$140</f>
        <v>1103</v>
      </c>
      <c r="E781" s="687">
        <v>0.52</v>
      </c>
      <c r="F781" s="675">
        <f t="shared" ref="F781:F787" si="61">+E781*D781</f>
        <v>573.56000000000006</v>
      </c>
      <c r="G781" s="688"/>
    </row>
    <row r="782" spans="1:7" ht="13.5" customHeight="1">
      <c r="A782" s="1995" t="str">
        <f>+'LISTADO MATERIALES'!$C$152</f>
        <v>GRANITO # 2 (BLANCO) 25 Kg</v>
      </c>
      <c r="B782" s="1611"/>
      <c r="C782" s="444" t="str">
        <f>+'LISTADO MATERIALES'!$D$152</f>
        <v>BTO</v>
      </c>
      <c r="D782" s="464">
        <f>+'LISTADO MATERIALES'!$E$152</f>
        <v>9450</v>
      </c>
      <c r="E782" s="706">
        <v>0.14000000000000001</v>
      </c>
      <c r="F782" s="464">
        <f t="shared" si="61"/>
        <v>1323.0000000000002</v>
      </c>
      <c r="G782" s="751"/>
    </row>
    <row r="783" spans="1:7" ht="13.5" customHeight="1">
      <c r="A783" s="1995" t="str">
        <f>+'LISTADO MATERIALES'!$C$153</f>
        <v>GRANITO # 2 (NEGRO) 25 Kg</v>
      </c>
      <c r="B783" s="1611"/>
      <c r="C783" s="444" t="str">
        <f>+'LISTADO MATERIALES'!$D$153</f>
        <v>BTO</v>
      </c>
      <c r="D783" s="464">
        <f>+'LISTADO MATERIALES'!$E$153</f>
        <v>11550</v>
      </c>
      <c r="E783" s="706">
        <v>7.0000000000000007E-2</v>
      </c>
      <c r="F783" s="464">
        <f t="shared" si="61"/>
        <v>808.50000000000011</v>
      </c>
      <c r="G783" s="751"/>
    </row>
    <row r="784" spans="1:7" ht="13.5" customHeight="1">
      <c r="A784" s="1995" t="str">
        <f>+'LISTADO MATERIALES'!$C$318</f>
        <v>DILATACIÓN DE COBRE</v>
      </c>
      <c r="B784" s="1611"/>
      <c r="C784" s="444" t="str">
        <f>+'LISTADO MATERIALES'!$D$318</f>
        <v>ML</v>
      </c>
      <c r="D784" s="464">
        <f>+'LISTADO MATERIALES'!$E$318</f>
        <v>7718</v>
      </c>
      <c r="E784" s="706">
        <v>1</v>
      </c>
      <c r="F784" s="464">
        <f t="shared" si="61"/>
        <v>7718</v>
      </c>
      <c r="G784" s="751"/>
    </row>
    <row r="785" spans="1:7" ht="13.5" customHeight="1">
      <c r="A785" s="1995" t="str">
        <f>+'LISTADO MATERIALES'!$C$317</f>
        <v>CERA PISO</v>
      </c>
      <c r="B785" s="1611"/>
      <c r="C785" s="444" t="str">
        <f>+'LISTADO MATERIALES'!$D$317</f>
        <v>LB</v>
      </c>
      <c r="D785" s="464">
        <f>+'LISTADO MATERIALES'!$E$317</f>
        <v>6888</v>
      </c>
      <c r="E785" s="706">
        <v>0.01</v>
      </c>
      <c r="F785" s="464">
        <f t="shared" si="61"/>
        <v>68.88</v>
      </c>
      <c r="G785" s="751"/>
    </row>
    <row r="786" spans="1:7" ht="13.5" customHeight="1">
      <c r="A786" s="1995" t="str">
        <f>+'LISTADO MATERIALES'!$C$723</f>
        <v>AGUA</v>
      </c>
      <c r="B786" s="1611"/>
      <c r="C786" s="444" t="str">
        <f>+'LISTADO MATERIALES'!$D$723</f>
        <v>LT</v>
      </c>
      <c r="D786" s="464">
        <f>+'LISTADO MATERIALES'!$E$723</f>
        <v>21</v>
      </c>
      <c r="E786" s="706">
        <v>25</v>
      </c>
      <c r="F786" s="464">
        <f t="shared" si="61"/>
        <v>525</v>
      </c>
      <c r="G786" s="751"/>
    </row>
    <row r="787" spans="1:7" ht="13.5" customHeight="1">
      <c r="A787" s="1995" t="str">
        <f>+'LISTADO MATERIALES'!$C$141</f>
        <v>CEMENTO GRIS</v>
      </c>
      <c r="B787" s="1611"/>
      <c r="C787" s="444" t="str">
        <f>+'LISTADO MATERIALES'!$D$141</f>
        <v>KG</v>
      </c>
      <c r="D787" s="464">
        <f>+'LISTADO MATERIALES'!$E$141</f>
        <v>600</v>
      </c>
      <c r="E787" s="444">
        <v>0.52</v>
      </c>
      <c r="F787" s="464">
        <f t="shared" si="61"/>
        <v>312</v>
      </c>
      <c r="G787" s="751"/>
    </row>
    <row r="788" spans="1:7" ht="13.5" customHeight="1">
      <c r="A788" s="1995"/>
      <c r="B788" s="1611"/>
      <c r="C788" s="444"/>
      <c r="D788" s="464"/>
      <c r="E788" s="444"/>
      <c r="F788" s="464"/>
      <c r="G788" s="751"/>
    </row>
    <row r="789" spans="1:7" ht="13.5" customHeight="1">
      <c r="A789" s="2015" t="s">
        <v>1560</v>
      </c>
      <c r="B789" s="1601"/>
      <c r="C789" s="1601"/>
      <c r="D789" s="1601"/>
      <c r="E789" s="1601"/>
      <c r="F789" s="1801"/>
      <c r="G789" s="769">
        <f>SUM(F781:F787)</f>
        <v>11328.94</v>
      </c>
    </row>
    <row r="790" spans="1:7" ht="13.5" customHeight="1">
      <c r="A790" s="621" t="s">
        <v>1563</v>
      </c>
      <c r="B790" s="618"/>
      <c r="C790" s="618"/>
      <c r="D790" s="618"/>
      <c r="E790" s="618"/>
      <c r="F790" s="618"/>
      <c r="G790" s="618"/>
    </row>
    <row r="791" spans="1:7" ht="13.5" customHeight="1">
      <c r="A791" s="1975" t="s">
        <v>1556</v>
      </c>
      <c r="B791" s="1801"/>
      <c r="C791" s="424" t="s">
        <v>6</v>
      </c>
      <c r="D791" s="424" t="s">
        <v>1562</v>
      </c>
      <c r="E791" s="424" t="s">
        <v>7</v>
      </c>
      <c r="F791" s="424" t="s">
        <v>1559</v>
      </c>
      <c r="G791" s="690"/>
    </row>
    <row r="792" spans="1:7" ht="13.5" customHeight="1">
      <c r="A792" s="1987" t="str">
        <f>+'LISTADO EQUIPOS'!$C$125</f>
        <v>VOLQUETA (5-6)M3</v>
      </c>
      <c r="B792" s="1967"/>
      <c r="C792" s="744" t="str">
        <f>+'LISTADO EQUIPOS'!$D$125</f>
        <v>VJ</v>
      </c>
      <c r="D792" s="675">
        <f>+'LISTADO EQUIPOS'!$E$125</f>
        <v>90000</v>
      </c>
      <c r="E792" s="1053">
        <v>0</v>
      </c>
      <c r="F792" s="464">
        <f>D792*E792</f>
        <v>0</v>
      </c>
      <c r="G792" s="688"/>
    </row>
    <row r="793" spans="1:7" ht="13.5" customHeight="1">
      <c r="A793" s="1996"/>
      <c r="B793" s="1819"/>
      <c r="C793" s="744"/>
      <c r="D793" s="434"/>
      <c r="E793" s="746"/>
      <c r="F793" s="434"/>
      <c r="G793" s="768"/>
    </row>
    <row r="794" spans="1:7" ht="13.5" customHeight="1">
      <c r="A794" s="2015" t="s">
        <v>1560</v>
      </c>
      <c r="B794" s="1601"/>
      <c r="C794" s="1601"/>
      <c r="D794" s="1601"/>
      <c r="E794" s="1601"/>
      <c r="F794" s="1801"/>
      <c r="G794" s="769">
        <f>SUM(F793)</f>
        <v>0</v>
      </c>
    </row>
    <row r="795" spans="1:7" ht="13.5" customHeight="1">
      <c r="A795" s="621" t="s">
        <v>1564</v>
      </c>
      <c r="B795" s="618"/>
      <c r="C795" s="618"/>
      <c r="D795" s="618"/>
      <c r="E795" s="618"/>
      <c r="F795" s="618"/>
      <c r="G795" s="618"/>
    </row>
    <row r="796" spans="1:7" ht="13.5" customHeight="1">
      <c r="A796" s="1975" t="s">
        <v>1565</v>
      </c>
      <c r="B796" s="1801"/>
      <c r="C796" s="424" t="s">
        <v>1566</v>
      </c>
      <c r="D796" s="424" t="s">
        <v>6</v>
      </c>
      <c r="E796" s="424" t="s">
        <v>7</v>
      </c>
      <c r="F796" s="424" t="s">
        <v>1559</v>
      </c>
      <c r="G796" s="693"/>
    </row>
    <row r="797" spans="1:7" ht="13.5" customHeight="1">
      <c r="A797" s="2004" t="str">
        <f>+'MANO DE OBRA'!$A$64</f>
        <v>Oficial (Incl. Prestaciones)</v>
      </c>
      <c r="B797" s="1888"/>
      <c r="C797" s="679">
        <f>+'MANO DE OBRA'!$E$64</f>
        <v>15031.25</v>
      </c>
      <c r="D797" s="680">
        <v>1</v>
      </c>
      <c r="E797" s="680">
        <v>1.2</v>
      </c>
      <c r="F797" s="710">
        <f t="shared" ref="F797:F798" si="62">+(C797*D797)*E797</f>
        <v>18037.5</v>
      </c>
      <c r="G797" s="688"/>
    </row>
    <row r="798" spans="1:7" ht="13.5" customHeight="1">
      <c r="A798" s="1984" t="str">
        <f>+'MANO DE OBRA'!$A$65</f>
        <v>Ayudante (Incl. Prestaciones)</v>
      </c>
      <c r="B798" s="1819"/>
      <c r="C798" s="747">
        <f>+'MANO DE OBRA'!$E$65</f>
        <v>10972.8125</v>
      </c>
      <c r="D798" s="614">
        <v>1</v>
      </c>
      <c r="E798" s="614">
        <f>+E797</f>
        <v>1.2</v>
      </c>
      <c r="F798" s="753">
        <f t="shared" si="62"/>
        <v>13167.375</v>
      </c>
      <c r="G798" s="435"/>
    </row>
    <row r="799" spans="1:7" ht="13.5" customHeight="1">
      <c r="A799" s="2015" t="str">
        <f>+A794</f>
        <v>SUB-TOTAL</v>
      </c>
      <c r="B799" s="1601"/>
      <c r="C799" s="1601"/>
      <c r="D799" s="1601"/>
      <c r="E799" s="1601"/>
      <c r="F799" s="1801"/>
      <c r="G799" s="769">
        <f>SUM(F797:F798)</f>
        <v>31204.875</v>
      </c>
    </row>
    <row r="801" spans="1:7" ht="13.5" customHeight="1">
      <c r="A801" s="2015" t="s">
        <v>1567</v>
      </c>
      <c r="B801" s="1601"/>
      <c r="C801" s="1601"/>
      <c r="D801" s="1601"/>
      <c r="E801" s="1601"/>
      <c r="F801" s="1801"/>
      <c r="G801" s="1029">
        <f>ROUND(G778+G789+G794+G799,0)</f>
        <v>47022</v>
      </c>
    </row>
    <row r="802" spans="1:7" ht="13.5" customHeight="1">
      <c r="A802" s="616"/>
      <c r="B802" s="616"/>
      <c r="C802" s="616"/>
      <c r="D802" s="616"/>
      <c r="E802" s="616"/>
      <c r="F802" s="616"/>
      <c r="G802" s="616"/>
    </row>
    <row r="803" spans="1:7" ht="13.5" customHeight="1">
      <c r="A803" s="616"/>
      <c r="B803" s="616"/>
      <c r="C803" s="616"/>
      <c r="D803" s="616"/>
      <c r="E803" s="616"/>
      <c r="F803" s="616"/>
      <c r="G803" s="616"/>
    </row>
    <row r="804" spans="1:7" ht="26.25" customHeight="1">
      <c r="A804" s="1994" t="e">
        <f>+'ANALISIS BASICOS'!$A$7</f>
        <v>#REF!</v>
      </c>
      <c r="B804" s="1616"/>
      <c r="C804" s="1624"/>
      <c r="D804" s="1990"/>
      <c r="E804" s="1616"/>
      <c r="F804" s="1616"/>
      <c r="G804" s="1624"/>
    </row>
    <row r="805" spans="1:7" ht="25.5" customHeight="1">
      <c r="A805" s="1971"/>
      <c r="B805" s="1817"/>
      <c r="C805" s="1972"/>
      <c r="D805" s="1971"/>
      <c r="E805" s="1817"/>
      <c r="F805" s="1817"/>
      <c r="G805" s="1972"/>
    </row>
    <row r="806" spans="1:7" ht="13.5" customHeight="1">
      <c r="A806" s="618"/>
      <c r="B806" s="618"/>
      <c r="C806" s="618"/>
      <c r="D806" s="618"/>
      <c r="E806" s="618"/>
      <c r="F806" s="618"/>
      <c r="G806" s="618"/>
    </row>
    <row r="807" spans="1:7" ht="50.25" customHeight="1">
      <c r="A807" s="1991" t="e">
        <f ca="1">A10</f>
        <v>#NAME?</v>
      </c>
      <c r="B807" s="1601"/>
      <c r="C807" s="1602"/>
      <c r="D807" s="1974" t="s">
        <v>2439</v>
      </c>
      <c r="E807" s="1601"/>
      <c r="F807" s="1601"/>
      <c r="G807" s="1602"/>
    </row>
    <row r="808" spans="1:7" ht="13.5" customHeight="1">
      <c r="A808" s="620"/>
      <c r="B808" s="620"/>
      <c r="C808" s="620"/>
      <c r="D808" s="620"/>
      <c r="E808" s="620"/>
      <c r="F808" s="620"/>
      <c r="G808" s="620"/>
    </row>
    <row r="809" spans="1:7" ht="12.75" customHeight="1">
      <c r="A809" s="572"/>
      <c r="B809" s="618"/>
      <c r="C809" s="616"/>
      <c r="D809" s="421" t="s">
        <v>1553</v>
      </c>
      <c r="E809" s="422" t="s">
        <v>120</v>
      </c>
      <c r="F809" s="421" t="s">
        <v>1554</v>
      </c>
      <c r="G809" s="422" t="s">
        <v>160</v>
      </c>
    </row>
    <row r="810" spans="1:7" ht="13.5" customHeight="1">
      <c r="A810" s="621" t="s">
        <v>1555</v>
      </c>
      <c r="B810" s="618"/>
      <c r="C810" s="618"/>
      <c r="D810" s="618"/>
      <c r="E810" s="618"/>
      <c r="F810" s="618"/>
      <c r="G810" s="618"/>
    </row>
    <row r="811" spans="1:7" ht="13.5" customHeight="1">
      <c r="A811" s="1975" t="s">
        <v>1556</v>
      </c>
      <c r="B811" s="1601"/>
      <c r="C811" s="1801"/>
      <c r="D811" s="424" t="s">
        <v>208</v>
      </c>
      <c r="E811" s="424" t="s">
        <v>1558</v>
      </c>
      <c r="F811" s="424" t="s">
        <v>1559</v>
      </c>
      <c r="G811" s="425"/>
    </row>
    <row r="812" spans="1:7" ht="13.5" customHeight="1">
      <c r="A812" s="1987" t="str">
        <f>+'LISTADO EQUIPOS'!$C$22</f>
        <v>HERRAMIENTA MENOR.</v>
      </c>
      <c r="B812" s="1811"/>
      <c r="C812" s="1967"/>
      <c r="D812" s="675">
        <f>+'LISTADO EQUIPOS'!$E$22/8</f>
        <v>2850</v>
      </c>
      <c r="E812" s="687">
        <f>+E829</f>
        <v>0.15</v>
      </c>
      <c r="F812" s="442">
        <f>+E812*D812</f>
        <v>427.5</v>
      </c>
      <c r="G812" s="688"/>
    </row>
    <row r="813" spans="1:7" ht="13.5" customHeight="1">
      <c r="A813" s="1996"/>
      <c r="B813" s="1807"/>
      <c r="C813" s="1819"/>
      <c r="D813" s="434"/>
      <c r="E813" s="433"/>
      <c r="F813" s="434"/>
      <c r="G813" s="435"/>
    </row>
    <row r="814" spans="1:7" ht="13.5" customHeight="1">
      <c r="A814" s="2015" t="s">
        <v>1560</v>
      </c>
      <c r="B814" s="1601"/>
      <c r="C814" s="1601"/>
      <c r="D814" s="1601"/>
      <c r="E814" s="1601"/>
      <c r="F814" s="1801"/>
      <c r="G814" s="462">
        <f>SUM(F812:F813)</f>
        <v>427.5</v>
      </c>
    </row>
    <row r="815" spans="1:7" ht="13.5" customHeight="1">
      <c r="A815" s="621" t="s">
        <v>1561</v>
      </c>
      <c r="B815" s="618"/>
      <c r="C815" s="618"/>
      <c r="D815" s="618"/>
      <c r="E815" s="618"/>
      <c r="F815" s="618"/>
      <c r="G815" s="743"/>
    </row>
    <row r="816" spans="1:7" ht="13.5" customHeight="1">
      <c r="A816" s="1975" t="s">
        <v>1556</v>
      </c>
      <c r="B816" s="1801"/>
      <c r="C816" s="424" t="s">
        <v>6</v>
      </c>
      <c r="D816" s="424" t="s">
        <v>1562</v>
      </c>
      <c r="E816" s="424" t="s">
        <v>7</v>
      </c>
      <c r="F816" s="424" t="s">
        <v>1559</v>
      </c>
      <c r="G816" s="673"/>
    </row>
    <row r="817" spans="1:7" ht="13.5" customHeight="1">
      <c r="A817" s="1987" t="str">
        <f>+'LISTADO MATERIALES'!$C$352</f>
        <v>TABLETA CERAMICA TIPO GRANILLA</v>
      </c>
      <c r="B817" s="1967"/>
      <c r="C817" s="674" t="str">
        <f>+'LISTADO MATERIALES'!$D$352</f>
        <v>M2</v>
      </c>
      <c r="D817" s="675">
        <f>+'LISTADO MATERIALES'!$E$352</f>
        <v>18480</v>
      </c>
      <c r="E817" s="674">
        <v>0.14000000000000001</v>
      </c>
      <c r="F817" s="442">
        <f t="shared" ref="F817:F818" si="63">+E817*D817</f>
        <v>2587.2000000000003</v>
      </c>
      <c r="G817" s="676"/>
    </row>
    <row r="818" spans="1:7" ht="13.5" customHeight="1">
      <c r="A818" s="1995" t="str">
        <f>+'LISTADO MATERIALES'!$C$169</f>
        <v>PEGAENCHAPE</v>
      </c>
      <c r="B818" s="1611"/>
      <c r="C818" s="444" t="str">
        <f>+'LISTADO MATERIALES'!$D$169</f>
        <v>KG</v>
      </c>
      <c r="D818" s="464">
        <f>+'LISTADO MATERIALES'!$E$169</f>
        <v>1260</v>
      </c>
      <c r="E818" s="444">
        <v>0.4</v>
      </c>
      <c r="F818" s="440">
        <f t="shared" si="63"/>
        <v>504</v>
      </c>
      <c r="G818" s="707"/>
    </row>
    <row r="819" spans="1:7" ht="13.5" customHeight="1">
      <c r="A819" s="1995"/>
      <c r="B819" s="1611"/>
      <c r="C819" s="444"/>
      <c r="D819" s="464"/>
      <c r="E819" s="444"/>
      <c r="F819" s="464"/>
      <c r="G819" s="707"/>
    </row>
    <row r="820" spans="1:7" ht="13.5" customHeight="1">
      <c r="A820" s="1996"/>
      <c r="B820" s="1819"/>
      <c r="C820" s="708"/>
      <c r="D820" s="434"/>
      <c r="E820" s="708"/>
      <c r="F820" s="434"/>
      <c r="G820" s="709"/>
    </row>
    <row r="821" spans="1:7" ht="13.5" customHeight="1">
      <c r="A821" s="2015" t="s">
        <v>1560</v>
      </c>
      <c r="B821" s="1601"/>
      <c r="C821" s="1601"/>
      <c r="D821" s="1601"/>
      <c r="E821" s="1601"/>
      <c r="F821" s="1801"/>
      <c r="G821" s="462">
        <f>SUM(F817:F820)</f>
        <v>3091.2000000000003</v>
      </c>
    </row>
    <row r="822" spans="1:7" ht="13.5" customHeight="1">
      <c r="A822" s="621" t="s">
        <v>1563</v>
      </c>
      <c r="B822" s="618"/>
      <c r="C822" s="618"/>
      <c r="D822" s="618"/>
      <c r="E822" s="618"/>
      <c r="F822" s="618"/>
      <c r="G822" s="743"/>
    </row>
    <row r="823" spans="1:7" ht="13.5" customHeight="1">
      <c r="A823" s="1975" t="s">
        <v>1556</v>
      </c>
      <c r="B823" s="1801"/>
      <c r="C823" s="424" t="s">
        <v>6</v>
      </c>
      <c r="D823" s="424" t="s">
        <v>1562</v>
      </c>
      <c r="E823" s="424" t="s">
        <v>7</v>
      </c>
      <c r="F823" s="424" t="s">
        <v>1559</v>
      </c>
      <c r="G823" s="438"/>
    </row>
    <row r="824" spans="1:7" ht="13.5" customHeight="1">
      <c r="A824" s="1987"/>
      <c r="B824" s="1967"/>
      <c r="C824" s="744"/>
      <c r="D824" s="675"/>
      <c r="E824" s="745"/>
      <c r="F824" s="464"/>
      <c r="G824" s="676"/>
    </row>
    <row r="825" spans="1:7" ht="13.5" customHeight="1">
      <c r="A825" s="1996"/>
      <c r="B825" s="1819"/>
      <c r="C825" s="744"/>
      <c r="D825" s="434"/>
      <c r="E825" s="746"/>
      <c r="F825" s="434"/>
      <c r="G825" s="457"/>
    </row>
    <row r="826" spans="1:7" ht="13.5" customHeight="1">
      <c r="A826" s="2015" t="s">
        <v>1560</v>
      </c>
      <c r="B826" s="1601"/>
      <c r="C826" s="1601"/>
      <c r="D826" s="1601"/>
      <c r="E826" s="1601"/>
      <c r="F826" s="1801"/>
      <c r="G826" s="462"/>
    </row>
    <row r="827" spans="1:7" ht="13.5" customHeight="1">
      <c r="A827" s="621" t="s">
        <v>1564</v>
      </c>
      <c r="B827" s="618"/>
      <c r="C827" s="618"/>
      <c r="D827" s="618"/>
      <c r="E827" s="618"/>
      <c r="F827" s="618"/>
      <c r="G827" s="743"/>
    </row>
    <row r="828" spans="1:7" ht="13.5" customHeight="1">
      <c r="A828" s="1975" t="s">
        <v>1565</v>
      </c>
      <c r="B828" s="1801"/>
      <c r="C828" s="424" t="s">
        <v>1566</v>
      </c>
      <c r="D828" s="424" t="s">
        <v>6</v>
      </c>
      <c r="E828" s="424" t="s">
        <v>7</v>
      </c>
      <c r="F828" s="424" t="s">
        <v>1559</v>
      </c>
      <c r="G828" s="462"/>
    </row>
    <row r="829" spans="1:7" ht="13.5" customHeight="1">
      <c r="A829" s="2004" t="str">
        <f>+'MANO DE OBRA'!$A$64</f>
        <v>Oficial (Incl. Prestaciones)</v>
      </c>
      <c r="B829" s="1888"/>
      <c r="C829" s="679">
        <f>+'MANO DE OBRA'!$E$64</f>
        <v>15031.25</v>
      </c>
      <c r="D829" s="680">
        <v>1</v>
      </c>
      <c r="E829" s="680">
        <v>0.15</v>
      </c>
      <c r="F829" s="694">
        <f t="shared" ref="F829:F830" si="64">+(C829*D829)*E829</f>
        <v>2254.6875</v>
      </c>
      <c r="G829" s="676"/>
    </row>
    <row r="830" spans="1:7" ht="13.5" customHeight="1">
      <c r="A830" s="1984" t="str">
        <f>+'MANO DE OBRA'!$A$65</f>
        <v>Ayudante (Incl. Prestaciones)</v>
      </c>
      <c r="B830" s="1819"/>
      <c r="C830" s="747">
        <f>+'MANO DE OBRA'!$E$65</f>
        <v>10972.8125</v>
      </c>
      <c r="D830" s="614">
        <v>1</v>
      </c>
      <c r="E830" s="614">
        <f>+E829</f>
        <v>0.15</v>
      </c>
      <c r="F830" s="455">
        <f t="shared" si="64"/>
        <v>1645.921875</v>
      </c>
      <c r="G830" s="709"/>
    </row>
    <row r="831" spans="1:7" ht="13.5" customHeight="1">
      <c r="A831" s="2015" t="str">
        <f>+A826</f>
        <v>SUB-TOTAL</v>
      </c>
      <c r="B831" s="1601"/>
      <c r="C831" s="1601"/>
      <c r="D831" s="1601"/>
      <c r="E831" s="1601"/>
      <c r="F831" s="1801"/>
      <c r="G831" s="462">
        <f>SUM(F829:F830)</f>
        <v>3900.609375</v>
      </c>
    </row>
    <row r="833" spans="1:7" ht="13.5" customHeight="1">
      <c r="A833" s="2015" t="s">
        <v>1567</v>
      </c>
      <c r="B833" s="1601"/>
      <c r="C833" s="1601"/>
      <c r="D833" s="1601"/>
      <c r="E833" s="1601"/>
      <c r="F833" s="1801"/>
      <c r="G833" s="459">
        <f>ROUND(G814+G821+G826+G831,0)</f>
        <v>7419</v>
      </c>
    </row>
    <row r="834" spans="1:7" ht="13.5" customHeight="1">
      <c r="A834" s="616"/>
      <c r="B834" s="616"/>
      <c r="C834" s="616"/>
      <c r="D834" s="616"/>
      <c r="E834" s="616"/>
      <c r="F834" s="616"/>
      <c r="G834" s="616"/>
    </row>
    <row r="835" spans="1:7" ht="13.5" customHeight="1">
      <c r="A835" s="616"/>
      <c r="B835" s="616"/>
      <c r="C835" s="616"/>
      <c r="D835" s="616"/>
      <c r="E835" s="616"/>
      <c r="F835" s="616"/>
      <c r="G835" s="616"/>
    </row>
    <row r="836" spans="1:7" ht="27" customHeight="1">
      <c r="A836" s="2005" t="s">
        <v>1604</v>
      </c>
      <c r="B836" s="1616"/>
      <c r="C836" s="1624"/>
      <c r="D836" s="567"/>
      <c r="E836" s="567"/>
      <c r="F836" s="567"/>
      <c r="G836" s="668"/>
    </row>
    <row r="837" spans="1:7" ht="24" customHeight="1">
      <c r="A837" s="2012" t="s">
        <v>2418</v>
      </c>
      <c r="B837" s="1817"/>
      <c r="C837" s="1972"/>
      <c r="D837" s="669"/>
      <c r="E837" s="669"/>
      <c r="F837" s="669"/>
      <c r="G837" s="670"/>
    </row>
    <row r="838" spans="1:7" ht="13.5" customHeight="1">
      <c r="A838" s="618"/>
      <c r="B838" s="618"/>
      <c r="C838" s="618"/>
      <c r="D838" s="618"/>
      <c r="E838" s="618"/>
      <c r="F838" s="618"/>
      <c r="G838" s="618"/>
    </row>
    <row r="839" spans="1:7" ht="35.25" customHeight="1">
      <c r="A839" s="1991" t="e">
        <v>#REF!</v>
      </c>
      <c r="B839" s="1601"/>
      <c r="C839" s="1602"/>
      <c r="D839" s="1974" t="s">
        <v>2440</v>
      </c>
      <c r="E839" s="1601"/>
      <c r="F839" s="1601"/>
      <c r="G839" s="1602"/>
    </row>
    <row r="840" spans="1:7" ht="13.5" customHeight="1">
      <c r="A840" s="620"/>
      <c r="B840" s="620"/>
      <c r="C840" s="620"/>
      <c r="D840" s="620"/>
      <c r="E840" s="620"/>
      <c r="F840" s="620"/>
      <c r="G840" s="620"/>
    </row>
    <row r="841" spans="1:7" ht="12.75" customHeight="1">
      <c r="A841" s="572"/>
      <c r="B841" s="618"/>
      <c r="C841" s="616"/>
      <c r="D841" s="421" t="s">
        <v>1553</v>
      </c>
      <c r="E841" s="422" t="s">
        <v>120</v>
      </c>
      <c r="F841" s="572"/>
      <c r="G841" s="572"/>
    </row>
    <row r="842" spans="1:7" ht="13.5" customHeight="1">
      <c r="A842" s="621" t="s">
        <v>1555</v>
      </c>
      <c r="B842" s="618"/>
      <c r="C842" s="618"/>
      <c r="D842" s="618"/>
      <c r="E842" s="618"/>
      <c r="F842" s="618"/>
      <c r="G842" s="618"/>
    </row>
    <row r="843" spans="1:7" ht="13.5" customHeight="1">
      <c r="A843" s="1975" t="s">
        <v>1556</v>
      </c>
      <c r="B843" s="1601"/>
      <c r="C843" s="1801"/>
      <c r="D843" s="424" t="s">
        <v>208</v>
      </c>
      <c r="E843" s="424" t="s">
        <v>1558</v>
      </c>
      <c r="F843" s="424" t="s">
        <v>1559</v>
      </c>
      <c r="G843" s="425"/>
    </row>
    <row r="844" spans="1:7" ht="13.5" customHeight="1">
      <c r="A844" s="1987" t="str">
        <f>+'LISTADO EQUIPOS'!$C$22</f>
        <v>HERRAMIENTA MENOR.</v>
      </c>
      <c r="B844" s="1811"/>
      <c r="C844" s="1967"/>
      <c r="D844" s="675">
        <f>+'LISTADO EQUIPOS'!$E$22/8</f>
        <v>2850</v>
      </c>
      <c r="E844" s="687">
        <f>+E861</f>
        <v>0</v>
      </c>
      <c r="F844" s="675">
        <f>+E844*D844</f>
        <v>0</v>
      </c>
      <c r="G844" s="688"/>
    </row>
    <row r="845" spans="1:7" ht="13.5" customHeight="1">
      <c r="A845" s="1996"/>
      <c r="B845" s="1807"/>
      <c r="C845" s="1819"/>
      <c r="D845" s="434"/>
      <c r="E845" s="758"/>
      <c r="F845" s="434"/>
      <c r="G845" s="435"/>
    </row>
    <row r="846" spans="1:7" ht="13.5" customHeight="1">
      <c r="A846" s="2015" t="s">
        <v>1560</v>
      </c>
      <c r="B846" s="1601"/>
      <c r="C846" s="1601"/>
      <c r="D846" s="1601"/>
      <c r="E846" s="1601"/>
      <c r="F846" s="1801"/>
      <c r="G846" s="769">
        <f>SUM(F844:F845)</f>
        <v>0</v>
      </c>
    </row>
    <row r="847" spans="1:7" ht="13.5" customHeight="1">
      <c r="A847" s="621" t="s">
        <v>1561</v>
      </c>
      <c r="B847" s="618"/>
      <c r="C847" s="618"/>
      <c r="D847" s="618"/>
      <c r="E847" s="618"/>
      <c r="F847" s="618"/>
      <c r="G847" s="618"/>
    </row>
    <row r="848" spans="1:7" ht="13.5" customHeight="1">
      <c r="A848" s="1975" t="s">
        <v>1556</v>
      </c>
      <c r="B848" s="1801"/>
      <c r="C848" s="424" t="s">
        <v>6</v>
      </c>
      <c r="D848" s="424" t="s">
        <v>1562</v>
      </c>
      <c r="E848" s="424" t="s">
        <v>7</v>
      </c>
      <c r="F848" s="424" t="s">
        <v>1559</v>
      </c>
      <c r="G848" s="425"/>
    </row>
    <row r="849" spans="1:7" ht="13.5" customHeight="1">
      <c r="A849" s="1987" t="str">
        <f>+'ANALISIS BASICOS'!$A$228</f>
        <v>MORTERO 1:4</v>
      </c>
      <c r="B849" s="1967"/>
      <c r="C849" s="674" t="str">
        <f>+'ANALISIS BASICOS'!$E$204</f>
        <v>M3</v>
      </c>
      <c r="D849" s="675">
        <f>+'ANALISIS BASICOS'!$G$228</f>
        <v>384656</v>
      </c>
      <c r="E849" s="674">
        <v>1.6E-2</v>
      </c>
      <c r="F849" s="675">
        <f t="shared" ref="F849:F853" si="65">+E849*D849</f>
        <v>6154.4960000000001</v>
      </c>
      <c r="G849" s="688"/>
    </row>
    <row r="850" spans="1:7" ht="13.5" customHeight="1">
      <c r="A850" s="1995" t="str">
        <f>+'LISTADO MATERIALES'!$C$141</f>
        <v>CEMENTO GRIS</v>
      </c>
      <c r="B850" s="1611"/>
      <c r="C850" s="444" t="str">
        <f>+'LISTADO MATERIALES'!$D$141</f>
        <v>KG</v>
      </c>
      <c r="D850" s="464">
        <f>+'LISTADO MATERIALES'!$E$141</f>
        <v>600</v>
      </c>
      <c r="E850" s="444">
        <v>3</v>
      </c>
      <c r="F850" s="464">
        <f t="shared" si="65"/>
        <v>1800</v>
      </c>
      <c r="G850" s="751"/>
    </row>
    <row r="851" spans="1:7" ht="13.5" customHeight="1">
      <c r="A851" s="1995" t="str">
        <f>+'LISTADO MATERIALES'!$C$155</f>
        <v>GRAVILLA # 2</v>
      </c>
      <c r="B851" s="1611"/>
      <c r="C851" s="444" t="str">
        <f>+'LISTADO MATERIALES'!$D$155</f>
        <v>BTO</v>
      </c>
      <c r="D851" s="464">
        <f>+'LISTADO MATERIALES'!$E$155</f>
        <v>5565</v>
      </c>
      <c r="E851" s="444">
        <v>0.2</v>
      </c>
      <c r="F851" s="464">
        <f t="shared" si="65"/>
        <v>1113</v>
      </c>
      <c r="G851" s="751"/>
    </row>
    <row r="852" spans="1:7" ht="13.5" customHeight="1">
      <c r="A852" s="1995" t="str">
        <f>+'LISTADO MATERIALES'!$C$320</f>
        <v>DILATACIÓN DE VIDRIO</v>
      </c>
      <c r="B852" s="1611"/>
      <c r="C852" s="444" t="str">
        <f>+'LISTADO MATERIALES'!$D$320</f>
        <v>ML</v>
      </c>
      <c r="D852" s="464">
        <f>+'LISTADO MATERIALES'!$E$320</f>
        <v>1050</v>
      </c>
      <c r="E852" s="444">
        <v>1</v>
      </c>
      <c r="F852" s="464">
        <f t="shared" si="65"/>
        <v>1050</v>
      </c>
      <c r="G852" s="751"/>
    </row>
    <row r="853" spans="1:7" ht="13.5" customHeight="1">
      <c r="A853" s="1995" t="str">
        <f>+'LISTADO MATERIALES'!$C$723</f>
        <v>AGUA</v>
      </c>
      <c r="B853" s="1611"/>
      <c r="C853" s="444" t="str">
        <f>+'LISTADO MATERIALES'!$D$723</f>
        <v>LT</v>
      </c>
      <c r="D853" s="464">
        <f>+'LISTADO MATERIALES'!$E$723</f>
        <v>21</v>
      </c>
      <c r="E853" s="444">
        <v>15</v>
      </c>
      <c r="F853" s="464">
        <f t="shared" si="65"/>
        <v>315</v>
      </c>
      <c r="G853" s="751"/>
    </row>
    <row r="854" spans="1:7" ht="13.5" customHeight="1">
      <c r="A854" s="1995"/>
      <c r="B854" s="1611"/>
      <c r="C854" s="444"/>
      <c r="D854" s="464"/>
      <c r="E854" s="444"/>
      <c r="F854" s="464"/>
      <c r="G854" s="751"/>
    </row>
    <row r="855" spans="1:7" ht="13.5" customHeight="1">
      <c r="A855" s="2015" t="s">
        <v>1560</v>
      </c>
      <c r="B855" s="1601"/>
      <c r="C855" s="1601"/>
      <c r="D855" s="1601"/>
      <c r="E855" s="1601"/>
      <c r="F855" s="1801"/>
      <c r="G855" s="769">
        <f>SUM(F849:F854)</f>
        <v>10432.495999999999</v>
      </c>
    </row>
    <row r="856" spans="1:7" ht="13.5" customHeight="1">
      <c r="A856" s="621" t="s">
        <v>1563</v>
      </c>
      <c r="B856" s="618"/>
      <c r="C856" s="618"/>
      <c r="D856" s="618"/>
      <c r="E856" s="618"/>
      <c r="F856" s="618"/>
      <c r="G856" s="618"/>
    </row>
    <row r="857" spans="1:7" ht="13.5" customHeight="1">
      <c r="A857" s="1975" t="s">
        <v>1556</v>
      </c>
      <c r="B857" s="1801"/>
      <c r="C857" s="424" t="s">
        <v>6</v>
      </c>
      <c r="D857" s="424" t="s">
        <v>1562</v>
      </c>
      <c r="E857" s="424" t="s">
        <v>7</v>
      </c>
      <c r="F857" s="424" t="s">
        <v>1559</v>
      </c>
      <c r="G857" s="690"/>
    </row>
    <row r="858" spans="1:7" ht="13.5" customHeight="1">
      <c r="A858" s="1987" t="str">
        <f>+'LISTADO EQUIPOS'!$C$125</f>
        <v>VOLQUETA (5-6)M3</v>
      </c>
      <c r="B858" s="1967"/>
      <c r="C858" s="744" t="str">
        <f>+'LISTADO EQUIPOS'!$D$125</f>
        <v>VJ</v>
      </c>
      <c r="D858" s="675">
        <f>+'LISTADO EQUIPOS'!$E$125</f>
        <v>90000</v>
      </c>
      <c r="E858" s="1053">
        <v>0</v>
      </c>
      <c r="F858" s="464">
        <f t="shared" ref="F858:F859" si="66">D858*E858</f>
        <v>0</v>
      </c>
      <c r="G858" s="688"/>
    </row>
    <row r="859" spans="1:7" ht="13.5" customHeight="1">
      <c r="A859" s="1996"/>
      <c r="B859" s="1819"/>
      <c r="C859" s="744"/>
      <c r="D859" s="434"/>
      <c r="E859" s="746"/>
      <c r="F859" s="434">
        <f t="shared" si="66"/>
        <v>0</v>
      </c>
      <c r="G859" s="768"/>
    </row>
    <row r="860" spans="1:7" ht="13.5" customHeight="1">
      <c r="A860" s="2015" t="s">
        <v>1560</v>
      </c>
      <c r="B860" s="1601"/>
      <c r="C860" s="1601"/>
      <c r="D860" s="1601"/>
      <c r="E860" s="1601"/>
      <c r="F860" s="1801"/>
      <c r="G860" s="769">
        <f>SUM(F859)</f>
        <v>0</v>
      </c>
    </row>
    <row r="861" spans="1:7" ht="13.5" customHeight="1">
      <c r="A861" s="621" t="s">
        <v>1564</v>
      </c>
      <c r="B861" s="618"/>
      <c r="C861" s="618"/>
      <c r="D861" s="618"/>
      <c r="E861" s="618"/>
      <c r="F861" s="618"/>
      <c r="G861" s="618"/>
    </row>
    <row r="862" spans="1:7" ht="13.5" customHeight="1">
      <c r="A862" s="1975" t="s">
        <v>1565</v>
      </c>
      <c r="B862" s="1801"/>
      <c r="C862" s="424" t="s">
        <v>1566</v>
      </c>
      <c r="D862" s="424" t="s">
        <v>6</v>
      </c>
      <c r="E862" s="424" t="s">
        <v>7</v>
      </c>
      <c r="F862" s="424" t="s">
        <v>1559</v>
      </c>
      <c r="G862" s="693"/>
    </row>
    <row r="863" spans="1:7" ht="13.5" customHeight="1">
      <c r="A863" s="2004" t="str">
        <f>+'MANO DE OBRA'!$A$64</f>
        <v>Oficial (Incl. Prestaciones)</v>
      </c>
      <c r="B863" s="1888"/>
      <c r="C863" s="679">
        <f>+'MANO DE OBRA'!$E$64</f>
        <v>15031.25</v>
      </c>
      <c r="D863" s="680">
        <v>1</v>
      </c>
      <c r="E863" s="680">
        <v>0.9</v>
      </c>
      <c r="F863" s="710">
        <f t="shared" ref="F863:F864" si="67">+(C863*D863)*E863</f>
        <v>13528.125</v>
      </c>
      <c r="G863" s="688"/>
    </row>
    <row r="864" spans="1:7" ht="13.5" customHeight="1">
      <c r="A864" s="1984" t="str">
        <f>+'MANO DE OBRA'!$A$65</f>
        <v>Ayudante (Incl. Prestaciones)</v>
      </c>
      <c r="B864" s="1819"/>
      <c r="C864" s="747">
        <f>+'MANO DE OBRA'!$E$65</f>
        <v>10972.8125</v>
      </c>
      <c r="D864" s="614">
        <v>1</v>
      </c>
      <c r="E864" s="614">
        <f>+E863</f>
        <v>0.9</v>
      </c>
      <c r="F864" s="753">
        <f t="shared" si="67"/>
        <v>9875.53125</v>
      </c>
      <c r="G864" s="435"/>
    </row>
    <row r="865" spans="1:7" ht="13.5" customHeight="1">
      <c r="A865" s="2015" t="str">
        <f>+A860</f>
        <v>SUB-TOTAL</v>
      </c>
      <c r="B865" s="1601"/>
      <c r="C865" s="1601"/>
      <c r="D865" s="1601"/>
      <c r="E865" s="1601"/>
      <c r="F865" s="1801"/>
      <c r="G865" s="769">
        <f>SUM(F863:F864)</f>
        <v>23403.65625</v>
      </c>
    </row>
    <row r="866" spans="1:7" ht="11.25" customHeight="1">
      <c r="A866" s="618"/>
      <c r="B866" s="618"/>
      <c r="C866" s="618"/>
      <c r="D866" s="618"/>
      <c r="E866" s="618"/>
      <c r="F866" s="748"/>
      <c r="G866" s="618"/>
    </row>
    <row r="867" spans="1:7" ht="13.5" customHeight="1">
      <c r="A867" s="2015" t="s">
        <v>1567</v>
      </c>
      <c r="B867" s="1601"/>
      <c r="C867" s="1601"/>
      <c r="D867" s="1601"/>
      <c r="E867" s="1601"/>
      <c r="F867" s="1801"/>
      <c r="G867" s="1029">
        <f>ROUND(G846+G855+G860+G865,0)</f>
        <v>33836</v>
      </c>
    </row>
    <row r="868" spans="1:7" ht="13.5" customHeight="1">
      <c r="A868" s="616"/>
      <c r="B868" s="616"/>
      <c r="C868" s="616"/>
      <c r="D868" s="616"/>
      <c r="E868" s="616"/>
      <c r="F868" s="616"/>
      <c r="G868" s="616"/>
    </row>
    <row r="869" spans="1:7" ht="13.5" customHeight="1">
      <c r="A869" s="616"/>
      <c r="B869" s="616"/>
      <c r="C869" s="616"/>
      <c r="D869" s="616"/>
      <c r="E869" s="616"/>
      <c r="F869" s="616"/>
      <c r="G869" s="616"/>
    </row>
    <row r="870" spans="1:7" ht="27" customHeight="1">
      <c r="A870" s="2005" t="s">
        <v>1604</v>
      </c>
      <c r="B870" s="1616"/>
      <c r="C870" s="1624"/>
      <c r="D870" s="567"/>
      <c r="E870" s="567"/>
      <c r="F870" s="567"/>
      <c r="G870" s="668"/>
    </row>
    <row r="871" spans="1:7" ht="24" customHeight="1">
      <c r="A871" s="2012" t="s">
        <v>2418</v>
      </c>
      <c r="B871" s="1817"/>
      <c r="C871" s="1972"/>
      <c r="D871" s="669"/>
      <c r="E871" s="669"/>
      <c r="F871" s="669"/>
      <c r="G871" s="670"/>
    </row>
    <row r="872" spans="1:7" ht="13.5" customHeight="1">
      <c r="A872" s="618"/>
      <c r="B872" s="618"/>
      <c r="C872" s="618"/>
      <c r="D872" s="618"/>
      <c r="E872" s="618"/>
      <c r="F872" s="618"/>
      <c r="G872" s="618"/>
    </row>
    <row r="873" spans="1:7" ht="35.25" customHeight="1">
      <c r="A873" s="1991" t="e">
        <v>#REF!</v>
      </c>
      <c r="B873" s="1601"/>
      <c r="C873" s="1602"/>
      <c r="D873" s="1974" t="s">
        <v>2441</v>
      </c>
      <c r="E873" s="1601"/>
      <c r="F873" s="1601"/>
      <c r="G873" s="1602"/>
    </row>
    <row r="874" spans="1:7" ht="13.5" customHeight="1">
      <c r="A874" s="620"/>
      <c r="B874" s="620"/>
      <c r="C874" s="620"/>
      <c r="D874" s="620"/>
      <c r="E874" s="620"/>
      <c r="F874" s="620"/>
      <c r="G874" s="620"/>
    </row>
    <row r="875" spans="1:7" ht="12.75" customHeight="1">
      <c r="A875" s="572"/>
      <c r="B875" s="618"/>
      <c r="C875" s="616"/>
      <c r="D875" s="421" t="s">
        <v>1553</v>
      </c>
      <c r="E875" s="422" t="s">
        <v>120</v>
      </c>
      <c r="F875" s="572"/>
      <c r="G875" s="572"/>
    </row>
    <row r="876" spans="1:7" ht="13.5" customHeight="1">
      <c r="A876" s="621" t="s">
        <v>1555</v>
      </c>
      <c r="B876" s="618"/>
      <c r="C876" s="618"/>
      <c r="D876" s="618"/>
      <c r="E876" s="618"/>
      <c r="F876" s="618"/>
      <c r="G876" s="618"/>
    </row>
    <row r="877" spans="1:7" ht="13.5" customHeight="1">
      <c r="A877" s="1975" t="s">
        <v>1556</v>
      </c>
      <c r="B877" s="1601"/>
      <c r="C877" s="1801"/>
      <c r="D877" s="424" t="s">
        <v>208</v>
      </c>
      <c r="E877" s="424" t="s">
        <v>1558</v>
      </c>
      <c r="F877" s="424" t="s">
        <v>1559</v>
      </c>
      <c r="G877" s="425"/>
    </row>
    <row r="878" spans="1:7" ht="13.5" customHeight="1">
      <c r="A878" s="1987" t="str">
        <f>+'LISTADO EQUIPOS'!$C$22</f>
        <v>HERRAMIENTA MENOR.</v>
      </c>
      <c r="B878" s="1811"/>
      <c r="C878" s="1967"/>
      <c r="D878" s="675">
        <f>+'LISTADO EQUIPOS'!$E$22/8</f>
        <v>2850</v>
      </c>
      <c r="E878" s="687">
        <f>+E895</f>
        <v>0.15</v>
      </c>
      <c r="F878" s="675">
        <f>+E878*D878</f>
        <v>427.5</v>
      </c>
      <c r="G878" s="688"/>
    </row>
    <row r="879" spans="1:7" ht="13.5" customHeight="1">
      <c r="A879" s="1996"/>
      <c r="B879" s="1807"/>
      <c r="C879" s="1819"/>
      <c r="D879" s="434"/>
      <c r="E879" s="758"/>
      <c r="F879" s="434"/>
      <c r="G879" s="435"/>
    </row>
    <row r="880" spans="1:7" ht="13.5" customHeight="1">
      <c r="A880" s="2015" t="s">
        <v>1560</v>
      </c>
      <c r="B880" s="1601"/>
      <c r="C880" s="1601"/>
      <c r="D880" s="1601"/>
      <c r="E880" s="1601"/>
      <c r="F880" s="1801"/>
      <c r="G880" s="769">
        <f>SUM(F878:F879)</f>
        <v>427.5</v>
      </c>
    </row>
    <row r="881" spans="1:7" ht="13.5" customHeight="1">
      <c r="A881" s="621" t="s">
        <v>1561</v>
      </c>
      <c r="B881" s="618"/>
      <c r="C881" s="618"/>
      <c r="D881" s="618"/>
      <c r="E881" s="618"/>
      <c r="F881" s="618"/>
      <c r="G881" s="618"/>
    </row>
    <row r="882" spans="1:7" ht="13.5" customHeight="1">
      <c r="A882" s="1975" t="s">
        <v>1556</v>
      </c>
      <c r="B882" s="1801"/>
      <c r="C882" s="424" t="s">
        <v>6</v>
      </c>
      <c r="D882" s="424" t="s">
        <v>1562</v>
      </c>
      <c r="E882" s="424" t="s">
        <v>7</v>
      </c>
      <c r="F882" s="424" t="s">
        <v>1559</v>
      </c>
      <c r="G882" s="425"/>
    </row>
    <row r="883" spans="1:7" ht="13.5" customHeight="1">
      <c r="A883" s="1987" t="str">
        <f>+'LISTADO MATERIALES'!$C$362</f>
        <v>TAPETE DALTON</v>
      </c>
      <c r="B883" s="1967"/>
      <c r="C883" s="674" t="str">
        <f>+'LISTADO MATERIALES'!$D$362</f>
        <v>M2</v>
      </c>
      <c r="D883" s="675">
        <f>+'LISTADO MATERIALES'!$E$362</f>
        <v>22733</v>
      </c>
      <c r="E883" s="674">
        <v>0.1</v>
      </c>
      <c r="F883" s="675">
        <f t="shared" ref="F883:F884" si="68">+E883*D883</f>
        <v>2273.3000000000002</v>
      </c>
      <c r="G883" s="688"/>
    </row>
    <row r="884" spans="1:7" ht="13.5" customHeight="1">
      <c r="A884" s="1995" t="str">
        <f>+'LISTADO MATERIALES'!$C$722</f>
        <v>ADHESIVO</v>
      </c>
      <c r="B884" s="1611"/>
      <c r="C884" s="444" t="str">
        <f>+'LISTADO MATERIALES'!$D$722</f>
        <v>GAL</v>
      </c>
      <c r="D884" s="464">
        <f>+'LISTADO MATERIALES'!$E$722</f>
        <v>69300</v>
      </c>
      <c r="E884" s="444">
        <v>0.01</v>
      </c>
      <c r="F884" s="464">
        <f t="shared" si="68"/>
        <v>693</v>
      </c>
      <c r="G884" s="751"/>
    </row>
    <row r="885" spans="1:7" ht="13.5" customHeight="1">
      <c r="A885" s="1995"/>
      <c r="B885" s="1611"/>
      <c r="C885" s="444"/>
      <c r="D885" s="464"/>
      <c r="E885" s="444"/>
      <c r="F885" s="464"/>
      <c r="G885" s="751"/>
    </row>
    <row r="886" spans="1:7" ht="13.5" customHeight="1">
      <c r="A886" s="1995"/>
      <c r="B886" s="1611"/>
      <c r="C886" s="444"/>
      <c r="D886" s="464"/>
      <c r="E886" s="444"/>
      <c r="F886" s="464"/>
      <c r="G886" s="751"/>
    </row>
    <row r="887" spans="1:7" ht="13.5" customHeight="1">
      <c r="A887" s="2015" t="s">
        <v>1560</v>
      </c>
      <c r="B887" s="1601"/>
      <c r="C887" s="1601"/>
      <c r="D887" s="1601"/>
      <c r="E887" s="1601"/>
      <c r="F887" s="1801"/>
      <c r="G887" s="769">
        <f>SUM(F883:F885)</f>
        <v>2966.3</v>
      </c>
    </row>
    <row r="888" spans="1:7" ht="13.5" customHeight="1">
      <c r="A888" s="621" t="s">
        <v>1563</v>
      </c>
      <c r="B888" s="618"/>
      <c r="C888" s="618"/>
      <c r="D888" s="618"/>
      <c r="E888" s="618"/>
      <c r="F888" s="618"/>
      <c r="G888" s="618"/>
    </row>
    <row r="889" spans="1:7" ht="13.5" customHeight="1">
      <c r="A889" s="1975" t="s">
        <v>1556</v>
      </c>
      <c r="B889" s="1801"/>
      <c r="C889" s="424" t="s">
        <v>6</v>
      </c>
      <c r="D889" s="424" t="s">
        <v>1562</v>
      </c>
      <c r="E889" s="424" t="s">
        <v>7</v>
      </c>
      <c r="F889" s="424" t="s">
        <v>1559</v>
      </c>
      <c r="G889" s="690"/>
    </row>
    <row r="890" spans="1:7" ht="13.5" customHeight="1">
      <c r="A890" s="1987" t="str">
        <f>+'LISTADO EQUIPOS'!$C$125</f>
        <v>VOLQUETA (5-6)M3</v>
      </c>
      <c r="B890" s="1967"/>
      <c r="C890" s="744" t="str">
        <f>+'LISTADO EQUIPOS'!$D$125</f>
        <v>VJ</v>
      </c>
      <c r="D890" s="675">
        <f>+'LISTADO EQUIPOS'!$E$125</f>
        <v>90000</v>
      </c>
      <c r="E890" s="1053">
        <v>0</v>
      </c>
      <c r="F890" s="464">
        <f>D890*E890</f>
        <v>0</v>
      </c>
      <c r="G890" s="688"/>
    </row>
    <row r="891" spans="1:7" ht="13.5" customHeight="1">
      <c r="A891" s="1996"/>
      <c r="B891" s="1819"/>
      <c r="C891" s="744"/>
      <c r="D891" s="434"/>
      <c r="E891" s="746"/>
      <c r="F891" s="434"/>
      <c r="G891" s="768"/>
    </row>
    <row r="892" spans="1:7" ht="13.5" customHeight="1">
      <c r="A892" s="2015" t="s">
        <v>1560</v>
      </c>
      <c r="B892" s="1601"/>
      <c r="C892" s="1601"/>
      <c r="D892" s="1601"/>
      <c r="E892" s="1601"/>
      <c r="F892" s="1801"/>
      <c r="G892" s="769">
        <f>SUM(F891)</f>
        <v>0</v>
      </c>
    </row>
    <row r="893" spans="1:7" ht="13.5" customHeight="1">
      <c r="A893" s="621" t="s">
        <v>1564</v>
      </c>
      <c r="B893" s="618"/>
      <c r="C893" s="618"/>
      <c r="D893" s="618"/>
      <c r="E893" s="618"/>
      <c r="F893" s="618"/>
      <c r="G893" s="618"/>
    </row>
    <row r="894" spans="1:7" ht="13.5" customHeight="1">
      <c r="A894" s="1975" t="s">
        <v>1565</v>
      </c>
      <c r="B894" s="1801"/>
      <c r="C894" s="424" t="s">
        <v>1566</v>
      </c>
      <c r="D894" s="424" t="s">
        <v>6</v>
      </c>
      <c r="E894" s="424" t="s">
        <v>7</v>
      </c>
      <c r="F894" s="424" t="s">
        <v>1559</v>
      </c>
      <c r="G894" s="693"/>
    </row>
    <row r="895" spans="1:7" ht="13.5" customHeight="1">
      <c r="A895" s="2004" t="str">
        <f>+'MANO DE OBRA'!$A$64</f>
        <v>Oficial (Incl. Prestaciones)</v>
      </c>
      <c r="B895" s="1888"/>
      <c r="C895" s="679">
        <f>+'MANO DE OBRA'!$E$64</f>
        <v>15031.25</v>
      </c>
      <c r="D895" s="680">
        <v>1</v>
      </c>
      <c r="E895" s="680">
        <v>0.15</v>
      </c>
      <c r="F895" s="710">
        <f t="shared" ref="F895:F896" si="69">+(C895*D895)*E895</f>
        <v>2254.6875</v>
      </c>
      <c r="G895" s="688"/>
    </row>
    <row r="896" spans="1:7" ht="13.5" customHeight="1">
      <c r="A896" s="1984" t="str">
        <f>+'MANO DE OBRA'!$A$65</f>
        <v>Ayudante (Incl. Prestaciones)</v>
      </c>
      <c r="B896" s="1819"/>
      <c r="C896" s="747">
        <f>+'MANO DE OBRA'!$E$65</f>
        <v>10972.8125</v>
      </c>
      <c r="D896" s="614">
        <v>1</v>
      </c>
      <c r="E896" s="614">
        <f>+E895</f>
        <v>0.15</v>
      </c>
      <c r="F896" s="753">
        <f t="shared" si="69"/>
        <v>1645.921875</v>
      </c>
      <c r="G896" s="435"/>
    </row>
    <row r="897" spans="1:7" ht="13.5" customHeight="1">
      <c r="A897" s="2015" t="str">
        <f>+A892</f>
        <v>SUB-TOTAL</v>
      </c>
      <c r="B897" s="1601"/>
      <c r="C897" s="1601"/>
      <c r="D897" s="1601"/>
      <c r="E897" s="1601"/>
      <c r="F897" s="1801"/>
      <c r="G897" s="769">
        <f>SUM(F895:F896)</f>
        <v>3900.609375</v>
      </c>
    </row>
    <row r="898" spans="1:7" ht="11.25" customHeight="1">
      <c r="A898" s="618"/>
      <c r="B898" s="618"/>
      <c r="C898" s="618"/>
      <c r="D898" s="618"/>
      <c r="E898" s="618"/>
      <c r="F898" s="748"/>
      <c r="G898" s="618"/>
    </row>
    <row r="899" spans="1:7" ht="13.5" customHeight="1">
      <c r="A899" s="2015" t="s">
        <v>1567</v>
      </c>
      <c r="B899" s="1601"/>
      <c r="C899" s="1601"/>
      <c r="D899" s="1601"/>
      <c r="E899" s="1601"/>
      <c r="F899" s="1801"/>
      <c r="G899" s="1029">
        <f>ROUND(G880+G887+G892+G897,0)</f>
        <v>7294</v>
      </c>
    </row>
    <row r="900" spans="1:7" ht="13.5" customHeight="1">
      <c r="A900" s="616"/>
      <c r="B900" s="616"/>
      <c r="C900" s="616"/>
      <c r="D900" s="616"/>
      <c r="E900" s="616"/>
      <c r="F900" s="616"/>
      <c r="G900" s="616"/>
    </row>
    <row r="901" spans="1:7" ht="13.5" customHeight="1">
      <c r="A901" s="616"/>
      <c r="B901" s="616"/>
      <c r="C901" s="616"/>
      <c r="D901" s="616"/>
      <c r="E901" s="616"/>
      <c r="F901" s="616"/>
      <c r="G901" s="616"/>
    </row>
    <row r="902" spans="1:7" ht="27" customHeight="1">
      <c r="A902" s="2005" t="s">
        <v>1604</v>
      </c>
      <c r="B902" s="1616"/>
      <c r="C902" s="1624"/>
      <c r="D902" s="567"/>
      <c r="E902" s="567"/>
      <c r="F902" s="567"/>
      <c r="G902" s="668"/>
    </row>
    <row r="903" spans="1:7" ht="24" customHeight="1">
      <c r="A903" s="2012" t="s">
        <v>2418</v>
      </c>
      <c r="B903" s="1817"/>
      <c r="C903" s="1972"/>
      <c r="D903" s="669"/>
      <c r="E903" s="669"/>
      <c r="F903" s="669"/>
      <c r="G903" s="670"/>
    </row>
    <row r="904" spans="1:7" ht="13.5" customHeight="1">
      <c r="A904" s="618"/>
      <c r="B904" s="618"/>
      <c r="C904" s="618"/>
      <c r="D904" s="618"/>
      <c r="E904" s="618"/>
      <c r="F904" s="618"/>
      <c r="G904" s="618"/>
    </row>
    <row r="905" spans="1:7" ht="35.25" customHeight="1">
      <c r="A905" s="1991" t="e">
        <v>#REF!</v>
      </c>
      <c r="B905" s="1601"/>
      <c r="C905" s="1602"/>
      <c r="D905" s="1974" t="s">
        <v>2442</v>
      </c>
      <c r="E905" s="1601"/>
      <c r="F905" s="1601"/>
      <c r="G905" s="1602"/>
    </row>
    <row r="906" spans="1:7" ht="13.5" customHeight="1">
      <c r="A906" s="620"/>
      <c r="B906" s="620"/>
      <c r="C906" s="620"/>
      <c r="D906" s="620"/>
      <c r="E906" s="620"/>
      <c r="F906" s="620"/>
      <c r="G906" s="620"/>
    </row>
    <row r="907" spans="1:7" ht="12.75" customHeight="1">
      <c r="A907" s="572"/>
      <c r="B907" s="618"/>
      <c r="C907" s="616"/>
      <c r="D907" s="421" t="s">
        <v>1553</v>
      </c>
      <c r="E907" s="422" t="s">
        <v>120</v>
      </c>
      <c r="F907" s="572"/>
      <c r="G907" s="572"/>
    </row>
    <row r="908" spans="1:7" ht="13.5" customHeight="1">
      <c r="A908" s="621" t="s">
        <v>1555</v>
      </c>
      <c r="B908" s="618"/>
      <c r="C908" s="618"/>
      <c r="D908" s="618"/>
      <c r="E908" s="618"/>
      <c r="F908" s="618"/>
      <c r="G908" s="618"/>
    </row>
    <row r="909" spans="1:7" ht="13.5" customHeight="1">
      <c r="A909" s="1975" t="s">
        <v>1556</v>
      </c>
      <c r="B909" s="1601"/>
      <c r="C909" s="1801"/>
      <c r="D909" s="424" t="s">
        <v>208</v>
      </c>
      <c r="E909" s="424" t="s">
        <v>1558</v>
      </c>
      <c r="F909" s="424" t="s">
        <v>1559</v>
      </c>
      <c r="G909" s="425"/>
    </row>
    <row r="910" spans="1:7" ht="13.5" customHeight="1">
      <c r="A910" s="1987" t="str">
        <f>+'LISTADO EQUIPOS'!$C$22</f>
        <v>HERRAMIENTA MENOR.</v>
      </c>
      <c r="B910" s="1811"/>
      <c r="C910" s="1967"/>
      <c r="D910" s="675">
        <f>+'LISTADO EQUIPOS'!$E$22/8</f>
        <v>2850</v>
      </c>
      <c r="E910" s="687">
        <f>+E928</f>
        <v>0.3</v>
      </c>
      <c r="F910" s="675">
        <f>+E910*D910</f>
        <v>855</v>
      </c>
      <c r="G910" s="688"/>
    </row>
    <row r="911" spans="1:7" ht="13.5" customHeight="1">
      <c r="A911" s="1995"/>
      <c r="B911" s="1610"/>
      <c r="C911" s="1611"/>
      <c r="D911" s="464"/>
      <c r="E911" s="706"/>
      <c r="F911" s="464"/>
      <c r="G911" s="751"/>
    </row>
    <row r="912" spans="1:7" ht="13.5" customHeight="1">
      <c r="A912" s="1996"/>
      <c r="B912" s="1807"/>
      <c r="C912" s="1819"/>
      <c r="D912" s="434"/>
      <c r="E912" s="758"/>
      <c r="F912" s="434"/>
      <c r="G912" s="435"/>
    </row>
    <row r="913" spans="1:7" ht="13.5" customHeight="1">
      <c r="A913" s="2015" t="s">
        <v>1560</v>
      </c>
      <c r="B913" s="1601"/>
      <c r="C913" s="1601"/>
      <c r="D913" s="1601"/>
      <c r="E913" s="1601"/>
      <c r="F913" s="1801"/>
      <c r="G913" s="769">
        <f>SUM(F910:F912)</f>
        <v>855</v>
      </c>
    </row>
    <row r="914" spans="1:7" ht="13.5" customHeight="1">
      <c r="A914" s="621" t="s">
        <v>1561</v>
      </c>
      <c r="B914" s="618"/>
      <c r="C914" s="618"/>
      <c r="D914" s="618"/>
      <c r="E914" s="618"/>
      <c r="F914" s="618"/>
      <c r="G914" s="618"/>
    </row>
    <row r="915" spans="1:7" ht="13.5" customHeight="1">
      <c r="A915" s="1975" t="s">
        <v>1556</v>
      </c>
      <c r="B915" s="1801"/>
      <c r="C915" s="424" t="s">
        <v>6</v>
      </c>
      <c r="D915" s="424" t="s">
        <v>1562</v>
      </c>
      <c r="E915" s="424" t="s">
        <v>7</v>
      </c>
      <c r="F915" s="424" t="s">
        <v>1559</v>
      </c>
      <c r="G915" s="425"/>
    </row>
    <row r="916" spans="1:7" ht="13.5" customHeight="1">
      <c r="A916" s="1987" t="str">
        <f>+'ANALISIS BASICOS'!$A$228</f>
        <v>MORTERO 1:4</v>
      </c>
      <c r="B916" s="1967"/>
      <c r="C916" s="674" t="str">
        <f>+'ANALISIS BASICOS'!$E$204</f>
        <v>M3</v>
      </c>
      <c r="D916" s="675">
        <f>+'ANALISIS BASICOS'!$G$228</f>
        <v>384656</v>
      </c>
      <c r="E916" s="674">
        <v>1E-3</v>
      </c>
      <c r="F916" s="675">
        <f t="shared" ref="F916:F918" si="70">+E916*D916</f>
        <v>384.65600000000001</v>
      </c>
      <c r="G916" s="688"/>
    </row>
    <row r="917" spans="1:7" ht="13.5" customHeight="1">
      <c r="A917" s="1995" t="str">
        <f>+'LISTADO MATERIALES'!$C$328</f>
        <v>GUARDA ESCOBA BALDOSÍN GRANITO ALFA</v>
      </c>
      <c r="B917" s="1611"/>
      <c r="C917" s="444" t="str">
        <f>+'LISTADO MATERIALES'!$D$328</f>
        <v>ML</v>
      </c>
      <c r="D917" s="464">
        <f>+'LISTADO MATERIALES'!$E$328</f>
        <v>11340</v>
      </c>
      <c r="E917" s="444">
        <v>1.03</v>
      </c>
      <c r="F917" s="464">
        <f t="shared" si="70"/>
        <v>11680.2</v>
      </c>
      <c r="G917" s="751"/>
    </row>
    <row r="918" spans="1:7" ht="13.5" customHeight="1">
      <c r="A918" s="1995" t="str">
        <f>+'LISTADO MATERIALES'!$C$140</f>
        <v>CEMENTO BLANCO</v>
      </c>
      <c r="B918" s="1611"/>
      <c r="C918" s="444" t="str">
        <f>+'LISTADO MATERIALES'!$D$140</f>
        <v>KG</v>
      </c>
      <c r="D918" s="464">
        <f>+'LISTADO MATERIALES'!$E$140</f>
        <v>1103</v>
      </c>
      <c r="E918" s="444">
        <v>7.0000000000000007E-2</v>
      </c>
      <c r="F918" s="464">
        <f t="shared" si="70"/>
        <v>77.210000000000008</v>
      </c>
      <c r="G918" s="751"/>
    </row>
    <row r="919" spans="1:7" ht="13.5" customHeight="1">
      <c r="A919" s="1995"/>
      <c r="B919" s="1611"/>
      <c r="C919" s="444"/>
      <c r="D919" s="464"/>
      <c r="E919" s="444"/>
      <c r="F919" s="464"/>
      <c r="G919" s="751"/>
    </row>
    <row r="920" spans="1:7" ht="13.5" customHeight="1">
      <c r="A920" s="2015" t="s">
        <v>1560</v>
      </c>
      <c r="B920" s="1601"/>
      <c r="C920" s="1601"/>
      <c r="D920" s="1601"/>
      <c r="E920" s="1601"/>
      <c r="F920" s="1801"/>
      <c r="G920" s="769">
        <f>SUM(F916:F919)</f>
        <v>12142.066000000001</v>
      </c>
    </row>
    <row r="921" spans="1:7" ht="13.5" customHeight="1">
      <c r="A921" s="621" t="s">
        <v>1563</v>
      </c>
      <c r="B921" s="618"/>
      <c r="C921" s="618"/>
      <c r="D921" s="618"/>
      <c r="E921" s="618"/>
      <c r="F921" s="618"/>
      <c r="G921" s="618"/>
    </row>
    <row r="922" spans="1:7" ht="13.5" customHeight="1">
      <c r="A922" s="1975" t="s">
        <v>1556</v>
      </c>
      <c r="B922" s="1801"/>
      <c r="C922" s="424" t="s">
        <v>6</v>
      </c>
      <c r="D922" s="424" t="s">
        <v>1562</v>
      </c>
      <c r="E922" s="424" t="s">
        <v>7</v>
      </c>
      <c r="F922" s="424" t="s">
        <v>1559</v>
      </c>
      <c r="G922" s="690"/>
    </row>
    <row r="923" spans="1:7" ht="13.5" customHeight="1">
      <c r="A923" s="1987" t="str">
        <f>+'LISTADO EQUIPOS'!$C$125</f>
        <v>VOLQUETA (5-6)M3</v>
      </c>
      <c r="B923" s="1967"/>
      <c r="C923" s="744" t="str">
        <f>+'LISTADO EQUIPOS'!$D$125</f>
        <v>VJ</v>
      </c>
      <c r="D923" s="675">
        <f>+'LISTADO EQUIPOS'!$E$125</f>
        <v>90000</v>
      </c>
      <c r="E923" s="1053">
        <v>0</v>
      </c>
      <c r="F923" s="464">
        <f>D923*E923</f>
        <v>0</v>
      </c>
      <c r="G923" s="688"/>
    </row>
    <row r="924" spans="1:7" ht="13.5" customHeight="1">
      <c r="A924" s="1996"/>
      <c r="B924" s="1819"/>
      <c r="C924" s="744"/>
      <c r="D924" s="434"/>
      <c r="E924" s="746"/>
      <c r="F924" s="434"/>
      <c r="G924" s="768"/>
    </row>
    <row r="925" spans="1:7" ht="13.5" customHeight="1">
      <c r="A925" s="2015" t="s">
        <v>1560</v>
      </c>
      <c r="B925" s="1601"/>
      <c r="C925" s="1601"/>
      <c r="D925" s="1601"/>
      <c r="E925" s="1601"/>
      <c r="F925" s="1801"/>
      <c r="G925" s="769">
        <f>SUM(F924)</f>
        <v>0</v>
      </c>
    </row>
    <row r="926" spans="1:7" ht="13.5" customHeight="1">
      <c r="A926" s="621" t="s">
        <v>1564</v>
      </c>
      <c r="B926" s="618"/>
      <c r="C926" s="618"/>
      <c r="D926" s="618"/>
      <c r="E926" s="618"/>
      <c r="F926" s="618"/>
      <c r="G926" s="618"/>
    </row>
    <row r="927" spans="1:7" ht="13.5" customHeight="1">
      <c r="A927" s="1975" t="s">
        <v>1565</v>
      </c>
      <c r="B927" s="1801"/>
      <c r="C927" s="424" t="s">
        <v>1566</v>
      </c>
      <c r="D927" s="424" t="s">
        <v>6</v>
      </c>
      <c r="E927" s="424" t="s">
        <v>7</v>
      </c>
      <c r="F927" s="424" t="s">
        <v>1559</v>
      </c>
      <c r="G927" s="693"/>
    </row>
    <row r="928" spans="1:7" ht="13.5" customHeight="1">
      <c r="A928" s="2004" t="str">
        <f>+'MANO DE OBRA'!$A$64</f>
        <v>Oficial (Incl. Prestaciones)</v>
      </c>
      <c r="B928" s="1888"/>
      <c r="C928" s="679">
        <f>+'MANO DE OBRA'!$E$64</f>
        <v>15031.25</v>
      </c>
      <c r="D928" s="680">
        <v>1</v>
      </c>
      <c r="E928" s="680">
        <v>0.3</v>
      </c>
      <c r="F928" s="710">
        <f t="shared" ref="F928:F929" si="71">+(C928*D928)*E928</f>
        <v>4509.375</v>
      </c>
      <c r="G928" s="688"/>
    </row>
    <row r="929" spans="1:7" ht="13.5" customHeight="1">
      <c r="A929" s="1984" t="str">
        <f>+'MANO DE OBRA'!$A$65</f>
        <v>Ayudante (Incl. Prestaciones)</v>
      </c>
      <c r="B929" s="1819"/>
      <c r="C929" s="747">
        <f>+'MANO DE OBRA'!$E$65</f>
        <v>10972.8125</v>
      </c>
      <c r="D929" s="614">
        <v>1</v>
      </c>
      <c r="E929" s="614">
        <f>+E928</f>
        <v>0.3</v>
      </c>
      <c r="F929" s="753">
        <f t="shared" si="71"/>
        <v>3291.84375</v>
      </c>
      <c r="G929" s="435"/>
    </row>
    <row r="930" spans="1:7" ht="13.5" customHeight="1">
      <c r="A930" s="2015" t="str">
        <f>+A925</f>
        <v>SUB-TOTAL</v>
      </c>
      <c r="B930" s="1601"/>
      <c r="C930" s="1601"/>
      <c r="D930" s="1601"/>
      <c r="E930" s="1601"/>
      <c r="F930" s="1801"/>
      <c r="G930" s="769">
        <f>SUM(F928:F929)</f>
        <v>7801.21875</v>
      </c>
    </row>
    <row r="931" spans="1:7" ht="11.25" customHeight="1">
      <c r="A931" s="618"/>
      <c r="B931" s="618"/>
      <c r="C931" s="618"/>
      <c r="D931" s="618"/>
      <c r="E931" s="618"/>
      <c r="F931" s="748"/>
      <c r="G931" s="618"/>
    </row>
    <row r="932" spans="1:7" ht="13.5" customHeight="1">
      <c r="A932" s="2015" t="s">
        <v>1567</v>
      </c>
      <c r="B932" s="1601"/>
      <c r="C932" s="1601"/>
      <c r="D932" s="1601"/>
      <c r="E932" s="1601"/>
      <c r="F932" s="1801"/>
      <c r="G932" s="1029">
        <f>ROUND(G913+G920+G925+G930,0)</f>
        <v>20798</v>
      </c>
    </row>
    <row r="933" spans="1:7" ht="13.5" customHeight="1">
      <c r="A933" s="616"/>
      <c r="B933" s="616"/>
      <c r="C933" s="616"/>
      <c r="D933" s="616"/>
      <c r="E933" s="616"/>
      <c r="F933" s="616"/>
      <c r="G933" s="616"/>
    </row>
    <row r="934" spans="1:7" ht="13.5" customHeight="1">
      <c r="A934" s="616"/>
      <c r="B934" s="616"/>
      <c r="C934" s="616"/>
      <c r="D934" s="616"/>
      <c r="E934" s="616"/>
      <c r="F934" s="616"/>
      <c r="G934" s="616"/>
    </row>
    <row r="935" spans="1:7" ht="27" customHeight="1">
      <c r="A935" s="2005" t="s">
        <v>1604</v>
      </c>
      <c r="B935" s="1616"/>
      <c r="C935" s="1624"/>
      <c r="D935" s="567"/>
      <c r="E935" s="567"/>
      <c r="F935" s="567"/>
      <c r="G935" s="668"/>
    </row>
    <row r="936" spans="1:7" ht="24" customHeight="1">
      <c r="A936" s="2012" t="s">
        <v>2418</v>
      </c>
      <c r="B936" s="1817"/>
      <c r="C936" s="1972"/>
      <c r="D936" s="669"/>
      <c r="E936" s="669"/>
      <c r="F936" s="669"/>
      <c r="G936" s="670"/>
    </row>
    <row r="937" spans="1:7" ht="13.5" customHeight="1">
      <c r="A937" s="618"/>
      <c r="B937" s="618"/>
      <c r="C937" s="618"/>
      <c r="D937" s="618"/>
      <c r="E937" s="618"/>
      <c r="F937" s="618"/>
      <c r="G937" s="618"/>
    </row>
    <row r="938" spans="1:7" ht="35.25" customHeight="1">
      <c r="A938" s="1991" t="e">
        <v>#REF!</v>
      </c>
      <c r="B938" s="1601"/>
      <c r="C938" s="1602"/>
      <c r="D938" s="1974" t="s">
        <v>2443</v>
      </c>
      <c r="E938" s="1601"/>
      <c r="F938" s="1601"/>
      <c r="G938" s="1602"/>
    </row>
    <row r="939" spans="1:7" ht="13.5" customHeight="1">
      <c r="A939" s="620"/>
      <c r="B939" s="620"/>
      <c r="C939" s="620"/>
      <c r="D939" s="620"/>
      <c r="E939" s="620"/>
      <c r="F939" s="620"/>
      <c r="G939" s="620"/>
    </row>
    <row r="940" spans="1:7" ht="12.75" customHeight="1">
      <c r="A940" s="572"/>
      <c r="B940" s="618"/>
      <c r="C940" s="616"/>
      <c r="D940" s="421" t="s">
        <v>1553</v>
      </c>
      <c r="E940" s="422" t="s">
        <v>120</v>
      </c>
      <c r="F940" s="572"/>
      <c r="G940" s="572"/>
    </row>
    <row r="941" spans="1:7" ht="13.5" customHeight="1">
      <c r="A941" s="621" t="s">
        <v>1555</v>
      </c>
      <c r="B941" s="618"/>
      <c r="C941" s="618"/>
      <c r="D941" s="618"/>
      <c r="E941" s="618"/>
      <c r="F941" s="618"/>
      <c r="G941" s="618"/>
    </row>
    <row r="942" spans="1:7" ht="13.5" customHeight="1">
      <c r="A942" s="1975" t="s">
        <v>1556</v>
      </c>
      <c r="B942" s="1601"/>
      <c r="C942" s="1801"/>
      <c r="D942" s="424" t="s">
        <v>208</v>
      </c>
      <c r="E942" s="424" t="s">
        <v>1558</v>
      </c>
      <c r="F942" s="424" t="s">
        <v>1559</v>
      </c>
      <c r="G942" s="425"/>
    </row>
    <row r="943" spans="1:7" ht="13.5" customHeight="1">
      <c r="A943" s="1987" t="str">
        <f>+'LISTADO EQUIPOS'!$C$22</f>
        <v>HERRAMIENTA MENOR.</v>
      </c>
      <c r="B943" s="1811"/>
      <c r="C943" s="1967"/>
      <c r="D943" s="675">
        <f>+'LISTADO EQUIPOS'!$E$22/8</f>
        <v>2850</v>
      </c>
      <c r="E943" s="687">
        <f>+E961</f>
        <v>0.3</v>
      </c>
      <c r="F943" s="675">
        <f>+E943*D943</f>
        <v>855</v>
      </c>
      <c r="G943" s="688"/>
    </row>
    <row r="944" spans="1:7" ht="13.5" customHeight="1">
      <c r="A944" s="1995"/>
      <c r="B944" s="1610"/>
      <c r="C944" s="1611"/>
      <c r="D944" s="464"/>
      <c r="E944" s="706"/>
      <c r="F944" s="464"/>
      <c r="G944" s="751"/>
    </row>
    <row r="945" spans="1:7" ht="13.5" customHeight="1">
      <c r="A945" s="1996"/>
      <c r="B945" s="1807"/>
      <c r="C945" s="1819"/>
      <c r="D945" s="434"/>
      <c r="E945" s="758"/>
      <c r="F945" s="434"/>
      <c r="G945" s="435"/>
    </row>
    <row r="946" spans="1:7" ht="13.5" customHeight="1">
      <c r="A946" s="2015" t="s">
        <v>1560</v>
      </c>
      <c r="B946" s="1601"/>
      <c r="C946" s="1601"/>
      <c r="D946" s="1601"/>
      <c r="E946" s="1601"/>
      <c r="F946" s="1801"/>
      <c r="G946" s="769">
        <f>SUM(F943:F945)</f>
        <v>855</v>
      </c>
    </row>
    <row r="947" spans="1:7" ht="13.5" customHeight="1">
      <c r="A947" s="621" t="s">
        <v>1561</v>
      </c>
      <c r="B947" s="618"/>
      <c r="C947" s="618"/>
      <c r="D947" s="618"/>
      <c r="E947" s="618"/>
      <c r="F947" s="618"/>
      <c r="G947" s="618"/>
    </row>
    <row r="948" spans="1:7" ht="13.5" customHeight="1">
      <c r="A948" s="1975" t="s">
        <v>1556</v>
      </c>
      <c r="B948" s="1801"/>
      <c r="C948" s="424" t="s">
        <v>6</v>
      </c>
      <c r="D948" s="424" t="s">
        <v>1562</v>
      </c>
      <c r="E948" s="424" t="s">
        <v>7</v>
      </c>
      <c r="F948" s="424" t="s">
        <v>1559</v>
      </c>
      <c r="G948" s="425"/>
    </row>
    <row r="949" spans="1:7" ht="13.5" customHeight="1">
      <c r="A949" s="1987" t="str">
        <f>+'ANALISIS BASICOS'!$A$228</f>
        <v>MORTERO 1:4</v>
      </c>
      <c r="B949" s="1967"/>
      <c r="C949" s="674" t="str">
        <f>+'ANALISIS BASICOS'!$E$204</f>
        <v>M3</v>
      </c>
      <c r="D949" s="675">
        <f>+'ANALISIS BASICOS'!$G$228</f>
        <v>384656</v>
      </c>
      <c r="E949" s="674">
        <v>1E-3</v>
      </c>
      <c r="F949" s="675">
        <f t="shared" ref="F949:F951" si="72">+E949*D949</f>
        <v>384.65600000000001</v>
      </c>
      <c r="G949" s="688"/>
    </row>
    <row r="950" spans="1:7" ht="13.5" customHeight="1">
      <c r="A950" s="1995" t="str">
        <f>+'LISTADO MATERIALES'!$C$327</f>
        <v>GUARDA ESCOBA BALDOSÍN DE CEMENTO</v>
      </c>
      <c r="B950" s="1611"/>
      <c r="C950" s="444" t="str">
        <f>+'LISTADO MATERIALES'!$D$327</f>
        <v>ML</v>
      </c>
      <c r="D950" s="464">
        <f>+'LISTADO MATERIALES'!$E$327</f>
        <v>4673</v>
      </c>
      <c r="E950" s="444">
        <v>1.03</v>
      </c>
      <c r="F950" s="464">
        <f t="shared" si="72"/>
        <v>4813.1900000000005</v>
      </c>
      <c r="G950" s="751"/>
    </row>
    <row r="951" spans="1:7" ht="13.5" customHeight="1">
      <c r="A951" s="1995" t="str">
        <f>+'LISTADO MATERIALES'!$C$140</f>
        <v>CEMENTO BLANCO</v>
      </c>
      <c r="B951" s="1611"/>
      <c r="C951" s="444" t="str">
        <f>+'LISTADO MATERIALES'!$D$140</f>
        <v>KG</v>
      </c>
      <c r="D951" s="464">
        <f>+'LISTADO MATERIALES'!$E$140</f>
        <v>1103</v>
      </c>
      <c r="E951" s="444">
        <v>7.0000000000000007E-2</v>
      </c>
      <c r="F951" s="464">
        <f t="shared" si="72"/>
        <v>77.210000000000008</v>
      </c>
      <c r="G951" s="751"/>
    </row>
    <row r="952" spans="1:7" ht="13.5" customHeight="1">
      <c r="A952" s="1995"/>
      <c r="B952" s="1611"/>
      <c r="C952" s="444"/>
      <c r="D952" s="464"/>
      <c r="E952" s="444"/>
      <c r="F952" s="464"/>
      <c r="G952" s="751"/>
    </row>
    <row r="953" spans="1:7" ht="13.5" customHeight="1">
      <c r="A953" s="2015" t="s">
        <v>1560</v>
      </c>
      <c r="B953" s="1601"/>
      <c r="C953" s="1601"/>
      <c r="D953" s="1601"/>
      <c r="E953" s="1601"/>
      <c r="F953" s="1801"/>
      <c r="G953" s="769">
        <f>SUM(F949:F952)</f>
        <v>5275.0560000000005</v>
      </c>
    </row>
    <row r="954" spans="1:7" ht="13.5" customHeight="1">
      <c r="A954" s="621" t="s">
        <v>1563</v>
      </c>
      <c r="B954" s="618"/>
      <c r="C954" s="618"/>
      <c r="D954" s="618"/>
      <c r="E954" s="618"/>
      <c r="F954" s="618"/>
      <c r="G954" s="618"/>
    </row>
    <row r="955" spans="1:7" ht="13.5" customHeight="1">
      <c r="A955" s="1975" t="s">
        <v>1556</v>
      </c>
      <c r="B955" s="1801"/>
      <c r="C955" s="424" t="s">
        <v>6</v>
      </c>
      <c r="D955" s="424" t="s">
        <v>1562</v>
      </c>
      <c r="E955" s="424" t="s">
        <v>7</v>
      </c>
      <c r="F955" s="424" t="s">
        <v>1559</v>
      </c>
      <c r="G955" s="690"/>
    </row>
    <row r="956" spans="1:7" ht="13.5" customHeight="1">
      <c r="A956" s="1987" t="str">
        <f>+'LISTADO EQUIPOS'!$C$125</f>
        <v>VOLQUETA (5-6)M3</v>
      </c>
      <c r="B956" s="1967"/>
      <c r="C956" s="744" t="str">
        <f>+'LISTADO EQUIPOS'!$D$125</f>
        <v>VJ</v>
      </c>
      <c r="D956" s="675">
        <f>+'LISTADO EQUIPOS'!$E$125</f>
        <v>90000</v>
      </c>
      <c r="E956" s="1053">
        <v>0</v>
      </c>
      <c r="F956" s="464">
        <f>D956*E956</f>
        <v>0</v>
      </c>
      <c r="G956" s="688"/>
    </row>
    <row r="957" spans="1:7" ht="13.5" customHeight="1">
      <c r="A957" s="1996"/>
      <c r="B957" s="1819"/>
      <c r="C957" s="744"/>
      <c r="D957" s="434"/>
      <c r="E957" s="746"/>
      <c r="F957" s="434"/>
      <c r="G957" s="768"/>
    </row>
    <row r="958" spans="1:7" ht="13.5" customHeight="1">
      <c r="A958" s="2015" t="s">
        <v>1560</v>
      </c>
      <c r="B958" s="1601"/>
      <c r="C958" s="1601"/>
      <c r="D958" s="1601"/>
      <c r="E958" s="1601"/>
      <c r="F958" s="1801"/>
      <c r="G958" s="769">
        <f>SUM(F957)</f>
        <v>0</v>
      </c>
    </row>
    <row r="959" spans="1:7" ht="13.5" customHeight="1">
      <c r="A959" s="621" t="s">
        <v>1564</v>
      </c>
      <c r="B959" s="618"/>
      <c r="C959" s="618"/>
      <c r="D959" s="618"/>
      <c r="E959" s="618"/>
      <c r="F959" s="618"/>
      <c r="G959" s="618"/>
    </row>
    <row r="960" spans="1:7" ht="13.5" customHeight="1">
      <c r="A960" s="1975" t="s">
        <v>1565</v>
      </c>
      <c r="B960" s="1801"/>
      <c r="C960" s="424" t="s">
        <v>1566</v>
      </c>
      <c r="D960" s="424" t="s">
        <v>6</v>
      </c>
      <c r="E960" s="424" t="s">
        <v>7</v>
      </c>
      <c r="F960" s="424" t="s">
        <v>1559</v>
      </c>
      <c r="G960" s="693"/>
    </row>
    <row r="961" spans="1:7" ht="13.5" customHeight="1">
      <c r="A961" s="2004" t="str">
        <f>+'MANO DE OBRA'!$A$64</f>
        <v>Oficial (Incl. Prestaciones)</v>
      </c>
      <c r="B961" s="1888"/>
      <c r="C961" s="679">
        <f>+'MANO DE OBRA'!$E$64</f>
        <v>15031.25</v>
      </c>
      <c r="D961" s="680">
        <v>1</v>
      </c>
      <c r="E961" s="680">
        <v>0.3</v>
      </c>
      <c r="F961" s="710">
        <f t="shared" ref="F961:F962" si="73">+(C961*D961)*E961</f>
        <v>4509.375</v>
      </c>
      <c r="G961" s="688"/>
    </row>
    <row r="962" spans="1:7" ht="13.5" customHeight="1">
      <c r="A962" s="1984" t="str">
        <f>+'MANO DE OBRA'!$A$65</f>
        <v>Ayudante (Incl. Prestaciones)</v>
      </c>
      <c r="B962" s="1819"/>
      <c r="C962" s="747">
        <f>+'MANO DE OBRA'!$E$65</f>
        <v>10972.8125</v>
      </c>
      <c r="D962" s="614">
        <v>1</v>
      </c>
      <c r="E962" s="614">
        <f>+E961</f>
        <v>0.3</v>
      </c>
      <c r="F962" s="753">
        <f t="shared" si="73"/>
        <v>3291.84375</v>
      </c>
      <c r="G962" s="435"/>
    </row>
    <row r="963" spans="1:7" ht="13.5" customHeight="1">
      <c r="A963" s="2015" t="str">
        <f>+A958</f>
        <v>SUB-TOTAL</v>
      </c>
      <c r="B963" s="1601"/>
      <c r="C963" s="1601"/>
      <c r="D963" s="1601"/>
      <c r="E963" s="1601"/>
      <c r="F963" s="1801"/>
      <c r="G963" s="769">
        <f>SUM(F961:F962)</f>
        <v>7801.21875</v>
      </c>
    </row>
    <row r="964" spans="1:7" ht="11.25" customHeight="1">
      <c r="A964" s="618"/>
      <c r="B964" s="618"/>
      <c r="C964" s="618"/>
      <c r="D964" s="618"/>
      <c r="E964" s="618"/>
      <c r="F964" s="748"/>
      <c r="G964" s="618"/>
    </row>
    <row r="965" spans="1:7" ht="13.5" customHeight="1">
      <c r="A965" s="2015" t="s">
        <v>1567</v>
      </c>
      <c r="B965" s="1601"/>
      <c r="C965" s="1601"/>
      <c r="D965" s="1601"/>
      <c r="E965" s="1601"/>
      <c r="F965" s="1801"/>
      <c r="G965" s="1029">
        <f>ROUND(G946+G953+G958+G963,0)</f>
        <v>13931</v>
      </c>
    </row>
    <row r="966" spans="1:7" ht="13.5" customHeight="1">
      <c r="A966" s="616"/>
      <c r="B966" s="616"/>
      <c r="C966" s="616"/>
      <c r="D966" s="616"/>
      <c r="E966" s="616"/>
      <c r="F966" s="616"/>
      <c r="G966" s="616"/>
    </row>
    <row r="967" spans="1:7" ht="13.5" customHeight="1">
      <c r="A967" s="616"/>
      <c r="B967" s="616"/>
      <c r="C967" s="616"/>
      <c r="D967" s="616"/>
      <c r="E967" s="616"/>
      <c r="F967" s="616"/>
      <c r="G967" s="616"/>
    </row>
    <row r="968" spans="1:7" ht="27" customHeight="1">
      <c r="A968" s="2005" t="s">
        <v>1604</v>
      </c>
      <c r="B968" s="1616"/>
      <c r="C968" s="1624"/>
      <c r="D968" s="567"/>
      <c r="E968" s="567"/>
      <c r="F968" s="567"/>
      <c r="G968" s="668"/>
    </row>
    <row r="969" spans="1:7" ht="24" customHeight="1">
      <c r="A969" s="2012" t="s">
        <v>2418</v>
      </c>
      <c r="B969" s="1817"/>
      <c r="C969" s="1972"/>
      <c r="D969" s="669"/>
      <c r="E969" s="669"/>
      <c r="F969" s="669"/>
      <c r="G969" s="670"/>
    </row>
    <row r="970" spans="1:7" ht="13.5" customHeight="1">
      <c r="A970" s="618"/>
      <c r="B970" s="618"/>
      <c r="C970" s="618"/>
      <c r="D970" s="618"/>
      <c r="E970" s="618"/>
      <c r="F970" s="618"/>
      <c r="G970" s="618"/>
    </row>
    <row r="971" spans="1:7" ht="35.25" customHeight="1">
      <c r="A971" s="1991" t="e">
        <v>#REF!</v>
      </c>
      <c r="B971" s="1601"/>
      <c r="C971" s="1602"/>
      <c r="D971" s="1974" t="s">
        <v>2444</v>
      </c>
      <c r="E971" s="1601"/>
      <c r="F971" s="1601"/>
      <c r="G971" s="1602"/>
    </row>
    <row r="972" spans="1:7" ht="13.5" customHeight="1">
      <c r="A972" s="620"/>
      <c r="B972" s="620"/>
      <c r="C972" s="620"/>
      <c r="D972" s="620"/>
      <c r="E972" s="620"/>
      <c r="F972" s="620"/>
      <c r="G972" s="620"/>
    </row>
    <row r="973" spans="1:7" ht="12.75" customHeight="1">
      <c r="A973" s="572"/>
      <c r="B973" s="618"/>
      <c r="C973" s="616"/>
      <c r="D973" s="421" t="s">
        <v>1553</v>
      </c>
      <c r="E973" s="422" t="s">
        <v>120</v>
      </c>
      <c r="F973" s="572"/>
      <c r="G973" s="572"/>
    </row>
    <row r="974" spans="1:7" ht="13.5" customHeight="1">
      <c r="A974" s="621" t="s">
        <v>1555</v>
      </c>
      <c r="B974" s="618"/>
      <c r="C974" s="618"/>
      <c r="D974" s="618"/>
      <c r="E974" s="618"/>
      <c r="F974" s="618"/>
      <c r="G974" s="618"/>
    </row>
    <row r="975" spans="1:7" ht="13.5" customHeight="1">
      <c r="A975" s="1975" t="s">
        <v>1556</v>
      </c>
      <c r="B975" s="1601"/>
      <c r="C975" s="1801"/>
      <c r="D975" s="424" t="s">
        <v>208</v>
      </c>
      <c r="E975" s="424" t="s">
        <v>1558</v>
      </c>
      <c r="F975" s="424" t="s">
        <v>1559</v>
      </c>
      <c r="G975" s="425"/>
    </row>
    <row r="976" spans="1:7" ht="13.5" customHeight="1">
      <c r="A976" s="1987" t="str">
        <f>+'LISTADO EQUIPOS'!$C$22</f>
        <v>HERRAMIENTA MENOR.</v>
      </c>
      <c r="B976" s="1811"/>
      <c r="C976" s="1967"/>
      <c r="D976" s="675">
        <f>+'LISTADO EQUIPOS'!$E$22/8</f>
        <v>2850</v>
      </c>
      <c r="E976" s="687">
        <f>+E993</f>
        <v>0.45</v>
      </c>
      <c r="F976" s="675">
        <f>+E976*D976</f>
        <v>1282.5</v>
      </c>
      <c r="G976" s="688"/>
    </row>
    <row r="977" spans="1:7" ht="13.5" customHeight="1">
      <c r="A977" s="1996"/>
      <c r="B977" s="1807"/>
      <c r="C977" s="1819"/>
      <c r="D977" s="434"/>
      <c r="E977" s="433"/>
      <c r="F977" s="434"/>
      <c r="G977" s="435"/>
    </row>
    <row r="978" spans="1:7" ht="13.5" customHeight="1">
      <c r="A978" s="2015" t="s">
        <v>1560</v>
      </c>
      <c r="B978" s="1601"/>
      <c r="C978" s="1601"/>
      <c r="D978" s="1601"/>
      <c r="E978" s="1601"/>
      <c r="F978" s="1801"/>
      <c r="G978" s="769">
        <f>SUM(F976:F977)</f>
        <v>1282.5</v>
      </c>
    </row>
    <row r="979" spans="1:7" ht="13.5" customHeight="1">
      <c r="A979" s="621" t="s">
        <v>1561</v>
      </c>
      <c r="B979" s="618"/>
      <c r="C979" s="618"/>
      <c r="D979" s="618"/>
      <c r="E979" s="618"/>
      <c r="F979" s="618"/>
      <c r="G979" s="618"/>
    </row>
    <row r="980" spans="1:7" ht="13.5" customHeight="1">
      <c r="A980" s="1975" t="s">
        <v>1556</v>
      </c>
      <c r="B980" s="1801"/>
      <c r="C980" s="424" t="s">
        <v>6</v>
      </c>
      <c r="D980" s="424" t="s">
        <v>1562</v>
      </c>
      <c r="E980" s="424" t="s">
        <v>7</v>
      </c>
      <c r="F980" s="424" t="s">
        <v>1559</v>
      </c>
      <c r="G980" s="425"/>
    </row>
    <row r="981" spans="1:7" ht="13.5" customHeight="1">
      <c r="A981" s="1987" t="str">
        <f>+'ANALISIS BASICOS'!$A$228</f>
        <v>MORTERO 1:4</v>
      </c>
      <c r="B981" s="1967"/>
      <c r="C981" s="674" t="str">
        <f>+'ANALISIS BASICOS'!$E$204</f>
        <v>M3</v>
      </c>
      <c r="D981" s="675">
        <f>+'ANALISIS BASICOS'!$G$228</f>
        <v>384656</v>
      </c>
      <c r="E981" s="674">
        <v>2E-3</v>
      </c>
      <c r="F981" s="675">
        <f t="shared" ref="F981:F983" si="74">+E981*D981</f>
        <v>769.31200000000001</v>
      </c>
      <c r="G981" s="688"/>
    </row>
    <row r="982" spans="1:7" ht="13.5" customHeight="1">
      <c r="A982" s="1995" t="str">
        <f>+'LISTADO MATERIALES'!$C$353</f>
        <v>TABLETA DE GRES</v>
      </c>
      <c r="B982" s="1611"/>
      <c r="C982" s="444" t="str">
        <f>+'LISTADO MATERIALES'!$D$353</f>
        <v>M2</v>
      </c>
      <c r="D982" s="464">
        <f>+'LISTADO MATERIALES'!$E$353</f>
        <v>16275</v>
      </c>
      <c r="E982" s="444">
        <v>0.2</v>
      </c>
      <c r="F982" s="464">
        <f t="shared" si="74"/>
        <v>3255</v>
      </c>
      <c r="G982" s="751"/>
    </row>
    <row r="983" spans="1:7" ht="13.5" customHeight="1">
      <c r="A983" s="1995" t="str">
        <f>+'LISTADO MATERIALES'!$C$144</f>
        <v>COLOR MINERAL NAL.</v>
      </c>
      <c r="B983" s="1611"/>
      <c r="C983" s="444" t="str">
        <f>+'LISTADO MATERIALES'!$D$144</f>
        <v>KG</v>
      </c>
      <c r="D983" s="464">
        <f>+'LISTADO MATERIALES'!$E$144</f>
        <v>8925</v>
      </c>
      <c r="E983" s="444">
        <v>2E-3</v>
      </c>
      <c r="F983" s="464">
        <f t="shared" si="74"/>
        <v>17.850000000000001</v>
      </c>
      <c r="G983" s="751"/>
    </row>
    <row r="984" spans="1:7" ht="13.5" customHeight="1">
      <c r="A984" s="1995"/>
      <c r="B984" s="1611"/>
      <c r="C984" s="444"/>
      <c r="D984" s="464"/>
      <c r="E984" s="444"/>
      <c r="F984" s="464"/>
      <c r="G984" s="751"/>
    </row>
    <row r="985" spans="1:7" ht="13.5" customHeight="1">
      <c r="A985" s="2015" t="s">
        <v>1560</v>
      </c>
      <c r="B985" s="1601"/>
      <c r="C985" s="1601"/>
      <c r="D985" s="1601"/>
      <c r="E985" s="1601"/>
      <c r="F985" s="1801"/>
      <c r="G985" s="769">
        <f>SUM(F981:F984)</f>
        <v>4042.1619999999998</v>
      </c>
    </row>
    <row r="986" spans="1:7" ht="13.5" customHeight="1">
      <c r="A986" s="621" t="s">
        <v>1563</v>
      </c>
      <c r="B986" s="618"/>
      <c r="C986" s="618"/>
      <c r="D986" s="618"/>
      <c r="E986" s="618"/>
      <c r="F986" s="618"/>
      <c r="G986" s="618"/>
    </row>
    <row r="987" spans="1:7" ht="13.5" customHeight="1">
      <c r="A987" s="1975" t="s">
        <v>1556</v>
      </c>
      <c r="B987" s="1801"/>
      <c r="C987" s="424" t="s">
        <v>6</v>
      </c>
      <c r="D987" s="424" t="s">
        <v>1562</v>
      </c>
      <c r="E987" s="424" t="s">
        <v>7</v>
      </c>
      <c r="F987" s="424" t="s">
        <v>1559</v>
      </c>
      <c r="G987" s="690"/>
    </row>
    <row r="988" spans="1:7" ht="13.5" customHeight="1">
      <c r="A988" s="1987" t="str">
        <f>+'LISTADO EQUIPOS'!$C$125</f>
        <v>VOLQUETA (5-6)M3</v>
      </c>
      <c r="B988" s="1967"/>
      <c r="C988" s="744" t="str">
        <f>+'LISTADO EQUIPOS'!$D$125</f>
        <v>VJ</v>
      </c>
      <c r="D988" s="675">
        <f>+'LISTADO EQUIPOS'!$E$125</f>
        <v>90000</v>
      </c>
      <c r="E988" s="1053">
        <v>0</v>
      </c>
      <c r="F988" s="464">
        <f t="shared" ref="F988:F989" si="75">D988*E988</f>
        <v>0</v>
      </c>
      <c r="G988" s="688"/>
    </row>
    <row r="989" spans="1:7" ht="13.5" customHeight="1">
      <c r="A989" s="1996"/>
      <c r="B989" s="1819"/>
      <c r="C989" s="744"/>
      <c r="D989" s="434"/>
      <c r="E989" s="746"/>
      <c r="F989" s="434">
        <f t="shared" si="75"/>
        <v>0</v>
      </c>
      <c r="G989" s="768"/>
    </row>
    <row r="990" spans="1:7" ht="13.5" customHeight="1">
      <c r="A990" s="2015" t="s">
        <v>1560</v>
      </c>
      <c r="B990" s="1601"/>
      <c r="C990" s="1601"/>
      <c r="D990" s="1601"/>
      <c r="E990" s="1601"/>
      <c r="F990" s="1801"/>
      <c r="G990" s="769">
        <f>SUM(F989)</f>
        <v>0</v>
      </c>
    </row>
    <row r="991" spans="1:7" ht="13.5" customHeight="1">
      <c r="A991" s="621" t="s">
        <v>1564</v>
      </c>
      <c r="B991" s="618"/>
      <c r="C991" s="618"/>
      <c r="D991" s="618"/>
      <c r="E991" s="618"/>
      <c r="F991" s="618"/>
      <c r="G991" s="618"/>
    </row>
    <row r="992" spans="1:7" ht="13.5" customHeight="1">
      <c r="A992" s="1975" t="s">
        <v>1565</v>
      </c>
      <c r="B992" s="1801"/>
      <c r="C992" s="424" t="s">
        <v>1566</v>
      </c>
      <c r="D992" s="424" t="s">
        <v>6</v>
      </c>
      <c r="E992" s="424" t="s">
        <v>7</v>
      </c>
      <c r="F992" s="424" t="s">
        <v>1559</v>
      </c>
      <c r="G992" s="693"/>
    </row>
    <row r="993" spans="1:7" ht="13.5" customHeight="1">
      <c r="A993" s="2004" t="str">
        <f>+'MANO DE OBRA'!$A$64</f>
        <v>Oficial (Incl. Prestaciones)</v>
      </c>
      <c r="B993" s="1888"/>
      <c r="C993" s="679">
        <f>+'MANO DE OBRA'!$E$64</f>
        <v>15031.25</v>
      </c>
      <c r="D993" s="680">
        <v>1</v>
      </c>
      <c r="E993" s="680">
        <v>0.45</v>
      </c>
      <c r="F993" s="710">
        <f t="shared" ref="F993:F994" si="76">+(C993*D993)*E993</f>
        <v>6764.0625</v>
      </c>
      <c r="G993" s="688"/>
    </row>
    <row r="994" spans="1:7" ht="13.5" customHeight="1">
      <c r="A994" s="1984" t="str">
        <f>+'MANO DE OBRA'!$A$65</f>
        <v>Ayudante (Incl. Prestaciones)</v>
      </c>
      <c r="B994" s="1819"/>
      <c r="C994" s="747">
        <f>+'MANO DE OBRA'!$E$65</f>
        <v>10972.8125</v>
      </c>
      <c r="D994" s="614">
        <v>1</v>
      </c>
      <c r="E994" s="614">
        <f>+E993</f>
        <v>0.45</v>
      </c>
      <c r="F994" s="753">
        <f t="shared" si="76"/>
        <v>4937.765625</v>
      </c>
      <c r="G994" s="435"/>
    </row>
    <row r="995" spans="1:7" ht="13.5" customHeight="1">
      <c r="A995" s="2015" t="str">
        <f>+A990</f>
        <v>SUB-TOTAL</v>
      </c>
      <c r="B995" s="1601"/>
      <c r="C995" s="1601"/>
      <c r="D995" s="1601"/>
      <c r="E995" s="1601"/>
      <c r="F995" s="1801"/>
      <c r="G995" s="769">
        <f>SUM(F993:F994)</f>
        <v>11701.828125</v>
      </c>
    </row>
    <row r="996" spans="1:7" ht="11.25" customHeight="1">
      <c r="A996" s="618"/>
      <c r="B996" s="618"/>
      <c r="C996" s="618"/>
      <c r="D996" s="618"/>
      <c r="E996" s="618"/>
      <c r="F996" s="748"/>
      <c r="G996" s="618"/>
    </row>
    <row r="997" spans="1:7" ht="13.5" customHeight="1">
      <c r="A997" s="2015" t="s">
        <v>1567</v>
      </c>
      <c r="B997" s="1601"/>
      <c r="C997" s="1601"/>
      <c r="D997" s="1601"/>
      <c r="E997" s="1601"/>
      <c r="F997" s="1801"/>
      <c r="G997" s="1029">
        <f>ROUND(G978+G985+G990+G995,0)</f>
        <v>17026</v>
      </c>
    </row>
    <row r="998" spans="1:7" ht="13.5" customHeight="1">
      <c r="A998" s="616"/>
      <c r="B998" s="616"/>
      <c r="C998" s="616"/>
      <c r="D998" s="616"/>
      <c r="E998" s="616"/>
      <c r="F998" s="616"/>
      <c r="G998" s="616"/>
    </row>
    <row r="999" spans="1:7" ht="13.5" customHeight="1">
      <c r="A999" s="616"/>
      <c r="B999" s="616"/>
      <c r="C999" s="616"/>
      <c r="D999" s="616"/>
      <c r="E999" s="616"/>
      <c r="F999" s="616"/>
      <c r="G999" s="616"/>
    </row>
    <row r="1000" spans="1:7" ht="27" customHeight="1">
      <c r="A1000" s="2005" t="s">
        <v>1604</v>
      </c>
      <c r="B1000" s="1616"/>
      <c r="C1000" s="1624"/>
      <c r="D1000" s="567"/>
      <c r="E1000" s="567"/>
      <c r="F1000" s="567"/>
      <c r="G1000" s="668"/>
    </row>
    <row r="1001" spans="1:7" ht="24" customHeight="1">
      <c r="A1001" s="2012" t="s">
        <v>2418</v>
      </c>
      <c r="B1001" s="1817"/>
      <c r="C1001" s="1972"/>
      <c r="D1001" s="669"/>
      <c r="E1001" s="669"/>
      <c r="F1001" s="669"/>
      <c r="G1001" s="670"/>
    </row>
    <row r="1002" spans="1:7" ht="13.5" customHeight="1">
      <c r="A1002" s="618"/>
      <c r="B1002" s="618"/>
      <c r="C1002" s="618"/>
      <c r="D1002" s="618"/>
      <c r="E1002" s="618"/>
      <c r="F1002" s="618"/>
      <c r="G1002" s="618"/>
    </row>
    <row r="1003" spans="1:7" ht="30.75" customHeight="1">
      <c r="A1003" s="1991" t="e">
        <v>#REF!</v>
      </c>
      <c r="B1003" s="1601"/>
      <c r="C1003" s="1602"/>
      <c r="D1003" s="1974" t="s">
        <v>2445</v>
      </c>
      <c r="E1003" s="1601"/>
      <c r="F1003" s="1601"/>
      <c r="G1003" s="1602"/>
    </row>
    <row r="1004" spans="1:7" ht="13.5" customHeight="1">
      <c r="A1004" s="620"/>
      <c r="B1004" s="620"/>
      <c r="C1004" s="620"/>
      <c r="D1004" s="620"/>
      <c r="E1004" s="620"/>
      <c r="F1004" s="620"/>
      <c r="G1004" s="620"/>
    </row>
    <row r="1005" spans="1:7" ht="12.75" customHeight="1">
      <c r="A1005" s="572"/>
      <c r="B1005" s="618"/>
      <c r="C1005" s="616"/>
      <c r="D1005" s="421" t="s">
        <v>1553</v>
      </c>
      <c r="E1005" s="422" t="s">
        <v>228</v>
      </c>
      <c r="F1005" s="572"/>
      <c r="G1005" s="572"/>
    </row>
    <row r="1006" spans="1:7" ht="13.5" customHeight="1">
      <c r="A1006" s="621" t="s">
        <v>1555</v>
      </c>
      <c r="B1006" s="618"/>
      <c r="C1006" s="618"/>
      <c r="D1006" s="618"/>
      <c r="E1006" s="618"/>
      <c r="F1006" s="618"/>
      <c r="G1006" s="618"/>
    </row>
    <row r="1007" spans="1:7" ht="13.5" customHeight="1">
      <c r="A1007" s="1975" t="s">
        <v>1556</v>
      </c>
      <c r="B1007" s="1601"/>
      <c r="C1007" s="1801"/>
      <c r="D1007" s="424" t="s">
        <v>208</v>
      </c>
      <c r="E1007" s="424" t="s">
        <v>1558</v>
      </c>
      <c r="F1007" s="424" t="s">
        <v>1559</v>
      </c>
      <c r="G1007" s="425"/>
    </row>
    <row r="1008" spans="1:7" ht="13.5" customHeight="1">
      <c r="A1008" s="1987" t="str">
        <f>+'LISTADO EQUIPOS'!$C$22</f>
        <v>HERRAMIENTA MENOR.</v>
      </c>
      <c r="B1008" s="1811"/>
      <c r="C1008" s="1967"/>
      <c r="D1008" s="675">
        <f>+'LISTADO EQUIPOS'!$E$22/8</f>
        <v>2850</v>
      </c>
      <c r="E1008" s="687">
        <f>+E1025</f>
        <v>0.4</v>
      </c>
      <c r="F1008" s="675">
        <f t="shared" ref="F1008:F1009" si="77">+E1008*D1008</f>
        <v>1140</v>
      </c>
      <c r="G1008" s="688"/>
    </row>
    <row r="1009" spans="1:7" ht="13.5" customHeight="1">
      <c r="A1009" s="1996" t="str">
        <f>+'ANALISIS BASICOS'!$A$360</f>
        <v>FORMALETA EN MADERA</v>
      </c>
      <c r="B1009" s="1807"/>
      <c r="C1009" s="1819"/>
      <c r="D1009" s="434">
        <f>+'ANALISIS BASICOS'!$G$360</f>
        <v>41998</v>
      </c>
      <c r="E1009" s="433">
        <v>0.01</v>
      </c>
      <c r="F1009" s="434">
        <f t="shared" si="77"/>
        <v>419.98</v>
      </c>
      <c r="G1009" s="435"/>
    </row>
    <row r="1010" spans="1:7" ht="13.5" customHeight="1">
      <c r="A1010" s="2015" t="s">
        <v>1560</v>
      </c>
      <c r="B1010" s="1601"/>
      <c r="C1010" s="1601"/>
      <c r="D1010" s="1601"/>
      <c r="E1010" s="1601"/>
      <c r="F1010" s="1801"/>
      <c r="G1010" s="769">
        <f>SUM(F1008:F1009)</f>
        <v>1559.98</v>
      </c>
    </row>
    <row r="1011" spans="1:7" ht="13.5" customHeight="1">
      <c r="A1011" s="621" t="s">
        <v>1561</v>
      </c>
      <c r="B1011" s="618"/>
      <c r="C1011" s="618"/>
      <c r="D1011" s="618"/>
      <c r="E1011" s="618"/>
      <c r="F1011" s="618"/>
      <c r="G1011" s="618"/>
    </row>
    <row r="1012" spans="1:7" ht="13.5" customHeight="1">
      <c r="A1012" s="1975" t="s">
        <v>1556</v>
      </c>
      <c r="B1012" s="1801"/>
      <c r="C1012" s="424" t="s">
        <v>6</v>
      </c>
      <c r="D1012" s="424" t="s">
        <v>1562</v>
      </c>
      <c r="E1012" s="424" t="s">
        <v>7</v>
      </c>
      <c r="F1012" s="424" t="s">
        <v>1559</v>
      </c>
      <c r="G1012" s="425"/>
    </row>
    <row r="1013" spans="1:7" ht="22.5" customHeight="1">
      <c r="A1013" s="1987" t="str">
        <f>+'ANALISIS BASICOS'!$A$100</f>
        <v xml:space="preserve">CONCRETO NORMAL - 2500 PSI (175 KG/CM2)  </v>
      </c>
      <c r="B1013" s="1967"/>
      <c r="C1013" s="674" t="str">
        <f>+'ANALISIS BASICOS'!$E$76</f>
        <v>M3</v>
      </c>
      <c r="D1013" s="675">
        <f>+'ANALISIS BASICOS'!$G$100</f>
        <v>483582</v>
      </c>
      <c r="E1013" s="687">
        <v>0.04</v>
      </c>
      <c r="F1013" s="675">
        <f>+E1013*D1013</f>
        <v>19343.28</v>
      </c>
      <c r="G1013" s="688"/>
    </row>
    <row r="1014" spans="1:7" ht="13.5" customHeight="1">
      <c r="A1014" s="1995"/>
      <c r="B1014" s="1611"/>
      <c r="C1014" s="444"/>
      <c r="D1014" s="464"/>
      <c r="E1014" s="706"/>
      <c r="F1014" s="464"/>
      <c r="G1014" s="751"/>
    </row>
    <row r="1015" spans="1:7" ht="13.5" customHeight="1">
      <c r="A1015" s="1995"/>
      <c r="B1015" s="1611"/>
      <c r="C1015" s="444"/>
      <c r="D1015" s="464"/>
      <c r="E1015" s="706"/>
      <c r="F1015" s="464"/>
      <c r="G1015" s="751"/>
    </row>
    <row r="1016" spans="1:7" ht="13.5" customHeight="1">
      <c r="A1016" s="1996"/>
      <c r="B1016" s="1819"/>
      <c r="C1016" s="708"/>
      <c r="D1016" s="434"/>
      <c r="E1016" s="708"/>
      <c r="F1016" s="434"/>
      <c r="G1016" s="435"/>
    </row>
    <row r="1017" spans="1:7" ht="13.5" customHeight="1">
      <c r="A1017" s="2015" t="s">
        <v>1560</v>
      </c>
      <c r="B1017" s="1601"/>
      <c r="C1017" s="1601"/>
      <c r="D1017" s="1601"/>
      <c r="E1017" s="1601"/>
      <c r="F1017" s="1801"/>
      <c r="G1017" s="769">
        <f>SUM(F1013:F1016)</f>
        <v>19343.28</v>
      </c>
    </row>
    <row r="1018" spans="1:7" ht="13.5" customHeight="1">
      <c r="A1018" s="621" t="s">
        <v>1563</v>
      </c>
      <c r="B1018" s="618"/>
      <c r="C1018" s="618"/>
      <c r="D1018" s="618"/>
      <c r="E1018" s="618"/>
      <c r="F1018" s="618"/>
      <c r="G1018" s="618"/>
    </row>
    <row r="1019" spans="1:7" ht="13.5" customHeight="1">
      <c r="A1019" s="1975" t="s">
        <v>1556</v>
      </c>
      <c r="B1019" s="1801"/>
      <c r="C1019" s="424" t="s">
        <v>6</v>
      </c>
      <c r="D1019" s="424" t="s">
        <v>1562</v>
      </c>
      <c r="E1019" s="424" t="s">
        <v>7</v>
      </c>
      <c r="F1019" s="424" t="s">
        <v>1559</v>
      </c>
      <c r="G1019" s="690"/>
    </row>
    <row r="1020" spans="1:7" ht="13.5" customHeight="1">
      <c r="A1020" s="1987" t="str">
        <f>+'LISTADO EQUIPOS'!$C$125</f>
        <v>VOLQUETA (5-6)M3</v>
      </c>
      <c r="B1020" s="1967"/>
      <c r="C1020" s="744" t="str">
        <f>+'LISTADO EQUIPOS'!$D$125</f>
        <v>VJ</v>
      </c>
      <c r="D1020" s="675">
        <f>+'LISTADO EQUIPOS'!$E$125</f>
        <v>90000</v>
      </c>
      <c r="E1020" s="1053">
        <v>0</v>
      </c>
      <c r="F1020" s="464">
        <f t="shared" ref="F1020:F1021" si="78">D1020*E1020</f>
        <v>0</v>
      </c>
      <c r="G1020" s="688"/>
    </row>
    <row r="1021" spans="1:7" ht="13.5" customHeight="1">
      <c r="A1021" s="1996"/>
      <c r="B1021" s="1819"/>
      <c r="C1021" s="744"/>
      <c r="D1021" s="434"/>
      <c r="E1021" s="746"/>
      <c r="F1021" s="434">
        <f t="shared" si="78"/>
        <v>0</v>
      </c>
      <c r="G1021" s="768"/>
    </row>
    <row r="1022" spans="1:7" ht="13.5" customHeight="1">
      <c r="A1022" s="2015" t="s">
        <v>1560</v>
      </c>
      <c r="B1022" s="1601"/>
      <c r="C1022" s="1601"/>
      <c r="D1022" s="1601"/>
      <c r="E1022" s="1601"/>
      <c r="F1022" s="1801"/>
      <c r="G1022" s="769">
        <f>SUM(F1021)</f>
        <v>0</v>
      </c>
    </row>
    <row r="1023" spans="1:7" ht="13.5" customHeight="1">
      <c r="A1023" s="621" t="s">
        <v>1564</v>
      </c>
      <c r="B1023" s="618"/>
      <c r="C1023" s="618"/>
      <c r="D1023" s="618"/>
      <c r="E1023" s="618"/>
      <c r="F1023" s="618"/>
      <c r="G1023" s="618"/>
    </row>
    <row r="1024" spans="1:7" ht="13.5" customHeight="1">
      <c r="A1024" s="1975" t="s">
        <v>1565</v>
      </c>
      <c r="B1024" s="1801"/>
      <c r="C1024" s="424" t="s">
        <v>1566</v>
      </c>
      <c r="D1024" s="424" t="s">
        <v>6</v>
      </c>
      <c r="E1024" s="424" t="s">
        <v>7</v>
      </c>
      <c r="F1024" s="424" t="s">
        <v>1559</v>
      </c>
      <c r="G1024" s="693"/>
    </row>
    <row r="1025" spans="1:7" ht="13.5" customHeight="1">
      <c r="A1025" s="2004" t="str">
        <f>+'MANO DE OBRA'!$A$64</f>
        <v>Oficial (Incl. Prestaciones)</v>
      </c>
      <c r="B1025" s="1888"/>
      <c r="C1025" s="679">
        <f>+'MANO DE OBRA'!$E$64</f>
        <v>15031.25</v>
      </c>
      <c r="D1025" s="680">
        <v>1</v>
      </c>
      <c r="E1025" s="680">
        <v>0.4</v>
      </c>
      <c r="F1025" s="710">
        <f t="shared" ref="F1025:F1026" si="79">+(C1025*D1025)*E1025</f>
        <v>6012.5</v>
      </c>
      <c r="G1025" s="688"/>
    </row>
    <row r="1026" spans="1:7" ht="13.5" customHeight="1">
      <c r="A1026" s="1984" t="str">
        <f>+'MANO DE OBRA'!$A$65</f>
        <v>Ayudante (Incl. Prestaciones)</v>
      </c>
      <c r="B1026" s="1819"/>
      <c r="C1026" s="747">
        <f>+'MANO DE OBRA'!$E$65</f>
        <v>10972.8125</v>
      </c>
      <c r="D1026" s="614">
        <v>1</v>
      </c>
      <c r="E1026" s="614">
        <f>+E1025</f>
        <v>0.4</v>
      </c>
      <c r="F1026" s="753">
        <f t="shared" si="79"/>
        <v>4389.125</v>
      </c>
      <c r="G1026" s="435"/>
    </row>
    <row r="1027" spans="1:7" ht="13.5" customHeight="1">
      <c r="A1027" s="2015" t="str">
        <f>+A1022</f>
        <v>SUB-TOTAL</v>
      </c>
      <c r="B1027" s="1601"/>
      <c r="C1027" s="1601"/>
      <c r="D1027" s="1601"/>
      <c r="E1027" s="1601"/>
      <c r="F1027" s="1801"/>
      <c r="G1027" s="769">
        <f>SUM(F1025:F1026)</f>
        <v>10401.625</v>
      </c>
    </row>
    <row r="1028" spans="1:7" ht="11.25" customHeight="1">
      <c r="A1028" s="618"/>
      <c r="B1028" s="618"/>
      <c r="C1028" s="618"/>
      <c r="D1028" s="618"/>
      <c r="E1028" s="618"/>
      <c r="F1028" s="748"/>
      <c r="G1028" s="618"/>
    </row>
    <row r="1029" spans="1:7" ht="13.5" customHeight="1">
      <c r="A1029" s="2015" t="s">
        <v>1567</v>
      </c>
      <c r="B1029" s="1601"/>
      <c r="C1029" s="1601"/>
      <c r="D1029" s="1601"/>
      <c r="E1029" s="1601"/>
      <c r="F1029" s="1801"/>
      <c r="G1029" s="1029">
        <f>ROUND(G1010+G1017+G1022+G1027,0)</f>
        <v>31305</v>
      </c>
    </row>
    <row r="1030" spans="1:7" ht="13.5" customHeight="1">
      <c r="A1030" s="616"/>
      <c r="B1030" s="616"/>
      <c r="C1030" s="616"/>
      <c r="D1030" s="616"/>
      <c r="E1030" s="616"/>
      <c r="F1030" s="616"/>
      <c r="G1030" s="616"/>
    </row>
    <row r="1031" spans="1:7" ht="13.5" customHeight="1">
      <c r="A1031" s="616"/>
      <c r="B1031" s="616"/>
      <c r="C1031" s="616"/>
      <c r="D1031" s="616"/>
      <c r="E1031" s="616"/>
      <c r="F1031" s="616"/>
      <c r="G1031" s="616"/>
    </row>
    <row r="1032" spans="1:7" ht="27" customHeight="1">
      <c r="A1032" s="2005" t="s">
        <v>1604</v>
      </c>
      <c r="B1032" s="1616"/>
      <c r="C1032" s="1624"/>
      <c r="D1032" s="567"/>
      <c r="E1032" s="567"/>
      <c r="F1032" s="567"/>
      <c r="G1032" s="668"/>
    </row>
    <row r="1033" spans="1:7" ht="24" customHeight="1">
      <c r="A1033" s="2012" t="s">
        <v>2418</v>
      </c>
      <c r="B1033" s="1817"/>
      <c r="C1033" s="1972"/>
      <c r="D1033" s="669"/>
      <c r="E1033" s="669"/>
      <c r="F1033" s="669"/>
      <c r="G1033" s="670"/>
    </row>
    <row r="1034" spans="1:7" ht="13.5" customHeight="1">
      <c r="A1034" s="618"/>
      <c r="B1034" s="618"/>
      <c r="C1034" s="618"/>
      <c r="D1034" s="618"/>
      <c r="E1034" s="618"/>
      <c r="F1034" s="618"/>
      <c r="G1034" s="618"/>
    </row>
    <row r="1035" spans="1:7" ht="35.25" customHeight="1">
      <c r="A1035" s="1991" t="e">
        <v>#REF!</v>
      </c>
      <c r="B1035" s="1601"/>
      <c r="C1035" s="1602"/>
      <c r="D1035" s="1974" t="s">
        <v>2446</v>
      </c>
      <c r="E1035" s="1601"/>
      <c r="F1035" s="1601"/>
      <c r="G1035" s="1602"/>
    </row>
    <row r="1036" spans="1:7" ht="13.5" customHeight="1">
      <c r="A1036" s="620"/>
      <c r="B1036" s="620"/>
      <c r="C1036" s="620"/>
      <c r="D1036" s="620"/>
      <c r="E1036" s="620"/>
      <c r="F1036" s="620"/>
      <c r="G1036" s="620"/>
    </row>
    <row r="1037" spans="1:7" ht="12.75" customHeight="1">
      <c r="A1037" s="572"/>
      <c r="B1037" s="618"/>
      <c r="C1037" s="616"/>
      <c r="D1037" s="421" t="s">
        <v>1553</v>
      </c>
      <c r="E1037" s="422" t="s">
        <v>228</v>
      </c>
      <c r="F1037" s="572"/>
      <c r="G1037" s="572"/>
    </row>
    <row r="1038" spans="1:7" ht="13.5" customHeight="1">
      <c r="A1038" s="621" t="s">
        <v>1555</v>
      </c>
      <c r="B1038" s="618"/>
      <c r="C1038" s="618"/>
      <c r="D1038" s="618"/>
      <c r="E1038" s="618"/>
      <c r="F1038" s="618"/>
      <c r="G1038" s="618"/>
    </row>
    <row r="1039" spans="1:7" ht="13.5" customHeight="1">
      <c r="A1039" s="1975" t="s">
        <v>1556</v>
      </c>
      <c r="B1039" s="1601"/>
      <c r="C1039" s="1801"/>
      <c r="D1039" s="424" t="s">
        <v>208</v>
      </c>
      <c r="E1039" s="424" t="s">
        <v>1558</v>
      </c>
      <c r="F1039" s="424" t="s">
        <v>1559</v>
      </c>
      <c r="G1039" s="425"/>
    </row>
    <row r="1040" spans="1:7" ht="13.5" customHeight="1">
      <c r="A1040" s="1987" t="str">
        <f>+'LISTADO EQUIPOS'!$C$22</f>
        <v>HERRAMIENTA MENOR.</v>
      </c>
      <c r="B1040" s="1811"/>
      <c r="C1040" s="1967"/>
      <c r="D1040" s="675">
        <f>+'LISTADO EQUIPOS'!$E$22/8</f>
        <v>2850</v>
      </c>
      <c r="E1040" s="687">
        <f>+E1056</f>
        <v>0.85</v>
      </c>
      <c r="F1040" s="675">
        <f>+E1040*D1040</f>
        <v>2422.5</v>
      </c>
      <c r="G1040" s="688"/>
    </row>
    <row r="1041" spans="1:7" ht="13.5" customHeight="1">
      <c r="A1041" s="1996"/>
      <c r="B1041" s="1807"/>
      <c r="C1041" s="1819"/>
      <c r="D1041" s="434"/>
      <c r="E1041" s="758"/>
      <c r="F1041" s="434"/>
      <c r="G1041" s="435"/>
    </row>
    <row r="1042" spans="1:7" ht="13.5" customHeight="1">
      <c r="A1042" s="2015" t="s">
        <v>1560</v>
      </c>
      <c r="B1042" s="1601"/>
      <c r="C1042" s="1601"/>
      <c r="D1042" s="1601"/>
      <c r="E1042" s="1601"/>
      <c r="F1042" s="1801"/>
      <c r="G1042" s="769">
        <f>SUM(F1040:F1041)</f>
        <v>2422.5</v>
      </c>
    </row>
    <row r="1043" spans="1:7" ht="13.5" customHeight="1">
      <c r="A1043" s="621" t="s">
        <v>1561</v>
      </c>
      <c r="B1043" s="618"/>
      <c r="C1043" s="618"/>
      <c r="D1043" s="618"/>
      <c r="E1043" s="618"/>
      <c r="F1043" s="618"/>
      <c r="G1043" s="618"/>
    </row>
    <row r="1044" spans="1:7" ht="13.5" customHeight="1">
      <c r="A1044" s="1975" t="s">
        <v>1556</v>
      </c>
      <c r="B1044" s="1801"/>
      <c r="C1044" s="424" t="s">
        <v>6</v>
      </c>
      <c r="D1044" s="424" t="s">
        <v>1562</v>
      </c>
      <c r="E1044" s="424" t="s">
        <v>7</v>
      </c>
      <c r="F1044" s="424" t="s">
        <v>1559</v>
      </c>
      <c r="G1044" s="425"/>
    </row>
    <row r="1045" spans="1:7" ht="13.5" customHeight="1">
      <c r="A1045" s="1995" t="str">
        <f>+'LISTADO MATERIALES'!$C$378</f>
        <v>CRISTALBLOCK</v>
      </c>
      <c r="B1045" s="1611"/>
      <c r="C1045" s="444" t="str">
        <f>+'LISTADO MATERIALES'!$D$378</f>
        <v>UND</v>
      </c>
      <c r="D1045" s="464">
        <f>+'LISTADO MATERIALES'!$E$378</f>
        <v>22386</v>
      </c>
      <c r="E1045" s="444">
        <v>10</v>
      </c>
      <c r="F1045" s="464">
        <f t="shared" ref="F1045:F1046" si="80">+E1045*D1045</f>
        <v>223860</v>
      </c>
      <c r="G1045" s="751"/>
    </row>
    <row r="1046" spans="1:7" ht="13.5" customHeight="1">
      <c r="A1046" s="1995" t="str">
        <f>+'LISTADO MATERIALES'!$C$140</f>
        <v>CEMENTO BLANCO</v>
      </c>
      <c r="B1046" s="1611"/>
      <c r="C1046" s="444" t="str">
        <f>+'LISTADO MATERIALES'!$D$140</f>
        <v>KG</v>
      </c>
      <c r="D1046" s="464">
        <f>+'LISTADO MATERIALES'!$E$140</f>
        <v>1103</v>
      </c>
      <c r="E1046" s="444">
        <v>0.2</v>
      </c>
      <c r="F1046" s="464">
        <f t="shared" si="80"/>
        <v>220.60000000000002</v>
      </c>
      <c r="G1046" s="751"/>
    </row>
    <row r="1047" spans="1:7" ht="13.5" customHeight="1">
      <c r="A1047" s="1995"/>
      <c r="B1047" s="1611"/>
      <c r="C1047" s="444"/>
      <c r="D1047" s="464"/>
      <c r="E1047" s="444"/>
      <c r="F1047" s="464"/>
      <c r="G1047" s="751"/>
    </row>
    <row r="1048" spans="1:7" ht="13.5" customHeight="1">
      <c r="A1048" s="2015" t="s">
        <v>1560</v>
      </c>
      <c r="B1048" s="1601"/>
      <c r="C1048" s="1601"/>
      <c r="D1048" s="1601"/>
      <c r="E1048" s="1601"/>
      <c r="F1048" s="1801"/>
      <c r="G1048" s="769">
        <f>SUM(F1045:F1047)</f>
        <v>224080.6</v>
      </c>
    </row>
    <row r="1049" spans="1:7" ht="13.5" customHeight="1">
      <c r="A1049" s="621" t="s">
        <v>1563</v>
      </c>
      <c r="B1049" s="618"/>
      <c r="C1049" s="618"/>
      <c r="D1049" s="618"/>
      <c r="E1049" s="618"/>
      <c r="F1049" s="618"/>
      <c r="G1049" s="618"/>
    </row>
    <row r="1050" spans="1:7" ht="13.5" customHeight="1">
      <c r="A1050" s="1975" t="s">
        <v>1556</v>
      </c>
      <c r="B1050" s="1801"/>
      <c r="C1050" s="424" t="s">
        <v>6</v>
      </c>
      <c r="D1050" s="424" t="s">
        <v>1562</v>
      </c>
      <c r="E1050" s="424" t="s">
        <v>7</v>
      </c>
      <c r="F1050" s="424" t="s">
        <v>1559</v>
      </c>
      <c r="G1050" s="690"/>
    </row>
    <row r="1051" spans="1:7" ht="13.5" customHeight="1">
      <c r="A1051" s="1987" t="str">
        <f>+'LISTADO EQUIPOS'!$C$125</f>
        <v>VOLQUETA (5-6)M3</v>
      </c>
      <c r="B1051" s="1967"/>
      <c r="C1051" s="744" t="str">
        <f>+'LISTADO EQUIPOS'!$D$125</f>
        <v>VJ</v>
      </c>
      <c r="D1051" s="675">
        <f>+'LISTADO EQUIPOS'!$E$125</f>
        <v>90000</v>
      </c>
      <c r="E1051" s="1053">
        <v>0</v>
      </c>
      <c r="F1051" s="464">
        <f>D1051*E1051</f>
        <v>0</v>
      </c>
      <c r="G1051" s="688"/>
    </row>
    <row r="1052" spans="1:7" ht="13.5" customHeight="1">
      <c r="A1052" s="1996"/>
      <c r="B1052" s="1819"/>
      <c r="C1052" s="744"/>
      <c r="D1052" s="434"/>
      <c r="E1052" s="746"/>
      <c r="F1052" s="434"/>
      <c r="G1052" s="768"/>
    </row>
    <row r="1053" spans="1:7" ht="13.5" customHeight="1">
      <c r="A1053" s="2015" t="s">
        <v>1560</v>
      </c>
      <c r="B1053" s="1601"/>
      <c r="C1053" s="1601"/>
      <c r="D1053" s="1601"/>
      <c r="E1053" s="1601"/>
      <c r="F1053" s="1801"/>
      <c r="G1053" s="769">
        <f>SUM(F1052)</f>
        <v>0</v>
      </c>
    </row>
    <row r="1054" spans="1:7" ht="13.5" customHeight="1">
      <c r="A1054" s="621" t="s">
        <v>1564</v>
      </c>
      <c r="B1054" s="618"/>
      <c r="C1054" s="618"/>
      <c r="D1054" s="618"/>
      <c r="E1054" s="618"/>
      <c r="F1054" s="618"/>
      <c r="G1054" s="618"/>
    </row>
    <row r="1055" spans="1:7" ht="13.5" customHeight="1">
      <c r="A1055" s="1975" t="s">
        <v>1565</v>
      </c>
      <c r="B1055" s="1801"/>
      <c r="C1055" s="424" t="s">
        <v>1566</v>
      </c>
      <c r="D1055" s="424" t="s">
        <v>6</v>
      </c>
      <c r="E1055" s="424" t="s">
        <v>7</v>
      </c>
      <c r="F1055" s="424" t="s">
        <v>1559</v>
      </c>
      <c r="G1055" s="693"/>
    </row>
    <row r="1056" spans="1:7" ht="13.5" customHeight="1">
      <c r="A1056" s="2004" t="str">
        <f>+'MANO DE OBRA'!$A$64</f>
        <v>Oficial (Incl. Prestaciones)</v>
      </c>
      <c r="B1056" s="1888"/>
      <c r="C1056" s="679">
        <f>+'MANO DE OBRA'!$E$64</f>
        <v>15031.25</v>
      </c>
      <c r="D1056" s="680">
        <v>1</v>
      </c>
      <c r="E1056" s="680">
        <v>0.85</v>
      </c>
      <c r="F1056" s="710">
        <f t="shared" ref="F1056:F1057" si="81">+(C1056*D1056)*E1056</f>
        <v>12776.5625</v>
      </c>
      <c r="G1056" s="688"/>
    </row>
    <row r="1057" spans="1:7" ht="13.5" customHeight="1">
      <c r="A1057" s="1984" t="str">
        <f>+'MANO DE OBRA'!$A$65</f>
        <v>Ayudante (Incl. Prestaciones)</v>
      </c>
      <c r="B1057" s="1819"/>
      <c r="C1057" s="747">
        <f>+'MANO DE OBRA'!$E$65</f>
        <v>10972.8125</v>
      </c>
      <c r="D1057" s="614">
        <v>1</v>
      </c>
      <c r="E1057" s="614">
        <f>+E1056</f>
        <v>0.85</v>
      </c>
      <c r="F1057" s="753">
        <f t="shared" si="81"/>
        <v>9326.890625</v>
      </c>
      <c r="G1057" s="435"/>
    </row>
    <row r="1058" spans="1:7" ht="13.5" customHeight="1">
      <c r="A1058" s="2015" t="str">
        <f>+A1053</f>
        <v>SUB-TOTAL</v>
      </c>
      <c r="B1058" s="1601"/>
      <c r="C1058" s="1601"/>
      <c r="D1058" s="1601"/>
      <c r="E1058" s="1601"/>
      <c r="F1058" s="1801"/>
      <c r="G1058" s="769">
        <f>SUM(F1056:F1057)</f>
        <v>22103.453125</v>
      </c>
    </row>
    <row r="1059" spans="1:7" ht="11.25" customHeight="1">
      <c r="A1059" s="618"/>
      <c r="B1059" s="618"/>
      <c r="C1059" s="618"/>
      <c r="D1059" s="618"/>
      <c r="E1059" s="618"/>
      <c r="F1059" s="748"/>
      <c r="G1059" s="618"/>
    </row>
    <row r="1060" spans="1:7" ht="13.5" customHeight="1">
      <c r="A1060" s="2015" t="s">
        <v>1567</v>
      </c>
      <c r="B1060" s="1601"/>
      <c r="C1060" s="1601"/>
      <c r="D1060" s="1601"/>
      <c r="E1060" s="1601"/>
      <c r="F1060" s="1801"/>
      <c r="G1060" s="1029">
        <f>ROUND(G1042+G1048+G1053+G1058,0)</f>
        <v>248607</v>
      </c>
    </row>
    <row r="1061" spans="1:7" ht="13.5" customHeight="1">
      <c r="A1061" s="616"/>
      <c r="B1061" s="616"/>
      <c r="C1061" s="616"/>
      <c r="D1061" s="616"/>
      <c r="E1061" s="616"/>
      <c r="F1061" s="616"/>
      <c r="G1061" s="616"/>
    </row>
    <row r="1062" spans="1:7" ht="13.5" customHeight="1">
      <c r="A1062" s="616"/>
      <c r="B1062" s="616"/>
      <c r="C1062" s="616"/>
      <c r="D1062" s="616"/>
      <c r="E1062" s="616"/>
      <c r="F1062" s="616"/>
      <c r="G1062" s="616"/>
    </row>
    <row r="1063" spans="1:7" ht="27" customHeight="1">
      <c r="A1063" s="2005" t="s">
        <v>1604</v>
      </c>
      <c r="B1063" s="1616"/>
      <c r="C1063" s="1624"/>
      <c r="D1063" s="567"/>
      <c r="E1063" s="567"/>
      <c r="F1063" s="567"/>
      <c r="G1063" s="668"/>
    </row>
    <row r="1064" spans="1:7" ht="24" customHeight="1">
      <c r="A1064" s="2012" t="s">
        <v>2418</v>
      </c>
      <c r="B1064" s="1817"/>
      <c r="C1064" s="1972"/>
      <c r="D1064" s="669"/>
      <c r="E1064" s="669"/>
      <c r="F1064" s="669"/>
      <c r="G1064" s="670"/>
    </row>
    <row r="1065" spans="1:7" ht="13.5" customHeight="1">
      <c r="A1065" s="618"/>
      <c r="B1065" s="618"/>
      <c r="C1065" s="618"/>
      <c r="D1065" s="618"/>
      <c r="E1065" s="618"/>
      <c r="F1065" s="618"/>
      <c r="G1065" s="618"/>
    </row>
    <row r="1066" spans="1:7" ht="35.25" customHeight="1">
      <c r="A1066" s="1991" t="e">
        <v>#REF!</v>
      </c>
      <c r="B1066" s="1601"/>
      <c r="C1066" s="1602"/>
      <c r="D1066" s="1974" t="s">
        <v>2447</v>
      </c>
      <c r="E1066" s="1601"/>
      <c r="F1066" s="1601"/>
      <c r="G1066" s="1602"/>
    </row>
    <row r="1067" spans="1:7" ht="13.5" customHeight="1">
      <c r="A1067" s="620"/>
      <c r="B1067" s="620"/>
      <c r="C1067" s="620"/>
      <c r="D1067" s="620"/>
      <c r="E1067" s="620"/>
      <c r="F1067" s="620"/>
      <c r="G1067" s="620"/>
    </row>
    <row r="1068" spans="1:7" ht="12.75" customHeight="1">
      <c r="A1068" s="572"/>
      <c r="B1068" s="618"/>
      <c r="C1068" s="616"/>
      <c r="D1068" s="421" t="s">
        <v>1553</v>
      </c>
      <c r="E1068" s="422" t="s">
        <v>228</v>
      </c>
      <c r="F1068" s="572"/>
      <c r="G1068" s="572"/>
    </row>
    <row r="1069" spans="1:7" ht="13.5" customHeight="1">
      <c r="A1069" s="621" t="s">
        <v>1555</v>
      </c>
      <c r="B1069" s="618"/>
      <c r="C1069" s="618"/>
      <c r="D1069" s="618"/>
      <c r="E1069" s="618"/>
      <c r="F1069" s="618"/>
      <c r="G1069" s="618"/>
    </row>
    <row r="1070" spans="1:7" ht="13.5" customHeight="1">
      <c r="A1070" s="1975" t="s">
        <v>1556</v>
      </c>
      <c r="B1070" s="1601"/>
      <c r="C1070" s="1801"/>
      <c r="D1070" s="424" t="s">
        <v>208</v>
      </c>
      <c r="E1070" s="424" t="s">
        <v>1558</v>
      </c>
      <c r="F1070" s="424" t="s">
        <v>1559</v>
      </c>
      <c r="G1070" s="425"/>
    </row>
    <row r="1071" spans="1:7" ht="13.5" customHeight="1">
      <c r="A1071" s="1987" t="str">
        <f>+'LISTADO EQUIPOS'!$C$22</f>
        <v>HERRAMIENTA MENOR.</v>
      </c>
      <c r="B1071" s="1811"/>
      <c r="C1071" s="1967"/>
      <c r="D1071" s="675">
        <f>+'LISTADO EQUIPOS'!$E$22/8</f>
        <v>2850</v>
      </c>
      <c r="E1071" s="687">
        <f>+E1087</f>
        <v>0.25</v>
      </c>
      <c r="F1071" s="675">
        <f>+E1071*D1071</f>
        <v>712.5</v>
      </c>
      <c r="G1071" s="688"/>
    </row>
    <row r="1072" spans="1:7" ht="13.5" customHeight="1">
      <c r="A1072" s="1996"/>
      <c r="B1072" s="1807"/>
      <c r="C1072" s="1819"/>
      <c r="D1072" s="434"/>
      <c r="E1072" s="758"/>
      <c r="F1072" s="434"/>
      <c r="G1072" s="435"/>
    </row>
    <row r="1073" spans="1:7" ht="13.5" customHeight="1">
      <c r="A1073" s="2015" t="s">
        <v>1560</v>
      </c>
      <c r="B1073" s="1601"/>
      <c r="C1073" s="1601"/>
      <c r="D1073" s="1601"/>
      <c r="E1073" s="1601"/>
      <c r="F1073" s="1801"/>
      <c r="G1073" s="769">
        <f>SUM(F1071:F1072)</f>
        <v>712.5</v>
      </c>
    </row>
    <row r="1074" spans="1:7" ht="13.5" customHeight="1">
      <c r="A1074" s="621" t="s">
        <v>1561</v>
      </c>
      <c r="B1074" s="618"/>
      <c r="C1074" s="618"/>
      <c r="D1074" s="618"/>
      <c r="E1074" s="618"/>
      <c r="F1074" s="618"/>
      <c r="G1074" s="618"/>
    </row>
    <row r="1075" spans="1:7" ht="13.5" customHeight="1">
      <c r="A1075" s="1975" t="s">
        <v>1556</v>
      </c>
      <c r="B1075" s="1801"/>
      <c r="C1075" s="424" t="s">
        <v>6</v>
      </c>
      <c r="D1075" s="424" t="s">
        <v>1562</v>
      </c>
      <c r="E1075" s="424" t="s">
        <v>7</v>
      </c>
      <c r="F1075" s="424" t="s">
        <v>1559</v>
      </c>
      <c r="G1075" s="425"/>
    </row>
    <row r="1076" spans="1:7" ht="13.5" customHeight="1">
      <c r="A1076" s="1995" t="str">
        <f>+'LISTADO MATERIALES'!$C$131</f>
        <v>ALFACOLOR</v>
      </c>
      <c r="B1076" s="1611"/>
      <c r="C1076" s="444" t="str">
        <f>+'LISTADO MATERIALES'!$D$131</f>
        <v>KG</v>
      </c>
      <c r="D1076" s="464">
        <f>+'LISTADO MATERIALES'!$E$131</f>
        <v>5355</v>
      </c>
      <c r="E1076" s="444">
        <v>0.12</v>
      </c>
      <c r="F1076" s="464">
        <f>+E1076*D1076</f>
        <v>642.6</v>
      </c>
      <c r="G1076" s="751"/>
    </row>
    <row r="1077" spans="1:7" ht="13.5" customHeight="1">
      <c r="A1077" s="1995"/>
      <c r="B1077" s="1611"/>
      <c r="C1077" s="444"/>
      <c r="D1077" s="464"/>
      <c r="E1077" s="444"/>
      <c r="F1077" s="464"/>
      <c r="G1077" s="751"/>
    </row>
    <row r="1078" spans="1:7" ht="13.5" customHeight="1">
      <c r="A1078" s="1995"/>
      <c r="B1078" s="1611"/>
      <c r="C1078" s="444"/>
      <c r="D1078" s="464"/>
      <c r="E1078" s="444"/>
      <c r="F1078" s="464"/>
      <c r="G1078" s="751"/>
    </row>
    <row r="1079" spans="1:7" ht="13.5" customHeight="1">
      <c r="A1079" s="2015" t="s">
        <v>1560</v>
      </c>
      <c r="B1079" s="1601"/>
      <c r="C1079" s="1601"/>
      <c r="D1079" s="1601"/>
      <c r="E1079" s="1601"/>
      <c r="F1079" s="1801"/>
      <c r="G1079" s="769">
        <f>SUM(F1076:F1078)</f>
        <v>642.6</v>
      </c>
    </row>
    <row r="1080" spans="1:7" ht="13.5" customHeight="1">
      <c r="A1080" s="621" t="s">
        <v>1563</v>
      </c>
      <c r="B1080" s="618"/>
      <c r="C1080" s="618"/>
      <c r="D1080" s="618"/>
      <c r="E1080" s="618"/>
      <c r="F1080" s="618"/>
      <c r="G1080" s="618"/>
    </row>
    <row r="1081" spans="1:7" ht="13.5" customHeight="1">
      <c r="A1081" s="1975" t="s">
        <v>1556</v>
      </c>
      <c r="B1081" s="1801"/>
      <c r="C1081" s="424" t="s">
        <v>6</v>
      </c>
      <c r="D1081" s="424" t="s">
        <v>1562</v>
      </c>
      <c r="E1081" s="424" t="s">
        <v>7</v>
      </c>
      <c r="F1081" s="424" t="s">
        <v>1559</v>
      </c>
      <c r="G1081" s="690"/>
    </row>
    <row r="1082" spans="1:7" ht="13.5" customHeight="1">
      <c r="A1082" s="1987" t="str">
        <f>+'LISTADO EQUIPOS'!$C$125</f>
        <v>VOLQUETA (5-6)M3</v>
      </c>
      <c r="B1082" s="1967"/>
      <c r="C1082" s="744" t="str">
        <f>+'LISTADO EQUIPOS'!$D$125</f>
        <v>VJ</v>
      </c>
      <c r="D1082" s="675">
        <f>+'LISTADO EQUIPOS'!$E$125</f>
        <v>90000</v>
      </c>
      <c r="E1082" s="1053">
        <v>0</v>
      </c>
      <c r="F1082" s="464">
        <f>D1082*E1082</f>
        <v>0</v>
      </c>
      <c r="G1082" s="688"/>
    </row>
    <row r="1083" spans="1:7" ht="13.5" customHeight="1">
      <c r="A1083" s="1996"/>
      <c r="B1083" s="1819"/>
      <c r="C1083" s="744"/>
      <c r="D1083" s="434"/>
      <c r="E1083" s="746"/>
      <c r="F1083" s="434"/>
      <c r="G1083" s="768"/>
    </row>
    <row r="1084" spans="1:7" ht="13.5" customHeight="1">
      <c r="A1084" s="2015" t="s">
        <v>1560</v>
      </c>
      <c r="B1084" s="1601"/>
      <c r="C1084" s="1601"/>
      <c r="D1084" s="1601"/>
      <c r="E1084" s="1601"/>
      <c r="F1084" s="1801"/>
      <c r="G1084" s="769">
        <f>SUM(F1083)</f>
        <v>0</v>
      </c>
    </row>
    <row r="1085" spans="1:7" ht="13.5" customHeight="1">
      <c r="A1085" s="621" t="s">
        <v>1564</v>
      </c>
      <c r="B1085" s="618"/>
      <c r="C1085" s="618"/>
      <c r="D1085" s="618"/>
      <c r="E1085" s="618"/>
      <c r="F1085" s="618"/>
      <c r="G1085" s="618"/>
    </row>
    <row r="1086" spans="1:7" ht="13.5" customHeight="1">
      <c r="A1086" s="1975" t="s">
        <v>1565</v>
      </c>
      <c r="B1086" s="1801"/>
      <c r="C1086" s="424" t="s">
        <v>1566</v>
      </c>
      <c r="D1086" s="424" t="s">
        <v>6</v>
      </c>
      <c r="E1086" s="424" t="s">
        <v>7</v>
      </c>
      <c r="F1086" s="424" t="s">
        <v>1559</v>
      </c>
      <c r="G1086" s="693"/>
    </row>
    <row r="1087" spans="1:7" ht="13.5" customHeight="1">
      <c r="A1087" s="2004" t="str">
        <f>+'MANO DE OBRA'!$A$64</f>
        <v>Oficial (Incl. Prestaciones)</v>
      </c>
      <c r="B1087" s="1888"/>
      <c r="C1087" s="679">
        <f>+'MANO DE OBRA'!$E$64</f>
        <v>15031.25</v>
      </c>
      <c r="D1087" s="680">
        <v>1</v>
      </c>
      <c r="E1087" s="680">
        <v>0.25</v>
      </c>
      <c r="F1087" s="710">
        <f t="shared" ref="F1087:F1088" si="82">+(C1087*D1087)*E1087</f>
        <v>3757.8125</v>
      </c>
      <c r="G1087" s="688"/>
    </row>
    <row r="1088" spans="1:7" ht="13.5" customHeight="1">
      <c r="A1088" s="1984" t="str">
        <f>+'MANO DE OBRA'!$A$65</f>
        <v>Ayudante (Incl. Prestaciones)</v>
      </c>
      <c r="B1088" s="1819"/>
      <c r="C1088" s="747">
        <f>+'MANO DE OBRA'!$E$65</f>
        <v>10972.8125</v>
      </c>
      <c r="D1088" s="614">
        <v>1</v>
      </c>
      <c r="E1088" s="614">
        <f>+E1087</f>
        <v>0.25</v>
      </c>
      <c r="F1088" s="753">
        <f t="shared" si="82"/>
        <v>2743.203125</v>
      </c>
      <c r="G1088" s="435"/>
    </row>
    <row r="1089" spans="1:7" ht="13.5" customHeight="1">
      <c r="A1089" s="2015" t="str">
        <f>+A1084</f>
        <v>SUB-TOTAL</v>
      </c>
      <c r="B1089" s="1601"/>
      <c r="C1089" s="1601"/>
      <c r="D1089" s="1601"/>
      <c r="E1089" s="1601"/>
      <c r="F1089" s="1801"/>
      <c r="G1089" s="769">
        <f>SUM(F1087:F1088)</f>
        <v>6501.015625</v>
      </c>
    </row>
    <row r="1090" spans="1:7" ht="11.25" customHeight="1">
      <c r="A1090" s="618"/>
      <c r="B1090" s="618"/>
      <c r="C1090" s="618"/>
      <c r="D1090" s="618"/>
      <c r="E1090" s="618"/>
      <c r="F1090" s="748"/>
      <c r="G1090" s="618"/>
    </row>
    <row r="1091" spans="1:7" ht="13.5" customHeight="1">
      <c r="A1091" s="2015" t="s">
        <v>1567</v>
      </c>
      <c r="B1091" s="1601"/>
      <c r="C1091" s="1601"/>
      <c r="D1091" s="1601"/>
      <c r="E1091" s="1601"/>
      <c r="F1091" s="1801"/>
      <c r="G1091" s="1029">
        <f>ROUND(G1073+G1079+G1084+G1089,0)</f>
        <v>7856</v>
      </c>
    </row>
    <row r="1092" spans="1:7" ht="13.5" customHeight="1">
      <c r="A1092" s="1057"/>
      <c r="B1092" s="1057"/>
      <c r="C1092" s="1057"/>
      <c r="D1092" s="1057"/>
      <c r="E1092" s="1057"/>
      <c r="F1092" s="1057"/>
      <c r="G1092" s="1057"/>
    </row>
    <row r="1093" spans="1:7" ht="13.5" customHeight="1">
      <c r="A1093" s="616"/>
      <c r="B1093" s="616"/>
      <c r="C1093" s="616"/>
      <c r="D1093" s="616"/>
      <c r="E1093" s="616"/>
      <c r="F1093" s="616"/>
      <c r="G1093" s="616"/>
    </row>
    <row r="1094" spans="1:7" ht="22.5" customHeight="1">
      <c r="A1094" s="1994" t="e">
        <f>+'ANALISIS BASICOS'!$A$7</f>
        <v>#REF!</v>
      </c>
      <c r="B1094" s="1616"/>
      <c r="C1094" s="1624"/>
      <c r="D1094" s="1990"/>
      <c r="E1094" s="1616"/>
      <c r="F1094" s="1616"/>
      <c r="G1094" s="1624"/>
    </row>
    <row r="1095" spans="1:7" ht="31.5" customHeight="1">
      <c r="A1095" s="1971"/>
      <c r="B1095" s="1817"/>
      <c r="C1095" s="1972"/>
      <c r="D1095" s="1971"/>
      <c r="E1095" s="1817"/>
      <c r="F1095" s="1817"/>
      <c r="G1095" s="1972"/>
    </row>
    <row r="1096" spans="1:7" ht="13.5" customHeight="1">
      <c r="A1096" s="618"/>
      <c r="B1096" s="618"/>
      <c r="C1096" s="618"/>
      <c r="D1096" s="618"/>
      <c r="E1096" s="618"/>
      <c r="F1096" s="618"/>
      <c r="G1096" s="618"/>
    </row>
    <row r="1097" spans="1:7" ht="44.25" customHeight="1">
      <c r="A1097" s="1991" t="e">
        <f ca="1">A10</f>
        <v>#NAME?</v>
      </c>
      <c r="B1097" s="1601"/>
      <c r="C1097" s="1602"/>
      <c r="D1097" s="1974" t="s">
        <v>2448</v>
      </c>
      <c r="E1097" s="1601"/>
      <c r="F1097" s="1601"/>
      <c r="G1097" s="1602"/>
    </row>
    <row r="1098" spans="1:7" ht="13.5" customHeight="1">
      <c r="A1098" s="620"/>
      <c r="B1098" s="620"/>
      <c r="C1098" s="620"/>
      <c r="D1098" s="620"/>
      <c r="E1098" s="620"/>
      <c r="F1098" s="620"/>
      <c r="G1098" s="620"/>
    </row>
    <row r="1099" spans="1:7" ht="12.75" customHeight="1">
      <c r="A1099" s="572"/>
      <c r="B1099" s="618"/>
      <c r="C1099" s="616"/>
      <c r="D1099" s="421" t="s">
        <v>1553</v>
      </c>
      <c r="E1099" s="422" t="s">
        <v>228</v>
      </c>
      <c r="F1099" s="421" t="s">
        <v>1554</v>
      </c>
      <c r="G1099" s="422" t="s">
        <v>164</v>
      </c>
    </row>
    <row r="1100" spans="1:7" ht="13.5" customHeight="1">
      <c r="A1100" s="621" t="s">
        <v>1555</v>
      </c>
      <c r="B1100" s="618"/>
      <c r="C1100" s="618"/>
      <c r="D1100" s="618"/>
      <c r="E1100" s="618"/>
      <c r="F1100" s="618"/>
      <c r="G1100" s="618"/>
    </row>
    <row r="1101" spans="1:7" ht="13.5" customHeight="1">
      <c r="A1101" s="1975" t="s">
        <v>1556</v>
      </c>
      <c r="B1101" s="1601"/>
      <c r="C1101" s="1801"/>
      <c r="D1101" s="424" t="s">
        <v>208</v>
      </c>
      <c r="E1101" s="424" t="s">
        <v>1558</v>
      </c>
      <c r="F1101" s="424" t="s">
        <v>1559</v>
      </c>
      <c r="G1101" s="425"/>
    </row>
    <row r="1102" spans="1:7" ht="13.5" customHeight="1">
      <c r="A1102" s="1987" t="str">
        <f>+'LISTADO EQUIPOS'!$C$22</f>
        <v>HERRAMIENTA MENOR.</v>
      </c>
      <c r="B1102" s="1811"/>
      <c r="C1102" s="1967"/>
      <c r="D1102" s="675">
        <f>+'LISTADO EQUIPOS'!$E$22/8</f>
        <v>2850</v>
      </c>
      <c r="E1102" s="687">
        <f>+E1121</f>
        <v>0.68452308917197446</v>
      </c>
      <c r="F1102" s="442">
        <f>+E1102*D1102</f>
        <v>1950.8908041401273</v>
      </c>
      <c r="G1102" s="688"/>
    </row>
    <row r="1103" spans="1:7" ht="13.5" customHeight="1">
      <c r="A1103" s="1996"/>
      <c r="B1103" s="1807"/>
      <c r="C1103" s="1819"/>
      <c r="D1103" s="434"/>
      <c r="E1103" s="758"/>
      <c r="F1103" s="434"/>
      <c r="G1103" s="435"/>
    </row>
    <row r="1104" spans="1:7" ht="13.5" customHeight="1">
      <c r="A1104" s="2015" t="s">
        <v>1560</v>
      </c>
      <c r="B1104" s="1601"/>
      <c r="C1104" s="1601"/>
      <c r="D1104" s="1601"/>
      <c r="E1104" s="1601"/>
      <c r="F1104" s="1801"/>
      <c r="G1104" s="462">
        <f>SUM(F1102:F1103)</f>
        <v>1950.8908041401273</v>
      </c>
    </row>
    <row r="1105" spans="1:7" ht="13.5" customHeight="1">
      <c r="A1105" s="621" t="s">
        <v>1561</v>
      </c>
      <c r="B1105" s="618"/>
      <c r="C1105" s="618"/>
      <c r="D1105" s="618"/>
      <c r="E1105" s="618"/>
      <c r="F1105" s="618"/>
      <c r="G1105" s="743"/>
    </row>
    <row r="1106" spans="1:7" ht="13.5" customHeight="1">
      <c r="A1106" s="1975" t="s">
        <v>1556</v>
      </c>
      <c r="B1106" s="1801"/>
      <c r="C1106" s="424" t="s">
        <v>6</v>
      </c>
      <c r="D1106" s="424" t="s">
        <v>1562</v>
      </c>
      <c r="E1106" s="424" t="s">
        <v>7</v>
      </c>
      <c r="F1106" s="424" t="s">
        <v>1559</v>
      </c>
      <c r="G1106" s="673"/>
    </row>
    <row r="1107" spans="1:7" ht="13.5" customHeight="1">
      <c r="A1107" s="1987" t="str">
        <f>+'ANALISIS BASICOS'!$A$260</f>
        <v>MORTERO 1:4 - IMPERMEABILIZADO</v>
      </c>
      <c r="B1107" s="1967"/>
      <c r="C1107" s="674" t="str">
        <f>+'ANALISIS BASICOS'!$E$236</f>
        <v>M3</v>
      </c>
      <c r="D1107" s="675">
        <f>+'ANALISIS BASICOS'!$G$260</f>
        <v>473789</v>
      </c>
      <c r="E1107" s="674">
        <v>0.02</v>
      </c>
      <c r="F1107" s="442">
        <f t="shared" ref="F1107:F1111" si="83">+E1107*D1107</f>
        <v>9475.7800000000007</v>
      </c>
      <c r="G1107" s="676"/>
    </row>
    <row r="1108" spans="1:7" ht="13.5" customHeight="1">
      <c r="A1108" s="1995" t="str">
        <f>+'LISTADO MATERIALES'!$C$140</f>
        <v>CEMENTO BLANCO</v>
      </c>
      <c r="B1108" s="1611"/>
      <c r="C1108" s="444" t="str">
        <f>+'LISTADO MATERIALES'!$D$140</f>
        <v>KG</v>
      </c>
      <c r="D1108" s="464">
        <f>+'LISTADO MATERIALES'!$E$140</f>
        <v>1103</v>
      </c>
      <c r="E1108" s="444">
        <v>0.2</v>
      </c>
      <c r="F1108" s="440">
        <f t="shared" si="83"/>
        <v>220.60000000000002</v>
      </c>
      <c r="G1108" s="707"/>
    </row>
    <row r="1109" spans="1:7" ht="13.5" customHeight="1">
      <c r="A1109" s="1995" t="str">
        <f>+'LISTADO MATERIALES'!$C$349</f>
        <v>TABLETA 20X25, EURO CERÁMICA</v>
      </c>
      <c r="B1109" s="1611"/>
      <c r="C1109" s="444" t="str">
        <f>+'LISTADO MATERIALES'!$D$349</f>
        <v>M2</v>
      </c>
      <c r="D1109" s="464">
        <v>28995.015129675045</v>
      </c>
      <c r="E1109" s="444">
        <v>1.05</v>
      </c>
      <c r="F1109" s="440">
        <f t="shared" si="83"/>
        <v>30444.765886158799</v>
      </c>
      <c r="G1109" s="707"/>
    </row>
    <row r="1110" spans="1:7" ht="13.5" customHeight="1">
      <c r="A1110" s="1995" t="str">
        <f>+'LISTADO MATERIALES'!$C$729</f>
        <v>BLANCO DE ZINC</v>
      </c>
      <c r="B1110" s="1611"/>
      <c r="C1110" s="444" t="str">
        <f>+'LISTADO MATERIALES'!$D$81</f>
        <v>LB</v>
      </c>
      <c r="D1110" s="464">
        <f>+'LISTADO MATERIALES'!$E$81</f>
        <v>8925</v>
      </c>
      <c r="E1110" s="444">
        <v>0.1</v>
      </c>
      <c r="F1110" s="440">
        <f t="shared" si="83"/>
        <v>892.5</v>
      </c>
      <c r="G1110" s="707"/>
    </row>
    <row r="1111" spans="1:7" ht="13.5" customHeight="1">
      <c r="A1111" s="1995" t="str">
        <f>+'LISTADO MATERIALES'!$C$363</f>
        <v>WING ALUMINIO</v>
      </c>
      <c r="B1111" s="1611"/>
      <c r="C1111" s="444" t="str">
        <f>+'LISTADO MATERIALES'!$D$363</f>
        <v>ML</v>
      </c>
      <c r="D1111" s="464">
        <f>+'LISTADO MATERIALES'!$E$363</f>
        <v>1575</v>
      </c>
      <c r="E1111" s="444">
        <v>0.5</v>
      </c>
      <c r="F1111" s="440">
        <f t="shared" si="83"/>
        <v>787.5</v>
      </c>
      <c r="G1111" s="707"/>
    </row>
    <row r="1112" spans="1:7" ht="13.5" customHeight="1">
      <c r="A1112" s="1995"/>
      <c r="B1112" s="1611"/>
      <c r="C1112" s="444"/>
      <c r="D1112" s="464"/>
      <c r="E1112" s="444"/>
      <c r="F1112" s="464"/>
      <c r="G1112" s="707"/>
    </row>
    <row r="1113" spans="1:7" ht="13.5" customHeight="1">
      <c r="A1113" s="2015" t="s">
        <v>1560</v>
      </c>
      <c r="B1113" s="1601"/>
      <c r="C1113" s="1601"/>
      <c r="D1113" s="1601"/>
      <c r="E1113" s="1601"/>
      <c r="F1113" s="1801"/>
      <c r="G1113" s="462">
        <f>SUM(F1107:F1112)</f>
        <v>41821.145886158803</v>
      </c>
    </row>
    <row r="1114" spans="1:7" ht="13.5" customHeight="1">
      <c r="A1114" s="621" t="s">
        <v>1563</v>
      </c>
      <c r="B1114" s="618"/>
      <c r="C1114" s="618"/>
      <c r="D1114" s="618"/>
      <c r="E1114" s="618"/>
      <c r="F1114" s="618"/>
      <c r="G1114" s="743"/>
    </row>
    <row r="1115" spans="1:7" ht="13.5" customHeight="1">
      <c r="A1115" s="1975" t="s">
        <v>1556</v>
      </c>
      <c r="B1115" s="1801"/>
      <c r="C1115" s="424" t="s">
        <v>6</v>
      </c>
      <c r="D1115" s="424" t="s">
        <v>1562</v>
      </c>
      <c r="E1115" s="424" t="s">
        <v>7</v>
      </c>
      <c r="F1115" s="424" t="s">
        <v>1559</v>
      </c>
      <c r="G1115" s="438"/>
    </row>
    <row r="1116" spans="1:7" ht="13.5" customHeight="1">
      <c r="A1116" s="1987"/>
      <c r="B1116" s="1967"/>
      <c r="C1116" s="744"/>
      <c r="D1116" s="675"/>
      <c r="E1116" s="745"/>
      <c r="F1116" s="464"/>
      <c r="G1116" s="676"/>
    </row>
    <row r="1117" spans="1:7" ht="13.5" customHeight="1">
      <c r="A1117" s="1996"/>
      <c r="B1117" s="1819"/>
      <c r="C1117" s="744"/>
      <c r="D1117" s="434"/>
      <c r="E1117" s="746"/>
      <c r="F1117" s="434"/>
      <c r="G1117" s="457"/>
    </row>
    <row r="1118" spans="1:7" ht="13.5" customHeight="1">
      <c r="A1118" s="2015" t="s">
        <v>1560</v>
      </c>
      <c r="B1118" s="1601"/>
      <c r="C1118" s="1601"/>
      <c r="D1118" s="1601"/>
      <c r="E1118" s="1601"/>
      <c r="F1118" s="1801"/>
      <c r="G1118" s="462"/>
    </row>
    <row r="1119" spans="1:7" ht="13.5" customHeight="1">
      <c r="A1119" s="621" t="s">
        <v>1564</v>
      </c>
      <c r="B1119" s="618"/>
      <c r="C1119" s="618"/>
      <c r="D1119" s="618"/>
      <c r="E1119" s="618"/>
      <c r="F1119" s="618"/>
      <c r="G1119" s="743"/>
    </row>
    <row r="1120" spans="1:7" ht="13.5" customHeight="1">
      <c r="A1120" s="1975" t="s">
        <v>1565</v>
      </c>
      <c r="B1120" s="1801"/>
      <c r="C1120" s="424" t="s">
        <v>1566</v>
      </c>
      <c r="D1120" s="424" t="s">
        <v>6</v>
      </c>
      <c r="E1120" s="424" t="s">
        <v>7</v>
      </c>
      <c r="F1120" s="424" t="s">
        <v>1559</v>
      </c>
      <c r="G1120" s="462"/>
    </row>
    <row r="1121" spans="1:7" ht="13.5" customHeight="1">
      <c r="A1121" s="2004" t="str">
        <f>+'MANO DE OBRA'!$A$64</f>
        <v>Oficial (Incl. Prestaciones)</v>
      </c>
      <c r="B1121" s="1888"/>
      <c r="C1121" s="679">
        <f>+'MANO DE OBRA'!$E$64</f>
        <v>15031.25</v>
      </c>
      <c r="D1121" s="680">
        <v>1</v>
      </c>
      <c r="E1121" s="680">
        <v>0.68452308917197446</v>
      </c>
      <c r="F1121" s="694">
        <f t="shared" ref="F1121:F1122" si="84">+(C1121*D1121)*E1121</f>
        <v>10289.23768411624</v>
      </c>
      <c r="G1121" s="676"/>
    </row>
    <row r="1122" spans="1:7" ht="13.5" customHeight="1">
      <c r="A1122" s="1984" t="str">
        <f>+'MANO DE OBRA'!$A$65</f>
        <v>Ayudante (Incl. Prestaciones)</v>
      </c>
      <c r="B1122" s="1819"/>
      <c r="C1122" s="747">
        <f>+'MANO DE OBRA'!$E$65</f>
        <v>10972.8125</v>
      </c>
      <c r="D1122" s="614">
        <v>1</v>
      </c>
      <c r="E1122" s="614">
        <f>+E1121</f>
        <v>0.68452308917197446</v>
      </c>
      <c r="F1122" s="455">
        <f t="shared" si="84"/>
        <v>7511.1435094048556</v>
      </c>
      <c r="G1122" s="709"/>
    </row>
    <row r="1123" spans="1:7" ht="13.5" customHeight="1">
      <c r="A1123" s="2015" t="str">
        <f>+A1118</f>
        <v>SUB-TOTAL</v>
      </c>
      <c r="B1123" s="1601"/>
      <c r="C1123" s="1601"/>
      <c r="D1123" s="1601"/>
      <c r="E1123" s="1601"/>
      <c r="F1123" s="1801"/>
      <c r="G1123" s="462">
        <f>SUM(F1121:F1122)</f>
        <v>17800.381193521098</v>
      </c>
    </row>
    <row r="1124" spans="1:7" ht="11.25" customHeight="1">
      <c r="A1124" s="618"/>
      <c r="B1124" s="618"/>
      <c r="C1124" s="618"/>
      <c r="D1124" s="618"/>
      <c r="E1124" s="618"/>
      <c r="F1124" s="748"/>
      <c r="G1124" s="743"/>
    </row>
    <row r="1125" spans="1:7" ht="13.5" customHeight="1">
      <c r="A1125" s="2015" t="s">
        <v>1567</v>
      </c>
      <c r="B1125" s="1601"/>
      <c r="C1125" s="1601"/>
      <c r="D1125" s="1601"/>
      <c r="E1125" s="1601"/>
      <c r="F1125" s="1801"/>
      <c r="G1125" s="459">
        <f>ROUND(G1104+G1113+G1118+G1123,0)</f>
        <v>61572</v>
      </c>
    </row>
    <row r="1126" spans="1:7" ht="13.5" customHeight="1">
      <c r="A1126" s="616"/>
      <c r="B1126" s="616"/>
      <c r="C1126" s="616"/>
      <c r="D1126" s="616"/>
      <c r="E1126" s="616"/>
      <c r="F1126" s="616"/>
      <c r="G1126" s="616"/>
    </row>
    <row r="1127" spans="1:7" ht="13.5" customHeight="1">
      <c r="A1127" s="616"/>
      <c r="B1127" s="616"/>
      <c r="C1127" s="616"/>
      <c r="D1127" s="616"/>
      <c r="E1127" s="616"/>
      <c r="F1127" s="616"/>
      <c r="G1127" s="616"/>
    </row>
    <row r="1128" spans="1:7" ht="26.25" customHeight="1">
      <c r="A1128" s="1994" t="e">
        <f>+'ANALISIS BASICOS'!$A$7</f>
        <v>#REF!</v>
      </c>
      <c r="B1128" s="1616"/>
      <c r="C1128" s="1624"/>
      <c r="D1128" s="1990"/>
      <c r="E1128" s="1616"/>
      <c r="F1128" s="1616"/>
      <c r="G1128" s="1624"/>
    </row>
    <row r="1129" spans="1:7" ht="29.25" customHeight="1">
      <c r="A1129" s="1971"/>
      <c r="B1129" s="1817"/>
      <c r="C1129" s="1972"/>
      <c r="D1129" s="1971"/>
      <c r="E1129" s="1817"/>
      <c r="F1129" s="1817"/>
      <c r="G1129" s="1972"/>
    </row>
    <row r="1130" spans="1:7" ht="13.5" customHeight="1">
      <c r="A1130" s="618"/>
      <c r="B1130" s="618"/>
      <c r="C1130" s="618"/>
      <c r="D1130" s="618"/>
      <c r="E1130" s="618"/>
      <c r="F1130" s="618"/>
      <c r="G1130" s="618"/>
    </row>
    <row r="1131" spans="1:7" ht="45" customHeight="1">
      <c r="A1131" s="1991" t="e">
        <f ca="1">A10</f>
        <v>#NAME?</v>
      </c>
      <c r="B1131" s="1601"/>
      <c r="C1131" s="1602"/>
      <c r="D1131" s="1974" t="s">
        <v>2449</v>
      </c>
      <c r="E1131" s="1601"/>
      <c r="F1131" s="1601"/>
      <c r="G1131" s="1602"/>
    </row>
    <row r="1132" spans="1:7" ht="13.5" customHeight="1">
      <c r="A1132" s="620"/>
      <c r="B1132" s="620"/>
      <c r="C1132" s="620"/>
      <c r="D1132" s="620"/>
      <c r="E1132" s="620"/>
      <c r="F1132" s="620"/>
      <c r="G1132" s="620"/>
    </row>
    <row r="1133" spans="1:7" ht="12.75" customHeight="1">
      <c r="A1133" s="572"/>
      <c r="B1133" s="618"/>
      <c r="C1133" s="616"/>
      <c r="D1133" s="421" t="s">
        <v>1553</v>
      </c>
      <c r="E1133" s="422" t="s">
        <v>228</v>
      </c>
      <c r="F1133" s="421" t="s">
        <v>1554</v>
      </c>
      <c r="G1133" s="422" t="s">
        <v>157</v>
      </c>
    </row>
    <row r="1134" spans="1:7" ht="13.5" customHeight="1">
      <c r="A1134" s="621" t="s">
        <v>1555</v>
      </c>
      <c r="B1134" s="618"/>
      <c r="C1134" s="618"/>
      <c r="D1134" s="618"/>
      <c r="E1134" s="618"/>
      <c r="F1134" s="618"/>
      <c r="G1134" s="618"/>
    </row>
    <row r="1135" spans="1:7" ht="13.5" customHeight="1">
      <c r="A1135" s="1975" t="s">
        <v>1556</v>
      </c>
      <c r="B1135" s="1601"/>
      <c r="C1135" s="1801"/>
      <c r="D1135" s="424" t="s">
        <v>208</v>
      </c>
      <c r="E1135" s="424" t="s">
        <v>1558</v>
      </c>
      <c r="F1135" s="424" t="s">
        <v>1559</v>
      </c>
      <c r="G1135" s="425"/>
    </row>
    <row r="1136" spans="1:7" ht="13.5" customHeight="1">
      <c r="A1136" s="1987" t="str">
        <f>+'LISTADO EQUIPOS'!$C$22</f>
        <v>HERRAMIENTA MENOR.</v>
      </c>
      <c r="B1136" s="1811"/>
      <c r="C1136" s="1967"/>
      <c r="D1136" s="739" t="s">
        <v>1569</v>
      </c>
      <c r="E1136" s="687"/>
      <c r="F1136" s="442">
        <v>1000</v>
      </c>
      <c r="G1136" s="688"/>
    </row>
    <row r="1137" spans="1:7" ht="13.5" customHeight="1">
      <c r="A1137" s="1996"/>
      <c r="B1137" s="1807"/>
      <c r="C1137" s="1819"/>
      <c r="D1137" s="434"/>
      <c r="E1137" s="758"/>
      <c r="F1137" s="434"/>
      <c r="G1137" s="435"/>
    </row>
    <row r="1138" spans="1:7" ht="13.5" customHeight="1">
      <c r="A1138" s="2015" t="s">
        <v>1560</v>
      </c>
      <c r="B1138" s="1601"/>
      <c r="C1138" s="1601"/>
      <c r="D1138" s="1601"/>
      <c r="E1138" s="1601"/>
      <c r="F1138" s="1801"/>
      <c r="G1138" s="462">
        <f>SUM(F1136:F1137)</f>
        <v>1000</v>
      </c>
    </row>
    <row r="1139" spans="1:7" ht="13.5" customHeight="1">
      <c r="A1139" s="621" t="s">
        <v>1561</v>
      </c>
      <c r="B1139" s="618"/>
      <c r="C1139" s="618"/>
      <c r="D1139" s="618"/>
      <c r="E1139" s="618"/>
      <c r="F1139" s="618"/>
      <c r="G1139" s="743"/>
    </row>
    <row r="1140" spans="1:7" ht="13.5" customHeight="1">
      <c r="A1140" s="1975" t="s">
        <v>1556</v>
      </c>
      <c r="B1140" s="1801"/>
      <c r="C1140" s="424" t="s">
        <v>6</v>
      </c>
      <c r="D1140" s="424" t="s">
        <v>1562</v>
      </c>
      <c r="E1140" s="424" t="s">
        <v>7</v>
      </c>
      <c r="F1140" s="424" t="s">
        <v>1559</v>
      </c>
      <c r="G1140" s="673"/>
    </row>
    <row r="1141" spans="1:7" ht="13.5" customHeight="1">
      <c r="A1141" s="1987" t="str">
        <f>+'ANALISIS BASICOS'!$A$260</f>
        <v>MORTERO 1:4 - IMPERMEABILIZADO</v>
      </c>
      <c r="B1141" s="1967"/>
      <c r="C1141" s="674" t="str">
        <f>+'ANALISIS BASICOS'!$E$236</f>
        <v>M3</v>
      </c>
      <c r="D1141" s="675">
        <f>+'ANALISIS BASICOS'!$G$260</f>
        <v>473789</v>
      </c>
      <c r="E1141" s="674">
        <v>0.02</v>
      </c>
      <c r="F1141" s="442">
        <f t="shared" ref="F1141:F1144" si="85">+E1141*D1141</f>
        <v>9475.7800000000007</v>
      </c>
      <c r="G1141" s="676"/>
    </row>
    <row r="1142" spans="1:7" ht="13.5" customHeight="1">
      <c r="A1142" s="1995" t="str">
        <f>+'LISTADO MATERIALES'!$C$140</f>
        <v>CEMENTO BLANCO</v>
      </c>
      <c r="B1142" s="1611"/>
      <c r="C1142" s="444" t="str">
        <f>+'LISTADO MATERIALES'!$D$140</f>
        <v>KG</v>
      </c>
      <c r="D1142" s="464">
        <f>+'LISTADO MATERIALES'!$E$140</f>
        <v>1103</v>
      </c>
      <c r="E1142" s="444">
        <v>0.2</v>
      </c>
      <c r="F1142" s="440">
        <f t="shared" si="85"/>
        <v>220.60000000000002</v>
      </c>
      <c r="G1142" s="707"/>
    </row>
    <row r="1143" spans="1:7" ht="13.5" customHeight="1">
      <c r="A1143" s="1995" t="str">
        <f>+'LISTADO MATERIALES'!$C$349</f>
        <v>TABLETA 20X25, EURO CERÁMICA</v>
      </c>
      <c r="B1143" s="1611"/>
      <c r="C1143" s="444" t="str">
        <f>+'LISTADO MATERIALES'!$D$349</f>
        <v>M2</v>
      </c>
      <c r="D1143" s="464">
        <v>20574.43258818096</v>
      </c>
      <c r="E1143" s="444">
        <v>1.05</v>
      </c>
      <c r="F1143" s="440">
        <f t="shared" si="85"/>
        <v>21603.15421759001</v>
      </c>
      <c r="G1143" s="707"/>
    </row>
    <row r="1144" spans="1:7" ht="13.5" customHeight="1">
      <c r="A1144" s="1995" t="str">
        <f>+'LISTADO MATERIALES'!$C$729</f>
        <v>BLANCO DE ZINC</v>
      </c>
      <c r="B1144" s="1611"/>
      <c r="C1144" s="444" t="str">
        <f>+'LISTADO MATERIALES'!$D$81</f>
        <v>LB</v>
      </c>
      <c r="D1144" s="464">
        <f>+'LISTADO MATERIALES'!$E$81</f>
        <v>8925</v>
      </c>
      <c r="E1144" s="444">
        <v>0.1</v>
      </c>
      <c r="F1144" s="440">
        <f t="shared" si="85"/>
        <v>892.5</v>
      </c>
      <c r="G1144" s="707"/>
    </row>
    <row r="1145" spans="1:7" ht="13.5" customHeight="1">
      <c r="A1145" s="1995"/>
      <c r="B1145" s="1611"/>
      <c r="C1145" s="444"/>
      <c r="D1145" s="464"/>
      <c r="E1145" s="444"/>
      <c r="F1145" s="464"/>
      <c r="G1145" s="707"/>
    </row>
    <row r="1146" spans="1:7" ht="13.5" customHeight="1">
      <c r="A1146" s="2015" t="s">
        <v>1560</v>
      </c>
      <c r="B1146" s="1601"/>
      <c r="C1146" s="1601"/>
      <c r="D1146" s="1601"/>
      <c r="E1146" s="1601"/>
      <c r="F1146" s="1801"/>
      <c r="G1146" s="462">
        <f>SUM(F1141:F1145)</f>
        <v>32192.034217590011</v>
      </c>
    </row>
    <row r="1147" spans="1:7" ht="13.5" customHeight="1">
      <c r="A1147" s="621" t="s">
        <v>1563</v>
      </c>
      <c r="B1147" s="618"/>
      <c r="C1147" s="618"/>
      <c r="D1147" s="618"/>
      <c r="E1147" s="618"/>
      <c r="F1147" s="618"/>
      <c r="G1147" s="743"/>
    </row>
    <row r="1148" spans="1:7" ht="13.5" customHeight="1">
      <c r="A1148" s="1975" t="s">
        <v>1556</v>
      </c>
      <c r="B1148" s="1801"/>
      <c r="C1148" s="424" t="s">
        <v>6</v>
      </c>
      <c r="D1148" s="424" t="s">
        <v>1562</v>
      </c>
      <c r="E1148" s="424" t="s">
        <v>7</v>
      </c>
      <c r="F1148" s="424" t="s">
        <v>1559</v>
      </c>
      <c r="G1148" s="438"/>
    </row>
    <row r="1149" spans="1:7" ht="13.5" customHeight="1">
      <c r="A1149" s="1987"/>
      <c r="B1149" s="1967"/>
      <c r="C1149" s="744"/>
      <c r="D1149" s="675"/>
      <c r="E1149" s="745"/>
      <c r="F1149" s="464"/>
      <c r="G1149" s="676"/>
    </row>
    <row r="1150" spans="1:7" ht="13.5" customHeight="1">
      <c r="A1150" s="1996"/>
      <c r="B1150" s="1819"/>
      <c r="C1150" s="744"/>
      <c r="D1150" s="434"/>
      <c r="E1150" s="746"/>
      <c r="F1150" s="434"/>
      <c r="G1150" s="457"/>
    </row>
    <row r="1151" spans="1:7" ht="13.5" customHeight="1">
      <c r="A1151" s="2015" t="s">
        <v>1560</v>
      </c>
      <c r="B1151" s="1601"/>
      <c r="C1151" s="1601"/>
      <c r="D1151" s="1601"/>
      <c r="E1151" s="1601"/>
      <c r="F1151" s="1801"/>
      <c r="G1151" s="462"/>
    </row>
    <row r="1152" spans="1:7" ht="13.5" customHeight="1">
      <c r="A1152" s="621" t="s">
        <v>1564</v>
      </c>
      <c r="B1152" s="618"/>
      <c r="C1152" s="618"/>
      <c r="D1152" s="618"/>
      <c r="E1152" s="618"/>
      <c r="F1152" s="618"/>
      <c r="G1152" s="743"/>
    </row>
    <row r="1153" spans="1:7" ht="13.5" customHeight="1">
      <c r="A1153" s="1975" t="s">
        <v>1565</v>
      </c>
      <c r="B1153" s="1801"/>
      <c r="C1153" s="424" t="s">
        <v>1566</v>
      </c>
      <c r="D1153" s="424" t="s">
        <v>6</v>
      </c>
      <c r="E1153" s="424" t="s">
        <v>7</v>
      </c>
      <c r="F1153" s="424" t="s">
        <v>1559</v>
      </c>
      <c r="G1153" s="462"/>
    </row>
    <row r="1154" spans="1:7" ht="13.5" customHeight="1">
      <c r="A1154" s="2004" t="str">
        <f>+'MANO DE OBRA'!$A$64</f>
        <v>Oficial (Incl. Prestaciones)</v>
      </c>
      <c r="B1154" s="1888"/>
      <c r="C1154" s="679">
        <f>+'MANO DE OBRA'!$E$64</f>
        <v>15031.25</v>
      </c>
      <c r="D1154" s="680">
        <v>1</v>
      </c>
      <c r="E1154" s="680">
        <v>1.0022727272727272</v>
      </c>
      <c r="F1154" s="454">
        <f t="shared" ref="F1154:F1155" si="86">+(C1154*D1154)/E1154</f>
        <v>14997.165532879819</v>
      </c>
      <c r="G1154" s="676"/>
    </row>
    <row r="1155" spans="1:7" ht="13.5" customHeight="1">
      <c r="A1155" s="1984" t="str">
        <f>+'MANO DE OBRA'!$A$65</f>
        <v>Ayudante (Incl. Prestaciones)</v>
      </c>
      <c r="B1155" s="1819"/>
      <c r="C1155" s="747">
        <f>+'MANO DE OBRA'!$E$65</f>
        <v>10972.8125</v>
      </c>
      <c r="D1155" s="614">
        <v>1</v>
      </c>
      <c r="E1155" s="614">
        <f>+E1154</f>
        <v>1.0022727272727272</v>
      </c>
      <c r="F1155" s="455">
        <f t="shared" si="86"/>
        <v>10947.930839002269</v>
      </c>
      <c r="G1155" s="709"/>
    </row>
    <row r="1156" spans="1:7" ht="13.5" customHeight="1">
      <c r="A1156" s="2015" t="str">
        <f>+A1151</f>
        <v>SUB-TOTAL</v>
      </c>
      <c r="B1156" s="1601"/>
      <c r="C1156" s="1601"/>
      <c r="D1156" s="1601"/>
      <c r="E1156" s="1601"/>
      <c r="F1156" s="1801"/>
      <c r="G1156" s="462">
        <f>SUM(F1154:F1155)</f>
        <v>25945.096371882086</v>
      </c>
    </row>
    <row r="1157" spans="1:7" ht="11.25" customHeight="1">
      <c r="A1157" s="618"/>
      <c r="B1157" s="618"/>
      <c r="C1157" s="618"/>
      <c r="D1157" s="618"/>
      <c r="E1157" s="618"/>
      <c r="F1157" s="748"/>
      <c r="G1157" s="743"/>
    </row>
    <row r="1158" spans="1:7" ht="13.5" customHeight="1">
      <c r="A1158" s="2015" t="s">
        <v>1567</v>
      </c>
      <c r="B1158" s="1601"/>
      <c r="C1158" s="1601"/>
      <c r="D1158" s="1601"/>
      <c r="E1158" s="1601"/>
      <c r="F1158" s="1801"/>
      <c r="G1158" s="459">
        <f>ROUND(G1138+G1146+G1151+G1156,0)</f>
        <v>59137</v>
      </c>
    </row>
    <row r="1159" spans="1:7" ht="13.5" customHeight="1">
      <c r="A1159" s="616"/>
      <c r="B1159" s="616"/>
      <c r="C1159" s="616"/>
      <c r="D1159" s="616"/>
      <c r="E1159" s="616"/>
      <c r="F1159" s="616"/>
      <c r="G1159" s="616"/>
    </row>
    <row r="1160" spans="1:7" ht="27" customHeight="1">
      <c r="A1160" s="1994" t="e">
        <f>+'ANALISIS BASICOS'!$A$7</f>
        <v>#REF!</v>
      </c>
      <c r="B1160" s="1616"/>
      <c r="C1160" s="1624"/>
      <c r="D1160" s="567"/>
      <c r="E1160" s="567"/>
      <c r="F1160" s="567"/>
      <c r="G1160" s="668"/>
    </row>
    <row r="1161" spans="1:7" ht="24" customHeight="1">
      <c r="A1161" s="1971"/>
      <c r="B1161" s="1817"/>
      <c r="C1161" s="1972"/>
      <c r="D1161" s="669"/>
      <c r="E1161" s="669"/>
      <c r="F1161" s="669"/>
      <c r="G1161" s="670"/>
    </row>
    <row r="1162" spans="1:7" ht="13.5" customHeight="1">
      <c r="A1162" s="618"/>
      <c r="B1162" s="618"/>
      <c r="C1162" s="618"/>
      <c r="D1162" s="618"/>
      <c r="E1162" s="618"/>
      <c r="F1162" s="618"/>
      <c r="G1162" s="618"/>
    </row>
    <row r="1163" spans="1:7" ht="41.25" customHeight="1">
      <c r="A1163" s="1991" t="e">
        <f ca="1">A10</f>
        <v>#NAME?</v>
      </c>
      <c r="B1163" s="1601"/>
      <c r="C1163" s="1602"/>
      <c r="D1163" s="1974" t="s">
        <v>2450</v>
      </c>
      <c r="E1163" s="1601"/>
      <c r="F1163" s="1601"/>
      <c r="G1163" s="1602"/>
    </row>
    <row r="1164" spans="1:7" ht="13.5" customHeight="1">
      <c r="A1164" s="620"/>
      <c r="B1164" s="620"/>
      <c r="C1164" s="620"/>
      <c r="D1164" s="620"/>
      <c r="E1164" s="620"/>
      <c r="F1164" s="620"/>
      <c r="G1164" s="620"/>
    </row>
    <row r="1165" spans="1:7" ht="12.75" customHeight="1">
      <c r="A1165" s="572"/>
      <c r="B1165" s="618"/>
      <c r="C1165" s="616"/>
      <c r="D1165" s="421" t="s">
        <v>1553</v>
      </c>
      <c r="E1165" s="422" t="s">
        <v>120</v>
      </c>
      <c r="F1165" s="421" t="s">
        <v>1554</v>
      </c>
      <c r="G1165" s="422" t="s">
        <v>507</v>
      </c>
    </row>
    <row r="1166" spans="1:7" ht="13.5" customHeight="1">
      <c r="A1166" s="621" t="s">
        <v>1555</v>
      </c>
      <c r="B1166" s="618"/>
      <c r="C1166" s="618"/>
      <c r="D1166" s="618"/>
      <c r="E1166" s="618"/>
      <c r="F1166" s="618"/>
      <c r="G1166" s="618"/>
    </row>
    <row r="1167" spans="1:7" ht="13.5" customHeight="1">
      <c r="A1167" s="1975" t="s">
        <v>1556</v>
      </c>
      <c r="B1167" s="1601"/>
      <c r="C1167" s="1801"/>
      <c r="D1167" s="424" t="s">
        <v>208</v>
      </c>
      <c r="E1167" s="424" t="s">
        <v>1558</v>
      </c>
      <c r="F1167" s="424" t="s">
        <v>1559</v>
      </c>
      <c r="G1167" s="425"/>
    </row>
    <row r="1168" spans="1:7" ht="13.5" customHeight="1">
      <c r="A1168" s="1987" t="str">
        <f>+'LISTADO EQUIPOS'!$C$22</f>
        <v>HERRAMIENTA MENOR.</v>
      </c>
      <c r="B1168" s="1811"/>
      <c r="C1168" s="1967"/>
      <c r="D1168" s="675">
        <f>+'LISTADO EQUIPOS'!$E$22/8</f>
        <v>2850</v>
      </c>
      <c r="E1168" s="687">
        <f>+E1186</f>
        <v>0.42671604782919847</v>
      </c>
      <c r="F1168" s="442">
        <f t="shared" ref="F1168:F1169" si="87">+E1168*D1168</f>
        <v>1216.1407363132157</v>
      </c>
      <c r="G1168" s="688"/>
    </row>
    <row r="1169" spans="1:7" ht="13.5" customHeight="1">
      <c r="A1169" s="1982" t="str">
        <f>+'ANALISIS BASICOS'!$A$360</f>
        <v>FORMALETA EN MADERA</v>
      </c>
      <c r="B1169" s="1807"/>
      <c r="C1169" s="1819"/>
      <c r="D1169" s="451">
        <f>+'ANALISIS BASICOS'!$G$360</f>
        <v>41998</v>
      </c>
      <c r="E1169" s="671">
        <f>0.15*0.1</f>
        <v>1.4999999999999999E-2</v>
      </c>
      <c r="F1169" s="698">
        <f t="shared" si="87"/>
        <v>629.97</v>
      </c>
      <c r="G1169" s="435"/>
    </row>
    <row r="1170" spans="1:7" ht="13.5" customHeight="1">
      <c r="A1170" s="2015" t="s">
        <v>1560</v>
      </c>
      <c r="B1170" s="1601"/>
      <c r="C1170" s="1601"/>
      <c r="D1170" s="1601"/>
      <c r="E1170" s="1601"/>
      <c r="F1170" s="1801"/>
      <c r="G1170" s="462">
        <f>SUM(F1168:F1169)</f>
        <v>1846.1107363132157</v>
      </c>
    </row>
    <row r="1171" spans="1:7" ht="13.5" customHeight="1">
      <c r="A1171" s="621" t="s">
        <v>1561</v>
      </c>
      <c r="B1171" s="618"/>
      <c r="C1171" s="618"/>
      <c r="D1171" s="618"/>
      <c r="E1171" s="618"/>
      <c r="F1171" s="618"/>
      <c r="G1171" s="743"/>
    </row>
    <row r="1172" spans="1:7" ht="13.5" customHeight="1">
      <c r="A1172" s="1975" t="s">
        <v>1556</v>
      </c>
      <c r="B1172" s="1801"/>
      <c r="C1172" s="424" t="s">
        <v>6</v>
      </c>
      <c r="D1172" s="424" t="s">
        <v>1562</v>
      </c>
      <c r="E1172" s="424" t="s">
        <v>7</v>
      </c>
      <c r="F1172" s="424" t="s">
        <v>1559</v>
      </c>
      <c r="G1172" s="673"/>
    </row>
    <row r="1173" spans="1:7" ht="25.5" customHeight="1">
      <c r="A1173" s="1987" t="str">
        <f>+'ANALISIS BASICOS'!$A$36</f>
        <v xml:space="preserve">CONCRETO NORMAL - 3000 PSI (210 KG/CM2) </v>
      </c>
      <c r="B1173" s="1967"/>
      <c r="C1173" s="674" t="str">
        <f>+'ANALISIS BASICOS'!$E$140</f>
        <v>M3</v>
      </c>
      <c r="D1173" s="675">
        <f>+'ANALISIS BASICOS'!$G$164</f>
        <v>434608</v>
      </c>
      <c r="E1173" s="674">
        <f>0.15*0.1*1.2*2</f>
        <v>3.5999999999999997E-2</v>
      </c>
      <c r="F1173" s="442">
        <f>+E1173*D1173</f>
        <v>15645.887999999999</v>
      </c>
      <c r="G1173" s="676"/>
    </row>
    <row r="1174" spans="1:7" ht="13.5" customHeight="1">
      <c r="A1174" s="1995"/>
      <c r="B1174" s="1611"/>
      <c r="C1174" s="444"/>
      <c r="D1174" s="464"/>
      <c r="E1174" s="444"/>
      <c r="F1174" s="464"/>
      <c r="G1174" s="707"/>
    </row>
    <row r="1175" spans="1:7" ht="13.5" customHeight="1">
      <c r="A1175" s="1995"/>
      <c r="B1175" s="1611"/>
      <c r="C1175" s="444"/>
      <c r="D1175" s="464"/>
      <c r="E1175" s="444"/>
      <c r="F1175" s="464"/>
      <c r="G1175" s="707"/>
    </row>
    <row r="1176" spans="1:7" ht="13.5" customHeight="1">
      <c r="A1176" s="1995"/>
      <c r="B1176" s="1611"/>
      <c r="C1176" s="444"/>
      <c r="D1176" s="464"/>
      <c r="E1176" s="444"/>
      <c r="F1176" s="464"/>
      <c r="G1176" s="707"/>
    </row>
    <row r="1177" spans="1:7" ht="13.5" customHeight="1">
      <c r="A1177" s="1995"/>
      <c r="B1177" s="1611"/>
      <c r="C1177" s="444"/>
      <c r="D1177" s="464"/>
      <c r="E1177" s="444"/>
      <c r="F1177" s="464"/>
      <c r="G1177" s="707"/>
    </row>
    <row r="1178" spans="1:7" ht="13.5" customHeight="1">
      <c r="A1178" s="2015" t="s">
        <v>1560</v>
      </c>
      <c r="B1178" s="1601"/>
      <c r="C1178" s="1601"/>
      <c r="D1178" s="1601"/>
      <c r="E1178" s="1601"/>
      <c r="F1178" s="1801"/>
      <c r="G1178" s="462">
        <f>SUM(F1173:F1177)</f>
        <v>15645.887999999999</v>
      </c>
    </row>
    <row r="1179" spans="1:7" ht="13.5" customHeight="1">
      <c r="A1179" s="621" t="s">
        <v>1563</v>
      </c>
      <c r="B1179" s="618"/>
      <c r="C1179" s="618"/>
      <c r="D1179" s="618"/>
      <c r="E1179" s="618"/>
      <c r="F1179" s="618"/>
      <c r="G1179" s="743"/>
    </row>
    <row r="1180" spans="1:7" ht="13.5" customHeight="1">
      <c r="A1180" s="1975" t="s">
        <v>1556</v>
      </c>
      <c r="B1180" s="1801"/>
      <c r="C1180" s="424" t="s">
        <v>6</v>
      </c>
      <c r="D1180" s="424" t="s">
        <v>1562</v>
      </c>
      <c r="E1180" s="424" t="s">
        <v>7</v>
      </c>
      <c r="F1180" s="424" t="s">
        <v>1559</v>
      </c>
      <c r="G1180" s="438"/>
    </row>
    <row r="1181" spans="1:7" ht="13.5" customHeight="1">
      <c r="A1181" s="1987"/>
      <c r="B1181" s="1967"/>
      <c r="C1181" s="744"/>
      <c r="D1181" s="675"/>
      <c r="E1181" s="745"/>
      <c r="F1181" s="464"/>
      <c r="G1181" s="676"/>
    </row>
    <row r="1182" spans="1:7" ht="13.5" customHeight="1">
      <c r="A1182" s="1996"/>
      <c r="B1182" s="1819"/>
      <c r="C1182" s="744"/>
      <c r="D1182" s="434"/>
      <c r="E1182" s="746"/>
      <c r="F1182" s="434"/>
      <c r="G1182" s="457"/>
    </row>
    <row r="1183" spans="1:7" ht="13.5" customHeight="1">
      <c r="A1183" s="2015" t="s">
        <v>1560</v>
      </c>
      <c r="B1183" s="1601"/>
      <c r="C1183" s="1601"/>
      <c r="D1183" s="1601"/>
      <c r="E1183" s="1601"/>
      <c r="F1183" s="1801"/>
      <c r="G1183" s="462"/>
    </row>
    <row r="1184" spans="1:7" ht="13.5" customHeight="1">
      <c r="A1184" s="621" t="s">
        <v>1564</v>
      </c>
      <c r="B1184" s="618"/>
      <c r="C1184" s="618"/>
      <c r="D1184" s="618"/>
      <c r="E1184" s="618"/>
      <c r="F1184" s="618"/>
      <c r="G1184" s="743"/>
    </row>
    <row r="1185" spans="1:7" ht="13.5" customHeight="1">
      <c r="A1185" s="1975" t="s">
        <v>1565</v>
      </c>
      <c r="B1185" s="1801"/>
      <c r="C1185" s="424" t="s">
        <v>1566</v>
      </c>
      <c r="D1185" s="424" t="s">
        <v>6</v>
      </c>
      <c r="E1185" s="424" t="s">
        <v>7</v>
      </c>
      <c r="F1185" s="424" t="s">
        <v>1559</v>
      </c>
      <c r="G1185" s="462"/>
    </row>
    <row r="1186" spans="1:7" ht="13.5" customHeight="1">
      <c r="A1186" s="2004" t="str">
        <f>+'MANO DE OBRA'!$A$64</f>
        <v>Oficial (Incl. Prestaciones)</v>
      </c>
      <c r="B1186" s="1888"/>
      <c r="C1186" s="679">
        <f>+'MANO DE OBRA'!$E$64</f>
        <v>15031.25</v>
      </c>
      <c r="D1186" s="680">
        <v>1</v>
      </c>
      <c r="E1186" s="680">
        <v>0.42671604782919847</v>
      </c>
      <c r="F1186" s="694">
        <f t="shared" ref="F1186:F1187" si="88">+(C1186*D1186)*E1186</f>
        <v>6414.07559393264</v>
      </c>
      <c r="G1186" s="676"/>
    </row>
    <row r="1187" spans="1:7" ht="13.5" customHeight="1">
      <c r="A1187" s="1984" t="str">
        <f>+'MANO DE OBRA'!$A$65</f>
        <v>Ayudante (Incl. Prestaciones)</v>
      </c>
      <c r="B1187" s="1819"/>
      <c r="C1187" s="747">
        <f>+'MANO DE OBRA'!$E$65</f>
        <v>10972.8125</v>
      </c>
      <c r="D1187" s="614">
        <v>1</v>
      </c>
      <c r="E1187" s="614">
        <f>+E1186</f>
        <v>0.42671604782919847</v>
      </c>
      <c r="F1187" s="455">
        <f t="shared" si="88"/>
        <v>4682.2751835708268</v>
      </c>
      <c r="G1187" s="709"/>
    </row>
    <row r="1188" spans="1:7" ht="13.5" customHeight="1">
      <c r="A1188" s="2015" t="str">
        <f>+A1183</f>
        <v>SUB-TOTAL</v>
      </c>
      <c r="B1188" s="1601"/>
      <c r="C1188" s="1601"/>
      <c r="D1188" s="1601"/>
      <c r="E1188" s="1601"/>
      <c r="F1188" s="1801"/>
      <c r="G1188" s="462">
        <f>SUM(F1186:F1187)</f>
        <v>11096.350777503467</v>
      </c>
    </row>
    <row r="1189" spans="1:7" ht="11.25" customHeight="1">
      <c r="A1189" s="618"/>
      <c r="B1189" s="618"/>
      <c r="C1189" s="618"/>
      <c r="D1189" s="618"/>
      <c r="E1189" s="618"/>
      <c r="F1189" s="748"/>
      <c r="G1189" s="743"/>
    </row>
    <row r="1190" spans="1:7" ht="13.5" customHeight="1">
      <c r="A1190" s="2015" t="s">
        <v>1567</v>
      </c>
      <c r="B1190" s="1601"/>
      <c r="C1190" s="1601"/>
      <c r="D1190" s="1601"/>
      <c r="E1190" s="1601"/>
      <c r="F1190" s="1801"/>
      <c r="G1190" s="459">
        <f>ROUND(G1170+G1178+G1183+G1188,0)</f>
        <v>28588</v>
      </c>
    </row>
    <row r="1191" spans="1:7" ht="13.5" customHeight="1">
      <c r="A1191" s="616"/>
      <c r="B1191" s="616"/>
      <c r="C1191" s="616"/>
      <c r="D1191" s="616"/>
      <c r="E1191" s="616"/>
      <c r="F1191" s="616"/>
      <c r="G1191" s="616"/>
    </row>
    <row r="1192" spans="1:7" ht="27" customHeight="1">
      <c r="A1192" s="1994" t="e">
        <f>+'ANALISIS BASICOS'!$A$7</f>
        <v>#REF!</v>
      </c>
      <c r="B1192" s="1616"/>
      <c r="C1192" s="1624"/>
      <c r="D1192" s="567"/>
      <c r="E1192" s="567"/>
      <c r="F1192" s="567"/>
      <c r="G1192" s="668"/>
    </row>
    <row r="1193" spans="1:7" ht="24" customHeight="1">
      <c r="A1193" s="1971"/>
      <c r="B1193" s="1817"/>
      <c r="C1193" s="1972"/>
      <c r="D1193" s="669"/>
      <c r="E1193" s="669"/>
      <c r="F1193" s="669"/>
      <c r="G1193" s="670"/>
    </row>
    <row r="1194" spans="1:7" ht="13.5" customHeight="1">
      <c r="A1194" s="618"/>
      <c r="B1194" s="618"/>
      <c r="C1194" s="618"/>
      <c r="D1194" s="618"/>
      <c r="E1194" s="618"/>
      <c r="F1194" s="618"/>
      <c r="G1194" s="618"/>
    </row>
    <row r="1195" spans="1:7" ht="57" customHeight="1">
      <c r="A1195" s="1991" t="e">
        <f ca="1">$A$10</f>
        <v>#NAME?</v>
      </c>
      <c r="B1195" s="1601"/>
      <c r="C1195" s="1602"/>
      <c r="D1195" s="1974" t="s">
        <v>2451</v>
      </c>
      <c r="E1195" s="1601"/>
      <c r="F1195" s="1601"/>
      <c r="G1195" s="1602"/>
    </row>
    <row r="1196" spans="1:7" ht="13.5" customHeight="1">
      <c r="A1196" s="620"/>
      <c r="B1196" s="620"/>
      <c r="C1196" s="620"/>
      <c r="D1196" s="620"/>
      <c r="E1196" s="620"/>
      <c r="F1196" s="620"/>
      <c r="G1196" s="620"/>
    </row>
    <row r="1197" spans="1:7" ht="12.75" customHeight="1">
      <c r="A1197" s="572"/>
      <c r="B1197" s="618"/>
      <c r="C1197" s="616"/>
      <c r="D1197" s="421" t="s">
        <v>1553</v>
      </c>
      <c r="E1197" s="422" t="s">
        <v>120</v>
      </c>
      <c r="F1197" s="421" t="s">
        <v>1554</v>
      </c>
      <c r="G1197" s="422" t="s">
        <v>509</v>
      </c>
    </row>
    <row r="1198" spans="1:7" ht="13.5" customHeight="1">
      <c r="A1198" s="621" t="s">
        <v>1555</v>
      </c>
      <c r="B1198" s="618"/>
      <c r="C1198" s="618"/>
      <c r="D1198" s="618"/>
      <c r="E1198" s="618"/>
      <c r="F1198" s="618"/>
      <c r="G1198" s="618"/>
    </row>
    <row r="1199" spans="1:7" ht="13.5" customHeight="1">
      <c r="A1199" s="1975" t="s">
        <v>1556</v>
      </c>
      <c r="B1199" s="1601"/>
      <c r="C1199" s="1801"/>
      <c r="D1199" s="424" t="s">
        <v>208</v>
      </c>
      <c r="E1199" s="424" t="s">
        <v>1558</v>
      </c>
      <c r="F1199" s="424" t="s">
        <v>1559</v>
      </c>
      <c r="G1199" s="425"/>
    </row>
    <row r="1200" spans="1:7" ht="13.5" customHeight="1">
      <c r="A1200" s="1987" t="str">
        <f>+'LISTADO EQUIPOS'!$C$22</f>
        <v>HERRAMIENTA MENOR.</v>
      </c>
      <c r="B1200" s="1811"/>
      <c r="C1200" s="1967"/>
      <c r="D1200" s="675">
        <f>+'LISTADO EQUIPOS'!$E$22/8</f>
        <v>2850</v>
      </c>
      <c r="E1200" s="687">
        <f>+E1218</f>
        <v>0.23582072948328273</v>
      </c>
      <c r="F1200" s="442">
        <f>+E1200*D1200</f>
        <v>672.08907902735575</v>
      </c>
      <c r="G1200" s="688"/>
    </row>
    <row r="1201" spans="1:7" ht="13.5" customHeight="1">
      <c r="A1201" s="1996"/>
      <c r="B1201" s="1807"/>
      <c r="C1201" s="1819"/>
      <c r="D1201" s="434"/>
      <c r="E1201" s="758"/>
      <c r="F1201" s="434"/>
      <c r="G1201" s="435"/>
    </row>
    <row r="1202" spans="1:7" ht="13.5" customHeight="1">
      <c r="A1202" s="2015" t="s">
        <v>1560</v>
      </c>
      <c r="B1202" s="1601"/>
      <c r="C1202" s="1601"/>
      <c r="D1202" s="1601"/>
      <c r="E1202" s="1601"/>
      <c r="F1202" s="1801"/>
      <c r="G1202" s="462">
        <f>SUM(F1200:F1201)</f>
        <v>672.08907902735575</v>
      </c>
    </row>
    <row r="1203" spans="1:7" ht="13.5" customHeight="1">
      <c r="A1203" s="621" t="s">
        <v>1561</v>
      </c>
      <c r="B1203" s="618"/>
      <c r="C1203" s="618"/>
      <c r="D1203" s="618"/>
      <c r="E1203" s="618"/>
      <c r="F1203" s="618"/>
      <c r="G1203" s="618"/>
    </row>
    <row r="1204" spans="1:7" ht="13.5" customHeight="1">
      <c r="A1204" s="1975" t="s">
        <v>1556</v>
      </c>
      <c r="B1204" s="1801"/>
      <c r="C1204" s="424" t="s">
        <v>6</v>
      </c>
      <c r="D1204" s="424" t="s">
        <v>1562</v>
      </c>
      <c r="E1204" s="424" t="s">
        <v>7</v>
      </c>
      <c r="F1204" s="424" t="s">
        <v>1559</v>
      </c>
      <c r="G1204" s="425"/>
    </row>
    <row r="1205" spans="1:7" ht="22.5" customHeight="1">
      <c r="A1205" s="1987" t="str">
        <f>+'LISTADO MATERIALES'!C348</f>
        <v>SARDINEL PREFABRICADO CONCRETO. 3500 16X45</v>
      </c>
      <c r="B1205" s="1967"/>
      <c r="C1205" s="674" t="s">
        <v>127</v>
      </c>
      <c r="D1205" s="675">
        <f>+'LISTADO MATERIALES'!E348</f>
        <v>17500</v>
      </c>
      <c r="E1205" s="674">
        <v>1.03</v>
      </c>
      <c r="F1205" s="442">
        <f t="shared" ref="F1205:F1207" si="89">+E1205*D1205</f>
        <v>18025</v>
      </c>
      <c r="G1205" s="688"/>
    </row>
    <row r="1206" spans="1:7" ht="13.5" customHeight="1">
      <c r="A1206" s="1995" t="str">
        <f>+'ANALISIS BASICOS'!$A$391</f>
        <v>MORTERO 1:6</v>
      </c>
      <c r="B1206" s="1611"/>
      <c r="C1206" s="444" t="str">
        <f>+'ANALISIS BASICOS'!$E$368</f>
        <v>M3</v>
      </c>
      <c r="D1206" s="464">
        <f>+'ANALISIS BASICOS'!$G$391</f>
        <v>323611</v>
      </c>
      <c r="E1206" s="444">
        <v>0.04</v>
      </c>
      <c r="F1206" s="440">
        <f t="shared" si="89"/>
        <v>12944.44</v>
      </c>
      <c r="G1206" s="751"/>
    </row>
    <row r="1207" spans="1:7" ht="13.5" customHeight="1">
      <c r="A1207" s="1995" t="str">
        <f>+'LISTADO MATERIALES'!$C$129</f>
        <v>ARENA</v>
      </c>
      <c r="B1207" s="1611"/>
      <c r="C1207" s="444" t="str">
        <f>+'LISTADO MATERIALES'!$D$129</f>
        <v>M3</v>
      </c>
      <c r="D1207" s="464">
        <f>+'LISTADO MATERIALES'!$E$129</f>
        <v>59450</v>
      </c>
      <c r="E1207" s="444">
        <v>0.03</v>
      </c>
      <c r="F1207" s="440">
        <f t="shared" si="89"/>
        <v>1783.5</v>
      </c>
      <c r="G1207" s="751"/>
    </row>
    <row r="1208" spans="1:7" ht="13.5" customHeight="1">
      <c r="A1208" s="1995"/>
      <c r="B1208" s="1611"/>
      <c r="C1208" s="444"/>
      <c r="D1208" s="464"/>
      <c r="E1208" s="444"/>
      <c r="F1208" s="464"/>
      <c r="G1208" s="751"/>
    </row>
    <row r="1209" spans="1:7" ht="13.5" customHeight="1">
      <c r="A1209" s="1995"/>
      <c r="B1209" s="1611"/>
      <c r="C1209" s="444"/>
      <c r="D1209" s="464"/>
      <c r="E1209" s="444"/>
      <c r="F1209" s="464"/>
      <c r="G1209" s="751"/>
    </row>
    <row r="1210" spans="1:7" ht="13.5" customHeight="1">
      <c r="A1210" s="2015" t="s">
        <v>1560</v>
      </c>
      <c r="B1210" s="1601"/>
      <c r="C1210" s="1601"/>
      <c r="D1210" s="1601"/>
      <c r="E1210" s="1601"/>
      <c r="F1210" s="1801"/>
      <c r="G1210" s="462">
        <f>SUM(F1205:F1209)</f>
        <v>32752.940000000002</v>
      </c>
    </row>
    <row r="1211" spans="1:7" ht="13.5" customHeight="1">
      <c r="A1211" s="621" t="s">
        <v>1563</v>
      </c>
      <c r="B1211" s="618"/>
      <c r="C1211" s="618"/>
      <c r="D1211" s="618"/>
      <c r="E1211" s="618"/>
      <c r="F1211" s="618"/>
      <c r="G1211" s="743"/>
    </row>
    <row r="1212" spans="1:7" ht="13.5" customHeight="1">
      <c r="A1212" s="1975" t="s">
        <v>1556</v>
      </c>
      <c r="B1212" s="1801"/>
      <c r="C1212" s="424" t="s">
        <v>6</v>
      </c>
      <c r="D1212" s="424" t="s">
        <v>1562</v>
      </c>
      <c r="E1212" s="424" t="s">
        <v>7</v>
      </c>
      <c r="F1212" s="424" t="s">
        <v>1559</v>
      </c>
      <c r="G1212" s="438"/>
    </row>
    <row r="1213" spans="1:7" ht="13.5" customHeight="1">
      <c r="A1213" s="1987"/>
      <c r="B1213" s="1967"/>
      <c r="C1213" s="744"/>
      <c r="D1213" s="675"/>
      <c r="E1213" s="745"/>
      <c r="F1213" s="464"/>
      <c r="G1213" s="676"/>
    </row>
    <row r="1214" spans="1:7" ht="13.5" customHeight="1">
      <c r="A1214" s="1996"/>
      <c r="B1214" s="1819"/>
      <c r="C1214" s="744"/>
      <c r="D1214" s="434"/>
      <c r="E1214" s="746"/>
      <c r="F1214" s="434"/>
      <c r="G1214" s="457"/>
    </row>
    <row r="1215" spans="1:7" ht="13.5" customHeight="1">
      <c r="A1215" s="2015" t="s">
        <v>1560</v>
      </c>
      <c r="B1215" s="1601"/>
      <c r="C1215" s="1601"/>
      <c r="D1215" s="1601"/>
      <c r="E1215" s="1601"/>
      <c r="F1215" s="1801"/>
      <c r="G1215" s="462"/>
    </row>
    <row r="1216" spans="1:7" ht="13.5" customHeight="1">
      <c r="A1216" s="621" t="s">
        <v>1564</v>
      </c>
      <c r="B1216" s="618"/>
      <c r="C1216" s="618"/>
      <c r="D1216" s="618"/>
      <c r="E1216" s="618"/>
      <c r="F1216" s="618"/>
      <c r="G1216" s="743"/>
    </row>
    <row r="1217" spans="1:7" ht="13.5" customHeight="1">
      <c r="A1217" s="1975" t="s">
        <v>1565</v>
      </c>
      <c r="B1217" s="1801"/>
      <c r="C1217" s="424" t="s">
        <v>1566</v>
      </c>
      <c r="D1217" s="424" t="s">
        <v>6</v>
      </c>
      <c r="E1217" s="424" t="s">
        <v>7</v>
      </c>
      <c r="F1217" s="424" t="s">
        <v>1559</v>
      </c>
      <c r="G1217" s="462"/>
    </row>
    <row r="1218" spans="1:7" ht="13.5" customHeight="1">
      <c r="A1218" s="2004" t="str">
        <f>+'MANO DE OBRA'!$A$64</f>
        <v>Oficial (Incl. Prestaciones)</v>
      </c>
      <c r="B1218" s="1888"/>
      <c r="C1218" s="679">
        <f>+'MANO DE OBRA'!$E$64</f>
        <v>15031.25</v>
      </c>
      <c r="D1218" s="680">
        <v>1</v>
      </c>
      <c r="E1218" s="680">
        <v>0.23582072948328273</v>
      </c>
      <c r="F1218" s="694">
        <f t="shared" ref="F1218:F1219" si="90">+(C1218*D1218)*E1218</f>
        <v>3544.6803400455933</v>
      </c>
      <c r="G1218" s="676"/>
    </row>
    <row r="1219" spans="1:7" ht="13.5" customHeight="1">
      <c r="A1219" s="1984" t="str">
        <f>+'MANO DE OBRA'!$A$65</f>
        <v>Ayudante (Incl. Prestaciones)</v>
      </c>
      <c r="B1219" s="1819"/>
      <c r="C1219" s="747">
        <f>+'MANO DE OBRA'!$E$65</f>
        <v>10972.8125</v>
      </c>
      <c r="D1219" s="614">
        <v>1</v>
      </c>
      <c r="E1219" s="614">
        <f>+E1218</f>
        <v>0.23582072948328273</v>
      </c>
      <c r="F1219" s="455">
        <f t="shared" si="90"/>
        <v>2587.6166482332833</v>
      </c>
      <c r="G1219" s="709"/>
    </row>
    <row r="1220" spans="1:7" ht="13.5" customHeight="1">
      <c r="A1220" s="2015" t="str">
        <f>+A1215</f>
        <v>SUB-TOTAL</v>
      </c>
      <c r="B1220" s="1601"/>
      <c r="C1220" s="1601"/>
      <c r="D1220" s="1601"/>
      <c r="E1220" s="1601"/>
      <c r="F1220" s="1801"/>
      <c r="G1220" s="462">
        <f>SUM(F1218:F1219)</f>
        <v>6132.2969882788766</v>
      </c>
    </row>
    <row r="1221" spans="1:7" ht="11.25" customHeight="1">
      <c r="A1221" s="618"/>
      <c r="B1221" s="618"/>
      <c r="C1221" s="618"/>
      <c r="D1221" s="618"/>
      <c r="E1221" s="618"/>
      <c r="F1221" s="748"/>
      <c r="G1221" s="743"/>
    </row>
    <row r="1222" spans="1:7" ht="13.5" customHeight="1">
      <c r="A1222" s="2015" t="s">
        <v>1567</v>
      </c>
      <c r="B1222" s="1601"/>
      <c r="C1222" s="1601"/>
      <c r="D1222" s="1601"/>
      <c r="E1222" s="1601"/>
      <c r="F1222" s="1801"/>
      <c r="G1222" s="459">
        <f>ROUND(G1202+G1210+G1215+G1220,0)</f>
        <v>39557</v>
      </c>
    </row>
    <row r="1223" spans="1:7" ht="13.5" customHeight="1">
      <c r="A1223" s="616"/>
      <c r="B1223" s="616"/>
      <c r="C1223" s="616"/>
      <c r="D1223" s="616"/>
      <c r="E1223" s="616"/>
      <c r="F1223" s="616"/>
      <c r="G1223" s="616"/>
    </row>
    <row r="1224" spans="1:7" ht="27" customHeight="1">
      <c r="A1224" s="1994" t="e">
        <f>+'ANALISIS BASICOS'!$A$7</f>
        <v>#REF!</v>
      </c>
      <c r="B1224" s="1616"/>
      <c r="C1224" s="1624"/>
      <c r="D1224" s="713"/>
      <c r="E1224" s="713"/>
      <c r="F1224" s="713"/>
      <c r="G1224" s="714"/>
    </row>
    <row r="1225" spans="1:7" ht="24" customHeight="1">
      <c r="A1225" s="1971"/>
      <c r="B1225" s="1817"/>
      <c r="C1225" s="1972"/>
      <c r="D1225" s="715"/>
      <c r="E1225" s="715"/>
      <c r="F1225" s="715"/>
      <c r="G1225" s="716"/>
    </row>
    <row r="1226" spans="1:7" ht="13.5" customHeight="1">
      <c r="A1226" s="618"/>
      <c r="B1226" s="618"/>
      <c r="C1226" s="618"/>
      <c r="D1226" s="1030"/>
      <c r="E1226" s="1030"/>
      <c r="F1226" s="1030"/>
      <c r="G1226" s="1030"/>
    </row>
    <row r="1227" spans="1:7" ht="55.5" customHeight="1">
      <c r="A1227" s="1991" t="e">
        <f ca="1">$A$10</f>
        <v>#NAME?</v>
      </c>
      <c r="B1227" s="1601"/>
      <c r="C1227" s="1602"/>
      <c r="D1227" s="2088" t="s">
        <v>2452</v>
      </c>
      <c r="E1227" s="1601"/>
      <c r="F1227" s="1601"/>
      <c r="G1227" s="1602"/>
    </row>
    <row r="1228" spans="1:7" ht="13.5" customHeight="1">
      <c r="A1228" s="1058"/>
      <c r="B1228" s="1058"/>
      <c r="C1228" s="1058"/>
      <c r="D1228" s="1058"/>
      <c r="E1228" s="1058"/>
      <c r="F1228" s="1058"/>
      <c r="G1228" s="1058"/>
    </row>
    <row r="1229" spans="1:7" ht="12.75" customHeight="1">
      <c r="A1229" s="718"/>
      <c r="B1229" s="1030"/>
      <c r="C1229" s="752"/>
      <c r="D1229" s="717" t="s">
        <v>1553</v>
      </c>
      <c r="E1229" s="717" t="s">
        <v>228</v>
      </c>
      <c r="F1229" s="421" t="s">
        <v>1554</v>
      </c>
      <c r="G1229" s="422" t="s">
        <v>505</v>
      </c>
    </row>
    <row r="1230" spans="1:7" ht="13.5" customHeight="1">
      <c r="A1230" s="794" t="s">
        <v>1555</v>
      </c>
      <c r="B1230" s="1030"/>
      <c r="C1230" s="1030"/>
      <c r="D1230" s="1030"/>
      <c r="E1230" s="1030"/>
      <c r="F1230" s="1030"/>
      <c r="G1230" s="1030"/>
    </row>
    <row r="1231" spans="1:7" ht="13.5" customHeight="1">
      <c r="A1231" s="2089" t="s">
        <v>1556</v>
      </c>
      <c r="B1231" s="1601"/>
      <c r="C1231" s="1801"/>
      <c r="D1231" s="719" t="s">
        <v>208</v>
      </c>
      <c r="E1231" s="719" t="s">
        <v>1558</v>
      </c>
      <c r="F1231" s="719" t="s">
        <v>1559</v>
      </c>
      <c r="G1231" s="720"/>
    </row>
    <row r="1232" spans="1:7" ht="13.5" customHeight="1">
      <c r="A1232" s="1987" t="str">
        <f>+'LISTADO EQUIPOS'!$C$22</f>
        <v>HERRAMIENTA MENOR.</v>
      </c>
      <c r="B1232" s="1811"/>
      <c r="C1232" s="1967"/>
      <c r="D1232" s="675">
        <f>+'LISTADO EQUIPOS'!$E$22/8</f>
        <v>2850</v>
      </c>
      <c r="E1232" s="687">
        <v>1.5</v>
      </c>
      <c r="F1232" s="442">
        <f>+E1232*D1232</f>
        <v>4275</v>
      </c>
      <c r="G1232" s="688"/>
    </row>
    <row r="1233" spans="1:7" ht="13.5" customHeight="1">
      <c r="A1233" s="2090"/>
      <c r="B1233" s="1807"/>
      <c r="C1233" s="1819"/>
      <c r="D1233" s="1037"/>
      <c r="E1233" s="1059"/>
      <c r="F1233" s="1037"/>
      <c r="G1233" s="1038"/>
    </row>
    <row r="1234" spans="1:7" ht="13.5" customHeight="1">
      <c r="A1234" s="2087" t="s">
        <v>1560</v>
      </c>
      <c r="B1234" s="1601"/>
      <c r="C1234" s="1601"/>
      <c r="D1234" s="1601"/>
      <c r="E1234" s="1601"/>
      <c r="F1234" s="1801"/>
      <c r="G1234" s="725">
        <f>SUM(F1232:F1233)</f>
        <v>4275</v>
      </c>
    </row>
    <row r="1235" spans="1:7" ht="13.5" customHeight="1">
      <c r="A1235" s="794" t="s">
        <v>1561</v>
      </c>
      <c r="B1235" s="1030"/>
      <c r="C1235" s="1030"/>
      <c r="D1235" s="1030"/>
      <c r="E1235" s="1030"/>
      <c r="F1235" s="1030"/>
      <c r="G1235" s="1039"/>
    </row>
    <row r="1236" spans="1:7" ht="13.5" customHeight="1">
      <c r="A1236" s="2089" t="s">
        <v>1556</v>
      </c>
      <c r="B1236" s="1801"/>
      <c r="C1236" s="719" t="s">
        <v>6</v>
      </c>
      <c r="D1236" s="719" t="s">
        <v>1562</v>
      </c>
      <c r="E1236" s="719" t="s">
        <v>7</v>
      </c>
      <c r="F1236" s="719" t="s">
        <v>1559</v>
      </c>
      <c r="G1236" s="726"/>
    </row>
    <row r="1237" spans="1:7" ht="35.25" customHeight="1">
      <c r="A1237" s="2091" t="str">
        <f>+'LISTADO MATERIALES'!$C$335</f>
        <v>Loseta prefabricada en concreto,  e = 0,06 mts de 0,40 x 0,40 mts.COLOR GRIS A RAYAS</v>
      </c>
      <c r="B1237" s="1967"/>
      <c r="C1237" s="727" t="str">
        <f>+'LISTADO MATERIALES'!$D$335</f>
        <v>M2</v>
      </c>
      <c r="D1237" s="1040">
        <f>+'LISTADO MATERIALES'!$E$335</f>
        <v>35175</v>
      </c>
      <c r="E1237" s="727">
        <v>1.03</v>
      </c>
      <c r="F1237" s="728">
        <f t="shared" ref="F1237:F1239" si="91">+E1237*D1237</f>
        <v>36230.25</v>
      </c>
      <c r="G1237" s="730"/>
    </row>
    <row r="1238" spans="1:7" ht="13.5" customHeight="1">
      <c r="A1238" s="2092" t="str">
        <f>+'ANALISIS BASICOS'!$A$391</f>
        <v>MORTERO 1:6</v>
      </c>
      <c r="B1238" s="1611"/>
      <c r="C1238" s="731" t="str">
        <f>+'ANALISIS BASICOS'!$E$368</f>
        <v>M3</v>
      </c>
      <c r="D1238" s="1041">
        <f>+'ANALISIS BASICOS'!$G$391</f>
        <v>323611</v>
      </c>
      <c r="E1238" s="731">
        <v>0.03</v>
      </c>
      <c r="F1238" s="722">
        <f t="shared" si="91"/>
        <v>9708.33</v>
      </c>
      <c r="G1238" s="1042"/>
    </row>
    <row r="1239" spans="1:7" ht="13.5" customHeight="1">
      <c r="A1239" s="2092" t="str">
        <f>+'LISTADO MATERIALES'!$C$129</f>
        <v>ARENA</v>
      </c>
      <c r="B1239" s="1611"/>
      <c r="C1239" s="731" t="str">
        <f>+'LISTADO MATERIALES'!$D$129</f>
        <v>M3</v>
      </c>
      <c r="D1239" s="1041">
        <f>+'LISTADO MATERIALES'!$E$129</f>
        <v>59450</v>
      </c>
      <c r="E1239" s="731">
        <v>0.03</v>
      </c>
      <c r="F1239" s="722">
        <f t="shared" si="91"/>
        <v>1783.5</v>
      </c>
      <c r="G1239" s="1042"/>
    </row>
    <row r="1240" spans="1:7" ht="13.5" customHeight="1">
      <c r="A1240" s="2092"/>
      <c r="B1240" s="1611"/>
      <c r="C1240" s="731"/>
      <c r="D1240" s="1041"/>
      <c r="E1240" s="731"/>
      <c r="F1240" s="1041"/>
      <c r="G1240" s="1042"/>
    </row>
    <row r="1241" spans="1:7" ht="13.5" customHeight="1">
      <c r="A1241" s="2092"/>
      <c r="B1241" s="1611"/>
      <c r="C1241" s="731"/>
      <c r="D1241" s="1041"/>
      <c r="E1241" s="731"/>
      <c r="F1241" s="1041"/>
      <c r="G1241" s="1042"/>
    </row>
    <row r="1242" spans="1:7" ht="13.5" customHeight="1">
      <c r="A1242" s="2087" t="s">
        <v>1560</v>
      </c>
      <c r="B1242" s="1601"/>
      <c r="C1242" s="1601"/>
      <c r="D1242" s="1601"/>
      <c r="E1242" s="1601"/>
      <c r="F1242" s="1801"/>
      <c r="G1242" s="725">
        <f>SUM(F1237:F1241)</f>
        <v>47722.080000000002</v>
      </c>
    </row>
    <row r="1243" spans="1:7" ht="13.5" customHeight="1">
      <c r="A1243" s="794" t="s">
        <v>1563</v>
      </c>
      <c r="B1243" s="1030"/>
      <c r="C1243" s="1030"/>
      <c r="D1243" s="1030"/>
      <c r="E1243" s="1030"/>
      <c r="F1243" s="1030"/>
      <c r="G1243" s="1039"/>
    </row>
    <row r="1244" spans="1:7" ht="13.5" customHeight="1">
      <c r="A1244" s="2089" t="s">
        <v>1556</v>
      </c>
      <c r="B1244" s="1801"/>
      <c r="C1244" s="719" t="s">
        <v>6</v>
      </c>
      <c r="D1244" s="719" t="s">
        <v>1562</v>
      </c>
      <c r="E1244" s="719" t="s">
        <v>7</v>
      </c>
      <c r="F1244" s="719" t="s">
        <v>1559</v>
      </c>
      <c r="G1244" s="732"/>
    </row>
    <row r="1245" spans="1:7" ht="13.5" customHeight="1">
      <c r="A1245" s="2091" t="s">
        <v>1572</v>
      </c>
      <c r="B1245" s="1967"/>
      <c r="C1245" s="1045" t="s">
        <v>1569</v>
      </c>
      <c r="D1245" s="1040"/>
      <c r="E1245" s="1046"/>
      <c r="F1245" s="1041">
        <v>3000</v>
      </c>
      <c r="G1245" s="730"/>
    </row>
    <row r="1246" spans="1:7" ht="13.5" customHeight="1">
      <c r="A1246" s="2090"/>
      <c r="B1246" s="1819"/>
      <c r="C1246" s="1045"/>
      <c r="D1246" s="1037"/>
      <c r="E1246" s="1047"/>
      <c r="F1246" s="1037"/>
      <c r="G1246" s="1048"/>
    </row>
    <row r="1247" spans="1:7" ht="13.5" customHeight="1">
      <c r="A1247" s="2087" t="s">
        <v>1560</v>
      </c>
      <c r="B1247" s="1601"/>
      <c r="C1247" s="1601"/>
      <c r="D1247" s="1601"/>
      <c r="E1247" s="1601"/>
      <c r="F1247" s="1801"/>
      <c r="G1247" s="725">
        <f>SUM(F1245:F1246)</f>
        <v>3000</v>
      </c>
    </row>
    <row r="1248" spans="1:7" ht="13.5" customHeight="1">
      <c r="A1248" s="794" t="s">
        <v>1564</v>
      </c>
      <c r="B1248" s="1030"/>
      <c r="C1248" s="1030"/>
      <c r="D1248" s="1030"/>
      <c r="E1248" s="1030"/>
      <c r="F1248" s="1030"/>
      <c r="G1248" s="1039"/>
    </row>
    <row r="1249" spans="1:7" ht="13.5" customHeight="1">
      <c r="A1249" s="2089" t="s">
        <v>1565</v>
      </c>
      <c r="B1249" s="1801"/>
      <c r="C1249" s="719" t="s">
        <v>1566</v>
      </c>
      <c r="D1249" s="719" t="s">
        <v>6</v>
      </c>
      <c r="E1249" s="719" t="s">
        <v>1558</v>
      </c>
      <c r="F1249" s="719" t="s">
        <v>1559</v>
      </c>
      <c r="G1249" s="725"/>
    </row>
    <row r="1250" spans="1:7" ht="13.5" customHeight="1">
      <c r="A1250" s="2093" t="str">
        <f>+'MANO DE OBRA'!$A$64</f>
        <v>Oficial (Incl. Prestaciones)</v>
      </c>
      <c r="B1250" s="1910"/>
      <c r="C1250" s="733">
        <f>+'MANO DE OBRA'!$E$64</f>
        <v>15031.25</v>
      </c>
      <c r="D1250" s="734">
        <v>1</v>
      </c>
      <c r="E1250" s="734">
        <v>2.3068435413059611</v>
      </c>
      <c r="F1250" s="735">
        <f t="shared" ref="F1250:F1251" si="92">+(C1250*D1250)/E1250</f>
        <v>6515.9382207128092</v>
      </c>
      <c r="G1250" s="730"/>
    </row>
    <row r="1251" spans="1:7" ht="13.5" customHeight="1">
      <c r="A1251" s="2094" t="str">
        <f>+'MANO DE OBRA'!$A$65</f>
        <v>Ayudante (Incl. Prestaciones)</v>
      </c>
      <c r="B1251" s="1819"/>
      <c r="C1251" s="1049">
        <f>+'MANO DE OBRA'!$E$65</f>
        <v>10972.8125</v>
      </c>
      <c r="D1251" s="1050">
        <v>3</v>
      </c>
      <c r="E1251" s="1050">
        <f>+E1250</f>
        <v>2.3068435413059611</v>
      </c>
      <c r="F1251" s="736">
        <f t="shared" si="92"/>
        <v>14269.904703361051</v>
      </c>
      <c r="G1251" s="1044"/>
    </row>
    <row r="1252" spans="1:7" ht="13.5" customHeight="1">
      <c r="A1252" s="2087" t="str">
        <f>+A1247</f>
        <v>SUB-TOTAL</v>
      </c>
      <c r="B1252" s="1601"/>
      <c r="C1252" s="1601"/>
      <c r="D1252" s="1601"/>
      <c r="E1252" s="1601"/>
      <c r="F1252" s="1801"/>
      <c r="G1252" s="725">
        <f>SUM(F1250:F1251)</f>
        <v>20785.842924073862</v>
      </c>
    </row>
    <row r="1253" spans="1:7" ht="11.25" customHeight="1">
      <c r="A1253" s="1030"/>
      <c r="B1253" s="1030"/>
      <c r="C1253" s="1030"/>
      <c r="D1253" s="1030"/>
      <c r="E1253" s="1030"/>
      <c r="F1253" s="1051"/>
      <c r="G1253" s="1039"/>
    </row>
    <row r="1254" spans="1:7" ht="13.5" customHeight="1">
      <c r="A1254" s="2087" t="s">
        <v>1567</v>
      </c>
      <c r="B1254" s="1601"/>
      <c r="C1254" s="1601"/>
      <c r="D1254" s="1601"/>
      <c r="E1254" s="1601"/>
      <c r="F1254" s="1801"/>
      <c r="G1254" s="1060">
        <f>ROUND(G1234+G1242+G1247+G1252,0)</f>
        <v>75783</v>
      </c>
    </row>
    <row r="1255" spans="1:7" ht="13.5" customHeight="1">
      <c r="A1255" s="616"/>
      <c r="B1255" s="616"/>
      <c r="C1255" s="616"/>
      <c r="D1255" s="616"/>
      <c r="E1255" s="616"/>
      <c r="F1255" s="616"/>
      <c r="G1255" s="616"/>
    </row>
    <row r="1256" spans="1:7" ht="27" customHeight="1">
      <c r="A1256" s="2005" t="s">
        <v>1604</v>
      </c>
      <c r="B1256" s="1616"/>
      <c r="C1256" s="1624"/>
      <c r="D1256" s="567"/>
      <c r="E1256" s="567"/>
      <c r="F1256" s="567"/>
      <c r="G1256" s="668"/>
    </row>
    <row r="1257" spans="1:7" ht="24" customHeight="1">
      <c r="A1257" s="1971"/>
      <c r="B1257" s="1817"/>
      <c r="C1257" s="1972"/>
      <c r="D1257" s="669"/>
      <c r="E1257" s="669"/>
      <c r="F1257" s="669"/>
      <c r="G1257" s="670"/>
    </row>
    <row r="1258" spans="1:7" ht="13.5" customHeight="1">
      <c r="A1258" s="618"/>
      <c r="B1258" s="618"/>
      <c r="C1258" s="618"/>
      <c r="D1258" s="618"/>
      <c r="E1258" s="618"/>
      <c r="F1258" s="618"/>
      <c r="G1258" s="618"/>
    </row>
    <row r="1259" spans="1:7" ht="54.75" customHeight="1">
      <c r="A1259" s="1973" t="e">
        <f ca="1">A10</f>
        <v>#NAME?</v>
      </c>
      <c r="B1259" s="1601"/>
      <c r="C1259" s="1602"/>
      <c r="D1259" s="1974" t="s">
        <v>2453</v>
      </c>
      <c r="E1259" s="1601"/>
      <c r="F1259" s="1601"/>
      <c r="G1259" s="1602"/>
    </row>
    <row r="1260" spans="1:7" ht="13.5" customHeight="1">
      <c r="A1260" s="620"/>
      <c r="B1260" s="620"/>
      <c r="C1260" s="620"/>
      <c r="D1260" s="620"/>
      <c r="E1260" s="620"/>
      <c r="F1260" s="620"/>
      <c r="G1260" s="620"/>
    </row>
    <row r="1261" spans="1:7" ht="12.75" customHeight="1">
      <c r="A1261" s="572"/>
      <c r="B1261" s="618"/>
      <c r="C1261" s="616"/>
      <c r="D1261" s="421" t="s">
        <v>1553</v>
      </c>
      <c r="E1261" s="422" t="s">
        <v>228</v>
      </c>
      <c r="F1261" s="572"/>
      <c r="G1261" s="572"/>
    </row>
    <row r="1262" spans="1:7" ht="13.5" customHeight="1">
      <c r="A1262" s="621" t="s">
        <v>1555</v>
      </c>
      <c r="B1262" s="618"/>
      <c r="C1262" s="618"/>
      <c r="D1262" s="618"/>
      <c r="E1262" s="618"/>
      <c r="F1262" s="618"/>
      <c r="G1262" s="618"/>
    </row>
    <row r="1263" spans="1:7" ht="13.5" customHeight="1">
      <c r="A1263" s="1975" t="s">
        <v>1556</v>
      </c>
      <c r="B1263" s="1601"/>
      <c r="C1263" s="1801"/>
      <c r="D1263" s="424" t="s">
        <v>208</v>
      </c>
      <c r="E1263" s="424" t="s">
        <v>1558</v>
      </c>
      <c r="F1263" s="424" t="s">
        <v>1559</v>
      </c>
      <c r="G1263" s="425"/>
    </row>
    <row r="1264" spans="1:7" ht="13.5" customHeight="1">
      <c r="A1264" s="1987" t="str">
        <f>+'LISTADO EQUIPOS'!$C$22</f>
        <v>HERRAMIENTA MENOR.</v>
      </c>
      <c r="B1264" s="1811"/>
      <c r="C1264" s="1967"/>
      <c r="D1264" s="675">
        <f>+'LISTADO EQUIPOS'!$E$22/8</f>
        <v>2850</v>
      </c>
      <c r="E1264" s="687">
        <f>+E1282</f>
        <v>0.40958041379162813</v>
      </c>
      <c r="F1264" s="442">
        <f>+E1264*D1264</f>
        <v>1167.3041793061402</v>
      </c>
      <c r="G1264" s="688"/>
    </row>
    <row r="1265" spans="1:7" ht="13.5" customHeight="1">
      <c r="A1265" s="1996"/>
      <c r="B1265" s="1807"/>
      <c r="C1265" s="1819"/>
      <c r="D1265" s="434"/>
      <c r="E1265" s="758"/>
      <c r="F1265" s="434"/>
      <c r="G1265" s="435"/>
    </row>
    <row r="1266" spans="1:7" ht="13.5" customHeight="1">
      <c r="A1266" s="2015" t="s">
        <v>1560</v>
      </c>
      <c r="B1266" s="1601"/>
      <c r="C1266" s="1601"/>
      <c r="D1266" s="1601"/>
      <c r="E1266" s="1601"/>
      <c r="F1266" s="1801"/>
      <c r="G1266" s="462">
        <f>SUM(F1264:F1265)</f>
        <v>1167.3041793061402</v>
      </c>
    </row>
    <row r="1267" spans="1:7" ht="13.5" customHeight="1">
      <c r="A1267" s="621" t="s">
        <v>1561</v>
      </c>
      <c r="B1267" s="618"/>
      <c r="C1267" s="618"/>
      <c r="D1267" s="618"/>
      <c r="E1267" s="618"/>
      <c r="F1267" s="618"/>
      <c r="G1267" s="743"/>
    </row>
    <row r="1268" spans="1:7" ht="13.5" customHeight="1">
      <c r="A1268" s="1975" t="s">
        <v>1556</v>
      </c>
      <c r="B1268" s="1801"/>
      <c r="C1268" s="424" t="s">
        <v>6</v>
      </c>
      <c r="D1268" s="424" t="s">
        <v>1562</v>
      </c>
      <c r="E1268" s="424" t="s">
        <v>7</v>
      </c>
      <c r="F1268" s="424" t="s">
        <v>1559</v>
      </c>
      <c r="G1268" s="673"/>
    </row>
    <row r="1269" spans="1:7" ht="35.25" customHeight="1">
      <c r="A1269" s="1987" t="str">
        <f>+'LISTADO MATERIALES'!$C$336</f>
        <v>Loseta prefabricada en concreto,  e = 0,06 mts de 0,40 x 0,40 mts. Color ROJO A RAYAS</v>
      </c>
      <c r="B1269" s="1967"/>
      <c r="C1269" s="674" t="str">
        <f>+'LISTADO MATERIALES'!$D$336</f>
        <v>M2</v>
      </c>
      <c r="D1269" s="675">
        <f>+'LISTADO MATERIALES'!$E$336</f>
        <v>41475</v>
      </c>
      <c r="E1269" s="674">
        <v>1.03</v>
      </c>
      <c r="F1269" s="442">
        <f t="shared" ref="F1269:F1271" si="93">+E1269*D1269</f>
        <v>42719.25</v>
      </c>
      <c r="G1269" s="676"/>
    </row>
    <row r="1270" spans="1:7" ht="13.5" customHeight="1">
      <c r="A1270" s="1995" t="str">
        <f>+'ANALISIS BASICOS'!$A$391</f>
        <v>MORTERO 1:6</v>
      </c>
      <c r="B1270" s="1611"/>
      <c r="C1270" s="444" t="str">
        <f>+'ANALISIS BASICOS'!$E$368</f>
        <v>M3</v>
      </c>
      <c r="D1270" s="464">
        <f>+'ANALISIS BASICOS'!$G$391</f>
        <v>323611</v>
      </c>
      <c r="E1270" s="444">
        <v>0.04</v>
      </c>
      <c r="F1270" s="440">
        <f t="shared" si="93"/>
        <v>12944.44</v>
      </c>
      <c r="G1270" s="707"/>
    </row>
    <row r="1271" spans="1:7" ht="13.5" customHeight="1">
      <c r="A1271" s="1995" t="str">
        <f>+'LISTADO MATERIALES'!$C$129</f>
        <v>ARENA</v>
      </c>
      <c r="B1271" s="1611"/>
      <c r="C1271" s="444" t="str">
        <f>+'LISTADO MATERIALES'!$D$129</f>
        <v>M3</v>
      </c>
      <c r="D1271" s="464">
        <f>+'LISTADO MATERIALES'!$E$129</f>
        <v>59450</v>
      </c>
      <c r="E1271" s="444">
        <v>0.03</v>
      </c>
      <c r="F1271" s="440">
        <f t="shared" si="93"/>
        <v>1783.5</v>
      </c>
      <c r="G1271" s="707"/>
    </row>
    <row r="1272" spans="1:7" ht="13.5" customHeight="1">
      <c r="A1272" s="1995"/>
      <c r="B1272" s="1611"/>
      <c r="C1272" s="444"/>
      <c r="D1272" s="464"/>
      <c r="E1272" s="444"/>
      <c r="F1272" s="464"/>
      <c r="G1272" s="707"/>
    </row>
    <row r="1273" spans="1:7" ht="13.5" customHeight="1">
      <c r="A1273" s="1995"/>
      <c r="B1273" s="1611"/>
      <c r="C1273" s="444"/>
      <c r="D1273" s="464"/>
      <c r="E1273" s="444"/>
      <c r="F1273" s="464"/>
      <c r="G1273" s="707"/>
    </row>
    <row r="1274" spans="1:7" ht="13.5" customHeight="1">
      <c r="A1274" s="2015" t="s">
        <v>1560</v>
      </c>
      <c r="B1274" s="1601"/>
      <c r="C1274" s="1601"/>
      <c r="D1274" s="1601"/>
      <c r="E1274" s="1601"/>
      <c r="F1274" s="1801"/>
      <c r="G1274" s="462">
        <f>SUM(F1269:F1273)</f>
        <v>57447.19</v>
      </c>
    </row>
    <row r="1275" spans="1:7" ht="13.5" customHeight="1">
      <c r="A1275" s="621" t="s">
        <v>1563</v>
      </c>
      <c r="B1275" s="618"/>
      <c r="C1275" s="618"/>
      <c r="D1275" s="618"/>
      <c r="E1275" s="618"/>
      <c r="F1275" s="618"/>
      <c r="G1275" s="743"/>
    </row>
    <row r="1276" spans="1:7" ht="13.5" customHeight="1">
      <c r="A1276" s="1975" t="s">
        <v>1556</v>
      </c>
      <c r="B1276" s="1801"/>
      <c r="C1276" s="424" t="s">
        <v>6</v>
      </c>
      <c r="D1276" s="424" t="s">
        <v>1562</v>
      </c>
      <c r="E1276" s="424" t="s">
        <v>7</v>
      </c>
      <c r="F1276" s="424" t="s">
        <v>1559</v>
      </c>
      <c r="G1276" s="438"/>
    </row>
    <row r="1277" spans="1:7" ht="13.5" customHeight="1">
      <c r="A1277" s="1987"/>
      <c r="B1277" s="1967"/>
      <c r="C1277" s="744"/>
      <c r="D1277" s="675"/>
      <c r="E1277" s="745"/>
      <c r="F1277" s="464"/>
      <c r="G1277" s="676"/>
    </row>
    <row r="1278" spans="1:7" ht="13.5" customHeight="1">
      <c r="A1278" s="1996"/>
      <c r="B1278" s="1819"/>
      <c r="C1278" s="744"/>
      <c r="D1278" s="434"/>
      <c r="E1278" s="746"/>
      <c r="F1278" s="434"/>
      <c r="G1278" s="457"/>
    </row>
    <row r="1279" spans="1:7" ht="13.5" customHeight="1">
      <c r="A1279" s="2015" t="s">
        <v>1560</v>
      </c>
      <c r="B1279" s="1601"/>
      <c r="C1279" s="1601"/>
      <c r="D1279" s="1601"/>
      <c r="E1279" s="1601"/>
      <c r="F1279" s="1801"/>
      <c r="G1279" s="462"/>
    </row>
    <row r="1280" spans="1:7" ht="13.5" customHeight="1">
      <c r="A1280" s="621" t="s">
        <v>1564</v>
      </c>
      <c r="B1280" s="618"/>
      <c r="C1280" s="618"/>
      <c r="D1280" s="618"/>
      <c r="E1280" s="618"/>
      <c r="F1280" s="618"/>
      <c r="G1280" s="743"/>
    </row>
    <row r="1281" spans="1:7" ht="13.5" customHeight="1">
      <c r="A1281" s="1975" t="s">
        <v>1565</v>
      </c>
      <c r="B1281" s="1801"/>
      <c r="C1281" s="424" t="s">
        <v>1566</v>
      </c>
      <c r="D1281" s="424" t="s">
        <v>6</v>
      </c>
      <c r="E1281" s="424" t="s">
        <v>7</v>
      </c>
      <c r="F1281" s="424" t="s">
        <v>1559</v>
      </c>
      <c r="G1281" s="462"/>
    </row>
    <row r="1282" spans="1:7" ht="13.5" customHeight="1">
      <c r="A1282" s="2004" t="str">
        <f>+'MANO DE OBRA'!$A$64</f>
        <v>Oficial (Incl. Prestaciones)</v>
      </c>
      <c r="B1282" s="1888"/>
      <c r="C1282" s="679">
        <f>+'MANO DE OBRA'!$E$64</f>
        <v>15031.25</v>
      </c>
      <c r="D1282" s="680">
        <v>1</v>
      </c>
      <c r="E1282" s="680">
        <v>0.40958041379162813</v>
      </c>
      <c r="F1282" s="694">
        <f t="shared" ref="F1282:F1283" si="94">+(C1282*D1282)*E1282</f>
        <v>6156.5055948054105</v>
      </c>
      <c r="G1282" s="676"/>
    </row>
    <row r="1283" spans="1:7" ht="13.5" customHeight="1">
      <c r="A1283" s="1984" t="str">
        <f>+'MANO DE OBRA'!$A$65</f>
        <v>Ayudante (Incl. Prestaciones)</v>
      </c>
      <c r="B1283" s="1819"/>
      <c r="C1283" s="747">
        <f>+'MANO DE OBRA'!$E$65</f>
        <v>10972.8125</v>
      </c>
      <c r="D1283" s="614">
        <v>1</v>
      </c>
      <c r="E1283" s="614">
        <f>+E1282</f>
        <v>0.40958041379162813</v>
      </c>
      <c r="F1283" s="455">
        <f t="shared" si="94"/>
        <v>4494.2490842079496</v>
      </c>
      <c r="G1283" s="709"/>
    </row>
    <row r="1284" spans="1:7" ht="13.5" customHeight="1">
      <c r="A1284" s="2015" t="str">
        <f>+A1279</f>
        <v>SUB-TOTAL</v>
      </c>
      <c r="B1284" s="1601"/>
      <c r="C1284" s="1601"/>
      <c r="D1284" s="1601"/>
      <c r="E1284" s="1601"/>
      <c r="F1284" s="1801"/>
      <c r="G1284" s="462">
        <f>SUM(F1282:F1283)</f>
        <v>10650.75467901336</v>
      </c>
    </row>
    <row r="1285" spans="1:7" ht="11.25" customHeight="1">
      <c r="A1285" s="618"/>
      <c r="B1285" s="618"/>
      <c r="C1285" s="618"/>
      <c r="D1285" s="618"/>
      <c r="E1285" s="618"/>
      <c r="F1285" s="748"/>
      <c r="G1285" s="743"/>
    </row>
    <row r="1286" spans="1:7" ht="13.5" customHeight="1">
      <c r="A1286" s="2015" t="s">
        <v>1567</v>
      </c>
      <c r="B1286" s="1601"/>
      <c r="C1286" s="1601"/>
      <c r="D1286" s="1601"/>
      <c r="E1286" s="1601"/>
      <c r="F1286" s="1801"/>
      <c r="G1286" s="459">
        <f>ROUND(G1266+G1274+G1279+G1284,0)</f>
        <v>69265</v>
      </c>
    </row>
    <row r="1287" spans="1:7" ht="13.5" customHeight="1">
      <c r="A1287" s="616"/>
      <c r="B1287" s="616"/>
      <c r="C1287" s="616"/>
      <c r="D1287" s="616"/>
      <c r="E1287" s="616"/>
      <c r="F1287" s="616"/>
      <c r="G1287" s="616"/>
    </row>
    <row r="1288" spans="1:7" ht="27" customHeight="1">
      <c r="A1288" s="2005" t="s">
        <v>1604</v>
      </c>
      <c r="B1288" s="1616"/>
      <c r="C1288" s="1624"/>
      <c r="D1288" s="567"/>
      <c r="E1288" s="567"/>
      <c r="F1288" s="567"/>
      <c r="G1288" s="668"/>
    </row>
    <row r="1289" spans="1:7" ht="24" customHeight="1">
      <c r="A1289" s="1971"/>
      <c r="B1289" s="1817"/>
      <c r="C1289" s="1972"/>
      <c r="D1289" s="669"/>
      <c r="E1289" s="669"/>
      <c r="F1289" s="669"/>
      <c r="G1289" s="670"/>
    </row>
    <row r="1290" spans="1:7" ht="13.5" customHeight="1">
      <c r="A1290" s="618"/>
      <c r="B1290" s="618"/>
      <c r="C1290" s="618"/>
      <c r="D1290" s="618"/>
      <c r="E1290" s="618"/>
      <c r="F1290" s="618"/>
      <c r="G1290" s="618"/>
    </row>
    <row r="1291" spans="1:7" ht="54.75" customHeight="1">
      <c r="A1291" s="1973" t="e">
        <f ca="1">A10</f>
        <v>#NAME?</v>
      </c>
      <c r="B1291" s="1601"/>
      <c r="C1291" s="1602"/>
      <c r="D1291" s="1974" t="s">
        <v>2454</v>
      </c>
      <c r="E1291" s="1601"/>
      <c r="F1291" s="1601"/>
      <c r="G1291" s="1602"/>
    </row>
    <row r="1292" spans="1:7" ht="13.5" customHeight="1">
      <c r="A1292" s="620"/>
      <c r="B1292" s="620"/>
      <c r="C1292" s="620"/>
      <c r="D1292" s="620"/>
      <c r="E1292" s="620"/>
      <c r="F1292" s="620"/>
      <c r="G1292" s="620"/>
    </row>
    <row r="1293" spans="1:7" ht="12.75" customHeight="1">
      <c r="A1293" s="572"/>
      <c r="B1293" s="618"/>
      <c r="C1293" s="616"/>
      <c r="D1293" s="421" t="s">
        <v>1553</v>
      </c>
      <c r="E1293" s="422" t="s">
        <v>228</v>
      </c>
      <c r="F1293" s="572"/>
      <c r="G1293" s="572"/>
    </row>
    <row r="1294" spans="1:7" ht="13.5" customHeight="1">
      <c r="A1294" s="621" t="s">
        <v>1555</v>
      </c>
      <c r="B1294" s="618"/>
      <c r="C1294" s="618"/>
      <c r="D1294" s="618"/>
      <c r="E1294" s="618"/>
      <c r="F1294" s="618"/>
      <c r="G1294" s="618"/>
    </row>
    <row r="1295" spans="1:7" ht="13.5" customHeight="1">
      <c r="A1295" s="1975" t="s">
        <v>1556</v>
      </c>
      <c r="B1295" s="1601"/>
      <c r="C1295" s="1801"/>
      <c r="D1295" s="424" t="s">
        <v>208</v>
      </c>
      <c r="E1295" s="424" t="s">
        <v>1558</v>
      </c>
      <c r="F1295" s="424" t="s">
        <v>1559</v>
      </c>
      <c r="G1295" s="425"/>
    </row>
    <row r="1296" spans="1:7" ht="13.5" customHeight="1">
      <c r="A1296" s="1987" t="str">
        <f>+'LISTADO EQUIPOS'!$C$22</f>
        <v>HERRAMIENTA MENOR.</v>
      </c>
      <c r="B1296" s="1811"/>
      <c r="C1296" s="1967"/>
      <c r="D1296" s="675">
        <f>+'LISTADO EQUIPOS'!$E$22/8</f>
        <v>2850</v>
      </c>
      <c r="E1296" s="687">
        <f>+E1314</f>
        <v>0.4100834072822494</v>
      </c>
      <c r="F1296" s="442">
        <f>+E1296*D1296</f>
        <v>1168.7377107544107</v>
      </c>
      <c r="G1296" s="688"/>
    </row>
    <row r="1297" spans="1:7" ht="13.5" customHeight="1">
      <c r="A1297" s="1996"/>
      <c r="B1297" s="1807"/>
      <c r="C1297" s="1819"/>
      <c r="D1297" s="434"/>
      <c r="E1297" s="758"/>
      <c r="F1297" s="434"/>
      <c r="G1297" s="435"/>
    </row>
    <row r="1298" spans="1:7" ht="13.5" customHeight="1">
      <c r="A1298" s="2015" t="s">
        <v>1560</v>
      </c>
      <c r="B1298" s="1601"/>
      <c r="C1298" s="1601"/>
      <c r="D1298" s="1601"/>
      <c r="E1298" s="1601"/>
      <c r="F1298" s="1801"/>
      <c r="G1298" s="462">
        <f>SUM(F1296:F1297)</f>
        <v>1168.7377107544107</v>
      </c>
    </row>
    <row r="1299" spans="1:7" ht="13.5" customHeight="1">
      <c r="A1299" s="621" t="s">
        <v>1561</v>
      </c>
      <c r="B1299" s="618"/>
      <c r="C1299" s="618"/>
      <c r="D1299" s="618"/>
      <c r="E1299" s="618"/>
      <c r="F1299" s="618"/>
      <c r="G1299" s="743"/>
    </row>
    <row r="1300" spans="1:7" ht="13.5" customHeight="1">
      <c r="A1300" s="1975" t="s">
        <v>1556</v>
      </c>
      <c r="B1300" s="1801"/>
      <c r="C1300" s="424" t="s">
        <v>6</v>
      </c>
      <c r="D1300" s="424" t="s">
        <v>1562</v>
      </c>
      <c r="E1300" s="424" t="s">
        <v>7</v>
      </c>
      <c r="F1300" s="424" t="s">
        <v>1559</v>
      </c>
      <c r="G1300" s="673"/>
    </row>
    <row r="1301" spans="1:7" ht="35.25" customHeight="1">
      <c r="A1301" s="1987" t="str">
        <f>+'LISTADO MATERIALES'!$C$338</f>
        <v>Loseta prefabricada en concreto,  e = 0,06 mts de 0,40 x 0,40 mts.COLOR NEGRO A RAYAS</v>
      </c>
      <c r="B1301" s="1967"/>
      <c r="C1301" s="674" t="str">
        <f>+'LISTADO MATERIALES'!$D$338</f>
        <v>M2</v>
      </c>
      <c r="D1301" s="675">
        <f>+'LISTADO MATERIALES'!$E$338</f>
        <v>36383</v>
      </c>
      <c r="E1301" s="674">
        <v>1.03</v>
      </c>
      <c r="F1301" s="442">
        <f t="shared" ref="F1301:F1303" si="95">+E1301*D1301</f>
        <v>37474.49</v>
      </c>
      <c r="G1301" s="676"/>
    </row>
    <row r="1302" spans="1:7" ht="13.5" customHeight="1">
      <c r="A1302" s="1995" t="str">
        <f>+'ANALISIS BASICOS'!$A$391</f>
        <v>MORTERO 1:6</v>
      </c>
      <c r="B1302" s="1611"/>
      <c r="C1302" s="444" t="str">
        <f>+'ANALISIS BASICOS'!$E$368</f>
        <v>M3</v>
      </c>
      <c r="D1302" s="464">
        <f>+'ANALISIS BASICOS'!$G$391</f>
        <v>323611</v>
      </c>
      <c r="E1302" s="444">
        <v>0.04</v>
      </c>
      <c r="F1302" s="440">
        <f t="shared" si="95"/>
        <v>12944.44</v>
      </c>
      <c r="G1302" s="707"/>
    </row>
    <row r="1303" spans="1:7" ht="13.5" customHeight="1">
      <c r="A1303" s="1995" t="str">
        <f>+'LISTADO MATERIALES'!$C$129</f>
        <v>ARENA</v>
      </c>
      <c r="B1303" s="1611"/>
      <c r="C1303" s="444" t="str">
        <f>+'LISTADO MATERIALES'!$D$129</f>
        <v>M3</v>
      </c>
      <c r="D1303" s="464">
        <f>+'LISTADO MATERIALES'!$E$129</f>
        <v>59450</v>
      </c>
      <c r="E1303" s="444">
        <v>0.03</v>
      </c>
      <c r="F1303" s="440">
        <f t="shared" si="95"/>
        <v>1783.5</v>
      </c>
      <c r="G1303" s="707"/>
    </row>
    <row r="1304" spans="1:7" ht="13.5" customHeight="1">
      <c r="A1304" s="1995"/>
      <c r="B1304" s="1611"/>
      <c r="C1304" s="444"/>
      <c r="D1304" s="464"/>
      <c r="E1304" s="444"/>
      <c r="F1304" s="464"/>
      <c r="G1304" s="707"/>
    </row>
    <row r="1305" spans="1:7" ht="13.5" customHeight="1">
      <c r="A1305" s="1995"/>
      <c r="B1305" s="1611"/>
      <c r="C1305" s="444"/>
      <c r="D1305" s="464"/>
      <c r="E1305" s="444"/>
      <c r="F1305" s="464"/>
      <c r="G1305" s="707"/>
    </row>
    <row r="1306" spans="1:7" ht="13.5" customHeight="1">
      <c r="A1306" s="2015" t="s">
        <v>1560</v>
      </c>
      <c r="B1306" s="1601"/>
      <c r="C1306" s="1601"/>
      <c r="D1306" s="1601"/>
      <c r="E1306" s="1601"/>
      <c r="F1306" s="1801"/>
      <c r="G1306" s="462">
        <f>SUM(F1301:F1305)</f>
        <v>52202.43</v>
      </c>
    </row>
    <row r="1307" spans="1:7" ht="13.5" customHeight="1">
      <c r="A1307" s="621" t="s">
        <v>1563</v>
      </c>
      <c r="B1307" s="618"/>
      <c r="C1307" s="618"/>
      <c r="D1307" s="618"/>
      <c r="E1307" s="618"/>
      <c r="F1307" s="618"/>
      <c r="G1307" s="743"/>
    </row>
    <row r="1308" spans="1:7" ht="13.5" customHeight="1">
      <c r="A1308" s="1975" t="s">
        <v>1556</v>
      </c>
      <c r="B1308" s="1801"/>
      <c r="C1308" s="424" t="s">
        <v>6</v>
      </c>
      <c r="D1308" s="424" t="s">
        <v>1562</v>
      </c>
      <c r="E1308" s="424" t="s">
        <v>7</v>
      </c>
      <c r="F1308" s="424" t="s">
        <v>1559</v>
      </c>
      <c r="G1308" s="438"/>
    </row>
    <row r="1309" spans="1:7" ht="13.5" customHeight="1">
      <c r="A1309" s="1987"/>
      <c r="B1309" s="1967"/>
      <c r="C1309" s="744"/>
      <c r="D1309" s="675"/>
      <c r="E1309" s="745"/>
      <c r="F1309" s="464"/>
      <c r="G1309" s="676"/>
    </row>
    <row r="1310" spans="1:7" ht="13.5" customHeight="1">
      <c r="A1310" s="1996"/>
      <c r="B1310" s="1819"/>
      <c r="C1310" s="744"/>
      <c r="D1310" s="434"/>
      <c r="E1310" s="746"/>
      <c r="F1310" s="434"/>
      <c r="G1310" s="457"/>
    </row>
    <row r="1311" spans="1:7" ht="13.5" customHeight="1">
      <c r="A1311" s="2015" t="s">
        <v>1560</v>
      </c>
      <c r="B1311" s="1601"/>
      <c r="C1311" s="1601"/>
      <c r="D1311" s="1601"/>
      <c r="E1311" s="1601"/>
      <c r="F1311" s="1801"/>
      <c r="G1311" s="462"/>
    </row>
    <row r="1312" spans="1:7" ht="13.5" customHeight="1">
      <c r="A1312" s="621" t="s">
        <v>1564</v>
      </c>
      <c r="B1312" s="618"/>
      <c r="C1312" s="618"/>
      <c r="D1312" s="618"/>
      <c r="E1312" s="618"/>
      <c r="F1312" s="618"/>
      <c r="G1312" s="743"/>
    </row>
    <row r="1313" spans="1:7" ht="13.5" customHeight="1">
      <c r="A1313" s="1975" t="s">
        <v>1565</v>
      </c>
      <c r="B1313" s="1801"/>
      <c r="C1313" s="424" t="s">
        <v>1566</v>
      </c>
      <c r="D1313" s="424" t="s">
        <v>6</v>
      </c>
      <c r="E1313" s="424" t="s">
        <v>7</v>
      </c>
      <c r="F1313" s="424" t="s">
        <v>1559</v>
      </c>
      <c r="G1313" s="462"/>
    </row>
    <row r="1314" spans="1:7" ht="13.5" customHeight="1">
      <c r="A1314" s="2004" t="str">
        <f>+'MANO DE OBRA'!$A$64</f>
        <v>Oficial (Incl. Prestaciones)</v>
      </c>
      <c r="B1314" s="1888"/>
      <c r="C1314" s="679">
        <f>+'MANO DE OBRA'!$E$64</f>
        <v>15031.25</v>
      </c>
      <c r="D1314" s="680">
        <v>1</v>
      </c>
      <c r="E1314" s="680">
        <v>0.4100834072822494</v>
      </c>
      <c r="F1314" s="694">
        <f t="shared" ref="F1314:F1315" si="96">+(C1314*D1314)*E1314</f>
        <v>6164.0662157113111</v>
      </c>
      <c r="G1314" s="676"/>
    </row>
    <row r="1315" spans="1:7" ht="13.5" customHeight="1">
      <c r="A1315" s="1984" t="str">
        <f>+'MANO DE OBRA'!$A$65</f>
        <v>Ayudante (Incl. Prestaciones)</v>
      </c>
      <c r="B1315" s="1819"/>
      <c r="C1315" s="747">
        <f>+'MANO DE OBRA'!$E$65</f>
        <v>10972.8125</v>
      </c>
      <c r="D1315" s="614">
        <v>1</v>
      </c>
      <c r="E1315" s="614">
        <f>+E1314</f>
        <v>0.4100834072822494</v>
      </c>
      <c r="F1315" s="455">
        <f t="shared" si="96"/>
        <v>4499.7683374692569</v>
      </c>
      <c r="G1315" s="709"/>
    </row>
    <row r="1316" spans="1:7" ht="13.5" customHeight="1">
      <c r="A1316" s="2015" t="str">
        <f>+A1311</f>
        <v>SUB-TOTAL</v>
      </c>
      <c r="B1316" s="1601"/>
      <c r="C1316" s="1601"/>
      <c r="D1316" s="1601"/>
      <c r="E1316" s="1601"/>
      <c r="F1316" s="1801"/>
      <c r="G1316" s="462">
        <f>SUM(F1314:F1315)</f>
        <v>10663.834553180568</v>
      </c>
    </row>
    <row r="1317" spans="1:7" ht="11.25" customHeight="1">
      <c r="A1317" s="618"/>
      <c r="B1317" s="618"/>
      <c r="C1317" s="618"/>
      <c r="D1317" s="618"/>
      <c r="E1317" s="618"/>
      <c r="F1317" s="748"/>
      <c r="G1317" s="743"/>
    </row>
    <row r="1318" spans="1:7" ht="13.5" customHeight="1">
      <c r="A1318" s="2015" t="s">
        <v>1567</v>
      </c>
      <c r="B1318" s="1601"/>
      <c r="C1318" s="1601"/>
      <c r="D1318" s="1601"/>
      <c r="E1318" s="1601"/>
      <c r="F1318" s="1801"/>
      <c r="G1318" s="459">
        <f>ROUND(G1298+G1306+G1311+G1316,0)</f>
        <v>64035</v>
      </c>
    </row>
    <row r="1319" spans="1:7" ht="13.5" customHeight="1">
      <c r="A1319" s="616"/>
      <c r="B1319" s="616"/>
      <c r="C1319" s="616"/>
      <c r="D1319" s="616"/>
      <c r="E1319" s="616"/>
      <c r="F1319" s="616"/>
      <c r="G1319" s="616"/>
    </row>
    <row r="1320" spans="1:7" ht="27" customHeight="1">
      <c r="A1320" s="2005" t="s">
        <v>1604</v>
      </c>
      <c r="B1320" s="1616"/>
      <c r="C1320" s="1624"/>
      <c r="D1320" s="567"/>
      <c r="E1320" s="567"/>
      <c r="F1320" s="567"/>
      <c r="G1320" s="668"/>
    </row>
    <row r="1321" spans="1:7" ht="24" customHeight="1">
      <c r="A1321" s="1971"/>
      <c r="B1321" s="1817"/>
      <c r="C1321" s="1972"/>
      <c r="D1321" s="669"/>
      <c r="E1321" s="669"/>
      <c r="F1321" s="669"/>
      <c r="G1321" s="670"/>
    </row>
    <row r="1322" spans="1:7" ht="13.5" customHeight="1">
      <c r="A1322" s="618"/>
      <c r="B1322" s="618"/>
      <c r="C1322" s="618"/>
      <c r="D1322" s="618"/>
      <c r="E1322" s="618"/>
      <c r="F1322" s="618"/>
      <c r="G1322" s="618"/>
    </row>
    <row r="1323" spans="1:7" ht="55.5" customHeight="1">
      <c r="A1323" s="1973" t="e">
        <f ca="1">A10</f>
        <v>#NAME?</v>
      </c>
      <c r="B1323" s="1601"/>
      <c r="C1323" s="1602"/>
      <c r="D1323" s="1974" t="s">
        <v>2455</v>
      </c>
      <c r="E1323" s="1601"/>
      <c r="F1323" s="1601"/>
      <c r="G1323" s="1602"/>
    </row>
    <row r="1324" spans="1:7" ht="13.5" customHeight="1">
      <c r="A1324" s="620"/>
      <c r="B1324" s="620"/>
      <c r="C1324" s="620"/>
      <c r="D1324" s="620"/>
      <c r="E1324" s="620"/>
      <c r="F1324" s="620"/>
      <c r="G1324" s="620"/>
    </row>
    <row r="1325" spans="1:7" ht="12.75" customHeight="1">
      <c r="A1325" s="572"/>
      <c r="B1325" s="618"/>
      <c r="C1325" s="616"/>
      <c r="D1325" s="421" t="s">
        <v>1553</v>
      </c>
      <c r="E1325" s="422" t="s">
        <v>228</v>
      </c>
      <c r="F1325" s="572"/>
      <c r="G1325" s="572"/>
    </row>
    <row r="1326" spans="1:7" ht="13.5" customHeight="1">
      <c r="A1326" s="621" t="s">
        <v>1555</v>
      </c>
      <c r="B1326" s="618"/>
      <c r="C1326" s="618"/>
      <c r="D1326" s="618"/>
      <c r="E1326" s="618"/>
      <c r="F1326" s="618"/>
      <c r="G1326" s="618"/>
    </row>
    <row r="1327" spans="1:7" ht="13.5" customHeight="1">
      <c r="A1327" s="1975" t="s">
        <v>1556</v>
      </c>
      <c r="B1327" s="1601"/>
      <c r="C1327" s="1801"/>
      <c r="D1327" s="424" t="s">
        <v>208</v>
      </c>
      <c r="E1327" s="424" t="s">
        <v>1558</v>
      </c>
      <c r="F1327" s="424" t="s">
        <v>1559</v>
      </c>
      <c r="G1327" s="425"/>
    </row>
    <row r="1328" spans="1:7" ht="13.5" customHeight="1">
      <c r="A1328" s="1987" t="str">
        <f>+'LISTADO EQUIPOS'!$C$22</f>
        <v>HERRAMIENTA MENOR.</v>
      </c>
      <c r="B1328" s="1811"/>
      <c r="C1328" s="1967"/>
      <c r="D1328" s="675">
        <f>+'LISTADO EQUIPOS'!$E$22/8</f>
        <v>2850</v>
      </c>
      <c r="E1328" s="687">
        <f>+E1346</f>
        <v>0.33919962396011694</v>
      </c>
      <c r="F1328" s="442">
        <f>+E1328*D1328</f>
        <v>966.71892828633327</v>
      </c>
      <c r="G1328" s="688"/>
    </row>
    <row r="1329" spans="1:7" ht="13.5" customHeight="1">
      <c r="A1329" s="1996"/>
      <c r="B1329" s="1807"/>
      <c r="C1329" s="1819"/>
      <c r="D1329" s="434"/>
      <c r="E1329" s="758"/>
      <c r="F1329" s="434"/>
      <c r="G1329" s="435"/>
    </row>
    <row r="1330" spans="1:7" ht="13.5" customHeight="1">
      <c r="A1330" s="2015" t="s">
        <v>1560</v>
      </c>
      <c r="B1330" s="1601"/>
      <c r="C1330" s="1601"/>
      <c r="D1330" s="1601"/>
      <c r="E1330" s="1601"/>
      <c r="F1330" s="1801"/>
      <c r="G1330" s="462">
        <f>SUM(F1328:F1329)</f>
        <v>966.71892828633327</v>
      </c>
    </row>
    <row r="1331" spans="1:7" ht="13.5" customHeight="1">
      <c r="A1331" s="621" t="s">
        <v>1561</v>
      </c>
      <c r="B1331" s="618"/>
      <c r="C1331" s="618"/>
      <c r="D1331" s="618"/>
      <c r="E1331" s="618"/>
      <c r="F1331" s="618"/>
      <c r="G1331" s="743"/>
    </row>
    <row r="1332" spans="1:7" ht="13.5" customHeight="1">
      <c r="A1332" s="1975" t="s">
        <v>1556</v>
      </c>
      <c r="B1332" s="1801"/>
      <c r="C1332" s="424" t="s">
        <v>6</v>
      </c>
      <c r="D1332" s="424" t="s">
        <v>1562</v>
      </c>
      <c r="E1332" s="424" t="s">
        <v>7</v>
      </c>
      <c r="F1332" s="424" t="s">
        <v>1559</v>
      </c>
      <c r="G1332" s="673"/>
    </row>
    <row r="1333" spans="1:7" ht="35.25" customHeight="1">
      <c r="A1333" s="1987" t="str">
        <f>+'LISTADO MATERIALES'!$C$340</f>
        <v>Loseta prefabricada en concreto,  e = 0,06 mts de 0,40 x 0,40 mts.COLOR AZUL A RAYAS</v>
      </c>
      <c r="B1333" s="1967"/>
      <c r="C1333" s="674" t="str">
        <f>+'LISTADO MATERIALES'!$D$340</f>
        <v>M2</v>
      </c>
      <c r="D1333" s="675">
        <f>+'LISTADO MATERIALES'!$E$340</f>
        <v>53960</v>
      </c>
      <c r="E1333" s="674">
        <v>1.03</v>
      </c>
      <c r="F1333" s="442">
        <f t="shared" ref="F1333:F1335" si="97">+E1333*D1333</f>
        <v>55578.8</v>
      </c>
      <c r="G1333" s="676"/>
    </row>
    <row r="1334" spans="1:7" ht="13.5" customHeight="1">
      <c r="A1334" s="1995" t="str">
        <f>+'ANALISIS BASICOS'!$A$391</f>
        <v>MORTERO 1:6</v>
      </c>
      <c r="B1334" s="1611"/>
      <c r="C1334" s="444" t="str">
        <f>+'ANALISIS BASICOS'!$E$368</f>
        <v>M3</v>
      </c>
      <c r="D1334" s="464">
        <f>+'ANALISIS BASICOS'!$G$391</f>
        <v>323611</v>
      </c>
      <c r="E1334" s="444">
        <v>0.04</v>
      </c>
      <c r="F1334" s="440">
        <f t="shared" si="97"/>
        <v>12944.44</v>
      </c>
      <c r="G1334" s="707"/>
    </row>
    <row r="1335" spans="1:7" ht="13.5" customHeight="1">
      <c r="A1335" s="1995" t="str">
        <f>+'LISTADO MATERIALES'!$C$129</f>
        <v>ARENA</v>
      </c>
      <c r="B1335" s="1611"/>
      <c r="C1335" s="444" t="str">
        <f>+'LISTADO MATERIALES'!$D$129</f>
        <v>M3</v>
      </c>
      <c r="D1335" s="464">
        <f>+'LISTADO MATERIALES'!$E$129</f>
        <v>59450</v>
      </c>
      <c r="E1335" s="444">
        <v>0.03</v>
      </c>
      <c r="F1335" s="440">
        <f t="shared" si="97"/>
        <v>1783.5</v>
      </c>
      <c r="G1335" s="707"/>
    </row>
    <row r="1336" spans="1:7" ht="13.5" customHeight="1">
      <c r="A1336" s="1995"/>
      <c r="B1336" s="1611"/>
      <c r="C1336" s="444"/>
      <c r="D1336" s="464"/>
      <c r="E1336" s="444"/>
      <c r="F1336" s="464"/>
      <c r="G1336" s="707"/>
    </row>
    <row r="1337" spans="1:7" ht="13.5" customHeight="1">
      <c r="A1337" s="1995"/>
      <c r="B1337" s="1611"/>
      <c r="C1337" s="444"/>
      <c r="D1337" s="464"/>
      <c r="E1337" s="444"/>
      <c r="F1337" s="464"/>
      <c r="G1337" s="707"/>
    </row>
    <row r="1338" spans="1:7" ht="13.5" customHeight="1">
      <c r="A1338" s="2015" t="s">
        <v>1560</v>
      </c>
      <c r="B1338" s="1601"/>
      <c r="C1338" s="1601"/>
      <c r="D1338" s="1601"/>
      <c r="E1338" s="1601"/>
      <c r="F1338" s="1801"/>
      <c r="G1338" s="462">
        <f>SUM(F1333:F1337)</f>
        <v>70306.740000000005</v>
      </c>
    </row>
    <row r="1339" spans="1:7" ht="13.5" customHeight="1">
      <c r="A1339" s="621" t="s">
        <v>1563</v>
      </c>
      <c r="B1339" s="618"/>
      <c r="C1339" s="618"/>
      <c r="D1339" s="618"/>
      <c r="E1339" s="618"/>
      <c r="F1339" s="618"/>
      <c r="G1339" s="743"/>
    </row>
    <row r="1340" spans="1:7" ht="13.5" customHeight="1">
      <c r="A1340" s="1975" t="s">
        <v>1556</v>
      </c>
      <c r="B1340" s="1801"/>
      <c r="C1340" s="424" t="s">
        <v>6</v>
      </c>
      <c r="D1340" s="424" t="s">
        <v>1562</v>
      </c>
      <c r="E1340" s="424" t="s">
        <v>7</v>
      </c>
      <c r="F1340" s="424" t="s">
        <v>1559</v>
      </c>
      <c r="G1340" s="438"/>
    </row>
    <row r="1341" spans="1:7" ht="13.5" customHeight="1">
      <c r="A1341" s="1987"/>
      <c r="B1341" s="1967"/>
      <c r="C1341" s="744"/>
      <c r="D1341" s="675"/>
      <c r="E1341" s="745"/>
      <c r="F1341" s="464"/>
      <c r="G1341" s="676"/>
    </row>
    <row r="1342" spans="1:7" ht="13.5" customHeight="1">
      <c r="A1342" s="1996"/>
      <c r="B1342" s="1819"/>
      <c r="C1342" s="744"/>
      <c r="D1342" s="434"/>
      <c r="E1342" s="746"/>
      <c r="F1342" s="434"/>
      <c r="G1342" s="457"/>
    </row>
    <row r="1343" spans="1:7" ht="13.5" customHeight="1">
      <c r="A1343" s="2015" t="s">
        <v>1560</v>
      </c>
      <c r="B1343" s="1601"/>
      <c r="C1343" s="1601"/>
      <c r="D1343" s="1601"/>
      <c r="E1343" s="1601"/>
      <c r="F1343" s="1801"/>
      <c r="G1343" s="462"/>
    </row>
    <row r="1344" spans="1:7" ht="13.5" customHeight="1">
      <c r="A1344" s="621" t="s">
        <v>1564</v>
      </c>
      <c r="B1344" s="618"/>
      <c r="C1344" s="618"/>
      <c r="D1344" s="618"/>
      <c r="E1344" s="618"/>
      <c r="F1344" s="618"/>
      <c r="G1344" s="743"/>
    </row>
    <row r="1345" spans="1:7" ht="13.5" customHeight="1">
      <c r="A1345" s="1975" t="s">
        <v>1565</v>
      </c>
      <c r="B1345" s="1801"/>
      <c r="C1345" s="424" t="s">
        <v>1566</v>
      </c>
      <c r="D1345" s="424" t="s">
        <v>6</v>
      </c>
      <c r="E1345" s="424" t="s">
        <v>7</v>
      </c>
      <c r="F1345" s="424" t="s">
        <v>1559</v>
      </c>
      <c r="G1345" s="462"/>
    </row>
    <row r="1346" spans="1:7" ht="13.5" customHeight="1">
      <c r="A1346" s="2004" t="str">
        <f>+'MANO DE OBRA'!$A$64</f>
        <v>Oficial (Incl. Prestaciones)</v>
      </c>
      <c r="B1346" s="1888"/>
      <c r="C1346" s="679">
        <f>+'MANO DE OBRA'!$E$64</f>
        <v>15031.25</v>
      </c>
      <c r="D1346" s="680">
        <v>1</v>
      </c>
      <c r="E1346" s="680">
        <v>0.33919962396011694</v>
      </c>
      <c r="F1346" s="694">
        <f t="shared" ref="F1346:F1347" si="98">+(C1346*D1346)*E1346</f>
        <v>5098.5943476505081</v>
      </c>
      <c r="G1346" s="676"/>
    </row>
    <row r="1347" spans="1:7" ht="13.5" customHeight="1">
      <c r="A1347" s="1984" t="str">
        <f>+'MANO DE OBRA'!$A$65</f>
        <v>Ayudante (Incl. Prestaciones)</v>
      </c>
      <c r="B1347" s="1819"/>
      <c r="C1347" s="747">
        <f>+'MANO DE OBRA'!$E$65</f>
        <v>10972.8125</v>
      </c>
      <c r="D1347" s="614">
        <v>1</v>
      </c>
      <c r="E1347" s="614">
        <f>+E1346</f>
        <v>0.33919962396011694</v>
      </c>
      <c r="F1347" s="455">
        <f t="shared" si="98"/>
        <v>3721.9738737848706</v>
      </c>
      <c r="G1347" s="709"/>
    </row>
    <row r="1348" spans="1:7" ht="13.5" customHeight="1">
      <c r="A1348" s="2015" t="str">
        <f>+A1343</f>
        <v>SUB-TOTAL</v>
      </c>
      <c r="B1348" s="1601"/>
      <c r="C1348" s="1601"/>
      <c r="D1348" s="1601"/>
      <c r="E1348" s="1601"/>
      <c r="F1348" s="1801"/>
      <c r="G1348" s="462">
        <f>SUM(F1346:F1347)</f>
        <v>8820.5682214353783</v>
      </c>
    </row>
    <row r="1349" spans="1:7" ht="11.25" customHeight="1">
      <c r="A1349" s="618"/>
      <c r="B1349" s="618"/>
      <c r="C1349" s="618"/>
      <c r="D1349" s="618"/>
      <c r="E1349" s="618"/>
      <c r="F1349" s="748"/>
      <c r="G1349" s="743"/>
    </row>
    <row r="1350" spans="1:7" ht="13.5" customHeight="1">
      <c r="A1350" s="2015" t="s">
        <v>1567</v>
      </c>
      <c r="B1350" s="1601"/>
      <c r="C1350" s="1601"/>
      <c r="D1350" s="1601"/>
      <c r="E1350" s="1601"/>
      <c r="F1350" s="1801"/>
      <c r="G1350" s="459">
        <f>ROUND(G1330+G1338+G1343+G1348,0)</f>
        <v>80094</v>
      </c>
    </row>
    <row r="1351" spans="1:7" ht="13.5" customHeight="1">
      <c r="A1351" s="616"/>
      <c r="B1351" s="616"/>
      <c r="C1351" s="616"/>
      <c r="D1351" s="616"/>
      <c r="E1351" s="616"/>
      <c r="F1351" s="616"/>
      <c r="G1351" s="616"/>
    </row>
    <row r="1352" spans="1:7" ht="27" customHeight="1">
      <c r="A1352" s="2005" t="s">
        <v>1604</v>
      </c>
      <c r="B1352" s="1616"/>
      <c r="C1352" s="1624"/>
      <c r="D1352" s="567"/>
      <c r="E1352" s="567"/>
      <c r="F1352" s="567"/>
      <c r="G1352" s="668"/>
    </row>
    <row r="1353" spans="1:7" ht="24" customHeight="1">
      <c r="A1353" s="1971"/>
      <c r="B1353" s="1817"/>
      <c r="C1353" s="1972"/>
      <c r="D1353" s="669"/>
      <c r="E1353" s="669"/>
      <c r="F1353" s="669"/>
      <c r="G1353" s="670"/>
    </row>
    <row r="1354" spans="1:7" ht="13.5" customHeight="1">
      <c r="A1354" s="618"/>
      <c r="B1354" s="618"/>
      <c r="C1354" s="618"/>
      <c r="D1354" s="618"/>
      <c r="E1354" s="618"/>
      <c r="F1354" s="618"/>
      <c r="G1354" s="618"/>
    </row>
    <row r="1355" spans="1:7" ht="57" customHeight="1">
      <c r="A1355" s="1973" t="e">
        <f ca="1">A10</f>
        <v>#NAME?</v>
      </c>
      <c r="B1355" s="1601"/>
      <c r="C1355" s="1602"/>
      <c r="D1355" s="1974" t="s">
        <v>2456</v>
      </c>
      <c r="E1355" s="1601"/>
      <c r="F1355" s="1601"/>
      <c r="G1355" s="1602"/>
    </row>
    <row r="1356" spans="1:7" ht="13.5" customHeight="1">
      <c r="A1356" s="620"/>
      <c r="B1356" s="620"/>
      <c r="C1356" s="620"/>
      <c r="D1356" s="620"/>
      <c r="E1356" s="620"/>
      <c r="F1356" s="620"/>
      <c r="G1356" s="620"/>
    </row>
    <row r="1357" spans="1:7" ht="12.75" customHeight="1">
      <c r="A1357" s="572"/>
      <c r="B1357" s="618"/>
      <c r="C1357" s="616"/>
      <c r="D1357" s="421" t="s">
        <v>1553</v>
      </c>
      <c r="E1357" s="422" t="s">
        <v>228</v>
      </c>
      <c r="F1357" s="572"/>
      <c r="G1357" s="572"/>
    </row>
    <row r="1358" spans="1:7" ht="13.5" customHeight="1">
      <c r="A1358" s="621" t="s">
        <v>1555</v>
      </c>
      <c r="B1358" s="618"/>
      <c r="C1358" s="618"/>
      <c r="D1358" s="618"/>
      <c r="E1358" s="618"/>
      <c r="F1358" s="618"/>
      <c r="G1358" s="618"/>
    </row>
    <row r="1359" spans="1:7" ht="13.5" customHeight="1">
      <c r="A1359" s="1975" t="s">
        <v>1556</v>
      </c>
      <c r="B1359" s="1601"/>
      <c r="C1359" s="1801"/>
      <c r="D1359" s="424" t="s">
        <v>208</v>
      </c>
      <c r="E1359" s="424" t="s">
        <v>1558</v>
      </c>
      <c r="F1359" s="424" t="s">
        <v>1559</v>
      </c>
      <c r="G1359" s="425"/>
    </row>
    <row r="1360" spans="1:7" ht="13.5" customHeight="1">
      <c r="A1360" s="1987" t="str">
        <f>+'LISTADO EQUIPOS'!$C$22</f>
        <v>HERRAMIENTA MENOR.</v>
      </c>
      <c r="B1360" s="1811"/>
      <c r="C1360" s="1967"/>
      <c r="D1360" s="675">
        <f>+'LISTADO EQUIPOS'!$E$22/8</f>
        <v>2850</v>
      </c>
      <c r="E1360" s="687">
        <f>+E1378</f>
        <v>0.33919962396011694</v>
      </c>
      <c r="F1360" s="442">
        <f>+E1360*D1360</f>
        <v>966.71892828633327</v>
      </c>
      <c r="G1360" s="688"/>
    </row>
    <row r="1361" spans="1:7" ht="13.5" customHeight="1">
      <c r="A1361" s="1996"/>
      <c r="B1361" s="1807"/>
      <c r="C1361" s="1819"/>
      <c r="D1361" s="434"/>
      <c r="E1361" s="758"/>
      <c r="F1361" s="434"/>
      <c r="G1361" s="435"/>
    </row>
    <row r="1362" spans="1:7" ht="13.5" customHeight="1">
      <c r="A1362" s="2015" t="s">
        <v>1560</v>
      </c>
      <c r="B1362" s="1601"/>
      <c r="C1362" s="1601"/>
      <c r="D1362" s="1601"/>
      <c r="E1362" s="1601"/>
      <c r="F1362" s="1801"/>
      <c r="G1362" s="462">
        <f>SUM(F1360:F1361)</f>
        <v>966.71892828633327</v>
      </c>
    </row>
    <row r="1363" spans="1:7" ht="13.5" customHeight="1">
      <c r="A1363" s="621" t="s">
        <v>1561</v>
      </c>
      <c r="B1363" s="618"/>
      <c r="C1363" s="618"/>
      <c r="D1363" s="618"/>
      <c r="E1363" s="618"/>
      <c r="F1363" s="618"/>
      <c r="G1363" s="618"/>
    </row>
    <row r="1364" spans="1:7" ht="13.5" customHeight="1">
      <c r="A1364" s="1975" t="s">
        <v>1556</v>
      </c>
      <c r="B1364" s="1801"/>
      <c r="C1364" s="424" t="s">
        <v>6</v>
      </c>
      <c r="D1364" s="424" t="s">
        <v>1562</v>
      </c>
      <c r="E1364" s="424" t="s">
        <v>7</v>
      </c>
      <c r="F1364" s="424" t="s">
        <v>1559</v>
      </c>
      <c r="G1364" s="425"/>
    </row>
    <row r="1365" spans="1:7" ht="35.25" customHeight="1">
      <c r="A1365" s="1987" t="str">
        <f>+'LISTADO MATERIALES'!$C$341</f>
        <v>Loseta prefabricada en concreto,  e = 0,06 mts de 0,40 x 0,40 mts.COLOR OCRE a Rayas.</v>
      </c>
      <c r="B1365" s="1967"/>
      <c r="C1365" s="674" t="str">
        <f>+'LISTADO MATERIALES'!$D$341</f>
        <v>M2</v>
      </c>
      <c r="D1365" s="675">
        <f>+'LISTADO MATERIALES'!$E$341</f>
        <v>47250</v>
      </c>
      <c r="E1365" s="674">
        <v>1.03</v>
      </c>
      <c r="F1365" s="442">
        <f t="shared" ref="F1365:F1367" si="99">+E1365*D1365</f>
        <v>48667.5</v>
      </c>
      <c r="G1365" s="688"/>
    </row>
    <row r="1366" spans="1:7" ht="13.5" customHeight="1">
      <c r="A1366" s="1995" t="str">
        <f>+'ANALISIS BASICOS'!$A$391</f>
        <v>MORTERO 1:6</v>
      </c>
      <c r="B1366" s="1611"/>
      <c r="C1366" s="444" t="str">
        <f>+'ANALISIS BASICOS'!$E$368</f>
        <v>M3</v>
      </c>
      <c r="D1366" s="464">
        <f>+'ANALISIS BASICOS'!$G$391</f>
        <v>323611</v>
      </c>
      <c r="E1366" s="444">
        <v>0.04</v>
      </c>
      <c r="F1366" s="440">
        <f t="shared" si="99"/>
        <v>12944.44</v>
      </c>
      <c r="G1366" s="751"/>
    </row>
    <row r="1367" spans="1:7" ht="13.5" customHeight="1">
      <c r="A1367" s="1995" t="str">
        <f>+'LISTADO MATERIALES'!$C$129</f>
        <v>ARENA</v>
      </c>
      <c r="B1367" s="1611"/>
      <c r="C1367" s="444" t="str">
        <f>+'LISTADO MATERIALES'!$D$129</f>
        <v>M3</v>
      </c>
      <c r="D1367" s="464">
        <f>+'LISTADO MATERIALES'!$E$129</f>
        <v>59450</v>
      </c>
      <c r="E1367" s="444">
        <v>0.03</v>
      </c>
      <c r="F1367" s="440">
        <f t="shared" si="99"/>
        <v>1783.5</v>
      </c>
      <c r="G1367" s="751"/>
    </row>
    <row r="1368" spans="1:7" ht="13.5" customHeight="1">
      <c r="A1368" s="1995"/>
      <c r="B1368" s="1611"/>
      <c r="C1368" s="444"/>
      <c r="D1368" s="464"/>
      <c r="E1368" s="444"/>
      <c r="F1368" s="464"/>
      <c r="G1368" s="751"/>
    </row>
    <row r="1369" spans="1:7" ht="13.5" customHeight="1">
      <c r="A1369" s="1995"/>
      <c r="B1369" s="1611"/>
      <c r="C1369" s="444"/>
      <c r="D1369" s="464"/>
      <c r="E1369" s="444"/>
      <c r="F1369" s="464"/>
      <c r="G1369" s="751"/>
    </row>
    <row r="1370" spans="1:7" ht="13.5" customHeight="1">
      <c r="A1370" s="2015" t="s">
        <v>1560</v>
      </c>
      <c r="B1370" s="1601"/>
      <c r="C1370" s="1601"/>
      <c r="D1370" s="1601"/>
      <c r="E1370" s="1601"/>
      <c r="F1370" s="1801"/>
      <c r="G1370" s="462">
        <f>SUM(F1365:F1369)</f>
        <v>63395.44</v>
      </c>
    </row>
    <row r="1371" spans="1:7" ht="13.5" customHeight="1">
      <c r="A1371" s="621" t="s">
        <v>1563</v>
      </c>
      <c r="B1371" s="618"/>
      <c r="C1371" s="618"/>
      <c r="D1371" s="618"/>
      <c r="E1371" s="618"/>
      <c r="F1371" s="618"/>
      <c r="G1371" s="618"/>
    </row>
    <row r="1372" spans="1:7" ht="13.5" customHeight="1">
      <c r="A1372" s="1975" t="s">
        <v>1556</v>
      </c>
      <c r="B1372" s="1801"/>
      <c r="C1372" s="424" t="s">
        <v>6</v>
      </c>
      <c r="D1372" s="424" t="s">
        <v>1562</v>
      </c>
      <c r="E1372" s="424" t="s">
        <v>7</v>
      </c>
      <c r="F1372" s="424" t="s">
        <v>1559</v>
      </c>
      <c r="G1372" s="690"/>
    </row>
    <row r="1373" spans="1:7" ht="13.5" customHeight="1">
      <c r="A1373" s="1987"/>
      <c r="B1373" s="1967"/>
      <c r="C1373" s="744"/>
      <c r="D1373" s="675"/>
      <c r="E1373" s="745"/>
      <c r="F1373" s="464"/>
      <c r="G1373" s="688"/>
    </row>
    <row r="1374" spans="1:7" ht="13.5" customHeight="1">
      <c r="A1374" s="1996"/>
      <c r="B1374" s="1819"/>
      <c r="C1374" s="744"/>
      <c r="D1374" s="434"/>
      <c r="E1374" s="746"/>
      <c r="F1374" s="434"/>
      <c r="G1374" s="768"/>
    </row>
    <row r="1375" spans="1:7" ht="13.5" customHeight="1">
      <c r="A1375" s="2015" t="s">
        <v>1560</v>
      </c>
      <c r="B1375" s="1601"/>
      <c r="C1375" s="1601"/>
      <c r="D1375" s="1601"/>
      <c r="E1375" s="1601"/>
      <c r="F1375" s="1801"/>
      <c r="G1375" s="769"/>
    </row>
    <row r="1376" spans="1:7" ht="13.5" customHeight="1">
      <c r="A1376" s="621" t="s">
        <v>1564</v>
      </c>
      <c r="B1376" s="618"/>
      <c r="C1376" s="618"/>
      <c r="D1376" s="618"/>
      <c r="E1376" s="618"/>
      <c r="F1376" s="618"/>
      <c r="G1376" s="618"/>
    </row>
    <row r="1377" spans="1:7" ht="13.5" customHeight="1">
      <c r="A1377" s="1975" t="s">
        <v>1565</v>
      </c>
      <c r="B1377" s="1801"/>
      <c r="C1377" s="424" t="s">
        <v>1566</v>
      </c>
      <c r="D1377" s="424" t="s">
        <v>6</v>
      </c>
      <c r="E1377" s="424" t="s">
        <v>7</v>
      </c>
      <c r="F1377" s="424" t="s">
        <v>1559</v>
      </c>
      <c r="G1377" s="693"/>
    </row>
    <row r="1378" spans="1:7" ht="13.5" customHeight="1">
      <c r="A1378" s="2004" t="str">
        <f>+'MANO DE OBRA'!$A$64</f>
        <v>Oficial (Incl. Prestaciones)</v>
      </c>
      <c r="B1378" s="1888"/>
      <c r="C1378" s="679">
        <f>+'MANO DE OBRA'!$E$64</f>
        <v>15031.25</v>
      </c>
      <c r="D1378" s="680">
        <v>1</v>
      </c>
      <c r="E1378" s="680">
        <v>0.33919962396011694</v>
      </c>
      <c r="F1378" s="694">
        <f t="shared" ref="F1378:F1379" si="100">+(C1378*D1378)*E1378</f>
        <v>5098.5943476505081</v>
      </c>
      <c r="G1378" s="688"/>
    </row>
    <row r="1379" spans="1:7" ht="13.5" customHeight="1">
      <c r="A1379" s="1984" t="str">
        <f>+'MANO DE OBRA'!$A$65</f>
        <v>Ayudante (Incl. Prestaciones)</v>
      </c>
      <c r="B1379" s="1819"/>
      <c r="C1379" s="747">
        <f>+'MANO DE OBRA'!$E$65</f>
        <v>10972.8125</v>
      </c>
      <c r="D1379" s="614">
        <v>1</v>
      </c>
      <c r="E1379" s="614">
        <f>+E1378</f>
        <v>0.33919962396011694</v>
      </c>
      <c r="F1379" s="455">
        <f t="shared" si="100"/>
        <v>3721.9738737848706</v>
      </c>
      <c r="G1379" s="435"/>
    </row>
    <row r="1380" spans="1:7" ht="13.5" customHeight="1">
      <c r="A1380" s="2015" t="str">
        <f>+A1375</f>
        <v>SUB-TOTAL</v>
      </c>
      <c r="B1380" s="1601"/>
      <c r="C1380" s="1601"/>
      <c r="D1380" s="1601"/>
      <c r="E1380" s="1601"/>
      <c r="F1380" s="1801"/>
      <c r="G1380" s="462">
        <f>SUM(F1378:F1379)</f>
        <v>8820.5682214353783</v>
      </c>
    </row>
    <row r="1381" spans="1:7" ht="11.25" customHeight="1">
      <c r="A1381" s="618"/>
      <c r="B1381" s="618"/>
      <c r="C1381" s="618"/>
      <c r="D1381" s="618"/>
      <c r="E1381" s="618"/>
      <c r="F1381" s="748"/>
      <c r="G1381" s="743"/>
    </row>
    <row r="1382" spans="1:7" ht="13.5" customHeight="1">
      <c r="A1382" s="2015" t="s">
        <v>1567</v>
      </c>
      <c r="B1382" s="1601"/>
      <c r="C1382" s="1601"/>
      <c r="D1382" s="1601"/>
      <c r="E1382" s="1601"/>
      <c r="F1382" s="1801"/>
      <c r="G1382" s="459">
        <f>ROUND(G1362+G1370+G1375+G1380,0)</f>
        <v>73183</v>
      </c>
    </row>
    <row r="1383" spans="1:7" ht="13.5" customHeight="1">
      <c r="A1383" s="616"/>
      <c r="B1383" s="616"/>
      <c r="C1383" s="616"/>
      <c r="D1383" s="616"/>
      <c r="E1383" s="616"/>
      <c r="F1383" s="616"/>
      <c r="G1383" s="616"/>
    </row>
    <row r="1384" spans="1:7" ht="27" customHeight="1">
      <c r="A1384" s="2005" t="s">
        <v>1604</v>
      </c>
      <c r="B1384" s="1616"/>
      <c r="C1384" s="1624"/>
      <c r="D1384" s="567"/>
      <c r="E1384" s="567"/>
      <c r="F1384" s="567"/>
      <c r="G1384" s="668"/>
    </row>
    <row r="1385" spans="1:7" ht="24" customHeight="1">
      <c r="A1385" s="1971"/>
      <c r="B1385" s="1817"/>
      <c r="C1385" s="1972"/>
      <c r="D1385" s="669"/>
      <c r="E1385" s="669"/>
      <c r="F1385" s="669"/>
      <c r="G1385" s="670"/>
    </row>
    <row r="1386" spans="1:7" ht="13.5" customHeight="1">
      <c r="A1386" s="618"/>
      <c r="B1386" s="618"/>
      <c r="C1386" s="618"/>
      <c r="D1386" s="618"/>
      <c r="E1386" s="618"/>
      <c r="F1386" s="618"/>
      <c r="G1386" s="618"/>
    </row>
    <row r="1387" spans="1:7" ht="45" customHeight="1">
      <c r="A1387" s="1973" t="e">
        <f ca="1">A10</f>
        <v>#NAME?</v>
      </c>
      <c r="B1387" s="1601"/>
      <c r="C1387" s="1602"/>
      <c r="D1387" s="1974" t="s">
        <v>2457</v>
      </c>
      <c r="E1387" s="1601"/>
      <c r="F1387" s="1601"/>
      <c r="G1387" s="1602"/>
    </row>
    <row r="1388" spans="1:7" ht="13.5" customHeight="1">
      <c r="A1388" s="620"/>
      <c r="B1388" s="620"/>
      <c r="C1388" s="620"/>
      <c r="D1388" s="620"/>
      <c r="E1388" s="620"/>
      <c r="F1388" s="620"/>
      <c r="G1388" s="620"/>
    </row>
    <row r="1389" spans="1:7" ht="12.75" customHeight="1">
      <c r="A1389" s="572"/>
      <c r="B1389" s="618"/>
      <c r="C1389" s="616"/>
      <c r="D1389" s="421" t="s">
        <v>1553</v>
      </c>
      <c r="E1389" s="422" t="s">
        <v>228</v>
      </c>
      <c r="F1389" s="572"/>
      <c r="G1389" s="572"/>
    </row>
    <row r="1390" spans="1:7" ht="13.5" customHeight="1">
      <c r="A1390" s="621" t="s">
        <v>1555</v>
      </c>
      <c r="B1390" s="618"/>
      <c r="C1390" s="618"/>
      <c r="D1390" s="618"/>
      <c r="E1390" s="618"/>
      <c r="F1390" s="618"/>
      <c r="G1390" s="618"/>
    </row>
    <row r="1391" spans="1:7" ht="13.5" customHeight="1">
      <c r="A1391" s="1975" t="s">
        <v>1556</v>
      </c>
      <c r="B1391" s="1601"/>
      <c r="C1391" s="1801"/>
      <c r="D1391" s="424" t="s">
        <v>208</v>
      </c>
      <c r="E1391" s="424" t="s">
        <v>1558</v>
      </c>
      <c r="F1391" s="424" t="s">
        <v>1559</v>
      </c>
      <c r="G1391" s="425"/>
    </row>
    <row r="1392" spans="1:7" ht="13.5" customHeight="1">
      <c r="A1392" s="1987" t="str">
        <f>+'LISTADO EQUIPOS'!$C$22</f>
        <v>HERRAMIENTA MENOR.</v>
      </c>
      <c r="B1392" s="1811"/>
      <c r="C1392" s="1967"/>
      <c r="D1392" s="675">
        <f>+'LISTADO EQUIPOS'!$E$22/8</f>
        <v>2850</v>
      </c>
      <c r="E1392" s="687">
        <f>+E1410</f>
        <v>0.33681800957912034</v>
      </c>
      <c r="F1392" s="442">
        <f>+E1392*D1392</f>
        <v>959.93132730049297</v>
      </c>
      <c r="G1392" s="688"/>
    </row>
    <row r="1393" spans="1:7" ht="13.5" customHeight="1">
      <c r="A1393" s="1996"/>
      <c r="B1393" s="1807"/>
      <c r="C1393" s="1819"/>
      <c r="D1393" s="434"/>
      <c r="E1393" s="758"/>
      <c r="F1393" s="434"/>
      <c r="G1393" s="435"/>
    </row>
    <row r="1394" spans="1:7" ht="13.5" customHeight="1">
      <c r="A1394" s="2015" t="s">
        <v>1560</v>
      </c>
      <c r="B1394" s="1601"/>
      <c r="C1394" s="1601"/>
      <c r="D1394" s="1601"/>
      <c r="E1394" s="1601"/>
      <c r="F1394" s="1801"/>
      <c r="G1394" s="462">
        <f>SUM(F1392:F1393)</f>
        <v>959.93132730049297</v>
      </c>
    </row>
    <row r="1395" spans="1:7" ht="13.5" customHeight="1">
      <c r="A1395" s="621" t="s">
        <v>1561</v>
      </c>
      <c r="B1395" s="618"/>
      <c r="C1395" s="618"/>
      <c r="D1395" s="618"/>
      <c r="E1395" s="618"/>
      <c r="F1395" s="618"/>
      <c r="G1395" s="743"/>
    </row>
    <row r="1396" spans="1:7" ht="13.5" customHeight="1">
      <c r="A1396" s="1975" t="s">
        <v>1556</v>
      </c>
      <c r="B1396" s="1801"/>
      <c r="C1396" s="424" t="s">
        <v>6</v>
      </c>
      <c r="D1396" s="424" t="s">
        <v>1562</v>
      </c>
      <c r="E1396" s="424" t="s">
        <v>7</v>
      </c>
      <c r="F1396" s="424" t="s">
        <v>1559</v>
      </c>
      <c r="G1396" s="673"/>
    </row>
    <row r="1397" spans="1:7" ht="35.25" customHeight="1">
      <c r="A1397" s="1987" t="str">
        <f>+'LISTADO MATERIALES'!$C$342</f>
        <v>Loseta prefabricada en concreto,  e = 0,06 mts de 0,40 x 0,40 mts.COLOR VERDE A RAYAS</v>
      </c>
      <c r="B1397" s="1967"/>
      <c r="C1397" s="674" t="str">
        <f>+'LISTADO MATERIALES'!$D$342</f>
        <v>M2</v>
      </c>
      <c r="D1397" s="675">
        <f>+'LISTADO MATERIALES'!$E$342</f>
        <v>48510</v>
      </c>
      <c r="E1397" s="674">
        <v>1.03</v>
      </c>
      <c r="F1397" s="442">
        <f t="shared" ref="F1397:F1399" si="101">+E1397*D1397</f>
        <v>49965.3</v>
      </c>
      <c r="G1397" s="676"/>
    </row>
    <row r="1398" spans="1:7" ht="13.5" customHeight="1">
      <c r="A1398" s="1995" t="str">
        <f>+'ANALISIS BASICOS'!$A$391</f>
        <v>MORTERO 1:6</v>
      </c>
      <c r="B1398" s="1611"/>
      <c r="C1398" s="444" t="str">
        <f>+'ANALISIS BASICOS'!$E$368</f>
        <v>M3</v>
      </c>
      <c r="D1398" s="464">
        <f>+'ANALISIS BASICOS'!$G$391</f>
        <v>323611</v>
      </c>
      <c r="E1398" s="444">
        <v>0.04</v>
      </c>
      <c r="F1398" s="440">
        <f t="shared" si="101"/>
        <v>12944.44</v>
      </c>
      <c r="G1398" s="707"/>
    </row>
    <row r="1399" spans="1:7" ht="13.5" customHeight="1">
      <c r="A1399" s="1995" t="str">
        <f>+'LISTADO MATERIALES'!$C$129</f>
        <v>ARENA</v>
      </c>
      <c r="B1399" s="1611"/>
      <c r="C1399" s="444" t="str">
        <f>+'LISTADO MATERIALES'!$D$129</f>
        <v>M3</v>
      </c>
      <c r="D1399" s="464">
        <f>+'LISTADO MATERIALES'!$E$129</f>
        <v>59450</v>
      </c>
      <c r="E1399" s="444">
        <v>0.03</v>
      </c>
      <c r="F1399" s="440">
        <f t="shared" si="101"/>
        <v>1783.5</v>
      </c>
      <c r="G1399" s="707"/>
    </row>
    <row r="1400" spans="1:7" ht="13.5" customHeight="1">
      <c r="A1400" s="1995"/>
      <c r="B1400" s="1611"/>
      <c r="C1400" s="444"/>
      <c r="D1400" s="464"/>
      <c r="E1400" s="444"/>
      <c r="F1400" s="464"/>
      <c r="G1400" s="707"/>
    </row>
    <row r="1401" spans="1:7" ht="13.5" customHeight="1">
      <c r="A1401" s="1995"/>
      <c r="B1401" s="1611"/>
      <c r="C1401" s="444"/>
      <c r="D1401" s="464"/>
      <c r="E1401" s="444"/>
      <c r="F1401" s="464"/>
      <c r="G1401" s="707"/>
    </row>
    <row r="1402" spans="1:7" ht="13.5" customHeight="1">
      <c r="A1402" s="2015" t="s">
        <v>1560</v>
      </c>
      <c r="B1402" s="1601"/>
      <c r="C1402" s="1601"/>
      <c r="D1402" s="1601"/>
      <c r="E1402" s="1601"/>
      <c r="F1402" s="1801"/>
      <c r="G1402" s="462">
        <f>SUM(F1397:F1401)</f>
        <v>64693.240000000005</v>
      </c>
    </row>
    <row r="1403" spans="1:7" ht="13.5" customHeight="1">
      <c r="A1403" s="621" t="s">
        <v>1563</v>
      </c>
      <c r="B1403" s="618"/>
      <c r="C1403" s="618"/>
      <c r="D1403" s="618"/>
      <c r="E1403" s="618"/>
      <c r="F1403" s="618"/>
      <c r="G1403" s="743"/>
    </row>
    <row r="1404" spans="1:7" ht="13.5" customHeight="1">
      <c r="A1404" s="1975" t="s">
        <v>1556</v>
      </c>
      <c r="B1404" s="1801"/>
      <c r="C1404" s="424" t="s">
        <v>6</v>
      </c>
      <c r="D1404" s="424" t="s">
        <v>1562</v>
      </c>
      <c r="E1404" s="424" t="s">
        <v>7</v>
      </c>
      <c r="F1404" s="424" t="s">
        <v>1559</v>
      </c>
      <c r="G1404" s="438"/>
    </row>
    <row r="1405" spans="1:7" ht="13.5" customHeight="1">
      <c r="A1405" s="1987"/>
      <c r="B1405" s="1967"/>
      <c r="C1405" s="744"/>
      <c r="D1405" s="675"/>
      <c r="E1405" s="745"/>
      <c r="F1405" s="464"/>
      <c r="G1405" s="676"/>
    </row>
    <row r="1406" spans="1:7" ht="13.5" customHeight="1">
      <c r="A1406" s="1996"/>
      <c r="B1406" s="1819"/>
      <c r="C1406" s="744"/>
      <c r="D1406" s="434"/>
      <c r="E1406" s="746"/>
      <c r="F1406" s="434"/>
      <c r="G1406" s="457"/>
    </row>
    <row r="1407" spans="1:7" ht="13.5" customHeight="1">
      <c r="A1407" s="2015" t="s">
        <v>1560</v>
      </c>
      <c r="B1407" s="1601"/>
      <c r="C1407" s="1601"/>
      <c r="D1407" s="1601"/>
      <c r="E1407" s="1601"/>
      <c r="F1407" s="1801"/>
      <c r="G1407" s="462"/>
    </row>
    <row r="1408" spans="1:7" ht="13.5" customHeight="1">
      <c r="A1408" s="621" t="s">
        <v>1564</v>
      </c>
      <c r="B1408" s="618"/>
      <c r="C1408" s="618"/>
      <c r="D1408" s="618"/>
      <c r="E1408" s="618"/>
      <c r="F1408" s="618"/>
      <c r="G1408" s="743"/>
    </row>
    <row r="1409" spans="1:7" ht="13.5" customHeight="1">
      <c r="A1409" s="1975" t="s">
        <v>1565</v>
      </c>
      <c r="B1409" s="1801"/>
      <c r="C1409" s="424" t="s">
        <v>1566</v>
      </c>
      <c r="D1409" s="424" t="s">
        <v>6</v>
      </c>
      <c r="E1409" s="424" t="s">
        <v>7</v>
      </c>
      <c r="F1409" s="424" t="s">
        <v>1559</v>
      </c>
      <c r="G1409" s="462"/>
    </row>
    <row r="1410" spans="1:7" ht="13.5" customHeight="1">
      <c r="A1410" s="2004" t="str">
        <f>+'MANO DE OBRA'!$A$64</f>
        <v>Oficial (Incl. Prestaciones)</v>
      </c>
      <c r="B1410" s="1888"/>
      <c r="C1410" s="679">
        <f>+'MANO DE OBRA'!$E$64</f>
        <v>15031.25</v>
      </c>
      <c r="D1410" s="680">
        <v>1</v>
      </c>
      <c r="E1410" s="680">
        <v>0.33681800957912034</v>
      </c>
      <c r="F1410" s="694">
        <f t="shared" ref="F1410:F1411" si="102">+(C1410*D1410)*E1410</f>
        <v>5062.795706486153</v>
      </c>
      <c r="G1410" s="676"/>
    </row>
    <row r="1411" spans="1:7" ht="13.5" customHeight="1">
      <c r="A1411" s="1984" t="str">
        <f>+'MANO DE OBRA'!$A$65</f>
        <v>Ayudante (Incl. Prestaciones)</v>
      </c>
      <c r="B1411" s="1819"/>
      <c r="C1411" s="747">
        <f>+'MANO DE OBRA'!$E$65</f>
        <v>10972.8125</v>
      </c>
      <c r="D1411" s="614">
        <v>1</v>
      </c>
      <c r="E1411" s="614">
        <f>+E1410</f>
        <v>0.33681800957912034</v>
      </c>
      <c r="F1411" s="455">
        <f t="shared" si="102"/>
        <v>3695.8408657348914</v>
      </c>
      <c r="G1411" s="709"/>
    </row>
    <row r="1412" spans="1:7" ht="13.5" customHeight="1">
      <c r="A1412" s="2015" t="str">
        <f>+A1407</f>
        <v>SUB-TOTAL</v>
      </c>
      <c r="B1412" s="1601"/>
      <c r="C1412" s="1601"/>
      <c r="D1412" s="1601"/>
      <c r="E1412" s="1601"/>
      <c r="F1412" s="1801"/>
      <c r="G1412" s="462">
        <f>SUM(F1410:F1411)</f>
        <v>8758.6365722210448</v>
      </c>
    </row>
    <row r="1413" spans="1:7" ht="11.25" customHeight="1">
      <c r="A1413" s="618"/>
      <c r="B1413" s="618"/>
      <c r="C1413" s="618"/>
      <c r="D1413" s="618"/>
      <c r="E1413" s="618"/>
      <c r="F1413" s="748"/>
      <c r="G1413" s="743"/>
    </row>
    <row r="1414" spans="1:7" ht="13.5" customHeight="1">
      <c r="A1414" s="2015" t="s">
        <v>1567</v>
      </c>
      <c r="B1414" s="1601"/>
      <c r="C1414" s="1601"/>
      <c r="D1414" s="1601"/>
      <c r="E1414" s="1601"/>
      <c r="F1414" s="1801"/>
      <c r="G1414" s="750">
        <f>ROUND(G1394+G1402+G1407+G1412,0)</f>
        <v>74412</v>
      </c>
    </row>
    <row r="1415" spans="1:7" ht="13.5" customHeight="1">
      <c r="A1415" s="637"/>
      <c r="B1415" s="637"/>
      <c r="C1415" s="637"/>
      <c r="D1415" s="637"/>
      <c r="E1415" s="637"/>
      <c r="F1415" s="637"/>
      <c r="G1415" s="1028"/>
    </row>
    <row r="1416" spans="1:7" ht="13.5" customHeight="1">
      <c r="A1416" s="616"/>
      <c r="B1416" s="616"/>
      <c r="C1416" s="616"/>
      <c r="D1416" s="616"/>
      <c r="E1416" s="616"/>
      <c r="F1416" s="616"/>
      <c r="G1416" s="616"/>
    </row>
    <row r="1417" spans="1:7" ht="27" customHeight="1">
      <c r="A1417" s="1994" t="e">
        <f>+'ANALISIS BASICOS'!$A$7</f>
        <v>#REF!</v>
      </c>
      <c r="B1417" s="1616"/>
      <c r="C1417" s="1624"/>
      <c r="D1417" s="567"/>
      <c r="E1417" s="567"/>
      <c r="F1417" s="567"/>
      <c r="G1417" s="668"/>
    </row>
    <row r="1418" spans="1:7" ht="24" customHeight="1">
      <c r="A1418" s="1971"/>
      <c r="B1418" s="1817"/>
      <c r="C1418" s="1972"/>
      <c r="D1418" s="669"/>
      <c r="E1418" s="669"/>
      <c r="F1418" s="669"/>
      <c r="G1418" s="670"/>
    </row>
    <row r="1419" spans="1:7" ht="13.5" customHeight="1">
      <c r="A1419" s="618"/>
      <c r="B1419" s="618"/>
      <c r="C1419" s="618"/>
      <c r="D1419" s="618"/>
      <c r="E1419" s="618"/>
      <c r="F1419" s="618"/>
      <c r="G1419" s="618"/>
    </row>
    <row r="1420" spans="1:7" ht="54.75" customHeight="1">
      <c r="A1420" s="1991" t="e">
        <f ca="1">$A$10</f>
        <v>#NAME?</v>
      </c>
      <c r="B1420" s="1601"/>
      <c r="C1420" s="1602"/>
      <c r="D1420" s="1974" t="s">
        <v>2458</v>
      </c>
      <c r="E1420" s="1601"/>
      <c r="F1420" s="1601"/>
      <c r="G1420" s="1602"/>
    </row>
    <row r="1421" spans="1:7" ht="13.5" customHeight="1">
      <c r="A1421" s="620"/>
      <c r="B1421" s="620"/>
      <c r="C1421" s="620"/>
      <c r="D1421" s="620"/>
      <c r="E1421" s="620"/>
      <c r="F1421" s="620"/>
      <c r="G1421" s="620"/>
    </row>
    <row r="1422" spans="1:7" ht="12.75" customHeight="1">
      <c r="A1422" s="572"/>
      <c r="B1422" s="618"/>
      <c r="C1422" s="616"/>
      <c r="D1422" s="421" t="s">
        <v>1553</v>
      </c>
      <c r="E1422" s="422" t="s">
        <v>228</v>
      </c>
      <c r="F1422" s="421" t="s">
        <v>1554</v>
      </c>
      <c r="G1422" s="422" t="s">
        <v>136</v>
      </c>
    </row>
    <row r="1423" spans="1:7" ht="13.5" customHeight="1">
      <c r="A1423" s="621" t="s">
        <v>1555</v>
      </c>
      <c r="B1423" s="618"/>
      <c r="C1423" s="618"/>
      <c r="D1423" s="618"/>
      <c r="E1423" s="618"/>
      <c r="F1423" s="618"/>
      <c r="G1423" s="618"/>
    </row>
    <row r="1424" spans="1:7" ht="13.5" customHeight="1">
      <c r="A1424" s="1975" t="s">
        <v>1556</v>
      </c>
      <c r="B1424" s="1601"/>
      <c r="C1424" s="1801"/>
      <c r="D1424" s="424" t="s">
        <v>208</v>
      </c>
      <c r="E1424" s="424" t="s">
        <v>1558</v>
      </c>
      <c r="F1424" s="424" t="s">
        <v>1559</v>
      </c>
      <c r="G1424" s="425"/>
    </row>
    <row r="1425" spans="1:7" ht="13.5" customHeight="1">
      <c r="A1425" s="1987" t="str">
        <f>+'LISTADO EQUIPOS'!$C$22</f>
        <v>HERRAMIENTA MENOR.</v>
      </c>
      <c r="B1425" s="1811"/>
      <c r="C1425" s="1967"/>
      <c r="D1425" s="675">
        <f>+'LISTADO EQUIPOS'!$E$22/8</f>
        <v>2850</v>
      </c>
      <c r="E1425" s="687">
        <f>+E1443</f>
        <v>0.31869706119460867</v>
      </c>
      <c r="F1425" s="442">
        <f>+E1425*D1425</f>
        <v>908.28662440463472</v>
      </c>
      <c r="G1425" s="688"/>
    </row>
    <row r="1426" spans="1:7" ht="13.5" customHeight="1">
      <c r="A1426" s="1996"/>
      <c r="B1426" s="1807"/>
      <c r="C1426" s="1819"/>
      <c r="D1426" s="434"/>
      <c r="E1426" s="758"/>
      <c r="F1426" s="434"/>
      <c r="G1426" s="435"/>
    </row>
    <row r="1427" spans="1:7" ht="13.5" customHeight="1">
      <c r="A1427" s="2015" t="s">
        <v>1560</v>
      </c>
      <c r="B1427" s="1601"/>
      <c r="C1427" s="1601"/>
      <c r="D1427" s="1601"/>
      <c r="E1427" s="1601"/>
      <c r="F1427" s="1801"/>
      <c r="G1427" s="462">
        <f>SUM(F1425:F1426)</f>
        <v>908.28662440463472</v>
      </c>
    </row>
    <row r="1428" spans="1:7" ht="13.5" customHeight="1">
      <c r="A1428" s="621" t="s">
        <v>1561</v>
      </c>
      <c r="B1428" s="618"/>
      <c r="C1428" s="618"/>
      <c r="D1428" s="618"/>
      <c r="E1428" s="618"/>
      <c r="F1428" s="618"/>
      <c r="G1428" s="743"/>
    </row>
    <row r="1429" spans="1:7" ht="13.5" customHeight="1">
      <c r="A1429" s="1975" t="s">
        <v>1556</v>
      </c>
      <c r="B1429" s="1801"/>
      <c r="C1429" s="424" t="s">
        <v>6</v>
      </c>
      <c r="D1429" s="424" t="s">
        <v>1562</v>
      </c>
      <c r="E1429" s="424" t="s">
        <v>7</v>
      </c>
      <c r="F1429" s="424" t="s">
        <v>1559</v>
      </c>
      <c r="G1429" s="673"/>
    </row>
    <row r="1430" spans="1:7" ht="35.25" customHeight="1">
      <c r="A1430" s="1987" t="str">
        <f>+'LISTADO MATERIALES'!$C$304</f>
        <v>Adoquin en concreto, tipo  PEATONAL, de 0,20 x 0,10 mts., e= 0,06 mts.,  COLOR OCRE</v>
      </c>
      <c r="B1430" s="1967"/>
      <c r="C1430" s="674" t="str">
        <f>+'LISTADO MATERIALES'!$D$304</f>
        <v>M2</v>
      </c>
      <c r="D1430" s="675">
        <f>+'LISTADO MATERIALES'!$E$304</f>
        <v>35500</v>
      </c>
      <c r="E1430" s="674">
        <v>1.03</v>
      </c>
      <c r="F1430" s="442">
        <f t="shared" ref="F1430:F1432" si="103">+E1430*D1430</f>
        <v>36565</v>
      </c>
      <c r="G1430" s="676"/>
    </row>
    <row r="1431" spans="1:7" ht="13.5" customHeight="1">
      <c r="A1431" s="1995" t="str">
        <f>+'ANALISIS BASICOS'!$A$391</f>
        <v>MORTERO 1:6</v>
      </c>
      <c r="B1431" s="1611"/>
      <c r="C1431" s="444" t="str">
        <f>+'ANALISIS BASICOS'!$E$368</f>
        <v>M3</v>
      </c>
      <c r="D1431" s="464">
        <f>+'ANALISIS BASICOS'!$G$391</f>
        <v>323611</v>
      </c>
      <c r="E1431" s="444">
        <v>0.04</v>
      </c>
      <c r="F1431" s="440">
        <f t="shared" si="103"/>
        <v>12944.44</v>
      </c>
      <c r="G1431" s="707"/>
    </row>
    <row r="1432" spans="1:7" ht="13.5" customHeight="1">
      <c r="A1432" s="1995" t="str">
        <f>+'LISTADO MATERIALES'!$C$129</f>
        <v>ARENA</v>
      </c>
      <c r="B1432" s="1611"/>
      <c r="C1432" s="444" t="str">
        <f>+'LISTADO MATERIALES'!$D$129</f>
        <v>M3</v>
      </c>
      <c r="D1432" s="464">
        <f>+'LISTADO MATERIALES'!$E$129</f>
        <v>59450</v>
      </c>
      <c r="E1432" s="444">
        <v>0.03</v>
      </c>
      <c r="F1432" s="440">
        <f t="shared" si="103"/>
        <v>1783.5</v>
      </c>
      <c r="G1432" s="707"/>
    </row>
    <row r="1433" spans="1:7" ht="13.5" customHeight="1">
      <c r="A1433" s="1995"/>
      <c r="B1433" s="1611"/>
      <c r="C1433" s="444"/>
      <c r="D1433" s="464"/>
      <c r="E1433" s="444"/>
      <c r="F1433" s="464"/>
      <c r="G1433" s="707"/>
    </row>
    <row r="1434" spans="1:7" ht="13.5" customHeight="1">
      <c r="A1434" s="1995"/>
      <c r="B1434" s="1611"/>
      <c r="C1434" s="444"/>
      <c r="D1434" s="464"/>
      <c r="E1434" s="444"/>
      <c r="F1434" s="464"/>
      <c r="G1434" s="707"/>
    </row>
    <row r="1435" spans="1:7" ht="13.5" customHeight="1">
      <c r="A1435" s="2015" t="s">
        <v>1560</v>
      </c>
      <c r="B1435" s="1601"/>
      <c r="C1435" s="1601"/>
      <c r="D1435" s="1601"/>
      <c r="E1435" s="1601"/>
      <c r="F1435" s="1801"/>
      <c r="G1435" s="462">
        <f>SUM(F1430:F1434)</f>
        <v>51292.94</v>
      </c>
    </row>
    <row r="1436" spans="1:7" ht="13.5" customHeight="1">
      <c r="A1436" s="621" t="s">
        <v>1563</v>
      </c>
      <c r="B1436" s="618"/>
      <c r="C1436" s="618"/>
      <c r="D1436" s="618"/>
      <c r="E1436" s="618"/>
      <c r="F1436" s="618"/>
      <c r="G1436" s="743"/>
    </row>
    <row r="1437" spans="1:7" ht="13.5" customHeight="1">
      <c r="A1437" s="1975" t="s">
        <v>1556</v>
      </c>
      <c r="B1437" s="1801"/>
      <c r="C1437" s="424" t="s">
        <v>6</v>
      </c>
      <c r="D1437" s="424" t="s">
        <v>1562</v>
      </c>
      <c r="E1437" s="424" t="s">
        <v>7</v>
      </c>
      <c r="F1437" s="424" t="s">
        <v>1559</v>
      </c>
      <c r="G1437" s="438"/>
    </row>
    <row r="1438" spans="1:7" ht="13.5" customHeight="1">
      <c r="A1438" s="1987"/>
      <c r="B1438" s="1967"/>
      <c r="C1438" s="744"/>
      <c r="D1438" s="675"/>
      <c r="E1438" s="745"/>
      <c r="F1438" s="464"/>
      <c r="G1438" s="676"/>
    </row>
    <row r="1439" spans="1:7" ht="13.5" customHeight="1">
      <c r="A1439" s="1996"/>
      <c r="B1439" s="1819"/>
      <c r="C1439" s="744"/>
      <c r="D1439" s="434"/>
      <c r="E1439" s="746"/>
      <c r="F1439" s="434"/>
      <c r="G1439" s="457"/>
    </row>
    <row r="1440" spans="1:7" ht="13.5" customHeight="1">
      <c r="A1440" s="2015" t="s">
        <v>1560</v>
      </c>
      <c r="B1440" s="1601"/>
      <c r="C1440" s="1601"/>
      <c r="D1440" s="1601"/>
      <c r="E1440" s="1601"/>
      <c r="F1440" s="1801"/>
      <c r="G1440" s="462"/>
    </row>
    <row r="1441" spans="1:7" ht="13.5" customHeight="1">
      <c r="A1441" s="621" t="s">
        <v>1564</v>
      </c>
      <c r="B1441" s="618"/>
      <c r="C1441" s="618"/>
      <c r="D1441" s="618"/>
      <c r="E1441" s="618"/>
      <c r="F1441" s="618"/>
      <c r="G1441" s="743"/>
    </row>
    <row r="1442" spans="1:7" ht="13.5" customHeight="1">
      <c r="A1442" s="1975" t="s">
        <v>1565</v>
      </c>
      <c r="B1442" s="1801"/>
      <c r="C1442" s="424" t="s">
        <v>1566</v>
      </c>
      <c r="D1442" s="424" t="s">
        <v>6</v>
      </c>
      <c r="E1442" s="424" t="s">
        <v>7</v>
      </c>
      <c r="F1442" s="424" t="s">
        <v>1559</v>
      </c>
      <c r="G1442" s="462"/>
    </row>
    <row r="1443" spans="1:7" ht="13.5" customHeight="1">
      <c r="A1443" s="2004" t="str">
        <f>+'MANO DE OBRA'!$A$64</f>
        <v>Oficial (Incl. Prestaciones)</v>
      </c>
      <c r="B1443" s="1888"/>
      <c r="C1443" s="679">
        <f>+'MANO DE OBRA'!$E$64</f>
        <v>15031.25</v>
      </c>
      <c r="D1443" s="680">
        <v>1</v>
      </c>
      <c r="E1443" s="680">
        <v>0.31869706119460867</v>
      </c>
      <c r="F1443" s="694">
        <f t="shared" ref="F1443:F1444" si="104">+(C1443*D1443)*E1443</f>
        <v>4790.4152010814614</v>
      </c>
      <c r="G1443" s="676"/>
    </row>
    <row r="1444" spans="1:7" ht="13.5" customHeight="1">
      <c r="A1444" s="1984" t="str">
        <f>+'MANO DE OBRA'!$A$65</f>
        <v>Ayudante (Incl. Prestaciones)</v>
      </c>
      <c r="B1444" s="1819"/>
      <c r="C1444" s="747">
        <f>+'MANO DE OBRA'!$E$65</f>
        <v>10972.8125</v>
      </c>
      <c r="D1444" s="614">
        <v>1</v>
      </c>
      <c r="E1444" s="614">
        <f>+E1443</f>
        <v>0.31869706119460867</v>
      </c>
      <c r="F1444" s="455">
        <f t="shared" si="104"/>
        <v>3497.0030967894668</v>
      </c>
      <c r="G1444" s="709"/>
    </row>
    <row r="1445" spans="1:7" ht="13.5" customHeight="1">
      <c r="A1445" s="2015" t="str">
        <f>+A1440</f>
        <v>SUB-TOTAL</v>
      </c>
      <c r="B1445" s="1601"/>
      <c r="C1445" s="1601"/>
      <c r="D1445" s="1601"/>
      <c r="E1445" s="1601"/>
      <c r="F1445" s="1801"/>
      <c r="G1445" s="462">
        <f>SUM(F1443:F1444)</f>
        <v>8287.4182978709287</v>
      </c>
    </row>
    <row r="1446" spans="1:7" ht="11.25" customHeight="1">
      <c r="A1446" s="618"/>
      <c r="B1446" s="618"/>
      <c r="C1446" s="618"/>
      <c r="D1446" s="618"/>
      <c r="E1446" s="618"/>
      <c r="F1446" s="748"/>
      <c r="G1446" s="743"/>
    </row>
    <row r="1447" spans="1:7" ht="13.5" customHeight="1">
      <c r="A1447" s="2015" t="s">
        <v>1567</v>
      </c>
      <c r="B1447" s="1601"/>
      <c r="C1447" s="1601"/>
      <c r="D1447" s="1601"/>
      <c r="E1447" s="1601"/>
      <c r="F1447" s="1801"/>
      <c r="G1447" s="459">
        <f>ROUND(G1427+G1435+G1440+G1445,0)</f>
        <v>60489</v>
      </c>
    </row>
    <row r="1448" spans="1:7" ht="13.5" customHeight="1">
      <c r="A1448" s="637"/>
      <c r="B1448" s="637"/>
      <c r="C1448" s="637"/>
      <c r="D1448" s="637"/>
      <c r="E1448" s="637"/>
      <c r="F1448" s="637"/>
      <c r="G1448" s="1028"/>
    </row>
    <row r="1449" spans="1:7" ht="13.5" customHeight="1">
      <c r="A1449" s="616"/>
      <c r="B1449" s="616"/>
      <c r="C1449" s="616"/>
      <c r="D1449" s="616"/>
      <c r="E1449" s="616"/>
      <c r="F1449" s="616"/>
      <c r="G1449" s="616"/>
    </row>
    <row r="1450" spans="1:7" ht="27" customHeight="1">
      <c r="A1450" s="1994" t="e">
        <f>+'ANALISIS BASICOS'!$A$7</f>
        <v>#REF!</v>
      </c>
      <c r="B1450" s="1616"/>
      <c r="C1450" s="1624"/>
      <c r="D1450" s="567"/>
      <c r="E1450" s="567"/>
      <c r="F1450" s="567"/>
      <c r="G1450" s="668"/>
    </row>
    <row r="1451" spans="1:7" ht="24" customHeight="1">
      <c r="A1451" s="1971"/>
      <c r="B1451" s="1817"/>
      <c r="C1451" s="1972"/>
      <c r="D1451" s="669"/>
      <c r="E1451" s="669"/>
      <c r="F1451" s="669"/>
      <c r="G1451" s="670"/>
    </row>
    <row r="1452" spans="1:7" ht="13.5" customHeight="1">
      <c r="A1452" s="618"/>
      <c r="B1452" s="618"/>
      <c r="C1452" s="618"/>
      <c r="D1452" s="618"/>
      <c r="E1452" s="618"/>
      <c r="F1452" s="618"/>
      <c r="G1452" s="618"/>
    </row>
    <row r="1453" spans="1:7" ht="57" customHeight="1">
      <c r="A1453" s="1991" t="e">
        <f ca="1">$A$10</f>
        <v>#NAME?</v>
      </c>
      <c r="B1453" s="1601"/>
      <c r="C1453" s="1602"/>
      <c r="D1453" s="1974" t="s">
        <v>2459</v>
      </c>
      <c r="E1453" s="1601"/>
      <c r="F1453" s="1601"/>
      <c r="G1453" s="1602"/>
    </row>
    <row r="1454" spans="1:7" ht="13.5" customHeight="1">
      <c r="A1454" s="620"/>
      <c r="B1454" s="620"/>
      <c r="C1454" s="620"/>
      <c r="D1454" s="620"/>
      <c r="E1454" s="620"/>
      <c r="F1454" s="620"/>
      <c r="G1454" s="620"/>
    </row>
    <row r="1455" spans="1:7" ht="12.75" customHeight="1">
      <c r="A1455" s="572"/>
      <c r="B1455" s="618"/>
      <c r="C1455" s="616"/>
      <c r="D1455" s="421" t="s">
        <v>1553</v>
      </c>
      <c r="E1455" s="422" t="s">
        <v>228</v>
      </c>
      <c r="F1455" s="421" t="s">
        <v>1554</v>
      </c>
      <c r="G1455" s="422" t="s">
        <v>511</v>
      </c>
    </row>
    <row r="1456" spans="1:7" ht="13.5" customHeight="1">
      <c r="A1456" s="621" t="s">
        <v>1555</v>
      </c>
      <c r="B1456" s="618"/>
      <c r="C1456" s="618"/>
      <c r="D1456" s="618"/>
      <c r="E1456" s="618"/>
      <c r="F1456" s="618"/>
      <c r="G1456" s="618"/>
    </row>
    <row r="1457" spans="1:7" ht="13.5" customHeight="1">
      <c r="A1457" s="1975" t="s">
        <v>1556</v>
      </c>
      <c r="B1457" s="1601"/>
      <c r="C1457" s="1801"/>
      <c r="D1457" s="424" t="s">
        <v>208</v>
      </c>
      <c r="E1457" s="424" t="s">
        <v>1558</v>
      </c>
      <c r="F1457" s="424" t="s">
        <v>1559</v>
      </c>
      <c r="G1457" s="425"/>
    </row>
    <row r="1458" spans="1:7" ht="13.5" customHeight="1">
      <c r="A1458" s="1987" t="str">
        <f>+'LISTADO EQUIPOS'!$C$22</f>
        <v>HERRAMIENTA MENOR.</v>
      </c>
      <c r="B1458" s="1811"/>
      <c r="C1458" s="1967"/>
      <c r="D1458" s="675">
        <f>+'LISTADO EQUIPOS'!$E$22/8</f>
        <v>2850</v>
      </c>
      <c r="E1458" s="687">
        <f>+E1476</f>
        <v>4.1265473666773467E-2</v>
      </c>
      <c r="F1458" s="442">
        <f>+E1458*D1458</f>
        <v>117.60659995030439</v>
      </c>
      <c r="G1458" s="688"/>
    </row>
    <row r="1459" spans="1:7" ht="13.5" customHeight="1">
      <c r="A1459" s="1996"/>
      <c r="B1459" s="1807"/>
      <c r="C1459" s="1819"/>
      <c r="D1459" s="434"/>
      <c r="E1459" s="758"/>
      <c r="F1459" s="434"/>
      <c r="G1459" s="435"/>
    </row>
    <row r="1460" spans="1:7" ht="13.5" customHeight="1">
      <c r="A1460" s="2015" t="s">
        <v>1560</v>
      </c>
      <c r="B1460" s="1601"/>
      <c r="C1460" s="1601"/>
      <c r="D1460" s="1601"/>
      <c r="E1460" s="1601"/>
      <c r="F1460" s="1801"/>
      <c r="G1460" s="462">
        <f>SUM(F1458:F1459)</f>
        <v>117.60659995030439</v>
      </c>
    </row>
    <row r="1461" spans="1:7" ht="13.5" customHeight="1">
      <c r="A1461" s="621" t="s">
        <v>1561</v>
      </c>
      <c r="B1461" s="618"/>
      <c r="C1461" s="618"/>
      <c r="D1461" s="618"/>
      <c r="E1461" s="618"/>
      <c r="F1461" s="618"/>
      <c r="G1461" s="743"/>
    </row>
    <row r="1462" spans="1:7" ht="13.5" customHeight="1">
      <c r="A1462" s="1975" t="s">
        <v>1556</v>
      </c>
      <c r="B1462" s="1801"/>
      <c r="C1462" s="424" t="s">
        <v>6</v>
      </c>
      <c r="D1462" s="424" t="s">
        <v>1562</v>
      </c>
      <c r="E1462" s="424" t="s">
        <v>7</v>
      </c>
      <c r="F1462" s="424" t="s">
        <v>1559</v>
      </c>
      <c r="G1462" s="673"/>
    </row>
    <row r="1463" spans="1:7" ht="23.25" customHeight="1">
      <c r="A1463" s="1987" t="str">
        <f>+'LISTADO MATERIALES'!C182</f>
        <v>LIGANTE ASFÁLTICO PARA RIEGO DE LIGA - NORMA INVIAS</v>
      </c>
      <c r="B1463" s="1967"/>
      <c r="C1463" s="674" t="str">
        <f>+'LISTADO MATERIALES'!D182</f>
        <v>GAL</v>
      </c>
      <c r="D1463" s="675">
        <f>+'LISTADO MATERIALES'!E182</f>
        <v>8505</v>
      </c>
      <c r="E1463" s="674">
        <v>0.4</v>
      </c>
      <c r="F1463" s="442">
        <f>+E1463*D1463</f>
        <v>3402</v>
      </c>
      <c r="G1463" s="676"/>
    </row>
    <row r="1464" spans="1:7" ht="13.5" customHeight="1">
      <c r="A1464" s="1995"/>
      <c r="B1464" s="1611"/>
      <c r="C1464" s="444"/>
      <c r="D1464" s="464"/>
      <c r="E1464" s="444"/>
      <c r="F1464" s="440"/>
      <c r="G1464" s="707"/>
    </row>
    <row r="1465" spans="1:7" ht="13.5" customHeight="1">
      <c r="A1465" s="1995"/>
      <c r="B1465" s="1611"/>
      <c r="C1465" s="444"/>
      <c r="D1465" s="464"/>
      <c r="E1465" s="444"/>
      <c r="F1465" s="440"/>
      <c r="G1465" s="707"/>
    </row>
    <row r="1466" spans="1:7" ht="13.5" customHeight="1">
      <c r="A1466" s="1995"/>
      <c r="B1466" s="1611"/>
      <c r="C1466" s="444"/>
      <c r="D1466" s="464"/>
      <c r="E1466" s="444"/>
      <c r="F1466" s="464"/>
      <c r="G1466" s="707"/>
    </row>
    <row r="1467" spans="1:7" ht="13.5" customHeight="1">
      <c r="A1467" s="1995"/>
      <c r="B1467" s="1611"/>
      <c r="C1467" s="444"/>
      <c r="D1467" s="464"/>
      <c r="E1467" s="444"/>
      <c r="F1467" s="464"/>
      <c r="G1467" s="707"/>
    </row>
    <row r="1468" spans="1:7" ht="13.5" customHeight="1">
      <c r="A1468" s="2015" t="s">
        <v>1560</v>
      </c>
      <c r="B1468" s="1601"/>
      <c r="C1468" s="1601"/>
      <c r="D1468" s="1601"/>
      <c r="E1468" s="1601"/>
      <c r="F1468" s="1801"/>
      <c r="G1468" s="462">
        <f>SUM(F1463:F1467)</f>
        <v>3402</v>
      </c>
    </row>
    <row r="1469" spans="1:7" ht="13.5" customHeight="1">
      <c r="A1469" s="621" t="s">
        <v>1563</v>
      </c>
      <c r="B1469" s="618"/>
      <c r="C1469" s="618"/>
      <c r="D1469" s="618"/>
      <c r="E1469" s="618"/>
      <c r="F1469" s="618"/>
      <c r="G1469" s="743"/>
    </row>
    <row r="1470" spans="1:7" ht="13.5" customHeight="1">
      <c r="A1470" s="1975" t="s">
        <v>1556</v>
      </c>
      <c r="B1470" s="1801"/>
      <c r="C1470" s="424" t="s">
        <v>6</v>
      </c>
      <c r="D1470" s="424" t="s">
        <v>1562</v>
      </c>
      <c r="E1470" s="424" t="s">
        <v>7</v>
      </c>
      <c r="F1470" s="424" t="s">
        <v>1559</v>
      </c>
      <c r="G1470" s="438"/>
    </row>
    <row r="1471" spans="1:7" ht="13.5" customHeight="1">
      <c r="A1471" s="1987"/>
      <c r="B1471" s="1967"/>
      <c r="C1471" s="744"/>
      <c r="D1471" s="675"/>
      <c r="E1471" s="745"/>
      <c r="F1471" s="464"/>
      <c r="G1471" s="676"/>
    </row>
    <row r="1472" spans="1:7" ht="13.5" customHeight="1">
      <c r="A1472" s="1996"/>
      <c r="B1472" s="1819"/>
      <c r="C1472" s="744"/>
      <c r="D1472" s="434"/>
      <c r="E1472" s="746"/>
      <c r="F1472" s="434"/>
      <c r="G1472" s="457"/>
    </row>
    <row r="1473" spans="1:7" ht="13.5" customHeight="1">
      <c r="A1473" s="2015" t="s">
        <v>1560</v>
      </c>
      <c r="B1473" s="1601"/>
      <c r="C1473" s="1601"/>
      <c r="D1473" s="1601"/>
      <c r="E1473" s="1601"/>
      <c r="F1473" s="1801"/>
      <c r="G1473" s="462"/>
    </row>
    <row r="1474" spans="1:7" ht="13.5" customHeight="1">
      <c r="A1474" s="621" t="s">
        <v>1564</v>
      </c>
      <c r="B1474" s="618"/>
      <c r="C1474" s="618"/>
      <c r="D1474" s="618"/>
      <c r="E1474" s="618"/>
      <c r="F1474" s="618"/>
      <c r="G1474" s="743"/>
    </row>
    <row r="1475" spans="1:7" ht="13.5" customHeight="1">
      <c r="A1475" s="1975" t="s">
        <v>1565</v>
      </c>
      <c r="B1475" s="1801"/>
      <c r="C1475" s="424" t="s">
        <v>1566</v>
      </c>
      <c r="D1475" s="424" t="s">
        <v>6</v>
      </c>
      <c r="E1475" s="424" t="s">
        <v>7</v>
      </c>
      <c r="F1475" s="424" t="s">
        <v>1559</v>
      </c>
      <c r="G1475" s="462"/>
    </row>
    <row r="1476" spans="1:7" ht="13.5" customHeight="1">
      <c r="A1476" s="2004" t="str">
        <f>+'MANO DE OBRA'!$A$64</f>
        <v>Oficial (Incl. Prestaciones)</v>
      </c>
      <c r="B1476" s="1888"/>
      <c r="C1476" s="679">
        <f>+'MANO DE OBRA'!$E$64</f>
        <v>15031.25</v>
      </c>
      <c r="D1476" s="680">
        <v>1</v>
      </c>
      <c r="E1476" s="680">
        <v>4.1265473666773467E-2</v>
      </c>
      <c r="F1476" s="694">
        <f t="shared" ref="F1476:F1477" si="105">+(C1476*D1476)*E1476</f>
        <v>620.27165105368863</v>
      </c>
      <c r="G1476" s="676"/>
    </row>
    <row r="1477" spans="1:7" ht="13.5" customHeight="1">
      <c r="A1477" s="1984" t="str">
        <f>+'MANO DE OBRA'!$A$65</f>
        <v>Ayudante (Incl. Prestaciones)</v>
      </c>
      <c r="B1477" s="1819"/>
      <c r="C1477" s="747">
        <f>+'MANO DE OBRA'!$E$65</f>
        <v>10972.8125</v>
      </c>
      <c r="D1477" s="614">
        <v>1</v>
      </c>
      <c r="E1477" s="614">
        <f>+E1476</f>
        <v>4.1265473666773467E-2</v>
      </c>
      <c r="F1477" s="455">
        <f t="shared" si="105"/>
        <v>452.79830526919272</v>
      </c>
      <c r="G1477" s="709"/>
    </row>
    <row r="1478" spans="1:7" ht="13.5" customHeight="1">
      <c r="A1478" s="2015" t="str">
        <f>+A1473</f>
        <v>SUB-TOTAL</v>
      </c>
      <c r="B1478" s="1601"/>
      <c r="C1478" s="1601"/>
      <c r="D1478" s="1601"/>
      <c r="E1478" s="1601"/>
      <c r="F1478" s="1801"/>
      <c r="G1478" s="462">
        <f>SUM(F1476:F1477)</f>
        <v>1073.0699563228814</v>
      </c>
    </row>
    <row r="1479" spans="1:7" ht="11.25" customHeight="1">
      <c r="A1479" s="618"/>
      <c r="B1479" s="618"/>
      <c r="C1479" s="618"/>
      <c r="D1479" s="618"/>
      <c r="E1479" s="618"/>
      <c r="F1479" s="748"/>
      <c r="G1479" s="743"/>
    </row>
    <row r="1480" spans="1:7" ht="13.5" customHeight="1">
      <c r="A1480" s="2015" t="s">
        <v>1567</v>
      </c>
      <c r="B1480" s="1601"/>
      <c r="C1480" s="1601"/>
      <c r="D1480" s="1601"/>
      <c r="E1480" s="1601"/>
      <c r="F1480" s="1801"/>
      <c r="G1480" s="750">
        <f>ROUND(G1460+G1468+G1473+G1478,0)</f>
        <v>4593</v>
      </c>
    </row>
    <row r="1481" spans="1:7" ht="13.5" customHeight="1">
      <c r="A1481" s="616"/>
      <c r="B1481" s="616"/>
      <c r="C1481" s="616"/>
      <c r="D1481" s="616"/>
      <c r="E1481" s="616"/>
      <c r="F1481" s="616"/>
      <c r="G1481" s="616"/>
    </row>
    <row r="1482" spans="1:7" ht="27" customHeight="1">
      <c r="A1482" s="1994" t="e">
        <f>+'ANALISIS BASICOS'!$A$7</f>
        <v>#REF!</v>
      </c>
      <c r="B1482" s="1616"/>
      <c r="C1482" s="1624"/>
      <c r="D1482" s="567"/>
      <c r="E1482" s="567"/>
      <c r="F1482" s="567"/>
      <c r="G1482" s="668"/>
    </row>
    <row r="1483" spans="1:7" ht="24" customHeight="1">
      <c r="A1483" s="1971"/>
      <c r="B1483" s="1817"/>
      <c r="C1483" s="1972"/>
      <c r="D1483" s="669"/>
      <c r="E1483" s="669"/>
      <c r="F1483" s="669"/>
      <c r="G1483" s="670"/>
    </row>
    <row r="1484" spans="1:7" ht="13.5" customHeight="1">
      <c r="A1484" s="618"/>
      <c r="B1484" s="618"/>
      <c r="C1484" s="618"/>
      <c r="D1484" s="618"/>
      <c r="E1484" s="618"/>
      <c r="F1484" s="618"/>
      <c r="G1484" s="618"/>
    </row>
    <row r="1485" spans="1:7" ht="41.25" customHeight="1">
      <c r="A1485" s="1991" t="e">
        <f ca="1">$A$10</f>
        <v>#NAME?</v>
      </c>
      <c r="B1485" s="1601"/>
      <c r="C1485" s="1602"/>
      <c r="D1485" s="1974" t="s">
        <v>2460</v>
      </c>
      <c r="E1485" s="1601"/>
      <c r="F1485" s="1601"/>
      <c r="G1485" s="1602"/>
    </row>
    <row r="1486" spans="1:7" ht="13.5" customHeight="1">
      <c r="A1486" s="620"/>
      <c r="B1486" s="620"/>
      <c r="C1486" s="620"/>
      <c r="D1486" s="620"/>
      <c r="E1486" s="620"/>
      <c r="F1486" s="620"/>
      <c r="G1486" s="620"/>
    </row>
    <row r="1487" spans="1:7" ht="12.75" customHeight="1">
      <c r="A1487" s="572"/>
      <c r="B1487" s="618"/>
      <c r="C1487" s="616"/>
      <c r="D1487" s="421" t="s">
        <v>1553</v>
      </c>
      <c r="E1487" s="422" t="s">
        <v>228</v>
      </c>
      <c r="F1487" s="421" t="s">
        <v>1554</v>
      </c>
      <c r="G1487" s="422" t="s">
        <v>515</v>
      </c>
    </row>
    <row r="1488" spans="1:7" ht="13.5" customHeight="1">
      <c r="A1488" s="621" t="s">
        <v>1555</v>
      </c>
      <c r="B1488" s="618"/>
      <c r="C1488" s="618"/>
      <c r="D1488" s="618"/>
      <c r="E1488" s="618"/>
      <c r="F1488" s="618"/>
      <c r="G1488" s="618"/>
    </row>
    <row r="1489" spans="1:7" ht="13.5" customHeight="1">
      <c r="A1489" s="1975" t="s">
        <v>1556</v>
      </c>
      <c r="B1489" s="1601"/>
      <c r="C1489" s="1801"/>
      <c r="D1489" s="424" t="s">
        <v>208</v>
      </c>
      <c r="E1489" s="424" t="s">
        <v>1558</v>
      </c>
      <c r="F1489" s="424" t="s">
        <v>1559</v>
      </c>
      <c r="G1489" s="425"/>
    </row>
    <row r="1490" spans="1:7" ht="13.5" customHeight="1">
      <c r="A1490" s="1987" t="str">
        <f>+'LISTADO EQUIPOS'!$C$22</f>
        <v>HERRAMIENTA MENOR.</v>
      </c>
      <c r="B1490" s="1811"/>
      <c r="C1490" s="1967"/>
      <c r="D1490" s="675">
        <f>+'LISTADO EQUIPOS'!$E$22/8</f>
        <v>2850</v>
      </c>
      <c r="E1490" s="687">
        <f>+E1508</f>
        <v>0.24074425531914892</v>
      </c>
      <c r="F1490" s="442">
        <f>+E1490*D1490</f>
        <v>686.12112765957443</v>
      </c>
      <c r="G1490" s="688"/>
    </row>
    <row r="1491" spans="1:7" ht="13.5" customHeight="1">
      <c r="A1491" s="1996"/>
      <c r="B1491" s="1807"/>
      <c r="C1491" s="1819"/>
      <c r="D1491" s="434"/>
      <c r="E1491" s="758"/>
      <c r="F1491" s="434"/>
      <c r="G1491" s="435"/>
    </row>
    <row r="1492" spans="1:7" ht="13.5" customHeight="1">
      <c r="A1492" s="2015" t="s">
        <v>1560</v>
      </c>
      <c r="B1492" s="1601"/>
      <c r="C1492" s="1601"/>
      <c r="D1492" s="1601"/>
      <c r="E1492" s="1601"/>
      <c r="F1492" s="1801"/>
      <c r="G1492" s="462">
        <f>SUM(F1490:F1491)</f>
        <v>686.12112765957443</v>
      </c>
    </row>
    <row r="1493" spans="1:7" ht="13.5" customHeight="1">
      <c r="A1493" s="621" t="s">
        <v>1561</v>
      </c>
      <c r="B1493" s="618"/>
      <c r="C1493" s="618"/>
      <c r="D1493" s="618"/>
      <c r="E1493" s="618"/>
      <c r="F1493" s="618"/>
      <c r="G1493" s="743"/>
    </row>
    <row r="1494" spans="1:7" ht="13.5" customHeight="1">
      <c r="A1494" s="1975" t="s">
        <v>1556</v>
      </c>
      <c r="B1494" s="1801"/>
      <c r="C1494" s="424" t="s">
        <v>6</v>
      </c>
      <c r="D1494" s="424" t="s">
        <v>1562</v>
      </c>
      <c r="E1494" s="424" t="s">
        <v>7</v>
      </c>
      <c r="F1494" s="424" t="s">
        <v>1559</v>
      </c>
      <c r="G1494" s="673"/>
    </row>
    <row r="1495" spans="1:7" ht="15.75" customHeight="1">
      <c r="A1495" s="1987" t="str">
        <f>+'LISTADO MATERIALES'!$C$179</f>
        <v>TIERRA NEGRA</v>
      </c>
      <c r="B1495" s="1967"/>
      <c r="C1495" s="674" t="str">
        <f>+'LISTADO MATERIALES'!$D$179</f>
        <v>M3</v>
      </c>
      <c r="D1495" s="675">
        <f>+'LISTADO MATERIALES'!$E$179</f>
        <v>31500</v>
      </c>
      <c r="E1495" s="674">
        <v>0.1</v>
      </c>
      <c r="F1495" s="442">
        <f t="shared" ref="F1495:F1496" si="106">+E1495*D1495</f>
        <v>3150</v>
      </c>
      <c r="G1495" s="676"/>
    </row>
    <row r="1496" spans="1:7" ht="13.5" customHeight="1">
      <c r="A1496" s="1995" t="str">
        <f>+'LISTADO MATERIALES'!$C$744</f>
        <v>GRAMA PARA JARDÍN</v>
      </c>
      <c r="B1496" s="1611"/>
      <c r="C1496" s="444" t="str">
        <f>+'LISTADO MATERIALES'!$D$744</f>
        <v>M2</v>
      </c>
      <c r="D1496" s="464">
        <f>+'LISTADO MATERIALES'!$E$744</f>
        <v>3833</v>
      </c>
      <c r="E1496" s="444">
        <v>1.03</v>
      </c>
      <c r="F1496" s="440">
        <f t="shared" si="106"/>
        <v>3947.9900000000002</v>
      </c>
      <c r="G1496" s="707"/>
    </row>
    <row r="1497" spans="1:7" ht="13.5" customHeight="1">
      <c r="A1497" s="1995"/>
      <c r="B1497" s="1611"/>
      <c r="C1497" s="444"/>
      <c r="D1497" s="464"/>
      <c r="E1497" s="444"/>
      <c r="F1497" s="464"/>
      <c r="G1497" s="707"/>
    </row>
    <row r="1498" spans="1:7" ht="13.5" customHeight="1">
      <c r="A1498" s="1995"/>
      <c r="B1498" s="1611"/>
      <c r="C1498" s="444"/>
      <c r="D1498" s="464"/>
      <c r="E1498" s="444"/>
      <c r="F1498" s="464"/>
      <c r="G1498" s="707"/>
    </row>
    <row r="1499" spans="1:7" ht="13.5" customHeight="1">
      <c r="A1499" s="1995"/>
      <c r="B1499" s="1611"/>
      <c r="C1499" s="444"/>
      <c r="D1499" s="464"/>
      <c r="E1499" s="444"/>
      <c r="F1499" s="464"/>
      <c r="G1499" s="707"/>
    </row>
    <row r="1500" spans="1:7" ht="13.5" customHeight="1">
      <c r="A1500" s="2015" t="s">
        <v>1560</v>
      </c>
      <c r="B1500" s="1601"/>
      <c r="C1500" s="1601"/>
      <c r="D1500" s="1601"/>
      <c r="E1500" s="1601"/>
      <c r="F1500" s="1801"/>
      <c r="G1500" s="462">
        <f>SUM(F1495:F1499)</f>
        <v>7097.99</v>
      </c>
    </row>
    <row r="1501" spans="1:7" ht="13.5" customHeight="1">
      <c r="A1501" s="621" t="s">
        <v>1563</v>
      </c>
      <c r="B1501" s="618"/>
      <c r="C1501" s="618"/>
      <c r="D1501" s="618"/>
      <c r="E1501" s="618"/>
      <c r="F1501" s="618"/>
      <c r="G1501" s="743"/>
    </row>
    <row r="1502" spans="1:7" ht="13.5" customHeight="1">
      <c r="A1502" s="1975" t="s">
        <v>1556</v>
      </c>
      <c r="B1502" s="1801"/>
      <c r="C1502" s="424" t="s">
        <v>6</v>
      </c>
      <c r="D1502" s="424" t="s">
        <v>1562</v>
      </c>
      <c r="E1502" s="424" t="s">
        <v>7</v>
      </c>
      <c r="F1502" s="424" t="s">
        <v>1559</v>
      </c>
      <c r="G1502" s="438"/>
    </row>
    <row r="1503" spans="1:7" ht="13.5" customHeight="1">
      <c r="A1503" s="1987"/>
      <c r="B1503" s="1967"/>
      <c r="C1503" s="744"/>
      <c r="D1503" s="675"/>
      <c r="E1503" s="745"/>
      <c r="F1503" s="464"/>
      <c r="G1503" s="676"/>
    </row>
    <row r="1504" spans="1:7" ht="13.5" customHeight="1">
      <c r="A1504" s="1996"/>
      <c r="B1504" s="1819"/>
      <c r="C1504" s="744"/>
      <c r="D1504" s="434"/>
      <c r="E1504" s="746"/>
      <c r="F1504" s="434"/>
      <c r="G1504" s="457"/>
    </row>
    <row r="1505" spans="1:7" ht="13.5" customHeight="1">
      <c r="A1505" s="2015" t="s">
        <v>1560</v>
      </c>
      <c r="B1505" s="1601"/>
      <c r="C1505" s="1601"/>
      <c r="D1505" s="1601"/>
      <c r="E1505" s="1601"/>
      <c r="F1505" s="1801"/>
      <c r="G1505" s="462"/>
    </row>
    <row r="1506" spans="1:7" ht="13.5" customHeight="1">
      <c r="A1506" s="621" t="s">
        <v>1564</v>
      </c>
      <c r="B1506" s="618"/>
      <c r="C1506" s="618"/>
      <c r="D1506" s="618"/>
      <c r="E1506" s="618"/>
      <c r="F1506" s="618"/>
      <c r="G1506" s="743"/>
    </row>
    <row r="1507" spans="1:7" ht="13.5" customHeight="1">
      <c r="A1507" s="1975" t="s">
        <v>1565</v>
      </c>
      <c r="B1507" s="1801"/>
      <c r="C1507" s="424" t="s">
        <v>1566</v>
      </c>
      <c r="D1507" s="424" t="s">
        <v>6</v>
      </c>
      <c r="E1507" s="424" t="s">
        <v>7</v>
      </c>
      <c r="F1507" s="424" t="s">
        <v>1559</v>
      </c>
      <c r="G1507" s="462"/>
    </row>
    <row r="1508" spans="1:7" ht="13.5" customHeight="1">
      <c r="A1508" s="2004" t="str">
        <f>+'MANO DE OBRA'!$A$64</f>
        <v>Oficial (Incl. Prestaciones)</v>
      </c>
      <c r="B1508" s="1888"/>
      <c r="C1508" s="679">
        <f>+'MANO DE OBRA'!$E$64</f>
        <v>15031.25</v>
      </c>
      <c r="D1508" s="680">
        <v>1</v>
      </c>
      <c r="E1508" s="680">
        <v>0.24074425531914892</v>
      </c>
      <c r="F1508" s="694">
        <f t="shared" ref="F1508:F1509" si="107">+(C1508*D1508)*E1508</f>
        <v>3618.6870877659571</v>
      </c>
      <c r="G1508" s="676"/>
    </row>
    <row r="1509" spans="1:7" ht="13.5" customHeight="1">
      <c r="A1509" s="1984" t="str">
        <f>+'MANO DE OBRA'!$A$65</f>
        <v>Ayudante (Incl. Prestaciones)</v>
      </c>
      <c r="B1509" s="1819"/>
      <c r="C1509" s="747">
        <f>+'MANO DE OBRA'!$E$65</f>
        <v>10972.8125</v>
      </c>
      <c r="D1509" s="614">
        <v>1</v>
      </c>
      <c r="E1509" s="614">
        <f>+E1508</f>
        <v>0.24074425531914892</v>
      </c>
      <c r="F1509" s="455">
        <f t="shared" si="107"/>
        <v>2641.6415740691486</v>
      </c>
      <c r="G1509" s="709"/>
    </row>
    <row r="1510" spans="1:7" ht="13.5" customHeight="1">
      <c r="A1510" s="2015" t="str">
        <f>+A1505</f>
        <v>SUB-TOTAL</v>
      </c>
      <c r="B1510" s="1601"/>
      <c r="C1510" s="1601"/>
      <c r="D1510" s="1601"/>
      <c r="E1510" s="1601"/>
      <c r="F1510" s="1801"/>
      <c r="G1510" s="462">
        <f>SUM(F1508:F1509)</f>
        <v>6260.3286618351058</v>
      </c>
    </row>
    <row r="1511" spans="1:7" ht="11.25" customHeight="1">
      <c r="A1511" s="618"/>
      <c r="B1511" s="618"/>
      <c r="C1511" s="618"/>
      <c r="D1511" s="618"/>
      <c r="E1511" s="618"/>
      <c r="F1511" s="748"/>
      <c r="G1511" s="743"/>
    </row>
    <row r="1512" spans="1:7" ht="13.5" customHeight="1">
      <c r="A1512" s="2015" t="s">
        <v>1567</v>
      </c>
      <c r="B1512" s="1601"/>
      <c r="C1512" s="1601"/>
      <c r="D1512" s="1601"/>
      <c r="E1512" s="1601"/>
      <c r="F1512" s="1801"/>
      <c r="G1512" s="459">
        <f>ROUND(G1492+G1500+G1505+G1510,0)</f>
        <v>14044</v>
      </c>
    </row>
    <row r="1513" spans="1:7" ht="13.5" customHeight="1">
      <c r="A1513" s="616"/>
      <c r="B1513" s="616"/>
      <c r="C1513" s="616"/>
      <c r="D1513" s="616"/>
      <c r="E1513" s="616"/>
      <c r="F1513" s="616"/>
      <c r="G1513" s="616"/>
    </row>
    <row r="1514" spans="1:7" ht="13.5" customHeight="1">
      <c r="A1514" s="616"/>
      <c r="B1514" s="616"/>
      <c r="C1514" s="616"/>
      <c r="D1514" s="616"/>
      <c r="E1514" s="616"/>
      <c r="F1514" s="616"/>
      <c r="G1514" s="616"/>
    </row>
    <row r="1515" spans="1:7" ht="12.75" customHeight="1">
      <c r="A1515" s="1994" t="e">
        <f>+'ANALISIS BASICOS'!$A$7</f>
        <v>#REF!</v>
      </c>
      <c r="B1515" s="1616"/>
      <c r="C1515" s="1624"/>
      <c r="D1515" s="567"/>
      <c r="E1515" s="567"/>
      <c r="F1515" s="567"/>
      <c r="G1515" s="668"/>
    </row>
    <row r="1516" spans="1:7" ht="36.75" customHeight="1">
      <c r="A1516" s="1971"/>
      <c r="B1516" s="1817"/>
      <c r="C1516" s="1972"/>
      <c r="D1516" s="669"/>
      <c r="E1516" s="669"/>
      <c r="F1516" s="669"/>
      <c r="G1516" s="670"/>
    </row>
    <row r="1517" spans="1:7" ht="13.5" customHeight="1">
      <c r="A1517" s="618"/>
      <c r="B1517" s="618"/>
      <c r="C1517" s="618"/>
      <c r="D1517" s="618"/>
      <c r="E1517" s="618"/>
      <c r="F1517" s="618"/>
      <c r="G1517" s="618"/>
    </row>
    <row r="1518" spans="1:7" ht="45.75" customHeight="1">
      <c r="A1518" s="1991" t="e">
        <f ca="1">$A$10</f>
        <v>#NAME?</v>
      </c>
      <c r="B1518" s="1601"/>
      <c r="C1518" s="1602"/>
      <c r="D1518" s="1974" t="s">
        <v>2461</v>
      </c>
      <c r="E1518" s="1601"/>
      <c r="F1518" s="1601"/>
      <c r="G1518" s="1602"/>
    </row>
    <row r="1519" spans="1:7" ht="13.5" customHeight="1">
      <c r="A1519" s="620"/>
      <c r="B1519" s="620"/>
      <c r="C1519" s="620"/>
      <c r="D1519" s="620"/>
      <c r="E1519" s="620"/>
      <c r="F1519" s="620"/>
      <c r="G1519" s="620"/>
    </row>
    <row r="1520" spans="1:7" ht="13.5" customHeight="1">
      <c r="A1520" s="572"/>
      <c r="B1520" s="618"/>
      <c r="C1520" s="616"/>
      <c r="D1520" s="421" t="s">
        <v>1553</v>
      </c>
      <c r="E1520" s="422" t="s">
        <v>116</v>
      </c>
      <c r="F1520" s="421" t="s">
        <v>1554</v>
      </c>
      <c r="G1520" s="422" t="s">
        <v>513</v>
      </c>
    </row>
    <row r="1521" spans="1:7" ht="13.5" customHeight="1">
      <c r="A1521" s="621" t="s">
        <v>1555</v>
      </c>
      <c r="B1521" s="618"/>
      <c r="C1521" s="618"/>
      <c r="D1521" s="618"/>
      <c r="E1521" s="618"/>
      <c r="F1521" s="618"/>
      <c r="G1521" s="618"/>
    </row>
    <row r="1522" spans="1:7" ht="13.5" customHeight="1">
      <c r="A1522" s="1975" t="s">
        <v>1556</v>
      </c>
      <c r="B1522" s="1601"/>
      <c r="C1522" s="1801"/>
      <c r="D1522" s="424" t="s">
        <v>208</v>
      </c>
      <c r="E1522" s="424" t="s">
        <v>1558</v>
      </c>
      <c r="F1522" s="424" t="s">
        <v>1559</v>
      </c>
      <c r="G1522" s="425"/>
    </row>
    <row r="1523" spans="1:7" ht="13.5" customHeight="1">
      <c r="A1523" s="1987" t="str">
        <f>+'LISTADO EQUIPOS'!$C$22</f>
        <v>HERRAMIENTA MENOR.</v>
      </c>
      <c r="B1523" s="1811"/>
      <c r="C1523" s="1967"/>
      <c r="D1523" s="675">
        <f>+'LISTADO EQUIPOS'!$E$22/8</f>
        <v>2850</v>
      </c>
      <c r="E1523" s="687">
        <v>4.5</v>
      </c>
      <c r="F1523" s="442">
        <f>+E1523*D1523</f>
        <v>12825</v>
      </c>
      <c r="G1523" s="688"/>
    </row>
    <row r="1524" spans="1:7" ht="13.5" customHeight="1">
      <c r="A1524" s="1996"/>
      <c r="B1524" s="1807"/>
      <c r="C1524" s="1819"/>
      <c r="D1524" s="434"/>
      <c r="E1524" s="433"/>
      <c r="F1524" s="700"/>
      <c r="G1524" s="435"/>
    </row>
    <row r="1525" spans="1:7" ht="13.5" customHeight="1">
      <c r="A1525" s="2015"/>
      <c r="B1525" s="1601"/>
      <c r="C1525" s="1601"/>
      <c r="D1525" s="1601"/>
      <c r="E1525" s="1601"/>
      <c r="F1525" s="1801"/>
      <c r="G1525" s="462">
        <f>SUM(F1523:F1524)</f>
        <v>12825</v>
      </c>
    </row>
    <row r="1526" spans="1:7" ht="13.5" customHeight="1">
      <c r="A1526" s="621" t="s">
        <v>1561</v>
      </c>
      <c r="B1526" s="618"/>
      <c r="C1526" s="618"/>
      <c r="D1526" s="618"/>
      <c r="E1526" s="618"/>
      <c r="F1526" s="618"/>
      <c r="G1526" s="743"/>
    </row>
    <row r="1527" spans="1:7" ht="13.5" customHeight="1">
      <c r="A1527" s="1975" t="s">
        <v>1556</v>
      </c>
      <c r="B1527" s="1801"/>
      <c r="C1527" s="424" t="s">
        <v>6</v>
      </c>
      <c r="D1527" s="424" t="s">
        <v>1562</v>
      </c>
      <c r="E1527" s="424" t="s">
        <v>7</v>
      </c>
      <c r="F1527" s="424" t="s">
        <v>1559</v>
      </c>
      <c r="G1527" s="673"/>
    </row>
    <row r="1528" spans="1:7" ht="22.5" customHeight="1">
      <c r="A1528" s="1987" t="str">
        <f>+'LISTADO MATERIALES'!C181</f>
        <v xml:space="preserve">CONCRETO ASFÁLTICO TIPO RODADURA MDC-2-NORMA INVIAS </v>
      </c>
      <c r="B1528" s="1967"/>
      <c r="C1528" s="674" t="s">
        <v>116</v>
      </c>
      <c r="D1528" s="675">
        <f>+'LISTADO MATERIALES'!E181</f>
        <v>407624</v>
      </c>
      <c r="E1528" s="674">
        <v>1.02</v>
      </c>
      <c r="F1528" s="442">
        <f>+E1528*D1528</f>
        <v>415776.48</v>
      </c>
      <c r="G1528" s="676"/>
    </row>
    <row r="1529" spans="1:7" ht="13.5" customHeight="1">
      <c r="A1529" s="1995"/>
      <c r="B1529" s="1611"/>
      <c r="C1529" s="444"/>
      <c r="D1529" s="464"/>
      <c r="E1529" s="444"/>
      <c r="F1529" s="440"/>
      <c r="G1529" s="707"/>
    </row>
    <row r="1530" spans="1:7" ht="13.5" customHeight="1">
      <c r="A1530" s="1995"/>
      <c r="B1530" s="1611"/>
      <c r="C1530" s="444"/>
      <c r="D1530" s="464"/>
      <c r="E1530" s="444"/>
      <c r="F1530" s="440"/>
      <c r="G1530" s="707"/>
    </row>
    <row r="1531" spans="1:7" ht="13.5" customHeight="1">
      <c r="A1531" s="1995"/>
      <c r="B1531" s="1611"/>
      <c r="C1531" s="444"/>
      <c r="D1531" s="464"/>
      <c r="E1531" s="444"/>
      <c r="F1531" s="464"/>
      <c r="G1531" s="707"/>
    </row>
    <row r="1532" spans="1:7" ht="13.5" customHeight="1">
      <c r="A1532" s="1995"/>
      <c r="B1532" s="1611"/>
      <c r="C1532" s="444"/>
      <c r="D1532" s="464"/>
      <c r="E1532" s="444"/>
      <c r="F1532" s="464"/>
      <c r="G1532" s="707"/>
    </row>
    <row r="1533" spans="1:7" ht="13.5" customHeight="1">
      <c r="A1533" s="2015" t="s">
        <v>1560</v>
      </c>
      <c r="B1533" s="1601"/>
      <c r="C1533" s="1601"/>
      <c r="D1533" s="1601"/>
      <c r="E1533" s="1601"/>
      <c r="F1533" s="1801"/>
      <c r="G1533" s="462">
        <f>SUM(F1528:F1532)</f>
        <v>415776.48</v>
      </c>
    </row>
    <row r="1534" spans="1:7" ht="13.5" customHeight="1">
      <c r="A1534" s="621" t="s">
        <v>1563</v>
      </c>
      <c r="B1534" s="618"/>
      <c r="C1534" s="618"/>
      <c r="D1534" s="618"/>
      <c r="E1534" s="618"/>
      <c r="F1534" s="618"/>
      <c r="G1534" s="743"/>
    </row>
    <row r="1535" spans="1:7" ht="13.5" customHeight="1">
      <c r="A1535" s="1975" t="s">
        <v>1556</v>
      </c>
      <c r="B1535" s="1801"/>
      <c r="C1535" s="424" t="s">
        <v>6</v>
      </c>
      <c r="D1535" s="424" t="s">
        <v>1562</v>
      </c>
      <c r="E1535" s="424" t="s">
        <v>7</v>
      </c>
      <c r="F1535" s="424" t="s">
        <v>1559</v>
      </c>
      <c r="G1535" s="438"/>
    </row>
    <row r="1536" spans="1:7" ht="13.5" customHeight="1">
      <c r="A1536" s="1987"/>
      <c r="B1536" s="1967"/>
      <c r="C1536" s="744"/>
      <c r="D1536" s="675"/>
      <c r="E1536" s="745"/>
      <c r="F1536" s="464"/>
      <c r="G1536" s="676"/>
    </row>
    <row r="1537" spans="1:7" ht="13.5" customHeight="1">
      <c r="A1537" s="1996"/>
      <c r="B1537" s="1819"/>
      <c r="C1537" s="744"/>
      <c r="D1537" s="434"/>
      <c r="E1537" s="746"/>
      <c r="F1537" s="434"/>
      <c r="G1537" s="457"/>
    </row>
    <row r="1538" spans="1:7" ht="13.5" customHeight="1">
      <c r="A1538" s="2015" t="s">
        <v>1560</v>
      </c>
      <c r="B1538" s="1601"/>
      <c r="C1538" s="1601"/>
      <c r="D1538" s="1601"/>
      <c r="E1538" s="1601"/>
      <c r="F1538" s="1801"/>
      <c r="G1538" s="462"/>
    </row>
    <row r="1539" spans="1:7" ht="13.5" customHeight="1">
      <c r="A1539" s="621" t="s">
        <v>1564</v>
      </c>
      <c r="B1539" s="618"/>
      <c r="C1539" s="618"/>
      <c r="D1539" s="618"/>
      <c r="E1539" s="618"/>
      <c r="F1539" s="618"/>
      <c r="G1539" s="743"/>
    </row>
    <row r="1540" spans="1:7" ht="13.5" customHeight="1">
      <c r="A1540" s="1975" t="s">
        <v>1565</v>
      </c>
      <c r="B1540" s="1801"/>
      <c r="C1540" s="424" t="s">
        <v>1566</v>
      </c>
      <c r="D1540" s="424" t="s">
        <v>6</v>
      </c>
      <c r="E1540" s="424" t="s">
        <v>7</v>
      </c>
      <c r="F1540" s="424" t="s">
        <v>1559</v>
      </c>
      <c r="G1540" s="462"/>
    </row>
    <row r="1541" spans="1:7" ht="13.5" customHeight="1">
      <c r="A1541" s="2004" t="str">
        <f>+'MANO DE OBRA'!$A$64</f>
        <v>Oficial (Incl. Prestaciones)</v>
      </c>
      <c r="B1541" s="1888"/>
      <c r="C1541" s="679">
        <f>+'MANO DE OBRA'!$E$64</f>
        <v>15031.25</v>
      </c>
      <c r="D1541" s="680">
        <v>1</v>
      </c>
      <c r="E1541" s="680">
        <v>-2.9574132492112826E-2</v>
      </c>
      <c r="F1541" s="694">
        <f t="shared" ref="F1541:F1542" si="108">+(C1541*D1541)*E1541</f>
        <v>-444.53617902207094</v>
      </c>
      <c r="G1541" s="676"/>
    </row>
    <row r="1542" spans="1:7" ht="13.5" customHeight="1">
      <c r="A1542" s="1984" t="str">
        <f>+'MANO DE OBRA'!$A$65</f>
        <v>Ayudante (Incl. Prestaciones)</v>
      </c>
      <c r="B1542" s="1819"/>
      <c r="C1542" s="747">
        <f>+'MANO DE OBRA'!$E$65</f>
        <v>10972.8125</v>
      </c>
      <c r="D1542" s="614">
        <v>1</v>
      </c>
      <c r="E1542" s="614">
        <f>+E1541</f>
        <v>-2.9574132492112826E-2</v>
      </c>
      <c r="F1542" s="455">
        <f t="shared" si="108"/>
        <v>-324.51141068611179</v>
      </c>
      <c r="G1542" s="709"/>
    </row>
    <row r="1543" spans="1:7" ht="13.5" customHeight="1">
      <c r="A1543" s="2015" t="str">
        <f>+A1538</f>
        <v>SUB-TOTAL</v>
      </c>
      <c r="B1543" s="1601"/>
      <c r="C1543" s="1601"/>
      <c r="D1543" s="1601"/>
      <c r="E1543" s="1601"/>
      <c r="F1543" s="1801"/>
      <c r="G1543" s="462">
        <f>SUM(F1541:F1542)</f>
        <v>-769.04758970818273</v>
      </c>
    </row>
    <row r="1544" spans="1:7" ht="13.5" customHeight="1">
      <c r="A1544" s="618"/>
      <c r="B1544" s="618"/>
      <c r="C1544" s="618"/>
      <c r="D1544" s="618"/>
      <c r="E1544" s="618"/>
      <c r="F1544" s="748"/>
      <c r="G1544" s="743"/>
    </row>
    <row r="1545" spans="1:7" ht="13.5" customHeight="1">
      <c r="A1545" s="2015" t="s">
        <v>1567</v>
      </c>
      <c r="B1545" s="1601"/>
      <c r="C1545" s="1601"/>
      <c r="D1545" s="1601"/>
      <c r="E1545" s="1601"/>
      <c r="F1545" s="1801"/>
      <c r="G1545" s="459">
        <f>ROUND(G1525+G1533+G1538+G1543,0)</f>
        <v>427832</v>
      </c>
    </row>
    <row r="1546" spans="1:7" ht="13.5" customHeight="1">
      <c r="A1546" s="616"/>
      <c r="B1546" s="616"/>
      <c r="C1546" s="616"/>
      <c r="D1546" s="616"/>
      <c r="E1546" s="616"/>
      <c r="F1546" s="616"/>
      <c r="G1546" s="616"/>
    </row>
    <row r="1547" spans="1:7" ht="13.5" customHeight="1">
      <c r="A1547" s="616"/>
      <c r="B1547" s="616"/>
      <c r="C1547" s="616"/>
      <c r="D1547" s="616"/>
      <c r="E1547" s="616"/>
      <c r="F1547" s="616"/>
      <c r="G1547" s="616"/>
    </row>
    <row r="1548" spans="1:7" ht="13.5" customHeight="1">
      <c r="A1548" s="2005" t="s">
        <v>1604</v>
      </c>
      <c r="B1548" s="1616"/>
      <c r="C1548" s="1624"/>
      <c r="D1548" s="567"/>
      <c r="E1548" s="567"/>
      <c r="F1548" s="567"/>
      <c r="G1548" s="668"/>
    </row>
    <row r="1549" spans="1:7" ht="31.5" customHeight="1">
      <c r="A1549" s="1971"/>
      <c r="B1549" s="1817"/>
      <c r="C1549" s="1972"/>
      <c r="D1549" s="669"/>
      <c r="E1549" s="669"/>
      <c r="F1549" s="669"/>
      <c r="G1549" s="670"/>
    </row>
    <row r="1550" spans="1:7" ht="13.5" customHeight="1">
      <c r="A1550" s="618"/>
      <c r="B1550" s="618"/>
      <c r="C1550" s="618"/>
      <c r="D1550" s="618"/>
      <c r="E1550" s="618"/>
      <c r="F1550" s="618"/>
      <c r="G1550" s="618"/>
    </row>
    <row r="1551" spans="1:7" ht="29.25" customHeight="1">
      <c r="A1551" s="1973" t="e">
        <f ca="1">A10</f>
        <v>#NAME?</v>
      </c>
      <c r="B1551" s="1601"/>
      <c r="C1551" s="1602"/>
      <c r="D1551" s="1974" t="s">
        <v>2462</v>
      </c>
      <c r="E1551" s="1601"/>
      <c r="F1551" s="1601"/>
      <c r="G1551" s="1602"/>
    </row>
    <row r="1553" spans="1:7" ht="13.5" customHeight="1">
      <c r="A1553" s="572"/>
      <c r="B1553" s="618"/>
      <c r="C1553" s="616"/>
      <c r="D1553" s="421" t="s">
        <v>1553</v>
      </c>
      <c r="E1553" s="422" t="s">
        <v>228</v>
      </c>
      <c r="F1553" s="572"/>
      <c r="G1553" s="572"/>
    </row>
    <row r="1554" spans="1:7" ht="13.5" customHeight="1">
      <c r="A1554" s="621" t="s">
        <v>1555</v>
      </c>
      <c r="B1554" s="618"/>
      <c r="C1554" s="618"/>
      <c r="D1554" s="618"/>
      <c r="E1554" s="618"/>
      <c r="F1554" s="618"/>
      <c r="G1554" s="618"/>
    </row>
    <row r="1555" spans="1:7" ht="13.5" customHeight="1">
      <c r="A1555" s="1975" t="s">
        <v>1556</v>
      </c>
      <c r="B1555" s="1601"/>
      <c r="C1555" s="1801"/>
      <c r="D1555" s="424" t="s">
        <v>208</v>
      </c>
      <c r="E1555" s="424" t="s">
        <v>1558</v>
      </c>
      <c r="F1555" s="424" t="s">
        <v>1559</v>
      </c>
      <c r="G1555" s="425"/>
    </row>
    <row r="1556" spans="1:7" ht="13.5" customHeight="1">
      <c r="A1556" s="1987" t="str">
        <f>+'LISTADO EQUIPOS'!$C$22</f>
        <v>HERRAMIENTA MENOR.</v>
      </c>
      <c r="B1556" s="1811"/>
      <c r="C1556" s="1967"/>
      <c r="D1556" s="675">
        <f>+'LISTADO EQUIPOS'!$E$22/8</f>
        <v>2850</v>
      </c>
      <c r="E1556" s="687">
        <f>+E1574</f>
        <v>0.33733055872413203</v>
      </c>
      <c r="F1556" s="442">
        <f>+E1556*D1556</f>
        <v>961.39209236377633</v>
      </c>
      <c r="G1556" s="688"/>
    </row>
    <row r="1557" spans="1:7" ht="13.5" customHeight="1">
      <c r="A1557" s="1996"/>
      <c r="B1557" s="1807"/>
      <c r="C1557" s="1819"/>
      <c r="D1557" s="434"/>
      <c r="E1557" s="758"/>
      <c r="F1557" s="434"/>
      <c r="G1557" s="435"/>
    </row>
    <row r="1558" spans="1:7" ht="13.5" customHeight="1">
      <c r="A1558" s="2015" t="s">
        <v>1560</v>
      </c>
      <c r="B1558" s="1601"/>
      <c r="C1558" s="1601"/>
      <c r="D1558" s="1601"/>
      <c r="E1558" s="1601"/>
      <c r="F1558" s="1801"/>
      <c r="G1558" s="462">
        <f>SUM(F1556:F1557)</f>
        <v>961.39209236377633</v>
      </c>
    </row>
    <row r="1559" spans="1:7" ht="13.5" customHeight="1">
      <c r="A1559" s="621" t="s">
        <v>1561</v>
      </c>
      <c r="B1559" s="618"/>
      <c r="C1559" s="618"/>
      <c r="D1559" s="618"/>
      <c r="E1559" s="618"/>
      <c r="F1559" s="618"/>
      <c r="G1559" s="743"/>
    </row>
    <row r="1560" spans="1:7" ht="13.5" customHeight="1">
      <c r="A1560" s="1975" t="s">
        <v>1556</v>
      </c>
      <c r="B1560" s="1801"/>
      <c r="C1560" s="424" t="s">
        <v>6</v>
      </c>
      <c r="D1560" s="424" t="s">
        <v>1562</v>
      </c>
      <c r="E1560" s="424" t="s">
        <v>7</v>
      </c>
      <c r="F1560" s="424" t="s">
        <v>1559</v>
      </c>
      <c r="G1560" s="673"/>
    </row>
    <row r="1561" spans="1:7" ht="33.75" customHeight="1">
      <c r="A1561" s="1987" t="str">
        <f>'LISTADO MATERIALES'!C309</f>
        <v>Adoquin en concreto, tipo VEHICULAR,  de 0,20 x 0,10 mts., e= 0,08 mts.,  COLOR GRIS</v>
      </c>
      <c r="B1561" s="1967"/>
      <c r="C1561" s="674" t="str">
        <f>+'LISTADO MATERIALES'!$D$386</f>
        <v>M2</v>
      </c>
      <c r="D1561" s="675">
        <f>'LISTADO MATERIALES'!E309</f>
        <v>36225</v>
      </c>
      <c r="E1561" s="674">
        <v>1.03</v>
      </c>
      <c r="F1561" s="442">
        <f t="shared" ref="F1561:F1563" si="109">+E1561*D1561</f>
        <v>37311.75</v>
      </c>
      <c r="G1561" s="676"/>
    </row>
    <row r="1562" spans="1:7" ht="13.5" customHeight="1">
      <c r="A1562" s="1995" t="str">
        <f>+'ANALISIS BASICOS'!$A$391</f>
        <v>MORTERO 1:6</v>
      </c>
      <c r="B1562" s="1611"/>
      <c r="C1562" s="444" t="str">
        <f>+'ANALISIS BASICOS'!$E$368</f>
        <v>M3</v>
      </c>
      <c r="D1562" s="464">
        <f>+'ANALISIS BASICOS'!$G$391</f>
        <v>323611</v>
      </c>
      <c r="E1562" s="444">
        <v>0.04</v>
      </c>
      <c r="F1562" s="440">
        <f t="shared" si="109"/>
        <v>12944.44</v>
      </c>
      <c r="G1562" s="707"/>
    </row>
    <row r="1563" spans="1:7" ht="13.5" customHeight="1">
      <c r="A1563" s="1995" t="str">
        <f>+'LISTADO MATERIALES'!$C$129</f>
        <v>ARENA</v>
      </c>
      <c r="B1563" s="1611"/>
      <c r="C1563" s="444" t="str">
        <f>+'LISTADO MATERIALES'!$D$129</f>
        <v>M3</v>
      </c>
      <c r="D1563" s="464">
        <f>+'LISTADO MATERIALES'!$E$129</f>
        <v>59450</v>
      </c>
      <c r="E1563" s="444">
        <v>0.03</v>
      </c>
      <c r="F1563" s="440">
        <f t="shared" si="109"/>
        <v>1783.5</v>
      </c>
      <c r="G1563" s="707"/>
    </row>
    <row r="1564" spans="1:7" ht="13.5" customHeight="1">
      <c r="A1564" s="1995"/>
      <c r="B1564" s="1611"/>
      <c r="C1564" s="444"/>
      <c r="D1564" s="464"/>
      <c r="E1564" s="444"/>
      <c r="F1564" s="464"/>
      <c r="G1564" s="707"/>
    </row>
    <row r="1565" spans="1:7" ht="13.5" customHeight="1">
      <c r="A1565" s="1995"/>
      <c r="B1565" s="1611"/>
      <c r="C1565" s="444"/>
      <c r="D1565" s="464"/>
      <c r="E1565" s="444"/>
      <c r="F1565" s="464"/>
      <c r="G1565" s="707"/>
    </row>
    <row r="1566" spans="1:7" ht="13.5" customHeight="1">
      <c r="A1566" s="2015" t="s">
        <v>1560</v>
      </c>
      <c r="B1566" s="1601"/>
      <c r="C1566" s="1601"/>
      <c r="D1566" s="1601"/>
      <c r="E1566" s="1601"/>
      <c r="F1566" s="1801"/>
      <c r="G1566" s="462">
        <f>SUM(F1561:F1565)</f>
        <v>52039.69</v>
      </c>
    </row>
    <row r="1567" spans="1:7" ht="13.5" customHeight="1">
      <c r="A1567" s="621" t="s">
        <v>1563</v>
      </c>
      <c r="B1567" s="618"/>
      <c r="C1567" s="618"/>
      <c r="D1567" s="618"/>
      <c r="E1567" s="618"/>
      <c r="F1567" s="618"/>
      <c r="G1567" s="743"/>
    </row>
    <row r="1568" spans="1:7" ht="13.5" customHeight="1">
      <c r="A1568" s="1975" t="s">
        <v>1556</v>
      </c>
      <c r="B1568" s="1801"/>
      <c r="C1568" s="424" t="s">
        <v>6</v>
      </c>
      <c r="D1568" s="424" t="s">
        <v>1562</v>
      </c>
      <c r="E1568" s="424" t="s">
        <v>7</v>
      </c>
      <c r="F1568" s="424" t="s">
        <v>1559</v>
      </c>
      <c r="G1568" s="438"/>
    </row>
    <row r="1569" spans="1:7" ht="13.5" customHeight="1">
      <c r="A1569" s="1987"/>
      <c r="B1569" s="1967"/>
      <c r="C1569" s="744"/>
      <c r="D1569" s="675"/>
      <c r="E1569" s="745"/>
      <c r="F1569" s="464"/>
      <c r="G1569" s="676"/>
    </row>
    <row r="1570" spans="1:7" ht="13.5" customHeight="1">
      <c r="A1570" s="1996"/>
      <c r="B1570" s="1819"/>
      <c r="C1570" s="744"/>
      <c r="D1570" s="434"/>
      <c r="E1570" s="746"/>
      <c r="F1570" s="434"/>
      <c r="G1570" s="457"/>
    </row>
    <row r="1571" spans="1:7" ht="13.5" customHeight="1">
      <c r="A1571" s="2015" t="s">
        <v>1560</v>
      </c>
      <c r="B1571" s="1601"/>
      <c r="C1571" s="1601"/>
      <c r="D1571" s="1601"/>
      <c r="E1571" s="1601"/>
      <c r="F1571" s="1801"/>
      <c r="G1571" s="462"/>
    </row>
    <row r="1572" spans="1:7" ht="13.5" customHeight="1">
      <c r="A1572" s="621" t="s">
        <v>1564</v>
      </c>
      <c r="B1572" s="618"/>
      <c r="C1572" s="618"/>
      <c r="D1572" s="618"/>
      <c r="E1572" s="618"/>
      <c r="F1572" s="618"/>
      <c r="G1572" s="743"/>
    </row>
    <row r="1573" spans="1:7" ht="13.5" customHeight="1">
      <c r="A1573" s="1975" t="s">
        <v>1565</v>
      </c>
      <c r="B1573" s="1801"/>
      <c r="C1573" s="424" t="s">
        <v>1566</v>
      </c>
      <c r="D1573" s="424" t="s">
        <v>6</v>
      </c>
      <c r="E1573" s="424" t="s">
        <v>7</v>
      </c>
      <c r="F1573" s="424" t="s">
        <v>1559</v>
      </c>
      <c r="G1573" s="462"/>
    </row>
    <row r="1574" spans="1:7" ht="13.5" customHeight="1">
      <c r="A1574" s="2004" t="str">
        <f>+'MANO DE OBRA'!$A$64</f>
        <v>Oficial (Incl. Prestaciones)</v>
      </c>
      <c r="B1574" s="1888"/>
      <c r="C1574" s="679">
        <f>+'MANO DE OBRA'!$E$64</f>
        <v>15031.25</v>
      </c>
      <c r="D1574" s="680">
        <v>1</v>
      </c>
      <c r="E1574" s="680">
        <v>0.33733055872413203</v>
      </c>
      <c r="F1574" s="694">
        <f t="shared" ref="F1574:F1575" si="110">+(C1574*D1574)*E1574</f>
        <v>5070.4999608221096</v>
      </c>
      <c r="G1574" s="676"/>
    </row>
    <row r="1575" spans="1:7" ht="13.5" customHeight="1">
      <c r="A1575" s="1984" t="str">
        <f>+'MANO DE OBRA'!$A$65</f>
        <v>Ayudante (Incl. Prestaciones)</v>
      </c>
      <c r="B1575" s="1819"/>
      <c r="C1575" s="747">
        <f>+'MANO DE OBRA'!$E$65</f>
        <v>10972.8125</v>
      </c>
      <c r="D1575" s="614">
        <v>1</v>
      </c>
      <c r="E1575" s="614">
        <f>+E1574</f>
        <v>0.33733055872413203</v>
      </c>
      <c r="F1575" s="455">
        <f t="shared" si="110"/>
        <v>3701.4649714001403</v>
      </c>
      <c r="G1575" s="709"/>
    </row>
    <row r="1576" spans="1:7" ht="13.5" customHeight="1">
      <c r="A1576" s="2015" t="str">
        <f>+A1571</f>
        <v>SUB-TOTAL</v>
      </c>
      <c r="B1576" s="1601"/>
      <c r="C1576" s="1601"/>
      <c r="D1576" s="1601"/>
      <c r="E1576" s="1601"/>
      <c r="F1576" s="1801"/>
      <c r="G1576" s="462">
        <f>SUM(F1574:F1575)</f>
        <v>8771.9649322222504</v>
      </c>
    </row>
    <row r="1577" spans="1:7" ht="13.5" customHeight="1">
      <c r="A1577" s="618"/>
      <c r="B1577" s="618"/>
      <c r="C1577" s="618"/>
      <c r="D1577" s="618"/>
      <c r="E1577" s="618"/>
      <c r="F1577" s="748"/>
      <c r="G1577" s="743"/>
    </row>
    <row r="1578" spans="1:7" ht="13.5" customHeight="1">
      <c r="A1578" s="2015" t="s">
        <v>1567</v>
      </c>
      <c r="B1578" s="1601"/>
      <c r="C1578" s="1601"/>
      <c r="D1578" s="1601"/>
      <c r="E1578" s="1601"/>
      <c r="F1578" s="1801"/>
      <c r="G1578" s="459">
        <f>ROUND(G1558+G1566+G1571+G1576,0)</f>
        <v>61773</v>
      </c>
    </row>
    <row r="1579" spans="1:7" ht="13.5" customHeight="1">
      <c r="A1579" s="616"/>
      <c r="B1579" s="616"/>
      <c r="C1579" s="616"/>
      <c r="D1579" s="616"/>
      <c r="E1579" s="616"/>
      <c r="F1579" s="616"/>
      <c r="G1579" s="616"/>
    </row>
    <row r="1580" spans="1:7" ht="13.5" customHeight="1">
      <c r="A1580" s="616"/>
      <c r="B1580" s="616"/>
      <c r="C1580" s="616"/>
      <c r="D1580" s="616"/>
      <c r="E1580" s="616"/>
      <c r="F1580" s="616"/>
      <c r="G1580" s="616"/>
    </row>
    <row r="1581" spans="1:7" ht="13.5" customHeight="1">
      <c r="A1581" s="2005" t="s">
        <v>1604</v>
      </c>
      <c r="B1581" s="1616"/>
      <c r="C1581" s="1624"/>
      <c r="D1581" s="567"/>
      <c r="E1581" s="567"/>
      <c r="F1581" s="567"/>
      <c r="G1581" s="668"/>
    </row>
    <row r="1582" spans="1:7" ht="29.25" customHeight="1">
      <c r="A1582" s="1971"/>
      <c r="B1582" s="1817"/>
      <c r="C1582" s="1972"/>
      <c r="D1582" s="669"/>
      <c r="E1582" s="669"/>
      <c r="F1582" s="669"/>
      <c r="G1582" s="670"/>
    </row>
    <row r="1583" spans="1:7" ht="13.5" customHeight="1">
      <c r="A1583" s="618"/>
      <c r="B1583" s="618"/>
      <c r="C1583" s="618"/>
      <c r="D1583" s="618"/>
      <c r="E1583" s="618"/>
      <c r="F1583" s="618"/>
      <c r="G1583" s="618"/>
    </row>
    <row r="1584" spans="1:7" ht="24.75" customHeight="1">
      <c r="A1584" s="1973" t="e">
        <f ca="1">A10</f>
        <v>#NAME?</v>
      </c>
      <c r="B1584" s="1601"/>
      <c r="C1584" s="1602"/>
      <c r="D1584" s="1974" t="s">
        <v>2463</v>
      </c>
      <c r="E1584" s="1601"/>
      <c r="F1584" s="1601"/>
      <c r="G1584" s="1602"/>
    </row>
    <row r="1586" spans="1:7" ht="13.5" customHeight="1">
      <c r="A1586" s="572"/>
      <c r="B1586" s="618"/>
      <c r="C1586" s="616"/>
      <c r="D1586" s="421" t="s">
        <v>1553</v>
      </c>
      <c r="E1586" s="422" t="s">
        <v>120</v>
      </c>
      <c r="F1586" s="572"/>
      <c r="G1586" s="572"/>
    </row>
    <row r="1587" spans="1:7" ht="13.5" customHeight="1">
      <c r="A1587" s="621" t="s">
        <v>1555</v>
      </c>
      <c r="B1587" s="618"/>
      <c r="C1587" s="618"/>
      <c r="D1587" s="618"/>
      <c r="E1587" s="618"/>
      <c r="F1587" s="618"/>
      <c r="G1587" s="618"/>
    </row>
    <row r="1588" spans="1:7" ht="13.5" customHeight="1">
      <c r="A1588" s="1975" t="s">
        <v>1556</v>
      </c>
      <c r="B1588" s="1601"/>
      <c r="C1588" s="1801"/>
      <c r="D1588" s="424" t="s">
        <v>208</v>
      </c>
      <c r="E1588" s="424" t="s">
        <v>1558</v>
      </c>
      <c r="F1588" s="424" t="s">
        <v>1559</v>
      </c>
      <c r="G1588" s="425"/>
    </row>
    <row r="1589" spans="1:7" ht="13.5" customHeight="1">
      <c r="A1589" s="1987" t="str">
        <f>+'LISTADO EQUIPOS'!$C$22</f>
        <v>HERRAMIENTA MENOR.</v>
      </c>
      <c r="B1589" s="1811"/>
      <c r="C1589" s="1967"/>
      <c r="D1589" s="675">
        <f>+'LISTADO EQUIPOS'!$E$22/8</f>
        <v>2850</v>
      </c>
      <c r="E1589" s="687">
        <v>0.28999999999999998</v>
      </c>
      <c r="F1589" s="442">
        <f>+E1589*D1589</f>
        <v>826.49999999999989</v>
      </c>
      <c r="G1589" s="688"/>
    </row>
    <row r="1590" spans="1:7" ht="13.5" customHeight="1">
      <c r="A1590" s="1996"/>
      <c r="B1590" s="1807"/>
      <c r="C1590" s="1819"/>
      <c r="D1590" s="434"/>
      <c r="E1590" s="758"/>
      <c r="F1590" s="434"/>
      <c r="G1590" s="435"/>
    </row>
    <row r="1591" spans="1:7" ht="13.5" customHeight="1">
      <c r="A1591" s="2015" t="s">
        <v>1560</v>
      </c>
      <c r="B1591" s="1601"/>
      <c r="C1591" s="1601"/>
      <c r="D1591" s="1601"/>
      <c r="E1591" s="1601"/>
      <c r="F1591" s="1801"/>
      <c r="G1591" s="462">
        <f>SUM(F1589:F1590)</f>
        <v>826.49999999999989</v>
      </c>
    </row>
    <row r="1592" spans="1:7" ht="13.5" customHeight="1">
      <c r="A1592" s="621" t="s">
        <v>1561</v>
      </c>
      <c r="B1592" s="618"/>
      <c r="C1592" s="618"/>
      <c r="D1592" s="618"/>
      <c r="E1592" s="618"/>
      <c r="F1592" s="618"/>
      <c r="G1592" s="743"/>
    </row>
    <row r="1593" spans="1:7" ht="13.5" customHeight="1">
      <c r="A1593" s="1975" t="s">
        <v>1556</v>
      </c>
      <c r="B1593" s="1801"/>
      <c r="C1593" s="424" t="s">
        <v>6</v>
      </c>
      <c r="D1593" s="424" t="s">
        <v>1562</v>
      </c>
      <c r="E1593" s="424" t="s">
        <v>7</v>
      </c>
      <c r="F1593" s="424" t="s">
        <v>1559</v>
      </c>
      <c r="G1593" s="673"/>
    </row>
    <row r="1594" spans="1:7" ht="13.5" customHeight="1">
      <c r="A1594" s="1987" t="s">
        <v>1958</v>
      </c>
      <c r="B1594" s="1967"/>
      <c r="C1594" s="674" t="s">
        <v>116</v>
      </c>
      <c r="D1594" s="675">
        <f>'ANALISIS BASICOS'!G164</f>
        <v>434608</v>
      </c>
      <c r="E1594" s="674">
        <v>2.5000000000000001E-2</v>
      </c>
      <c r="F1594" s="442">
        <f t="shared" ref="F1594:F1595" si="111">+E1594*D1594</f>
        <v>10865.2</v>
      </c>
      <c r="G1594" s="676"/>
    </row>
    <row r="1595" spans="1:7" ht="21" customHeight="1">
      <c r="A1595" s="1995" t="s">
        <v>2464</v>
      </c>
      <c r="B1595" s="1611"/>
      <c r="C1595" s="444" t="s">
        <v>127</v>
      </c>
      <c r="D1595" s="464">
        <f>'LISTADO MATERIALES'!E767</f>
        <v>13125</v>
      </c>
      <c r="E1595" s="444">
        <v>1</v>
      </c>
      <c r="F1595" s="440">
        <f t="shared" si="111"/>
        <v>13125</v>
      </c>
      <c r="G1595" s="707"/>
    </row>
    <row r="1596" spans="1:7" ht="13.5" customHeight="1">
      <c r="A1596" s="1995"/>
      <c r="B1596" s="1611"/>
      <c r="C1596" s="444"/>
      <c r="D1596" s="464"/>
      <c r="E1596" s="444"/>
      <c r="F1596" s="464"/>
      <c r="G1596" s="707"/>
    </row>
    <row r="1597" spans="1:7" ht="13.5" customHeight="1">
      <c r="A1597" s="1995"/>
      <c r="B1597" s="1611"/>
      <c r="C1597" s="444"/>
      <c r="D1597" s="464"/>
      <c r="E1597" s="444"/>
      <c r="F1597" s="464"/>
      <c r="G1597" s="707"/>
    </row>
    <row r="1598" spans="1:7" ht="13.5" customHeight="1">
      <c r="A1598" s="1995"/>
      <c r="B1598" s="1611"/>
      <c r="C1598" s="444"/>
      <c r="D1598" s="464"/>
      <c r="E1598" s="444"/>
      <c r="F1598" s="464"/>
      <c r="G1598" s="707"/>
    </row>
    <row r="1599" spans="1:7" ht="13.5" customHeight="1">
      <c r="A1599" s="2015" t="s">
        <v>1560</v>
      </c>
      <c r="B1599" s="1601"/>
      <c r="C1599" s="1601"/>
      <c r="D1599" s="1601"/>
      <c r="E1599" s="1601"/>
      <c r="F1599" s="1801"/>
      <c r="G1599" s="462">
        <f>SUM(F1594:F1598)</f>
        <v>23990.2</v>
      </c>
    </row>
    <row r="1600" spans="1:7" ht="13.5" customHeight="1">
      <c r="A1600" s="621" t="s">
        <v>1563</v>
      </c>
      <c r="B1600" s="618"/>
      <c r="C1600" s="618"/>
      <c r="D1600" s="618"/>
      <c r="E1600" s="618"/>
      <c r="F1600" s="618"/>
      <c r="G1600" s="743"/>
    </row>
    <row r="1601" spans="1:7" ht="13.5" customHeight="1">
      <c r="A1601" s="1975" t="s">
        <v>1556</v>
      </c>
      <c r="B1601" s="1801"/>
      <c r="C1601" s="424" t="s">
        <v>6</v>
      </c>
      <c r="D1601" s="424" t="s">
        <v>1562</v>
      </c>
      <c r="E1601" s="424" t="s">
        <v>7</v>
      </c>
      <c r="F1601" s="424" t="s">
        <v>1559</v>
      </c>
      <c r="G1601" s="438"/>
    </row>
    <row r="1602" spans="1:7" ht="13.5" customHeight="1">
      <c r="A1602" s="1987"/>
      <c r="B1602" s="1967"/>
      <c r="C1602" s="744"/>
      <c r="D1602" s="675"/>
      <c r="E1602" s="745"/>
      <c r="F1602" s="464"/>
      <c r="G1602" s="676"/>
    </row>
    <row r="1603" spans="1:7" ht="13.5" customHeight="1">
      <c r="A1603" s="1996"/>
      <c r="B1603" s="1819"/>
      <c r="C1603" s="744"/>
      <c r="D1603" s="434"/>
      <c r="E1603" s="746"/>
      <c r="F1603" s="434"/>
      <c r="G1603" s="457"/>
    </row>
    <row r="1604" spans="1:7" ht="13.5" customHeight="1">
      <c r="A1604" s="2015" t="s">
        <v>1560</v>
      </c>
      <c r="B1604" s="1601"/>
      <c r="C1604" s="1601"/>
      <c r="D1604" s="1601"/>
      <c r="E1604" s="1601"/>
      <c r="F1604" s="1801"/>
      <c r="G1604" s="462"/>
    </row>
    <row r="1605" spans="1:7" ht="13.5" customHeight="1">
      <c r="A1605" s="621" t="s">
        <v>1564</v>
      </c>
      <c r="B1605" s="618"/>
      <c r="C1605" s="618"/>
      <c r="D1605" s="618"/>
      <c r="E1605" s="618"/>
      <c r="F1605" s="618"/>
      <c r="G1605" s="743"/>
    </row>
    <row r="1606" spans="1:7" ht="13.5" customHeight="1">
      <c r="A1606" s="1975" t="s">
        <v>1565</v>
      </c>
      <c r="B1606" s="1801"/>
      <c r="C1606" s="424" t="s">
        <v>1566</v>
      </c>
      <c r="D1606" s="424" t="s">
        <v>6</v>
      </c>
      <c r="E1606" s="424" t="s">
        <v>7</v>
      </c>
      <c r="F1606" s="424" t="s">
        <v>1559</v>
      </c>
      <c r="G1606" s="462"/>
    </row>
    <row r="1607" spans="1:7" ht="13.5" customHeight="1">
      <c r="A1607" s="2004" t="str">
        <f>+'MANO DE OBRA'!$A$64</f>
        <v>Oficial (Incl. Prestaciones)</v>
      </c>
      <c r="B1607" s="1888"/>
      <c r="C1607" s="679">
        <f>+'MANO DE OBRA'!$E$64</f>
        <v>15031.25</v>
      </c>
      <c r="D1607" s="680">
        <v>1</v>
      </c>
      <c r="E1607" s="680">
        <v>0.28999999999999998</v>
      </c>
      <c r="F1607" s="694">
        <f t="shared" ref="F1607:F1608" si="112">+(C1607*D1607)*E1607</f>
        <v>4359.0625</v>
      </c>
      <c r="G1607" s="676"/>
    </row>
    <row r="1608" spans="1:7" ht="13.5" customHeight="1">
      <c r="A1608" s="1984" t="str">
        <f>+'MANO DE OBRA'!$A$65</f>
        <v>Ayudante (Incl. Prestaciones)</v>
      </c>
      <c r="B1608" s="1819"/>
      <c r="C1608" s="747">
        <f>+'MANO DE OBRA'!$E$65</f>
        <v>10972.8125</v>
      </c>
      <c r="D1608" s="614">
        <v>1</v>
      </c>
      <c r="E1608" s="614">
        <v>0.28999999999999998</v>
      </c>
      <c r="F1608" s="455">
        <f t="shared" si="112"/>
        <v>3182.1156249999999</v>
      </c>
      <c r="G1608" s="709"/>
    </row>
    <row r="1609" spans="1:7" ht="13.5" customHeight="1">
      <c r="A1609" s="2015" t="str">
        <f>+A1604</f>
        <v>SUB-TOTAL</v>
      </c>
      <c r="B1609" s="1601"/>
      <c r="C1609" s="1601"/>
      <c r="D1609" s="1601"/>
      <c r="E1609" s="1601"/>
      <c r="F1609" s="1801"/>
      <c r="G1609" s="462">
        <f>SUM(F1607:F1608)</f>
        <v>7541.1781250000004</v>
      </c>
    </row>
    <row r="1610" spans="1:7" ht="13.5" customHeight="1">
      <c r="A1610" s="618"/>
      <c r="B1610" s="618"/>
      <c r="C1610" s="618"/>
      <c r="D1610" s="618"/>
      <c r="E1610" s="618"/>
      <c r="F1610" s="748"/>
      <c r="G1610" s="743"/>
    </row>
    <row r="1611" spans="1:7" ht="13.5" customHeight="1">
      <c r="A1611" s="2015" t="s">
        <v>1567</v>
      </c>
      <c r="B1611" s="1601"/>
      <c r="C1611" s="1601"/>
      <c r="D1611" s="1601"/>
      <c r="E1611" s="1601"/>
      <c r="F1611" s="1801"/>
      <c r="G1611" s="459">
        <f>ROUND(G1591+G1599+G1604+G1609,0)</f>
        <v>32358</v>
      </c>
    </row>
    <row r="1612" spans="1:7" ht="13.5" customHeight="1">
      <c r="A1612" s="616"/>
      <c r="B1612" s="616"/>
      <c r="C1612" s="616"/>
      <c r="D1612" s="616"/>
      <c r="E1612" s="616"/>
      <c r="F1612" s="616"/>
      <c r="G1612" s="616"/>
    </row>
    <row r="1613" spans="1:7" ht="13.5" customHeight="1">
      <c r="A1613" s="616"/>
      <c r="B1613" s="616"/>
      <c r="C1613" s="616"/>
      <c r="D1613" s="616"/>
      <c r="E1613" s="616"/>
      <c r="F1613" s="616"/>
      <c r="G1613" s="616"/>
    </row>
    <row r="1614" spans="1:7" ht="13.5" customHeight="1">
      <c r="A1614" s="2005" t="s">
        <v>1604</v>
      </c>
      <c r="B1614" s="1616"/>
      <c r="C1614" s="1624"/>
      <c r="D1614" s="567"/>
      <c r="E1614" s="567"/>
      <c r="F1614" s="567"/>
      <c r="G1614" s="668"/>
    </row>
    <row r="1615" spans="1:7" ht="32.25" customHeight="1">
      <c r="A1615" s="1971"/>
      <c r="B1615" s="1817"/>
      <c r="C1615" s="1972"/>
      <c r="D1615" s="669"/>
      <c r="E1615" s="669"/>
      <c r="F1615" s="669"/>
      <c r="G1615" s="670"/>
    </row>
    <row r="1617" spans="1:7" ht="18.75" customHeight="1">
      <c r="A1617" s="1973" t="e">
        <f ca="1">A10</f>
        <v>#NAME?</v>
      </c>
      <c r="B1617" s="1601"/>
      <c r="C1617" s="1602"/>
      <c r="D1617" s="1974" t="s">
        <v>2465</v>
      </c>
      <c r="E1617" s="1601"/>
      <c r="F1617" s="1601"/>
      <c r="G1617" s="1602"/>
    </row>
    <row r="1618" spans="1:7" ht="13.5" customHeight="1">
      <c r="A1618" s="620"/>
      <c r="B1618" s="620"/>
      <c r="C1618" s="620"/>
      <c r="D1618" s="620"/>
      <c r="E1618" s="620"/>
      <c r="F1618" s="620"/>
      <c r="G1618" s="620"/>
    </row>
    <row r="1619" spans="1:7" ht="13.5" customHeight="1">
      <c r="A1619" s="572"/>
      <c r="B1619" s="618"/>
      <c r="C1619" s="616"/>
      <c r="D1619" s="421" t="s">
        <v>1553</v>
      </c>
      <c r="E1619" s="422" t="s">
        <v>120</v>
      </c>
      <c r="F1619" s="572"/>
      <c r="G1619" s="572"/>
    </row>
    <row r="1620" spans="1:7" ht="13.5" customHeight="1">
      <c r="A1620" s="621" t="s">
        <v>1555</v>
      </c>
      <c r="B1620" s="618"/>
      <c r="C1620" s="618"/>
      <c r="D1620" s="618"/>
      <c r="E1620" s="618"/>
      <c r="F1620" s="618"/>
      <c r="G1620" s="618"/>
    </row>
    <row r="1621" spans="1:7" ht="13.5" customHeight="1">
      <c r="A1621" s="1975" t="s">
        <v>1556</v>
      </c>
      <c r="B1621" s="1601"/>
      <c r="C1621" s="1801"/>
      <c r="D1621" s="424" t="s">
        <v>208</v>
      </c>
      <c r="E1621" s="424" t="s">
        <v>1558</v>
      </c>
      <c r="F1621" s="424" t="s">
        <v>1559</v>
      </c>
      <c r="G1621" s="425"/>
    </row>
    <row r="1622" spans="1:7" ht="13.5" customHeight="1">
      <c r="A1622" s="1987" t="str">
        <f>+'LISTADO EQUIPOS'!$C$22</f>
        <v>HERRAMIENTA MENOR.</v>
      </c>
      <c r="B1622" s="1811"/>
      <c r="C1622" s="1967"/>
      <c r="D1622" s="675">
        <f>+'LISTADO EQUIPOS'!$E$22/8</f>
        <v>2850</v>
      </c>
      <c r="E1622" s="687">
        <v>1.9</v>
      </c>
      <c r="F1622" s="442">
        <f>+E1622*D1622</f>
        <v>5415</v>
      </c>
      <c r="G1622" s="688"/>
    </row>
    <row r="1623" spans="1:7" ht="13.5" customHeight="1">
      <c r="A1623" s="1996"/>
      <c r="B1623" s="1807"/>
      <c r="C1623" s="1819"/>
      <c r="D1623" s="434"/>
      <c r="E1623" s="758"/>
      <c r="F1623" s="434"/>
      <c r="G1623" s="435"/>
    </row>
    <row r="1624" spans="1:7" ht="13.5" customHeight="1">
      <c r="A1624" s="2015" t="s">
        <v>1560</v>
      </c>
      <c r="B1624" s="1601"/>
      <c r="C1624" s="1601"/>
      <c r="D1624" s="1601"/>
      <c r="E1624" s="1601"/>
      <c r="F1624" s="1801"/>
      <c r="G1624" s="462">
        <f>SUM(F1622:F1623)</f>
        <v>5415</v>
      </c>
    </row>
    <row r="1625" spans="1:7" ht="13.5" customHeight="1">
      <c r="A1625" s="621" t="s">
        <v>1561</v>
      </c>
      <c r="B1625" s="618"/>
      <c r="C1625" s="618"/>
      <c r="D1625" s="618"/>
      <c r="E1625" s="618"/>
      <c r="F1625" s="618"/>
      <c r="G1625" s="618"/>
    </row>
    <row r="1626" spans="1:7" ht="13.5" customHeight="1">
      <c r="A1626" s="1975" t="s">
        <v>1556</v>
      </c>
      <c r="B1626" s="1801"/>
      <c r="C1626" s="424" t="s">
        <v>6</v>
      </c>
      <c r="D1626" s="424" t="s">
        <v>1562</v>
      </c>
      <c r="E1626" s="424" t="s">
        <v>7</v>
      </c>
      <c r="F1626" s="424" t="s">
        <v>1559</v>
      </c>
      <c r="G1626" s="425"/>
    </row>
    <row r="1627" spans="1:7" ht="13.5" customHeight="1">
      <c r="A1627" s="1987" t="s">
        <v>1958</v>
      </c>
      <c r="B1627" s="1967"/>
      <c r="C1627" s="674" t="s">
        <v>116</v>
      </c>
      <c r="D1627" s="675">
        <f>'ANALISIS BASICOS'!G164</f>
        <v>434608</v>
      </c>
      <c r="E1627" s="674">
        <v>2.5000000000000001E-2</v>
      </c>
      <c r="F1627" s="442">
        <f t="shared" ref="F1627:F1628" si="113">+E1627*D1627</f>
        <v>10865.2</v>
      </c>
      <c r="G1627" s="688"/>
    </row>
    <row r="1628" spans="1:7" ht="13.5" customHeight="1">
      <c r="A1628" s="1995" t="s">
        <v>2466</v>
      </c>
      <c r="B1628" s="1611"/>
      <c r="C1628" s="444" t="s">
        <v>127</v>
      </c>
      <c r="D1628" s="464">
        <f>'LISTADO MATERIALES'!E768</f>
        <v>103060</v>
      </c>
      <c r="E1628" s="444">
        <v>1</v>
      </c>
      <c r="F1628" s="440">
        <f t="shared" si="113"/>
        <v>103060</v>
      </c>
      <c r="G1628" s="751"/>
    </row>
    <row r="1629" spans="1:7" ht="13.5" customHeight="1">
      <c r="A1629" s="1995"/>
      <c r="B1629" s="1611"/>
      <c r="C1629" s="444"/>
      <c r="D1629" s="464"/>
      <c r="E1629" s="444"/>
      <c r="F1629" s="464"/>
      <c r="G1629" s="751"/>
    </row>
    <row r="1630" spans="1:7" ht="13.5" customHeight="1">
      <c r="A1630" s="1995"/>
      <c r="B1630" s="1611"/>
      <c r="C1630" s="444"/>
      <c r="D1630" s="464"/>
      <c r="E1630" s="444"/>
      <c r="F1630" s="464"/>
      <c r="G1630" s="751"/>
    </row>
    <row r="1631" spans="1:7" ht="13.5" customHeight="1">
      <c r="A1631" s="1995"/>
      <c r="B1631" s="1611"/>
      <c r="C1631" s="444"/>
      <c r="D1631" s="464"/>
      <c r="E1631" s="444"/>
      <c r="F1631" s="464"/>
      <c r="G1631" s="751"/>
    </row>
    <row r="1632" spans="1:7" ht="13.5" customHeight="1">
      <c r="A1632" s="2015" t="s">
        <v>1560</v>
      </c>
      <c r="B1632" s="1601"/>
      <c r="C1632" s="1601"/>
      <c r="D1632" s="1601"/>
      <c r="E1632" s="1601"/>
      <c r="F1632" s="1801"/>
      <c r="G1632" s="462">
        <f>SUM(F1627:F1631)</f>
        <v>113925.2</v>
      </c>
    </row>
    <row r="1633" spans="1:7" ht="13.5" customHeight="1">
      <c r="A1633" s="621" t="s">
        <v>1563</v>
      </c>
      <c r="B1633" s="618"/>
      <c r="C1633" s="618"/>
      <c r="D1633" s="618"/>
      <c r="E1633" s="618"/>
      <c r="F1633" s="618"/>
      <c r="G1633" s="743"/>
    </row>
    <row r="1634" spans="1:7" ht="13.5" customHeight="1">
      <c r="A1634" s="1975" t="s">
        <v>1556</v>
      </c>
      <c r="B1634" s="1801"/>
      <c r="C1634" s="424" t="s">
        <v>6</v>
      </c>
      <c r="D1634" s="424" t="s">
        <v>1562</v>
      </c>
      <c r="E1634" s="424" t="s">
        <v>7</v>
      </c>
      <c r="F1634" s="424" t="s">
        <v>1559</v>
      </c>
      <c r="G1634" s="438"/>
    </row>
    <row r="1635" spans="1:7" ht="13.5" customHeight="1">
      <c r="A1635" s="1987"/>
      <c r="B1635" s="1967"/>
      <c r="C1635" s="744"/>
      <c r="D1635" s="675"/>
      <c r="E1635" s="745"/>
      <c r="F1635" s="464"/>
      <c r="G1635" s="676"/>
    </row>
    <row r="1636" spans="1:7" ht="13.5" customHeight="1">
      <c r="A1636" s="1996"/>
      <c r="B1636" s="1819"/>
      <c r="C1636" s="744"/>
      <c r="D1636" s="434"/>
      <c r="E1636" s="746"/>
      <c r="F1636" s="434"/>
      <c r="G1636" s="457"/>
    </row>
    <row r="1637" spans="1:7" ht="13.5" customHeight="1">
      <c r="A1637" s="2015" t="s">
        <v>1560</v>
      </c>
      <c r="B1637" s="1601"/>
      <c r="C1637" s="1601"/>
      <c r="D1637" s="1601"/>
      <c r="E1637" s="1601"/>
      <c r="F1637" s="1801"/>
      <c r="G1637" s="462"/>
    </row>
    <row r="1638" spans="1:7" ht="13.5" customHeight="1">
      <c r="A1638" s="621" t="s">
        <v>1564</v>
      </c>
      <c r="B1638" s="618"/>
      <c r="C1638" s="618"/>
      <c r="D1638" s="618"/>
      <c r="E1638" s="618"/>
      <c r="F1638" s="618"/>
      <c r="G1638" s="743"/>
    </row>
    <row r="1639" spans="1:7" ht="13.5" customHeight="1">
      <c r="A1639" s="1975" t="s">
        <v>1565</v>
      </c>
      <c r="B1639" s="1801"/>
      <c r="C1639" s="424" t="s">
        <v>1566</v>
      </c>
      <c r="D1639" s="424" t="s">
        <v>6</v>
      </c>
      <c r="E1639" s="424" t="s">
        <v>7</v>
      </c>
      <c r="F1639" s="424" t="s">
        <v>1559</v>
      </c>
      <c r="G1639" s="462"/>
    </row>
    <row r="1640" spans="1:7" ht="13.5" customHeight="1">
      <c r="A1640" s="2004" t="str">
        <f>+'MANO DE OBRA'!$A$64</f>
        <v>Oficial (Incl. Prestaciones)</v>
      </c>
      <c r="B1640" s="1888"/>
      <c r="C1640" s="679">
        <f>+'MANO DE OBRA'!$E$64</f>
        <v>15031.25</v>
      </c>
      <c r="D1640" s="680">
        <v>1</v>
      </c>
      <c r="E1640" s="680">
        <v>1.9</v>
      </c>
      <c r="F1640" s="694">
        <f t="shared" ref="F1640:F1641" si="114">+(C1640*D1640)*E1640</f>
        <v>28559.375</v>
      </c>
      <c r="G1640" s="676"/>
    </row>
    <row r="1641" spans="1:7" ht="13.5" customHeight="1">
      <c r="A1641" s="1984" t="str">
        <f>+'MANO DE OBRA'!$A$65</f>
        <v>Ayudante (Incl. Prestaciones)</v>
      </c>
      <c r="B1641" s="1819"/>
      <c r="C1641" s="747">
        <f>+'MANO DE OBRA'!$E$65</f>
        <v>10972.8125</v>
      </c>
      <c r="D1641" s="614">
        <v>1</v>
      </c>
      <c r="E1641" s="614">
        <v>1.9</v>
      </c>
      <c r="F1641" s="455">
        <f t="shared" si="114"/>
        <v>20848.34375</v>
      </c>
      <c r="G1641" s="709"/>
    </row>
    <row r="1642" spans="1:7" ht="13.5" customHeight="1">
      <c r="A1642" s="2015" t="str">
        <f>+A1637</f>
        <v>SUB-TOTAL</v>
      </c>
      <c r="B1642" s="1601"/>
      <c r="C1642" s="1601"/>
      <c r="D1642" s="1601"/>
      <c r="E1642" s="1601"/>
      <c r="F1642" s="1801"/>
      <c r="G1642" s="462">
        <f>SUM(F1640:F1641)</f>
        <v>49407.71875</v>
      </c>
    </row>
    <row r="1643" spans="1:7" ht="13.5" customHeight="1">
      <c r="A1643" s="618"/>
      <c r="B1643" s="618"/>
      <c r="C1643" s="618"/>
      <c r="D1643" s="618"/>
      <c r="E1643" s="618"/>
      <c r="F1643" s="748"/>
      <c r="G1643" s="743"/>
    </row>
    <row r="1644" spans="1:7" ht="13.5" customHeight="1">
      <c r="A1644" s="2015" t="s">
        <v>1567</v>
      </c>
      <c r="B1644" s="1601"/>
      <c r="C1644" s="1601"/>
      <c r="D1644" s="1601"/>
      <c r="E1644" s="1601"/>
      <c r="F1644" s="1801"/>
      <c r="G1644" s="459">
        <f>ROUND(G1624+G1632+G1637+G1642,0)</f>
        <v>168748</v>
      </c>
    </row>
    <row r="1645" spans="1:7" ht="13.5" customHeight="1">
      <c r="A1645" s="616"/>
      <c r="B1645" s="616"/>
      <c r="C1645" s="616"/>
      <c r="D1645" s="616"/>
      <c r="E1645" s="616"/>
      <c r="F1645" s="616"/>
      <c r="G1645" s="616"/>
    </row>
    <row r="1646" spans="1:7" ht="13.5" customHeight="1">
      <c r="A1646" s="616"/>
      <c r="B1646" s="616"/>
      <c r="C1646" s="616"/>
      <c r="D1646" s="616"/>
      <c r="E1646" s="616"/>
      <c r="F1646" s="616"/>
      <c r="G1646" s="616"/>
    </row>
    <row r="1647" spans="1:7" ht="13.5" customHeight="1">
      <c r="A1647" s="2005" t="s">
        <v>1604</v>
      </c>
      <c r="B1647" s="1616"/>
      <c r="C1647" s="1624"/>
      <c r="D1647" s="567"/>
      <c r="E1647" s="567"/>
      <c r="F1647" s="567"/>
      <c r="G1647" s="668"/>
    </row>
    <row r="1648" spans="1:7" ht="30.75" customHeight="1">
      <c r="A1648" s="1971"/>
      <c r="B1648" s="1817"/>
      <c r="C1648" s="1972"/>
      <c r="D1648" s="669"/>
      <c r="E1648" s="669"/>
      <c r="F1648" s="669"/>
      <c r="G1648" s="670"/>
    </row>
    <row r="1650" spans="1:7" ht="24.75" customHeight="1">
      <c r="A1650" s="1973" t="e">
        <f ca="1">A10</f>
        <v>#NAME?</v>
      </c>
      <c r="B1650" s="1601"/>
      <c r="C1650" s="1602"/>
      <c r="D1650" s="1974" t="s">
        <v>2467</v>
      </c>
      <c r="E1650" s="1601"/>
      <c r="F1650" s="1601"/>
      <c r="G1650" s="1602"/>
    </row>
    <row r="1651" spans="1:7" ht="13.5" customHeight="1">
      <c r="A1651" s="620"/>
      <c r="B1651" s="620"/>
      <c r="C1651" s="620"/>
      <c r="D1651" s="620"/>
      <c r="E1651" s="620"/>
      <c r="F1651" s="620"/>
      <c r="G1651" s="620"/>
    </row>
    <row r="1652" spans="1:7" ht="13.5" customHeight="1">
      <c r="A1652" s="572"/>
      <c r="B1652" s="618"/>
      <c r="C1652" s="616"/>
      <c r="D1652" s="421" t="s">
        <v>1553</v>
      </c>
      <c r="E1652" s="422" t="s">
        <v>228</v>
      </c>
      <c r="F1652" s="572"/>
      <c r="G1652" s="572"/>
    </row>
    <row r="1653" spans="1:7" ht="13.5" customHeight="1">
      <c r="A1653" s="621" t="s">
        <v>1555</v>
      </c>
      <c r="B1653" s="618"/>
      <c r="C1653" s="618"/>
      <c r="D1653" s="618"/>
      <c r="E1653" s="618"/>
      <c r="F1653" s="618"/>
      <c r="G1653" s="618"/>
    </row>
    <row r="1654" spans="1:7" ht="13.5" customHeight="1">
      <c r="A1654" s="1975" t="s">
        <v>1556</v>
      </c>
      <c r="B1654" s="1601"/>
      <c r="C1654" s="1801"/>
      <c r="D1654" s="424" t="s">
        <v>208</v>
      </c>
      <c r="E1654" s="424" t="s">
        <v>1558</v>
      </c>
      <c r="F1654" s="424" t="s">
        <v>1559</v>
      </c>
      <c r="G1654" s="425"/>
    </row>
    <row r="1655" spans="1:7" ht="13.5" customHeight="1">
      <c r="A1655" s="1987" t="str">
        <f>+'LISTADO EQUIPOS'!$C$22</f>
        <v>HERRAMIENTA MENOR.</v>
      </c>
      <c r="B1655" s="1811"/>
      <c r="C1655" s="1967"/>
      <c r="D1655" s="675">
        <f>+'LISTADO EQUIPOS'!$E$22/8</f>
        <v>2850</v>
      </c>
      <c r="E1655" s="687">
        <v>0.25</v>
      </c>
      <c r="F1655" s="442">
        <f>+E1655*D1655</f>
        <v>712.5</v>
      </c>
      <c r="G1655" s="688"/>
    </row>
    <row r="1656" spans="1:7" ht="13.5" customHeight="1">
      <c r="A1656" s="1996"/>
      <c r="B1656" s="1807"/>
      <c r="C1656" s="1819"/>
      <c r="D1656" s="434"/>
      <c r="E1656" s="758"/>
      <c r="F1656" s="434"/>
      <c r="G1656" s="435"/>
    </row>
    <row r="1657" spans="1:7" ht="13.5" customHeight="1">
      <c r="A1657" s="2015" t="s">
        <v>1560</v>
      </c>
      <c r="B1657" s="1601"/>
      <c r="C1657" s="1601"/>
      <c r="D1657" s="1601"/>
      <c r="E1657" s="1601"/>
      <c r="F1657" s="1801"/>
      <c r="G1657" s="462">
        <f>SUM(F1655:F1656)</f>
        <v>712.5</v>
      </c>
    </row>
    <row r="1658" spans="1:7" ht="13.5" customHeight="1">
      <c r="A1658" s="621" t="s">
        <v>1561</v>
      </c>
      <c r="B1658" s="618"/>
      <c r="C1658" s="618"/>
      <c r="D1658" s="618"/>
      <c r="E1658" s="618"/>
      <c r="F1658" s="618"/>
      <c r="G1658" s="743"/>
    </row>
    <row r="1659" spans="1:7" ht="13.5" customHeight="1">
      <c r="A1659" s="1975" t="s">
        <v>1556</v>
      </c>
      <c r="B1659" s="1801"/>
      <c r="C1659" s="424" t="s">
        <v>6</v>
      </c>
      <c r="D1659" s="424" t="s">
        <v>1562</v>
      </c>
      <c r="E1659" s="424" t="s">
        <v>7</v>
      </c>
      <c r="F1659" s="424" t="s">
        <v>1559</v>
      </c>
      <c r="G1659" s="673"/>
    </row>
    <row r="1660" spans="1:7" ht="13.5" customHeight="1">
      <c r="A1660" s="1987" t="s">
        <v>2468</v>
      </c>
      <c r="B1660" s="1967"/>
      <c r="C1660" s="674" t="s">
        <v>116</v>
      </c>
      <c r="D1660" s="675">
        <f>'ANALISIS BASICOS'!G391</f>
        <v>323611</v>
      </c>
      <c r="E1660" s="674">
        <v>0.04</v>
      </c>
      <c r="F1660" s="442">
        <f t="shared" ref="F1660:F1661" si="115">+E1660*D1660</f>
        <v>12944.44</v>
      </c>
      <c r="G1660" s="676"/>
    </row>
    <row r="1661" spans="1:7" ht="13.5" customHeight="1">
      <c r="A1661" s="1995" t="s">
        <v>179</v>
      </c>
      <c r="B1661" s="1611"/>
      <c r="C1661" s="444" t="s">
        <v>116</v>
      </c>
      <c r="D1661" s="464">
        <f>'LISTADO MATERIALES'!E129</f>
        <v>59450</v>
      </c>
      <c r="E1661" s="444">
        <v>0.03</v>
      </c>
      <c r="F1661" s="440">
        <f t="shared" si="115"/>
        <v>1783.5</v>
      </c>
      <c r="G1661" s="707"/>
    </row>
    <row r="1662" spans="1:7" ht="31.5" customHeight="1">
      <c r="A1662" s="1995" t="s">
        <v>2469</v>
      </c>
      <c r="B1662" s="1611"/>
      <c r="C1662" s="444" t="s">
        <v>228</v>
      </c>
      <c r="D1662" s="464">
        <f>'LISTADO MATERIALES'!E335</f>
        <v>35175</v>
      </c>
      <c r="E1662" s="444">
        <v>0.185</v>
      </c>
      <c r="F1662" s="440">
        <f>D1662*E1662</f>
        <v>6507.375</v>
      </c>
      <c r="G1662" s="707"/>
    </row>
    <row r="1663" spans="1:7" ht="13.5" customHeight="1">
      <c r="A1663" s="1995"/>
      <c r="B1663" s="1611"/>
      <c r="C1663" s="444"/>
      <c r="D1663" s="464"/>
      <c r="E1663" s="444"/>
      <c r="F1663" s="464"/>
      <c r="G1663" s="707"/>
    </row>
    <row r="1664" spans="1:7" ht="13.5" customHeight="1">
      <c r="A1664" s="1995"/>
      <c r="B1664" s="1611"/>
      <c r="C1664" s="444"/>
      <c r="D1664" s="464"/>
      <c r="E1664" s="444"/>
      <c r="F1664" s="464"/>
      <c r="G1664" s="707"/>
    </row>
    <row r="1665" spans="1:7" ht="13.5" customHeight="1">
      <c r="A1665" s="2015" t="s">
        <v>1560</v>
      </c>
      <c r="B1665" s="1601"/>
      <c r="C1665" s="1601"/>
      <c r="D1665" s="1601"/>
      <c r="E1665" s="1601"/>
      <c r="F1665" s="1801"/>
      <c r="G1665" s="462">
        <f>SUM(F1660:F1664)</f>
        <v>21235.315000000002</v>
      </c>
    </row>
    <row r="1666" spans="1:7" ht="13.5" customHeight="1">
      <c r="A1666" s="621" t="s">
        <v>1563</v>
      </c>
      <c r="B1666" s="618"/>
      <c r="C1666" s="618"/>
      <c r="D1666" s="618"/>
      <c r="E1666" s="618"/>
      <c r="F1666" s="618"/>
      <c r="G1666" s="743"/>
    </row>
    <row r="1667" spans="1:7" ht="13.5" customHeight="1">
      <c r="A1667" s="1975" t="s">
        <v>1556</v>
      </c>
      <c r="B1667" s="1801"/>
      <c r="C1667" s="424" t="s">
        <v>6</v>
      </c>
      <c r="D1667" s="424" t="s">
        <v>1562</v>
      </c>
      <c r="E1667" s="424" t="s">
        <v>7</v>
      </c>
      <c r="F1667" s="424" t="s">
        <v>1559</v>
      </c>
      <c r="G1667" s="438"/>
    </row>
    <row r="1668" spans="1:7" ht="13.5" customHeight="1">
      <c r="A1668" s="1987"/>
      <c r="B1668" s="1967"/>
      <c r="C1668" s="744"/>
      <c r="D1668" s="675"/>
      <c r="E1668" s="745"/>
      <c r="F1668" s="464"/>
      <c r="G1668" s="676"/>
    </row>
    <row r="1669" spans="1:7" ht="13.5" customHeight="1">
      <c r="A1669" s="1996"/>
      <c r="B1669" s="1819"/>
      <c r="C1669" s="744"/>
      <c r="D1669" s="434"/>
      <c r="E1669" s="746"/>
      <c r="F1669" s="434"/>
      <c r="G1669" s="457"/>
    </row>
    <row r="1670" spans="1:7" ht="13.5" customHeight="1">
      <c r="A1670" s="2015" t="s">
        <v>1560</v>
      </c>
      <c r="B1670" s="1601"/>
      <c r="C1670" s="1601"/>
      <c r="D1670" s="1601"/>
      <c r="E1670" s="1601"/>
      <c r="F1670" s="1801"/>
      <c r="G1670" s="462"/>
    </row>
    <row r="1671" spans="1:7" ht="13.5" customHeight="1">
      <c r="A1671" s="621" t="s">
        <v>1564</v>
      </c>
      <c r="B1671" s="618"/>
      <c r="C1671" s="618"/>
      <c r="D1671" s="618"/>
      <c r="E1671" s="618"/>
      <c r="F1671" s="618"/>
      <c r="G1671" s="743"/>
    </row>
    <row r="1672" spans="1:7" ht="13.5" customHeight="1">
      <c r="A1672" s="1975" t="s">
        <v>1565</v>
      </c>
      <c r="B1672" s="1801"/>
      <c r="C1672" s="424" t="s">
        <v>1566</v>
      </c>
      <c r="D1672" s="424" t="s">
        <v>6</v>
      </c>
      <c r="E1672" s="424" t="s">
        <v>7</v>
      </c>
      <c r="F1672" s="424" t="s">
        <v>1559</v>
      </c>
      <c r="G1672" s="462"/>
    </row>
    <row r="1673" spans="1:7" ht="13.5" customHeight="1">
      <c r="A1673" s="2004" t="str">
        <f>+'MANO DE OBRA'!$A$64</f>
        <v>Oficial (Incl. Prestaciones)</v>
      </c>
      <c r="B1673" s="1888"/>
      <c r="C1673" s="679">
        <f>+'MANO DE OBRA'!$E$64</f>
        <v>15031.25</v>
      </c>
      <c r="D1673" s="680">
        <v>1</v>
      </c>
      <c r="E1673" s="680">
        <v>0.25</v>
      </c>
      <c r="F1673" s="694">
        <f t="shared" ref="F1673:F1674" si="116">+(C1673*D1673)*E1673</f>
        <v>3757.8125</v>
      </c>
      <c r="G1673" s="676"/>
    </row>
    <row r="1674" spans="1:7" ht="13.5" customHeight="1">
      <c r="A1674" s="1984" t="str">
        <f>+'MANO DE OBRA'!$A$65</f>
        <v>Ayudante (Incl. Prestaciones)</v>
      </c>
      <c r="B1674" s="1819"/>
      <c r="C1674" s="747">
        <f>+'MANO DE OBRA'!$E$65</f>
        <v>10972.8125</v>
      </c>
      <c r="D1674" s="614">
        <v>1</v>
      </c>
      <c r="E1674" s="614">
        <v>0.25</v>
      </c>
      <c r="F1674" s="455">
        <f t="shared" si="116"/>
        <v>2743.203125</v>
      </c>
      <c r="G1674" s="709"/>
    </row>
    <row r="1675" spans="1:7" ht="13.5" customHeight="1">
      <c r="A1675" s="2015" t="str">
        <f>+A1670</f>
        <v>SUB-TOTAL</v>
      </c>
      <c r="B1675" s="1601"/>
      <c r="C1675" s="1601"/>
      <c r="D1675" s="1601"/>
      <c r="E1675" s="1601"/>
      <c r="F1675" s="1801"/>
      <c r="G1675" s="462">
        <f>SUM(F1673:F1674)</f>
        <v>6501.015625</v>
      </c>
    </row>
    <row r="1676" spans="1:7" ht="13.5" customHeight="1">
      <c r="A1676" s="618"/>
      <c r="B1676" s="618"/>
      <c r="C1676" s="618"/>
      <c r="D1676" s="618"/>
      <c r="E1676" s="618"/>
      <c r="F1676" s="748"/>
      <c r="G1676" s="743"/>
    </row>
    <row r="1677" spans="1:7" ht="13.5" customHeight="1">
      <c r="A1677" s="2015" t="s">
        <v>1567</v>
      </c>
      <c r="B1677" s="1601"/>
      <c r="C1677" s="1601"/>
      <c r="D1677" s="1601"/>
      <c r="E1677" s="1601"/>
      <c r="F1677" s="1801"/>
      <c r="G1677" s="459">
        <f>ROUND(G1657+G1665+G1670+G1675,0)</f>
        <v>28449</v>
      </c>
    </row>
    <row r="1678" spans="1:7" ht="13.5" customHeight="1">
      <c r="A1678" s="616"/>
      <c r="B1678" s="616"/>
      <c r="C1678" s="616"/>
      <c r="D1678" s="616"/>
      <c r="E1678" s="616"/>
      <c r="F1678" s="616"/>
      <c r="G1678" s="616"/>
    </row>
    <row r="1679" spans="1:7" ht="13.5" customHeight="1">
      <c r="A1679" s="616"/>
      <c r="B1679" s="616"/>
      <c r="C1679" s="616"/>
      <c r="D1679" s="616"/>
      <c r="E1679" s="616"/>
      <c r="F1679" s="616"/>
      <c r="G1679" s="616"/>
    </row>
    <row r="1680" spans="1:7" ht="13.5" customHeight="1">
      <c r="A1680" s="2005" t="s">
        <v>1604</v>
      </c>
      <c r="B1680" s="1616"/>
      <c r="C1680" s="1624"/>
      <c r="D1680" s="567"/>
      <c r="E1680" s="567"/>
      <c r="F1680" s="567"/>
      <c r="G1680" s="668"/>
    </row>
    <row r="1681" spans="1:7" ht="27.75" customHeight="1">
      <c r="A1681" s="1971"/>
      <c r="B1681" s="1817"/>
      <c r="C1681" s="1972"/>
      <c r="D1681" s="669"/>
      <c r="E1681" s="669"/>
      <c r="F1681" s="669"/>
      <c r="G1681" s="670"/>
    </row>
    <row r="1682" spans="1:7" ht="13.5" customHeight="1">
      <c r="A1682" s="618"/>
      <c r="B1682" s="618"/>
      <c r="C1682" s="618"/>
      <c r="D1682" s="618"/>
      <c r="E1682" s="618"/>
      <c r="F1682" s="618"/>
      <c r="G1682" s="618"/>
    </row>
    <row r="1683" spans="1:7" ht="30.75" customHeight="1">
      <c r="A1683" s="1973" t="e">
        <f ca="1">A10</f>
        <v>#NAME?</v>
      </c>
      <c r="B1683" s="1601"/>
      <c r="C1683" s="1602"/>
      <c r="D1683" s="1974" t="s">
        <v>2470</v>
      </c>
      <c r="E1683" s="1601"/>
      <c r="F1683" s="1601"/>
      <c r="G1683" s="1602"/>
    </row>
    <row r="1684" spans="1:7" ht="13.5" customHeight="1">
      <c r="A1684" s="620"/>
      <c r="B1684" s="620"/>
      <c r="C1684" s="620"/>
      <c r="D1684" s="620"/>
      <c r="E1684" s="620"/>
      <c r="F1684" s="620"/>
      <c r="G1684" s="620"/>
    </row>
    <row r="1685" spans="1:7" ht="13.5" customHeight="1">
      <c r="A1685" s="572"/>
      <c r="B1685" s="618"/>
      <c r="C1685" s="616"/>
      <c r="D1685" s="421" t="s">
        <v>1553</v>
      </c>
      <c r="E1685" s="422" t="s">
        <v>120</v>
      </c>
      <c r="F1685" s="572"/>
      <c r="G1685" s="572"/>
    </row>
    <row r="1686" spans="1:7" ht="13.5" customHeight="1">
      <c r="A1686" s="621" t="s">
        <v>1555</v>
      </c>
      <c r="B1686" s="618"/>
      <c r="C1686" s="618"/>
      <c r="D1686" s="618"/>
      <c r="E1686" s="618"/>
      <c r="F1686" s="618"/>
      <c r="G1686" s="618"/>
    </row>
    <row r="1687" spans="1:7" ht="13.5" customHeight="1">
      <c r="A1687" s="1975" t="s">
        <v>1556</v>
      </c>
      <c r="B1687" s="1601"/>
      <c r="C1687" s="1801"/>
      <c r="D1687" s="424" t="s">
        <v>208</v>
      </c>
      <c r="E1687" s="424" t="s">
        <v>1558</v>
      </c>
      <c r="F1687" s="424" t="s">
        <v>1559</v>
      </c>
      <c r="G1687" s="425"/>
    </row>
    <row r="1688" spans="1:7" ht="13.5" customHeight="1">
      <c r="A1688" s="1987" t="str">
        <f>+'LISTADO EQUIPOS'!$C$22</f>
        <v>HERRAMIENTA MENOR.</v>
      </c>
      <c r="B1688" s="1811"/>
      <c r="C1688" s="1967"/>
      <c r="D1688" s="675">
        <f>+'LISTADO EQUIPOS'!$E$22/8</f>
        <v>2850</v>
      </c>
      <c r="E1688" s="687">
        <v>0.88</v>
      </c>
      <c r="F1688" s="442">
        <f>+E1688*D1688</f>
        <v>2508</v>
      </c>
      <c r="G1688" s="688"/>
    </row>
    <row r="1689" spans="1:7" ht="13.5" customHeight="1">
      <c r="A1689" s="1996"/>
      <c r="B1689" s="1807"/>
      <c r="C1689" s="1819"/>
      <c r="D1689" s="434"/>
      <c r="E1689" s="758"/>
      <c r="F1689" s="434"/>
      <c r="G1689" s="435"/>
    </row>
    <row r="1690" spans="1:7" ht="13.5" customHeight="1">
      <c r="A1690" s="2015" t="s">
        <v>1560</v>
      </c>
      <c r="B1690" s="1601"/>
      <c r="C1690" s="1601"/>
      <c r="D1690" s="1601"/>
      <c r="E1690" s="1601"/>
      <c r="F1690" s="1801"/>
      <c r="G1690" s="462">
        <f>SUM(F1688:F1689)</f>
        <v>2508</v>
      </c>
    </row>
    <row r="1691" spans="1:7" ht="13.5" customHeight="1">
      <c r="A1691" s="621" t="s">
        <v>1561</v>
      </c>
      <c r="B1691" s="618"/>
      <c r="C1691" s="618"/>
      <c r="D1691" s="618"/>
      <c r="E1691" s="618"/>
      <c r="F1691" s="618"/>
      <c r="G1691" s="743"/>
    </row>
    <row r="1692" spans="1:7" ht="13.5" customHeight="1">
      <c r="A1692" s="1975" t="s">
        <v>1556</v>
      </c>
      <c r="B1692" s="1801"/>
      <c r="C1692" s="424" t="s">
        <v>6</v>
      </c>
      <c r="D1692" s="424" t="s">
        <v>1562</v>
      </c>
      <c r="E1692" s="424" t="s">
        <v>7</v>
      </c>
      <c r="F1692" s="424" t="s">
        <v>1559</v>
      </c>
      <c r="G1692" s="673"/>
    </row>
    <row r="1693" spans="1:7" ht="13.5" customHeight="1">
      <c r="A1693" s="1987" t="s">
        <v>1958</v>
      </c>
      <c r="B1693" s="1967"/>
      <c r="C1693" s="674" t="s">
        <v>116</v>
      </c>
      <c r="D1693" s="675">
        <f>'ANALISIS BASICOS'!G164</f>
        <v>434608</v>
      </c>
      <c r="E1693" s="674">
        <v>2.5000000000000001E-2</v>
      </c>
      <c r="F1693" s="442">
        <f t="shared" ref="F1693:F1694" si="117">+E1693*D1693</f>
        <v>10865.2</v>
      </c>
      <c r="G1693" s="676"/>
    </row>
    <row r="1694" spans="1:7" ht="13.5" customHeight="1">
      <c r="A1694" s="1995" t="s">
        <v>2471</v>
      </c>
      <c r="B1694" s="1611"/>
      <c r="C1694" s="444" t="s">
        <v>127</v>
      </c>
      <c r="D1694" s="464">
        <f>'LISTADO MATERIALES'!E769</f>
        <v>50925</v>
      </c>
      <c r="E1694" s="444">
        <v>1</v>
      </c>
      <c r="F1694" s="440">
        <f t="shared" si="117"/>
        <v>50925</v>
      </c>
      <c r="G1694" s="707"/>
    </row>
    <row r="1695" spans="1:7" ht="13.5" customHeight="1">
      <c r="A1695" s="1995"/>
      <c r="B1695" s="1611"/>
      <c r="C1695" s="444"/>
      <c r="D1695" s="464"/>
      <c r="E1695" s="444"/>
      <c r="F1695" s="464"/>
      <c r="G1695" s="707"/>
    </row>
    <row r="1696" spans="1:7" ht="13.5" customHeight="1">
      <c r="A1696" s="1995"/>
      <c r="B1696" s="1611"/>
      <c r="C1696" s="444"/>
      <c r="D1696" s="464"/>
      <c r="E1696" s="444"/>
      <c r="F1696" s="464"/>
      <c r="G1696" s="707"/>
    </row>
    <row r="1697" spans="1:7" ht="13.5" customHeight="1">
      <c r="A1697" s="1995"/>
      <c r="B1697" s="1611"/>
      <c r="C1697" s="444"/>
      <c r="D1697" s="464"/>
      <c r="E1697" s="444"/>
      <c r="F1697" s="464"/>
      <c r="G1697" s="707"/>
    </row>
    <row r="1698" spans="1:7" ht="13.5" customHeight="1">
      <c r="A1698" s="2015" t="s">
        <v>1560</v>
      </c>
      <c r="B1698" s="1601"/>
      <c r="C1698" s="1601"/>
      <c r="D1698" s="1601"/>
      <c r="E1698" s="1601"/>
      <c r="F1698" s="1801"/>
      <c r="G1698" s="462">
        <f>SUM(F1693:F1697)</f>
        <v>61790.2</v>
      </c>
    </row>
    <row r="1699" spans="1:7" ht="13.5" customHeight="1">
      <c r="A1699" s="621" t="s">
        <v>1563</v>
      </c>
      <c r="B1699" s="618"/>
      <c r="C1699" s="618"/>
      <c r="D1699" s="618"/>
      <c r="E1699" s="618"/>
      <c r="F1699" s="618"/>
      <c r="G1699" s="743"/>
    </row>
    <row r="1700" spans="1:7" ht="13.5" customHeight="1">
      <c r="A1700" s="1975" t="s">
        <v>1556</v>
      </c>
      <c r="B1700" s="1801"/>
      <c r="C1700" s="424" t="s">
        <v>6</v>
      </c>
      <c r="D1700" s="424" t="s">
        <v>1562</v>
      </c>
      <c r="E1700" s="424" t="s">
        <v>7</v>
      </c>
      <c r="F1700" s="424" t="s">
        <v>1559</v>
      </c>
      <c r="G1700" s="438"/>
    </row>
    <row r="1701" spans="1:7" ht="13.5" customHeight="1">
      <c r="A1701" s="1987"/>
      <c r="B1701" s="1967"/>
      <c r="C1701" s="744"/>
      <c r="D1701" s="675"/>
      <c r="E1701" s="745"/>
      <c r="F1701" s="464"/>
      <c r="G1701" s="676"/>
    </row>
    <row r="1702" spans="1:7" ht="13.5" customHeight="1">
      <c r="A1702" s="1996"/>
      <c r="B1702" s="1819"/>
      <c r="C1702" s="744"/>
      <c r="D1702" s="434"/>
      <c r="E1702" s="746"/>
      <c r="F1702" s="434"/>
      <c r="G1702" s="457"/>
    </row>
    <row r="1703" spans="1:7" ht="13.5" customHeight="1">
      <c r="A1703" s="2015" t="s">
        <v>1560</v>
      </c>
      <c r="B1703" s="1601"/>
      <c r="C1703" s="1601"/>
      <c r="D1703" s="1601"/>
      <c r="E1703" s="1601"/>
      <c r="F1703" s="1801"/>
      <c r="G1703" s="462"/>
    </row>
    <row r="1704" spans="1:7" ht="13.5" customHeight="1">
      <c r="A1704" s="621" t="s">
        <v>1564</v>
      </c>
      <c r="B1704" s="618"/>
      <c r="C1704" s="618"/>
      <c r="D1704" s="618"/>
      <c r="E1704" s="618"/>
      <c r="F1704" s="618"/>
      <c r="G1704" s="743"/>
    </row>
    <row r="1705" spans="1:7" ht="13.5" customHeight="1">
      <c r="A1705" s="1975" t="s">
        <v>1565</v>
      </c>
      <c r="B1705" s="1801"/>
      <c r="C1705" s="424" t="s">
        <v>1566</v>
      </c>
      <c r="D1705" s="424" t="s">
        <v>6</v>
      </c>
      <c r="E1705" s="424" t="s">
        <v>7</v>
      </c>
      <c r="F1705" s="424" t="s">
        <v>1559</v>
      </c>
      <c r="G1705" s="462"/>
    </row>
    <row r="1706" spans="1:7" ht="13.5" customHeight="1">
      <c r="A1706" s="2004" t="str">
        <f>+'MANO DE OBRA'!$A$64</f>
        <v>Oficial (Incl. Prestaciones)</v>
      </c>
      <c r="B1706" s="1888"/>
      <c r="C1706" s="679">
        <f>+'MANO DE OBRA'!$E$64</f>
        <v>15031.25</v>
      </c>
      <c r="D1706" s="680">
        <v>1</v>
      </c>
      <c r="E1706" s="680">
        <v>0.88</v>
      </c>
      <c r="F1706" s="694">
        <f t="shared" ref="F1706:F1707" si="118">+(C1706*D1706)*E1706</f>
        <v>13227.5</v>
      </c>
      <c r="G1706" s="676"/>
    </row>
    <row r="1707" spans="1:7" ht="13.5" customHeight="1">
      <c r="A1707" s="1984" t="str">
        <f>+'MANO DE OBRA'!$A$65</f>
        <v>Ayudante (Incl. Prestaciones)</v>
      </c>
      <c r="B1707" s="1819"/>
      <c r="C1707" s="747">
        <f>+'MANO DE OBRA'!$E$65</f>
        <v>10972.8125</v>
      </c>
      <c r="D1707" s="614">
        <v>1</v>
      </c>
      <c r="E1707" s="614">
        <v>0.88</v>
      </c>
      <c r="F1707" s="455">
        <f t="shared" si="118"/>
        <v>9656.0750000000007</v>
      </c>
      <c r="G1707" s="709"/>
    </row>
    <row r="1708" spans="1:7" ht="13.5" customHeight="1">
      <c r="A1708" s="2015" t="str">
        <f>+A1703</f>
        <v>SUB-TOTAL</v>
      </c>
      <c r="B1708" s="1601"/>
      <c r="C1708" s="1601"/>
      <c r="D1708" s="1601"/>
      <c r="E1708" s="1601"/>
      <c r="F1708" s="1801"/>
      <c r="G1708" s="462">
        <f>SUM(F1706:F1707)</f>
        <v>22883.575000000001</v>
      </c>
    </row>
    <row r="1709" spans="1:7" ht="13.5" customHeight="1">
      <c r="A1709" s="618"/>
      <c r="B1709" s="618"/>
      <c r="C1709" s="618"/>
      <c r="D1709" s="618"/>
      <c r="E1709" s="618"/>
      <c r="F1709" s="748"/>
      <c r="G1709" s="743"/>
    </row>
    <row r="1710" spans="1:7" ht="13.5" customHeight="1">
      <c r="A1710" s="2015" t="s">
        <v>1567</v>
      </c>
      <c r="B1710" s="1601"/>
      <c r="C1710" s="1601"/>
      <c r="D1710" s="1601"/>
      <c r="E1710" s="1601"/>
      <c r="F1710" s="1801"/>
      <c r="G1710" s="459">
        <f>ROUND(G1690+G1698+G1703+G1708,0)</f>
        <v>87182</v>
      </c>
    </row>
    <row r="1714" spans="1:7" ht="13.5" customHeight="1">
      <c r="A1714" s="2005" t="s">
        <v>1604</v>
      </c>
      <c r="B1714" s="1616"/>
      <c r="C1714" s="1624"/>
      <c r="D1714" s="567"/>
      <c r="E1714" s="567"/>
      <c r="F1714" s="567"/>
      <c r="G1714" s="668"/>
    </row>
    <row r="1715" spans="1:7" ht="30.75" customHeight="1">
      <c r="A1715" s="1971"/>
      <c r="B1715" s="1817"/>
      <c r="C1715" s="1972"/>
      <c r="D1715" s="669"/>
      <c r="E1715" s="669"/>
      <c r="F1715" s="669"/>
      <c r="G1715" s="670"/>
    </row>
    <row r="1716" spans="1:7" ht="13.5" customHeight="1">
      <c r="A1716" s="618"/>
      <c r="B1716" s="618"/>
      <c r="C1716" s="618"/>
      <c r="D1716" s="618"/>
      <c r="E1716" s="618"/>
      <c r="F1716" s="618"/>
      <c r="G1716" s="618"/>
    </row>
    <row r="1717" spans="1:7" ht="45" customHeight="1">
      <c r="A1717" s="1973" t="e">
        <f ca="1">A10</f>
        <v>#NAME?</v>
      </c>
      <c r="B1717" s="1601"/>
      <c r="C1717" s="1602"/>
      <c r="D1717" s="1974" t="s">
        <v>2472</v>
      </c>
      <c r="E1717" s="1601"/>
      <c r="F1717" s="1601"/>
      <c r="G1717" s="1602"/>
    </row>
    <row r="1718" spans="1:7" ht="13.5" customHeight="1">
      <c r="A1718" s="620"/>
      <c r="B1718" s="620"/>
      <c r="C1718" s="620"/>
      <c r="D1718" s="620"/>
      <c r="E1718" s="620"/>
      <c r="F1718" s="620"/>
      <c r="G1718" s="620"/>
    </row>
    <row r="1719" spans="1:7" ht="13.5" customHeight="1">
      <c r="A1719" s="572"/>
      <c r="B1719" s="618"/>
      <c r="C1719" s="616"/>
      <c r="D1719" s="421" t="s">
        <v>1553</v>
      </c>
      <c r="E1719" s="422" t="s">
        <v>228</v>
      </c>
      <c r="F1719" s="572"/>
      <c r="G1719" s="572"/>
    </row>
    <row r="1720" spans="1:7" ht="13.5" customHeight="1">
      <c r="A1720" s="621" t="s">
        <v>1555</v>
      </c>
      <c r="B1720" s="618"/>
      <c r="C1720" s="618"/>
      <c r="D1720" s="618"/>
      <c r="E1720" s="618"/>
      <c r="F1720" s="618"/>
      <c r="G1720" s="618"/>
    </row>
    <row r="1721" spans="1:7" ht="13.5" customHeight="1">
      <c r="A1721" s="1975" t="s">
        <v>1556</v>
      </c>
      <c r="B1721" s="1601"/>
      <c r="C1721" s="1801"/>
      <c r="D1721" s="424" t="s">
        <v>208</v>
      </c>
      <c r="E1721" s="424" t="s">
        <v>1558</v>
      </c>
      <c r="F1721" s="424" t="s">
        <v>1559</v>
      </c>
      <c r="G1721" s="425"/>
    </row>
    <row r="1722" spans="1:7" ht="13.5" customHeight="1">
      <c r="A1722" s="1987" t="str">
        <f>+'LISTADO EQUIPOS'!$C$22</f>
        <v>HERRAMIENTA MENOR.</v>
      </c>
      <c r="B1722" s="1811"/>
      <c r="C1722" s="1967"/>
      <c r="D1722" s="675">
        <f>+'LISTADO EQUIPOS'!$E$22/8</f>
        <v>2850</v>
      </c>
      <c r="E1722" s="687">
        <v>0.66</v>
      </c>
      <c r="F1722" s="442">
        <f>+E1722*D1722</f>
        <v>1881</v>
      </c>
      <c r="G1722" s="688"/>
    </row>
    <row r="1723" spans="1:7" ht="13.5" customHeight="1">
      <c r="A1723" s="1996"/>
      <c r="B1723" s="1807"/>
      <c r="C1723" s="1819"/>
      <c r="D1723" s="434"/>
      <c r="E1723" s="758"/>
      <c r="F1723" s="434"/>
      <c r="G1723" s="435"/>
    </row>
    <row r="1724" spans="1:7" ht="13.5" customHeight="1">
      <c r="A1724" s="2015" t="s">
        <v>1560</v>
      </c>
      <c r="B1724" s="1601"/>
      <c r="C1724" s="1601"/>
      <c r="D1724" s="1601"/>
      <c r="E1724" s="1601"/>
      <c r="F1724" s="1801"/>
      <c r="G1724" s="462">
        <f>SUM(F1722:F1723)</f>
        <v>1881</v>
      </c>
    </row>
    <row r="1725" spans="1:7" ht="13.5" customHeight="1">
      <c r="A1725" s="621" t="s">
        <v>1561</v>
      </c>
      <c r="B1725" s="618"/>
      <c r="C1725" s="618"/>
      <c r="D1725" s="618"/>
      <c r="E1725" s="618"/>
      <c r="F1725" s="618"/>
      <c r="G1725" s="743"/>
    </row>
    <row r="1726" spans="1:7" ht="13.5" customHeight="1">
      <c r="A1726" s="1975" t="s">
        <v>1556</v>
      </c>
      <c r="B1726" s="1801"/>
      <c r="C1726" s="424" t="s">
        <v>6</v>
      </c>
      <c r="D1726" s="424" t="s">
        <v>1562</v>
      </c>
      <c r="E1726" s="424" t="s">
        <v>7</v>
      </c>
      <c r="F1726" s="424" t="s">
        <v>1559</v>
      </c>
      <c r="G1726" s="673"/>
    </row>
    <row r="1727" spans="1:7" ht="13.5" customHeight="1">
      <c r="A1727" s="1995" t="str">
        <f>+'ANALISIS BASICOS'!$A$391</f>
        <v>MORTERO 1:6</v>
      </c>
      <c r="B1727" s="1611"/>
      <c r="C1727" s="444" t="str">
        <f>+'ANALISIS BASICOS'!$E$368</f>
        <v>M3</v>
      </c>
      <c r="D1727" s="464">
        <f>+'ANALISIS BASICOS'!$G$391</f>
        <v>323611</v>
      </c>
      <c r="E1727" s="444">
        <v>0.04</v>
      </c>
      <c r="F1727" s="440">
        <f t="shared" ref="F1727:F1728" si="119">+E1727*D1727</f>
        <v>12944.44</v>
      </c>
      <c r="G1727" s="707"/>
    </row>
    <row r="1728" spans="1:7" ht="13.5" customHeight="1">
      <c r="A1728" s="1995" t="str">
        <f>+'LISTADO MATERIALES'!$C$129</f>
        <v>ARENA</v>
      </c>
      <c r="B1728" s="1611"/>
      <c r="C1728" s="444" t="str">
        <f>+'LISTADO MATERIALES'!$D$129</f>
        <v>M3</v>
      </c>
      <c r="D1728" s="464">
        <f>+'LISTADO MATERIALES'!$E$129</f>
        <v>59450</v>
      </c>
      <c r="E1728" s="444">
        <v>0.03</v>
      </c>
      <c r="F1728" s="440">
        <f t="shared" si="119"/>
        <v>1783.5</v>
      </c>
      <c r="G1728" s="707"/>
    </row>
    <row r="1729" spans="1:7" ht="13.5" customHeight="1">
      <c r="A1729" s="1995"/>
      <c r="B1729" s="1611"/>
      <c r="C1729" s="444"/>
      <c r="D1729" s="464"/>
      <c r="E1729" s="444"/>
      <c r="F1729" s="464"/>
      <c r="G1729" s="707"/>
    </row>
    <row r="1730" spans="1:7" ht="13.5" customHeight="1">
      <c r="A1730" s="1995"/>
      <c r="B1730" s="1611"/>
      <c r="C1730" s="444"/>
      <c r="D1730" s="464"/>
      <c r="E1730" s="444"/>
      <c r="F1730" s="464"/>
      <c r="G1730" s="707"/>
    </row>
    <row r="1731" spans="1:7" ht="13.5" customHeight="1">
      <c r="A1731" s="2015" t="s">
        <v>1560</v>
      </c>
      <c r="B1731" s="1601"/>
      <c r="C1731" s="1601"/>
      <c r="D1731" s="1601"/>
      <c r="E1731" s="1601"/>
      <c r="F1731" s="1801"/>
      <c r="G1731" s="462">
        <f>SUM(F1727:F1730)</f>
        <v>14727.94</v>
      </c>
    </row>
    <row r="1732" spans="1:7" ht="13.5" customHeight="1">
      <c r="A1732" s="621" t="s">
        <v>1563</v>
      </c>
      <c r="B1732" s="618"/>
      <c r="C1732" s="618"/>
      <c r="D1732" s="618"/>
      <c r="E1732" s="618"/>
      <c r="F1732" s="618"/>
      <c r="G1732" s="743"/>
    </row>
    <row r="1733" spans="1:7" ht="13.5" customHeight="1">
      <c r="A1733" s="1975" t="s">
        <v>1556</v>
      </c>
      <c r="B1733" s="1801"/>
      <c r="C1733" s="424" t="s">
        <v>6</v>
      </c>
      <c r="D1733" s="424" t="s">
        <v>1562</v>
      </c>
      <c r="E1733" s="424" t="s">
        <v>7</v>
      </c>
      <c r="F1733" s="424" t="s">
        <v>1559</v>
      </c>
      <c r="G1733" s="438"/>
    </row>
    <row r="1734" spans="1:7" ht="13.5" customHeight="1">
      <c r="A1734" s="1987"/>
      <c r="B1734" s="1967"/>
      <c r="C1734" s="744"/>
      <c r="D1734" s="675"/>
      <c r="E1734" s="745"/>
      <c r="F1734" s="464"/>
      <c r="G1734" s="676"/>
    </row>
    <row r="1735" spans="1:7" ht="13.5" customHeight="1">
      <c r="A1735" s="1996"/>
      <c r="B1735" s="1819"/>
      <c r="C1735" s="744"/>
      <c r="D1735" s="434"/>
      <c r="E1735" s="746"/>
      <c r="F1735" s="434"/>
      <c r="G1735" s="457"/>
    </row>
    <row r="1736" spans="1:7" ht="13.5" customHeight="1">
      <c r="A1736" s="2015" t="s">
        <v>1560</v>
      </c>
      <c r="B1736" s="1601"/>
      <c r="C1736" s="1601"/>
      <c r="D1736" s="1601"/>
      <c r="E1736" s="1601"/>
      <c r="F1736" s="1801"/>
      <c r="G1736" s="462"/>
    </row>
    <row r="1737" spans="1:7" ht="13.5" customHeight="1">
      <c r="A1737" s="621" t="s">
        <v>1564</v>
      </c>
      <c r="B1737" s="618"/>
      <c r="C1737" s="618"/>
      <c r="D1737" s="618"/>
      <c r="E1737" s="618"/>
      <c r="F1737" s="618"/>
      <c r="G1737" s="743"/>
    </row>
    <row r="1738" spans="1:7" ht="13.5" customHeight="1">
      <c r="A1738" s="1975" t="s">
        <v>1565</v>
      </c>
      <c r="B1738" s="1801"/>
      <c r="C1738" s="424" t="s">
        <v>1566</v>
      </c>
      <c r="D1738" s="424" t="s">
        <v>6</v>
      </c>
      <c r="E1738" s="424" t="s">
        <v>7</v>
      </c>
      <c r="F1738" s="424" t="s">
        <v>1559</v>
      </c>
      <c r="G1738" s="462"/>
    </row>
    <row r="1739" spans="1:7" ht="13.5" customHeight="1">
      <c r="A1739" s="2004" t="str">
        <f>+'MANO DE OBRA'!$A$64</f>
        <v>Oficial (Incl. Prestaciones)</v>
      </c>
      <c r="B1739" s="1888"/>
      <c r="C1739" s="679">
        <f>+'MANO DE OBRA'!$E$64</f>
        <v>15031.25</v>
      </c>
      <c r="D1739" s="680">
        <v>1</v>
      </c>
      <c r="E1739" s="680">
        <v>0.66</v>
      </c>
      <c r="F1739" s="694">
        <f t="shared" ref="F1739:F1740" si="120">+(C1739*D1739)*E1739</f>
        <v>9920.625</v>
      </c>
      <c r="G1739" s="676"/>
    </row>
    <row r="1740" spans="1:7" ht="13.5" customHeight="1">
      <c r="A1740" s="1984" t="str">
        <f>+'MANO DE OBRA'!$A$65</f>
        <v>Ayudante (Incl. Prestaciones)</v>
      </c>
      <c r="B1740" s="1819"/>
      <c r="C1740" s="747">
        <f>+'MANO DE OBRA'!$E$65</f>
        <v>10972.8125</v>
      </c>
      <c r="D1740" s="614">
        <v>1</v>
      </c>
      <c r="E1740" s="614">
        <v>0.66</v>
      </c>
      <c r="F1740" s="455">
        <f t="shared" si="120"/>
        <v>7242.0562500000005</v>
      </c>
      <c r="G1740" s="709"/>
    </row>
    <row r="1741" spans="1:7" ht="13.5" customHeight="1">
      <c r="A1741" s="2015" t="str">
        <f>+A1736</f>
        <v>SUB-TOTAL</v>
      </c>
      <c r="B1741" s="1601"/>
      <c r="C1741" s="1601"/>
      <c r="D1741" s="1601"/>
      <c r="E1741" s="1601"/>
      <c r="F1741" s="1801"/>
      <c r="G1741" s="462">
        <f>SUM(F1739:F1740)</f>
        <v>17162.681250000001</v>
      </c>
    </row>
    <row r="1742" spans="1:7" ht="13.5" customHeight="1">
      <c r="A1742" s="618"/>
      <c r="B1742" s="618"/>
      <c r="C1742" s="618"/>
      <c r="D1742" s="618"/>
      <c r="E1742" s="618"/>
      <c r="F1742" s="748"/>
      <c r="G1742" s="743"/>
    </row>
    <row r="1743" spans="1:7" ht="13.5" customHeight="1">
      <c r="A1743" s="2015" t="s">
        <v>1567</v>
      </c>
      <c r="B1743" s="1601"/>
      <c r="C1743" s="1601"/>
      <c r="D1743" s="1601"/>
      <c r="E1743" s="1601"/>
      <c r="F1743" s="1801"/>
      <c r="G1743" s="459">
        <f>ROUND(G1724+G1731+G1736+G1741,0)</f>
        <v>33772</v>
      </c>
    </row>
    <row r="1746" spans="1:7" ht="30.75" customHeight="1">
      <c r="A1746" s="1994" t="e">
        <f>+'ANALISIS BASICOS'!$A$7</f>
        <v>#REF!</v>
      </c>
      <c r="B1746" s="1616"/>
      <c r="C1746" s="1624"/>
      <c r="D1746" s="1990"/>
      <c r="E1746" s="1616"/>
      <c r="F1746" s="1616"/>
      <c r="G1746" s="1624"/>
    </row>
    <row r="1747" spans="1:7" ht="24.75" customHeight="1">
      <c r="A1747" s="1971"/>
      <c r="B1747" s="1817"/>
      <c r="C1747" s="1972"/>
      <c r="D1747" s="1971"/>
      <c r="E1747" s="1817"/>
      <c r="F1747" s="1817"/>
      <c r="G1747" s="1972"/>
    </row>
    <row r="1748" spans="1:7" ht="13.5" customHeight="1">
      <c r="A1748" s="1030"/>
      <c r="B1748" s="1030"/>
      <c r="C1748" s="1030"/>
      <c r="D1748" s="1030"/>
      <c r="E1748" s="1030"/>
      <c r="F1748" s="1030"/>
      <c r="G1748" s="1030"/>
    </row>
    <row r="1749" spans="1:7" ht="49.5" customHeight="1">
      <c r="A1749" s="1991" t="e">
        <f ca="1">A10</f>
        <v>#NAME?</v>
      </c>
      <c r="B1749" s="1601"/>
      <c r="C1749" s="1602"/>
      <c r="D1749" s="2088" t="s">
        <v>2473</v>
      </c>
      <c r="E1749" s="1601"/>
      <c r="F1749" s="1601"/>
      <c r="G1749" s="1602"/>
    </row>
    <row r="1750" spans="1:7" ht="13.5" customHeight="1">
      <c r="A1750" s="1058"/>
      <c r="B1750" s="1058"/>
      <c r="C1750" s="1058"/>
      <c r="D1750" s="1058"/>
      <c r="E1750" s="1058"/>
      <c r="F1750" s="1058"/>
      <c r="G1750" s="1058"/>
    </row>
    <row r="1751" spans="1:7" ht="13.5" customHeight="1">
      <c r="A1751" s="718"/>
      <c r="B1751" s="1030"/>
      <c r="C1751" s="752"/>
      <c r="D1751" s="717" t="s">
        <v>1553</v>
      </c>
      <c r="E1751" s="717" t="s">
        <v>228</v>
      </c>
      <c r="F1751" s="421" t="s">
        <v>1554</v>
      </c>
      <c r="G1751" s="422" t="s">
        <v>51</v>
      </c>
    </row>
    <row r="1752" spans="1:7" ht="13.5" customHeight="1">
      <c r="A1752" s="794" t="s">
        <v>1555</v>
      </c>
      <c r="B1752" s="1030"/>
      <c r="C1752" s="1030"/>
      <c r="D1752" s="1030"/>
      <c r="E1752" s="1030"/>
      <c r="F1752" s="1030"/>
      <c r="G1752" s="1030"/>
    </row>
    <row r="1753" spans="1:7" ht="13.5" customHeight="1">
      <c r="A1753" s="2089" t="s">
        <v>1556</v>
      </c>
      <c r="B1753" s="1601"/>
      <c r="C1753" s="1801"/>
      <c r="D1753" s="719" t="s">
        <v>208</v>
      </c>
      <c r="E1753" s="719" t="s">
        <v>1558</v>
      </c>
      <c r="F1753" s="719" t="s">
        <v>1559</v>
      </c>
      <c r="G1753" s="720"/>
    </row>
    <row r="1754" spans="1:7" ht="13.5" customHeight="1">
      <c r="A1754" s="1987" t="str">
        <f>+'LISTADO EQUIPOS'!$C$22</f>
        <v>HERRAMIENTA MENOR.</v>
      </c>
      <c r="B1754" s="1811"/>
      <c r="C1754" s="1967"/>
      <c r="D1754" s="675">
        <f>+'LISTADO EQUIPOS'!$E$22/8</f>
        <v>2850</v>
      </c>
      <c r="E1754" s="687">
        <f>+E1771</f>
        <v>3.1042705570291771</v>
      </c>
      <c r="F1754" s="675">
        <f>+D1754/E1754</f>
        <v>918.09007869709751</v>
      </c>
      <c r="G1754" s="688"/>
    </row>
    <row r="1755" spans="1:7" ht="16.5" customHeight="1">
      <c r="A1755" s="2090" t="str">
        <f>+'ANALISIS BASICOS'!$A$360</f>
        <v>FORMALETA EN MADERA</v>
      </c>
      <c r="B1755" s="1807"/>
      <c r="C1755" s="1819"/>
      <c r="D1755" s="1037">
        <f>+'ANALISIS BASICOS'!$G$360</f>
        <v>41998</v>
      </c>
      <c r="E1755" s="724">
        <v>0.01</v>
      </c>
      <c r="F1755" s="723">
        <f>+E1755*D1755</f>
        <v>419.98</v>
      </c>
      <c r="G1755" s="1038"/>
    </row>
    <row r="1756" spans="1:7" ht="13.5" customHeight="1">
      <c r="A1756" s="2087" t="s">
        <v>1560</v>
      </c>
      <c r="B1756" s="1601"/>
      <c r="C1756" s="1601"/>
      <c r="D1756" s="1601"/>
      <c r="E1756" s="1601"/>
      <c r="F1756" s="1801"/>
      <c r="G1756" s="725">
        <f>SUM(F1754:F1755)</f>
        <v>1338.0700786970974</v>
      </c>
    </row>
    <row r="1757" spans="1:7" ht="13.5" customHeight="1">
      <c r="A1757" s="794" t="s">
        <v>1561</v>
      </c>
      <c r="B1757" s="1030"/>
      <c r="C1757" s="1030"/>
      <c r="D1757" s="1030"/>
      <c r="E1757" s="1030"/>
      <c r="F1757" s="1030"/>
      <c r="G1757" s="1039"/>
    </row>
    <row r="1758" spans="1:7" ht="13.5" customHeight="1">
      <c r="A1758" s="2089" t="s">
        <v>1556</v>
      </c>
      <c r="B1758" s="1801"/>
      <c r="C1758" s="719" t="s">
        <v>6</v>
      </c>
      <c r="D1758" s="719" t="s">
        <v>1562</v>
      </c>
      <c r="E1758" s="719" t="s">
        <v>7</v>
      </c>
      <c r="F1758" s="719" t="s">
        <v>1559</v>
      </c>
      <c r="G1758" s="726"/>
    </row>
    <row r="1759" spans="1:7" ht="13.5" customHeight="1">
      <c r="A1759" s="2091" t="str">
        <f>'ANALISIS BASICOS'!$A$36</f>
        <v xml:space="preserve">CONCRETO NORMAL - 3000 PSI (210 KG/CM2) </v>
      </c>
      <c r="B1759" s="1967"/>
      <c r="C1759" s="727" t="str">
        <f>+'ANALISIS BASICOS'!$E$76</f>
        <v>M3</v>
      </c>
      <c r="D1759" s="1040">
        <f>'ANALISIS BASICOS'!$G$36</f>
        <v>468441</v>
      </c>
      <c r="E1759" s="729">
        <v>0.1</v>
      </c>
      <c r="F1759" s="728">
        <f t="shared" ref="F1759:F1761" si="121">+E1759*D1759</f>
        <v>46844.100000000006</v>
      </c>
      <c r="G1759" s="730"/>
    </row>
    <row r="1760" spans="1:7" ht="13.5" customHeight="1">
      <c r="A1760" s="2092" t="str">
        <f>'LISTADO MATERIALES'!$C$723</f>
        <v>AGUA</v>
      </c>
      <c r="B1760" s="1611"/>
      <c r="C1760" s="731" t="str">
        <f>'LISTADO MATERIALES'!$D$723</f>
        <v>LT</v>
      </c>
      <c r="D1760" s="1041">
        <f>'LISTADO MATERIALES'!$E$723</f>
        <v>21</v>
      </c>
      <c r="E1760" s="721">
        <v>30</v>
      </c>
      <c r="F1760" s="722">
        <f t="shared" si="121"/>
        <v>630</v>
      </c>
      <c r="G1760" s="1042"/>
    </row>
    <row r="1761" spans="1:7" ht="13.5" customHeight="1">
      <c r="A1761" s="2092" t="str">
        <f>+$A$1989</f>
        <v>MALLA ELECTROSOLDADA D163</v>
      </c>
      <c r="B1761" s="1611"/>
      <c r="C1761" s="731" t="str">
        <f>+$C$1989</f>
        <v>M2</v>
      </c>
      <c r="D1761" s="1041">
        <f>+$D$1989</f>
        <v>3250</v>
      </c>
      <c r="E1761" s="721">
        <v>1.05</v>
      </c>
      <c r="F1761" s="722">
        <f t="shared" si="121"/>
        <v>3412.5</v>
      </c>
      <c r="G1761" s="1042"/>
    </row>
    <row r="1762" spans="1:7" ht="13.5" customHeight="1">
      <c r="A1762" s="2090"/>
      <c r="B1762" s="1819"/>
      <c r="C1762" s="1043"/>
      <c r="D1762" s="1037"/>
      <c r="E1762" s="1043"/>
      <c r="F1762" s="1037"/>
      <c r="G1762" s="1044"/>
    </row>
    <row r="1763" spans="1:7" ht="13.5" customHeight="1">
      <c r="A1763" s="2087" t="s">
        <v>1560</v>
      </c>
      <c r="B1763" s="1601"/>
      <c r="C1763" s="1601"/>
      <c r="D1763" s="1601"/>
      <c r="E1763" s="1601"/>
      <c r="F1763" s="1801"/>
      <c r="G1763" s="725">
        <f>SUM(F1759:F1762)</f>
        <v>50886.600000000006</v>
      </c>
    </row>
    <row r="1764" spans="1:7" ht="13.5" customHeight="1">
      <c r="A1764" s="794" t="s">
        <v>1563</v>
      </c>
      <c r="B1764" s="1030"/>
      <c r="C1764" s="1030"/>
      <c r="D1764" s="1030"/>
      <c r="E1764" s="1030"/>
      <c r="F1764" s="1030"/>
      <c r="G1764" s="1039"/>
    </row>
    <row r="1765" spans="1:7" ht="13.5" customHeight="1">
      <c r="A1765" s="2089" t="s">
        <v>1556</v>
      </c>
      <c r="B1765" s="1801"/>
      <c r="C1765" s="719" t="s">
        <v>6</v>
      </c>
      <c r="D1765" s="719" t="s">
        <v>1562</v>
      </c>
      <c r="E1765" s="719" t="s">
        <v>7</v>
      </c>
      <c r="F1765" s="719" t="s">
        <v>1559</v>
      </c>
      <c r="G1765" s="732"/>
    </row>
    <row r="1766" spans="1:7" ht="13.5" customHeight="1">
      <c r="A1766" s="2091"/>
      <c r="B1766" s="1967"/>
      <c r="C1766" s="1045"/>
      <c r="D1766" s="1040"/>
      <c r="E1766" s="1046"/>
      <c r="F1766" s="1041"/>
      <c r="G1766" s="730"/>
    </row>
    <row r="1767" spans="1:7" ht="13.5" customHeight="1">
      <c r="A1767" s="2090"/>
      <c r="B1767" s="1819"/>
      <c r="C1767" s="1045"/>
      <c r="D1767" s="1037"/>
      <c r="E1767" s="1047"/>
      <c r="F1767" s="1037"/>
      <c r="G1767" s="1048"/>
    </row>
    <row r="1768" spans="1:7" ht="13.5" customHeight="1">
      <c r="A1768" s="2087" t="s">
        <v>1560</v>
      </c>
      <c r="B1768" s="1601"/>
      <c r="C1768" s="1601"/>
      <c r="D1768" s="1601"/>
      <c r="E1768" s="1601"/>
      <c r="F1768" s="1801"/>
      <c r="G1768" s="725"/>
    </row>
    <row r="1769" spans="1:7" ht="13.5" customHeight="1">
      <c r="A1769" s="794" t="s">
        <v>1564</v>
      </c>
      <c r="B1769" s="1030"/>
      <c r="C1769" s="1030"/>
      <c r="D1769" s="1030"/>
      <c r="E1769" s="1030"/>
      <c r="F1769" s="1030"/>
      <c r="G1769" s="1039"/>
    </row>
    <row r="1770" spans="1:7" ht="13.5" customHeight="1">
      <c r="A1770" s="2089" t="s">
        <v>1565</v>
      </c>
      <c r="B1770" s="1801"/>
      <c r="C1770" s="719" t="s">
        <v>1566</v>
      </c>
      <c r="D1770" s="719" t="s">
        <v>6</v>
      </c>
      <c r="E1770" s="719" t="s">
        <v>7</v>
      </c>
      <c r="F1770" s="719" t="s">
        <v>1559</v>
      </c>
      <c r="G1770" s="725"/>
    </row>
    <row r="1771" spans="1:7" ht="13.5" customHeight="1">
      <c r="A1771" s="2093" t="str">
        <f>+'MANO DE OBRA'!$A$64</f>
        <v>Oficial (Incl. Prestaciones)</v>
      </c>
      <c r="B1771" s="1910"/>
      <c r="C1771" s="733">
        <f>+'MANO DE OBRA'!$E$64</f>
        <v>15031.25</v>
      </c>
      <c r="D1771" s="734">
        <v>1</v>
      </c>
      <c r="E1771" s="734">
        <v>3.1042705570291771</v>
      </c>
      <c r="F1771" s="735">
        <f t="shared" ref="F1771:F1772" si="122">+(C1771*D1771)/E1771</f>
        <v>4842.1198229528936</v>
      </c>
      <c r="G1771" s="730"/>
    </row>
    <row r="1772" spans="1:7" ht="13.5" customHeight="1">
      <c r="A1772" s="2094" t="str">
        <f>+'MANO DE OBRA'!$A$65</f>
        <v>Ayudante (Incl. Prestaciones)</v>
      </c>
      <c r="B1772" s="1819"/>
      <c r="C1772" s="1049">
        <f>+'MANO DE OBRA'!$E$65</f>
        <v>10972.8125</v>
      </c>
      <c r="D1772" s="1050">
        <v>4</v>
      </c>
      <c r="E1772" s="1050">
        <f>+E1771</f>
        <v>3.1042705570291771</v>
      </c>
      <c r="F1772" s="736">
        <f t="shared" si="122"/>
        <v>14138.98988302245</v>
      </c>
      <c r="G1772" s="1044"/>
    </row>
    <row r="1773" spans="1:7" ht="13.5" customHeight="1">
      <c r="A1773" s="2087" t="str">
        <f>+A1768</f>
        <v>SUB-TOTAL</v>
      </c>
      <c r="B1773" s="1601"/>
      <c r="C1773" s="1601"/>
      <c r="D1773" s="1601"/>
      <c r="E1773" s="1601"/>
      <c r="F1773" s="1801"/>
      <c r="G1773" s="725">
        <f>SUM(F1771:F1772)</f>
        <v>18981.109705975345</v>
      </c>
    </row>
    <row r="1774" spans="1:7" ht="13.5" customHeight="1">
      <c r="A1774" s="1030"/>
      <c r="B1774" s="1030"/>
      <c r="C1774" s="1030"/>
      <c r="D1774" s="1030"/>
      <c r="E1774" s="1030"/>
      <c r="F1774" s="1051"/>
      <c r="G1774" s="1039"/>
    </row>
    <row r="1775" spans="1:7" ht="13.5" customHeight="1">
      <c r="A1775" s="2087" t="s">
        <v>1567</v>
      </c>
      <c r="B1775" s="1601"/>
      <c r="C1775" s="1601"/>
      <c r="D1775" s="1601"/>
      <c r="E1775" s="1601"/>
      <c r="F1775" s="1801"/>
      <c r="G1775" s="1060">
        <f>ROUND(G1756+G1763+G1768+G1773,0)</f>
        <v>71206</v>
      </c>
    </row>
    <row r="1778" spans="1:7" ht="24.75" customHeight="1">
      <c r="A1778" s="1989" t="e">
        <f>+'ANALISIS BASICOS'!$A$7</f>
        <v>#REF!</v>
      </c>
      <c r="B1778" s="1616"/>
      <c r="C1778" s="1624"/>
      <c r="D1778" s="567"/>
      <c r="E1778" s="567"/>
      <c r="F1778" s="567"/>
      <c r="G1778" s="668"/>
    </row>
    <row r="1779" spans="1:7" ht="25.5" customHeight="1">
      <c r="A1779" s="1971"/>
      <c r="B1779" s="1817"/>
      <c r="C1779" s="1972"/>
      <c r="D1779" s="669"/>
      <c r="E1779" s="669"/>
      <c r="F1779" s="669"/>
      <c r="G1779" s="670"/>
    </row>
    <row r="1780" spans="1:7" ht="13.5" customHeight="1">
      <c r="A1780" s="618"/>
      <c r="B1780" s="618"/>
      <c r="C1780" s="618"/>
      <c r="D1780" s="618"/>
      <c r="E1780" s="618"/>
      <c r="F1780" s="618"/>
      <c r="G1780" s="618"/>
    </row>
    <row r="1781" spans="1:7" ht="52.5" customHeight="1">
      <c r="A1781" s="1991" t="e">
        <f ca="1">A10</f>
        <v>#NAME?</v>
      </c>
      <c r="B1781" s="1601"/>
      <c r="C1781" s="1602"/>
      <c r="D1781" s="1974" t="s">
        <v>2474</v>
      </c>
      <c r="E1781" s="1601"/>
      <c r="F1781" s="1601"/>
      <c r="G1781" s="1602"/>
    </row>
    <row r="1782" spans="1:7" ht="13.5" customHeight="1">
      <c r="A1782" s="620"/>
      <c r="B1782" s="620"/>
      <c r="C1782" s="620"/>
      <c r="D1782" s="620"/>
      <c r="E1782" s="620"/>
      <c r="F1782" s="620"/>
      <c r="G1782" s="620"/>
    </row>
    <row r="1783" spans="1:7" ht="13.5" customHeight="1">
      <c r="A1783" s="572"/>
      <c r="B1783" s="618"/>
      <c r="C1783" s="616"/>
      <c r="D1783" s="421" t="s">
        <v>1553</v>
      </c>
      <c r="E1783" s="422" t="s">
        <v>228</v>
      </c>
      <c r="F1783" s="421" t="s">
        <v>1554</v>
      </c>
      <c r="G1783" s="422" t="s">
        <v>84</v>
      </c>
    </row>
    <row r="1784" spans="1:7" ht="13.5" customHeight="1">
      <c r="A1784" s="621" t="s">
        <v>1555</v>
      </c>
      <c r="B1784" s="618"/>
      <c r="C1784" s="618"/>
      <c r="D1784" s="618"/>
      <c r="E1784" s="618"/>
      <c r="F1784" s="618"/>
      <c r="G1784" s="618"/>
    </row>
    <row r="1785" spans="1:7" ht="13.5" customHeight="1">
      <c r="A1785" s="1975" t="s">
        <v>1556</v>
      </c>
      <c r="B1785" s="1601"/>
      <c r="C1785" s="1801"/>
      <c r="D1785" s="424" t="s">
        <v>208</v>
      </c>
      <c r="E1785" s="424" t="s">
        <v>1558</v>
      </c>
      <c r="F1785" s="424" t="s">
        <v>1559</v>
      </c>
      <c r="G1785" s="425"/>
    </row>
    <row r="1786" spans="1:7" ht="13.5" customHeight="1">
      <c r="A1786" s="1987" t="str">
        <f>+'LISTADO EQUIPOS'!$C$22</f>
        <v>HERRAMIENTA MENOR.</v>
      </c>
      <c r="B1786" s="1811"/>
      <c r="C1786" s="1967"/>
      <c r="D1786" s="675">
        <f>+'LISTADO EQUIPOS'!$E$22/8</f>
        <v>2850</v>
      </c>
      <c r="E1786" s="687">
        <v>0.2</v>
      </c>
      <c r="F1786" s="442">
        <f>+E1786*D1786</f>
        <v>570</v>
      </c>
      <c r="G1786" s="688"/>
    </row>
    <row r="1787" spans="1:7" ht="13.5" customHeight="1">
      <c r="A1787" s="1996"/>
      <c r="B1787" s="1807"/>
      <c r="C1787" s="1819"/>
      <c r="D1787" s="434"/>
      <c r="E1787" s="433"/>
      <c r="F1787" s="434"/>
      <c r="G1787" s="435"/>
    </row>
    <row r="1788" spans="1:7" ht="13.5" customHeight="1">
      <c r="A1788" s="2015" t="s">
        <v>1560</v>
      </c>
      <c r="B1788" s="1601"/>
      <c r="C1788" s="1601"/>
      <c r="D1788" s="1601"/>
      <c r="E1788" s="1601"/>
      <c r="F1788" s="1801"/>
      <c r="G1788" s="462">
        <f>SUM(F1786:F1787)</f>
        <v>570</v>
      </c>
    </row>
    <row r="1789" spans="1:7" ht="13.5" customHeight="1">
      <c r="A1789" s="621" t="s">
        <v>1561</v>
      </c>
      <c r="B1789" s="618"/>
      <c r="C1789" s="618"/>
      <c r="D1789" s="618"/>
      <c r="E1789" s="618"/>
      <c r="F1789" s="618"/>
      <c r="G1789" s="743"/>
    </row>
    <row r="1790" spans="1:7" ht="13.5" customHeight="1">
      <c r="A1790" s="1975" t="s">
        <v>1556</v>
      </c>
      <c r="B1790" s="1801"/>
      <c r="C1790" s="424" t="s">
        <v>6</v>
      </c>
      <c r="D1790" s="424" t="s">
        <v>1562</v>
      </c>
      <c r="E1790" s="424" t="s">
        <v>7</v>
      </c>
      <c r="F1790" s="424" t="s">
        <v>1559</v>
      </c>
      <c r="G1790" s="673"/>
    </row>
    <row r="1791" spans="1:7" ht="13.5" customHeight="1">
      <c r="A1791" s="2091" t="str">
        <f>+'ANALISIS BASICOS'!$A$36</f>
        <v xml:space="preserve">CONCRETO NORMAL - 3000 PSI (210 KG/CM2) </v>
      </c>
      <c r="B1791" s="1967"/>
      <c r="C1791" s="727" t="str">
        <f>+'ANALISIS BASICOS'!$E$12</f>
        <v>M3</v>
      </c>
      <c r="D1791" s="1040">
        <f>+'ANALISIS BASICOS'!$G$36</f>
        <v>468441</v>
      </c>
      <c r="E1791" s="1061">
        <v>0.105</v>
      </c>
      <c r="F1791" s="728">
        <f t="shared" ref="F1791:F1794" si="123">+E1791*D1791</f>
        <v>49186.305</v>
      </c>
      <c r="G1791" s="730"/>
    </row>
    <row r="1792" spans="1:7" ht="13.5" customHeight="1">
      <c r="A1792" s="2092" t="str">
        <f>'LISTADO MATERIALES'!$C$723</f>
        <v>AGUA</v>
      </c>
      <c r="B1792" s="1611"/>
      <c r="C1792" s="731" t="str">
        <f>'LISTADO MATERIALES'!$D$723</f>
        <v>LT</v>
      </c>
      <c r="D1792" s="1041">
        <f>'LISTADO MATERIALES'!$E$723</f>
        <v>21</v>
      </c>
      <c r="E1792" s="721">
        <v>30</v>
      </c>
      <c r="F1792" s="722">
        <f t="shared" si="123"/>
        <v>630</v>
      </c>
      <c r="G1792" s="1042"/>
    </row>
    <row r="1793" spans="1:7" ht="13.5" customHeight="1">
      <c r="A1793" s="2092" t="str">
        <f>+'LISTADO MATERIALES'!$C$10</f>
        <v xml:space="preserve">ACERO Fy= 4200 Kg/cm2   </v>
      </c>
      <c r="B1793" s="1611"/>
      <c r="C1793" s="731" t="str">
        <f>+'LISTADO MATERIALES'!$D$10</f>
        <v>KG</v>
      </c>
      <c r="D1793" s="1041">
        <f>'LISTADO MATERIALES'!$E$10</f>
        <v>2800</v>
      </c>
      <c r="E1793" s="721">
        <v>10.5</v>
      </c>
      <c r="F1793" s="722">
        <f t="shared" si="123"/>
        <v>29400</v>
      </c>
      <c r="G1793" s="1042"/>
    </row>
    <row r="1794" spans="1:7" ht="13.5" customHeight="1">
      <c r="A1794" s="1996" t="str">
        <f>+'LISTADO MATERIALES'!$C$16</f>
        <v>ALAMBRE NEGRO No. 18</v>
      </c>
      <c r="B1794" s="1819"/>
      <c r="C1794" s="708" t="str">
        <f>+'LISTADO MATERIALES'!$D$16</f>
        <v>KG</v>
      </c>
      <c r="D1794" s="434">
        <f>+'LISTADO MATERIALES'!$E$16</f>
        <v>3150</v>
      </c>
      <c r="E1794" s="708">
        <v>3.5</v>
      </c>
      <c r="F1794" s="700">
        <f t="shared" si="123"/>
        <v>11025</v>
      </c>
      <c r="G1794" s="709"/>
    </row>
    <row r="1795" spans="1:7" ht="13.5" customHeight="1">
      <c r="A1795" s="2015" t="s">
        <v>1560</v>
      </c>
      <c r="B1795" s="1601"/>
      <c r="C1795" s="1601"/>
      <c r="D1795" s="1601"/>
      <c r="E1795" s="1601"/>
      <c r="F1795" s="1801"/>
      <c r="G1795" s="462">
        <f>SUM(F1791:F1794)</f>
        <v>90241.304999999993</v>
      </c>
    </row>
    <row r="1796" spans="1:7" ht="13.5" customHeight="1">
      <c r="A1796" s="621" t="s">
        <v>1563</v>
      </c>
      <c r="B1796" s="618"/>
      <c r="C1796" s="618"/>
      <c r="D1796" s="618"/>
      <c r="E1796" s="618"/>
      <c r="F1796" s="618"/>
      <c r="G1796" s="743"/>
    </row>
    <row r="1797" spans="1:7" ht="13.5" customHeight="1">
      <c r="A1797" s="1975" t="s">
        <v>1556</v>
      </c>
      <c r="B1797" s="1801"/>
      <c r="C1797" s="424" t="s">
        <v>6</v>
      </c>
      <c r="D1797" s="424" t="s">
        <v>1562</v>
      </c>
      <c r="E1797" s="424" t="s">
        <v>7</v>
      </c>
      <c r="F1797" s="424" t="s">
        <v>1559</v>
      </c>
      <c r="G1797" s="438"/>
    </row>
    <row r="1798" spans="1:7" ht="13.5" customHeight="1">
      <c r="A1798" s="1987"/>
      <c r="B1798" s="1967"/>
      <c r="C1798" s="744"/>
      <c r="D1798" s="675"/>
      <c r="E1798" s="745"/>
      <c r="F1798" s="464"/>
      <c r="G1798" s="676"/>
    </row>
    <row r="1799" spans="1:7" ht="13.5" customHeight="1">
      <c r="A1799" s="1996"/>
      <c r="B1799" s="1819"/>
      <c r="C1799" s="744"/>
      <c r="D1799" s="434"/>
      <c r="E1799" s="746"/>
      <c r="F1799" s="434"/>
      <c r="G1799" s="457"/>
    </row>
    <row r="1800" spans="1:7" ht="13.5" customHeight="1">
      <c r="A1800" s="2015" t="s">
        <v>1560</v>
      </c>
      <c r="B1800" s="1601"/>
      <c r="C1800" s="1601"/>
      <c r="D1800" s="1601"/>
      <c r="E1800" s="1601"/>
      <c r="F1800" s="1801"/>
      <c r="G1800" s="462"/>
    </row>
    <row r="1801" spans="1:7" ht="13.5" customHeight="1">
      <c r="A1801" s="621" t="s">
        <v>1564</v>
      </c>
      <c r="B1801" s="618"/>
      <c r="C1801" s="618"/>
      <c r="D1801" s="618"/>
      <c r="E1801" s="618"/>
      <c r="F1801" s="618"/>
      <c r="G1801" s="743"/>
    </row>
    <row r="1802" spans="1:7" ht="13.5" customHeight="1">
      <c r="A1802" s="1975" t="s">
        <v>1565</v>
      </c>
      <c r="B1802" s="1801"/>
      <c r="C1802" s="424" t="s">
        <v>1566</v>
      </c>
      <c r="D1802" s="424" t="s">
        <v>6</v>
      </c>
      <c r="E1802" s="424" t="s">
        <v>7</v>
      </c>
      <c r="F1802" s="424" t="s">
        <v>1559</v>
      </c>
      <c r="G1802" s="462"/>
    </row>
    <row r="1803" spans="1:7" ht="13.5" customHeight="1">
      <c r="A1803" s="2004" t="str">
        <f>+'MANO DE OBRA'!$A$64</f>
        <v>Oficial (Incl. Prestaciones)</v>
      </c>
      <c r="B1803" s="1888"/>
      <c r="C1803" s="679">
        <f>+'MANO DE OBRA'!$E$64</f>
        <v>15031.25</v>
      </c>
      <c r="D1803" s="680">
        <v>1</v>
      </c>
      <c r="E1803" s="680">
        <v>0.92690596831725847</v>
      </c>
      <c r="F1803" s="694">
        <f t="shared" ref="F1803:F1804" si="124">+(C1803*D1803)*E1803</f>
        <v>13932.555336268792</v>
      </c>
      <c r="G1803" s="676"/>
    </row>
    <row r="1804" spans="1:7" ht="13.5" customHeight="1">
      <c r="A1804" s="1984" t="str">
        <f>+'MANO DE OBRA'!$A$65</f>
        <v>Ayudante (Incl. Prestaciones)</v>
      </c>
      <c r="B1804" s="1819"/>
      <c r="C1804" s="747">
        <f>+'MANO DE OBRA'!$E$65</f>
        <v>10972.8125</v>
      </c>
      <c r="D1804" s="614">
        <v>1</v>
      </c>
      <c r="E1804" s="614">
        <f>+E1803</f>
        <v>0.92690596831725847</v>
      </c>
      <c r="F1804" s="455">
        <f t="shared" si="124"/>
        <v>10170.765395476217</v>
      </c>
      <c r="G1804" s="709"/>
    </row>
    <row r="1805" spans="1:7" ht="13.5" customHeight="1">
      <c r="A1805" s="2015" t="str">
        <f>+A1800</f>
        <v>SUB-TOTAL</v>
      </c>
      <c r="B1805" s="1601"/>
      <c r="C1805" s="1601"/>
      <c r="D1805" s="1601"/>
      <c r="E1805" s="1601"/>
      <c r="F1805" s="1801"/>
      <c r="G1805" s="462">
        <f>SUM(F1803:F1804)</f>
        <v>24103.320731745007</v>
      </c>
    </row>
    <row r="1806" spans="1:7" ht="13.5" customHeight="1">
      <c r="A1806" s="618"/>
      <c r="B1806" s="618"/>
      <c r="C1806" s="618"/>
      <c r="D1806" s="618"/>
      <c r="E1806" s="618"/>
      <c r="F1806" s="748"/>
      <c r="G1806" s="743"/>
    </row>
    <row r="1807" spans="1:7" ht="13.5" customHeight="1">
      <c r="A1807" s="2015" t="s">
        <v>1567</v>
      </c>
      <c r="B1807" s="1601"/>
      <c r="C1807" s="1601"/>
      <c r="D1807" s="1601"/>
      <c r="E1807" s="1601"/>
      <c r="F1807" s="1801"/>
      <c r="G1807" s="459">
        <f>ROUND(G1788+G1795+G1800+G1805,0)</f>
        <v>114915</v>
      </c>
    </row>
    <row r="1810" spans="1:7" ht="24" customHeight="1">
      <c r="A1810" s="2005" t="s">
        <v>1604</v>
      </c>
      <c r="B1810" s="1616"/>
      <c r="C1810" s="1624"/>
      <c r="D1810" s="567"/>
      <c r="E1810" s="567"/>
      <c r="F1810" s="567"/>
      <c r="G1810" s="668"/>
    </row>
    <row r="1811" spans="1:7" ht="26.25" customHeight="1">
      <c r="A1811" s="1971"/>
      <c r="B1811" s="1817"/>
      <c r="C1811" s="1972"/>
      <c r="D1811" s="669"/>
      <c r="E1811" s="669"/>
      <c r="F1811" s="669"/>
      <c r="G1811" s="670"/>
    </row>
    <row r="1812" spans="1:7" ht="13.5" customHeight="1">
      <c r="A1812" s="618"/>
      <c r="B1812" s="618"/>
      <c r="C1812" s="618"/>
      <c r="D1812" s="618"/>
      <c r="E1812" s="618"/>
      <c r="F1812" s="618"/>
      <c r="G1812" s="618"/>
    </row>
    <row r="1813" spans="1:7" ht="30.75" customHeight="1">
      <c r="A1813" s="1973" t="e">
        <f ca="1">A10</f>
        <v>#NAME?</v>
      </c>
      <c r="B1813" s="1601"/>
      <c r="C1813" s="1602"/>
      <c r="D1813" s="1974" t="s">
        <v>2475</v>
      </c>
      <c r="E1813" s="1601"/>
      <c r="F1813" s="1601"/>
      <c r="G1813" s="1602"/>
    </row>
    <row r="1814" spans="1:7" ht="13.5" customHeight="1">
      <c r="A1814" s="620"/>
      <c r="B1814" s="620"/>
      <c r="C1814" s="620"/>
      <c r="D1814" s="620"/>
      <c r="E1814" s="620"/>
      <c r="F1814" s="620"/>
      <c r="G1814" s="620"/>
    </row>
    <row r="1815" spans="1:7" ht="13.5" customHeight="1">
      <c r="A1815" s="572"/>
      <c r="B1815" s="618"/>
      <c r="C1815" s="616"/>
      <c r="D1815" s="421" t="s">
        <v>1553</v>
      </c>
      <c r="E1815" s="422" t="s">
        <v>228</v>
      </c>
      <c r="F1815" s="572"/>
      <c r="G1815" s="572"/>
    </row>
    <row r="1816" spans="1:7" ht="13.5" customHeight="1">
      <c r="A1816" s="621" t="s">
        <v>1555</v>
      </c>
      <c r="B1816" s="618"/>
      <c r="C1816" s="618"/>
      <c r="D1816" s="618"/>
      <c r="E1816" s="618"/>
      <c r="F1816" s="618"/>
      <c r="G1816" s="618"/>
    </row>
    <row r="1817" spans="1:7" ht="13.5" customHeight="1">
      <c r="A1817" s="1975" t="s">
        <v>1556</v>
      </c>
      <c r="B1817" s="1601"/>
      <c r="C1817" s="1801"/>
      <c r="D1817" s="424" t="s">
        <v>208</v>
      </c>
      <c r="E1817" s="424" t="s">
        <v>1558</v>
      </c>
      <c r="F1817" s="424" t="s">
        <v>1559</v>
      </c>
      <c r="G1817" s="425"/>
    </row>
    <row r="1818" spans="1:7" ht="13.5" customHeight="1">
      <c r="A1818" s="1987" t="str">
        <f>+'LISTADO EQUIPOS'!$C$22</f>
        <v>HERRAMIENTA MENOR.</v>
      </c>
      <c r="B1818" s="1811"/>
      <c r="C1818" s="1967"/>
      <c r="D1818" s="675">
        <f>+'LISTADO EQUIPOS'!$E$22/8</f>
        <v>2850</v>
      </c>
      <c r="E1818" s="687">
        <f>+E1837</f>
        <v>0.8</v>
      </c>
      <c r="F1818" s="442">
        <f>+E1818*D1818</f>
        <v>2280</v>
      </c>
      <c r="G1818" s="688"/>
    </row>
    <row r="1819" spans="1:7" ht="13.5" customHeight="1">
      <c r="A1819" s="1996"/>
      <c r="B1819" s="1807"/>
      <c r="C1819" s="1819"/>
      <c r="D1819" s="434"/>
      <c r="E1819" s="758"/>
      <c r="F1819" s="434"/>
      <c r="G1819" s="435"/>
    </row>
    <row r="1820" spans="1:7" ht="13.5" customHeight="1">
      <c r="A1820" s="2015" t="s">
        <v>1560</v>
      </c>
      <c r="B1820" s="1601"/>
      <c r="C1820" s="1601"/>
      <c r="D1820" s="1601"/>
      <c r="E1820" s="1601"/>
      <c r="F1820" s="1801"/>
      <c r="G1820" s="462">
        <f>SUM(F1818:F1819)</f>
        <v>2280</v>
      </c>
    </row>
    <row r="1821" spans="1:7" ht="13.5" customHeight="1">
      <c r="A1821" s="621" t="s">
        <v>1561</v>
      </c>
      <c r="B1821" s="618"/>
      <c r="C1821" s="618"/>
      <c r="D1821" s="618"/>
      <c r="E1821" s="618"/>
      <c r="F1821" s="618"/>
      <c r="G1821" s="743"/>
    </row>
    <row r="1822" spans="1:7" ht="13.5" customHeight="1">
      <c r="A1822" s="1975" t="s">
        <v>1556</v>
      </c>
      <c r="B1822" s="1801"/>
      <c r="C1822" s="424" t="s">
        <v>6</v>
      </c>
      <c r="D1822" s="424" t="s">
        <v>1562</v>
      </c>
      <c r="E1822" s="424" t="s">
        <v>7</v>
      </c>
      <c r="F1822" s="424" t="s">
        <v>1559</v>
      </c>
      <c r="G1822" s="673"/>
    </row>
    <row r="1823" spans="1:7" ht="14.25" customHeight="1">
      <c r="A1823" s="1987" t="str">
        <f>+'ANALISIS BASICOS'!$A$260</f>
        <v>MORTERO 1:4 - IMPERMEABILIZADO</v>
      </c>
      <c r="B1823" s="1967"/>
      <c r="C1823" s="674" t="str">
        <f>+'ANALISIS BASICOS'!$E$236</f>
        <v>M3</v>
      </c>
      <c r="D1823" s="675">
        <f>+'ANALISIS BASICOS'!$G$260</f>
        <v>473789</v>
      </c>
      <c r="E1823" s="674">
        <v>0.02</v>
      </c>
      <c r="F1823" s="442">
        <f t="shared" ref="F1823:F1827" si="125">+E1823*D1823</f>
        <v>9475.7800000000007</v>
      </c>
      <c r="G1823" s="676"/>
    </row>
    <row r="1824" spans="1:7" ht="13.5" customHeight="1">
      <c r="A1824" s="1995" t="str">
        <f>+'LISTADO MATERIALES'!$C$140</f>
        <v>CEMENTO BLANCO</v>
      </c>
      <c r="B1824" s="1611"/>
      <c r="C1824" s="444" t="str">
        <f>+'LISTADO MATERIALES'!$D$140</f>
        <v>KG</v>
      </c>
      <c r="D1824" s="464">
        <f>+'LISTADO MATERIALES'!$E$140</f>
        <v>1103</v>
      </c>
      <c r="E1824" s="444">
        <v>0.2</v>
      </c>
      <c r="F1824" s="440">
        <f t="shared" si="125"/>
        <v>220.60000000000002</v>
      </c>
      <c r="G1824" s="707"/>
    </row>
    <row r="1825" spans="1:7" ht="13.5" customHeight="1">
      <c r="A1825" s="1995" t="str">
        <f>+'LISTADO MATERIALES'!$C$349</f>
        <v>TABLETA 20X25, EURO CERÁMICA</v>
      </c>
      <c r="B1825" s="1611"/>
      <c r="C1825" s="444" t="str">
        <f>+'LISTADO MATERIALES'!$D$349</f>
        <v>M2</v>
      </c>
      <c r="D1825" s="464">
        <f>+'LISTADO MATERIALES'!$E$349</f>
        <v>18690</v>
      </c>
      <c r="E1825" s="444">
        <v>1.05</v>
      </c>
      <c r="F1825" s="440">
        <f t="shared" si="125"/>
        <v>19624.5</v>
      </c>
      <c r="G1825" s="707"/>
    </row>
    <row r="1826" spans="1:7" ht="13.5" customHeight="1">
      <c r="A1826" s="1995" t="str">
        <f>+'LISTADO MATERIALES'!$C$729</f>
        <v>BLANCO DE ZINC</v>
      </c>
      <c r="B1826" s="1611"/>
      <c r="C1826" s="444" t="str">
        <f>+'LISTADO MATERIALES'!$D$81</f>
        <v>LB</v>
      </c>
      <c r="D1826" s="464">
        <f>+'LISTADO MATERIALES'!$E$81</f>
        <v>8925</v>
      </c>
      <c r="E1826" s="444">
        <v>0.1</v>
      </c>
      <c r="F1826" s="440">
        <f t="shared" si="125"/>
        <v>892.5</v>
      </c>
      <c r="G1826" s="707"/>
    </row>
    <row r="1827" spans="1:7" ht="13.5" customHeight="1">
      <c r="A1827" s="1995" t="str">
        <f>+'LISTADO MATERIALES'!$C$363</f>
        <v>WING ALUMINIO</v>
      </c>
      <c r="B1827" s="1611"/>
      <c r="C1827" s="444" t="str">
        <f>+'LISTADO MATERIALES'!$D$363</f>
        <v>ML</v>
      </c>
      <c r="D1827" s="464">
        <f>+'LISTADO MATERIALES'!$E$363</f>
        <v>1575</v>
      </c>
      <c r="E1827" s="444">
        <v>0.5</v>
      </c>
      <c r="F1827" s="440">
        <f t="shared" si="125"/>
        <v>787.5</v>
      </c>
      <c r="G1827" s="707"/>
    </row>
    <row r="1828" spans="1:7" ht="13.5" customHeight="1">
      <c r="A1828" s="1995"/>
      <c r="B1828" s="1611"/>
      <c r="C1828" s="444"/>
      <c r="D1828" s="464"/>
      <c r="E1828" s="444"/>
      <c r="F1828" s="464"/>
      <c r="G1828" s="707"/>
    </row>
    <row r="1829" spans="1:7" ht="13.5" customHeight="1">
      <c r="A1829" s="2015" t="s">
        <v>1560</v>
      </c>
      <c r="B1829" s="1601"/>
      <c r="C1829" s="1601"/>
      <c r="D1829" s="1601"/>
      <c r="E1829" s="1601"/>
      <c r="F1829" s="1801"/>
      <c r="G1829" s="462">
        <f>SUM(F1823:F1828)</f>
        <v>31000.880000000001</v>
      </c>
    </row>
    <row r="1830" spans="1:7" ht="13.5" customHeight="1">
      <c r="A1830" s="621" t="s">
        <v>1563</v>
      </c>
      <c r="B1830" s="618"/>
      <c r="C1830" s="618"/>
      <c r="D1830" s="618"/>
      <c r="E1830" s="618"/>
      <c r="F1830" s="618"/>
      <c r="G1830" s="743"/>
    </row>
    <row r="1831" spans="1:7" ht="13.5" customHeight="1">
      <c r="A1831" s="1975" t="s">
        <v>1556</v>
      </c>
      <c r="B1831" s="1801"/>
      <c r="C1831" s="424" t="s">
        <v>6</v>
      </c>
      <c r="D1831" s="424" t="s">
        <v>1562</v>
      </c>
      <c r="E1831" s="424" t="s">
        <v>7</v>
      </c>
      <c r="F1831" s="424" t="s">
        <v>1559</v>
      </c>
      <c r="G1831" s="438"/>
    </row>
    <row r="1832" spans="1:7" ht="13.5" customHeight="1">
      <c r="A1832" s="1987"/>
      <c r="B1832" s="1967"/>
      <c r="C1832" s="744"/>
      <c r="D1832" s="675"/>
      <c r="E1832" s="745"/>
      <c r="F1832" s="464"/>
      <c r="G1832" s="676"/>
    </row>
    <row r="1833" spans="1:7" ht="13.5" customHeight="1">
      <c r="A1833" s="1996"/>
      <c r="B1833" s="1819"/>
      <c r="C1833" s="744"/>
      <c r="D1833" s="434"/>
      <c r="E1833" s="746"/>
      <c r="F1833" s="434"/>
      <c r="G1833" s="457"/>
    </row>
    <row r="1834" spans="1:7" ht="13.5" customHeight="1">
      <c r="A1834" s="2015" t="s">
        <v>1560</v>
      </c>
      <c r="B1834" s="1601"/>
      <c r="C1834" s="1601"/>
      <c r="D1834" s="1601"/>
      <c r="E1834" s="1601"/>
      <c r="F1834" s="1801"/>
      <c r="G1834" s="462"/>
    </row>
    <row r="1835" spans="1:7" ht="13.5" customHeight="1">
      <c r="A1835" s="621" t="s">
        <v>1564</v>
      </c>
      <c r="B1835" s="618"/>
      <c r="C1835" s="618"/>
      <c r="D1835" s="618"/>
      <c r="E1835" s="618"/>
      <c r="F1835" s="618"/>
      <c r="G1835" s="743"/>
    </row>
    <row r="1836" spans="1:7" ht="13.5" customHeight="1">
      <c r="A1836" s="1975" t="s">
        <v>1565</v>
      </c>
      <c r="B1836" s="1801"/>
      <c r="C1836" s="424" t="s">
        <v>1566</v>
      </c>
      <c r="D1836" s="424" t="s">
        <v>6</v>
      </c>
      <c r="E1836" s="424" t="s">
        <v>7</v>
      </c>
      <c r="F1836" s="424" t="s">
        <v>1559</v>
      </c>
      <c r="G1836" s="462"/>
    </row>
    <row r="1837" spans="1:7" ht="13.5" customHeight="1">
      <c r="A1837" s="2004" t="str">
        <f>+'MANO DE OBRA'!$A$64</f>
        <v>Oficial (Incl. Prestaciones)</v>
      </c>
      <c r="B1837" s="1888"/>
      <c r="C1837" s="679">
        <f>+'MANO DE OBRA'!$E$64</f>
        <v>15031.25</v>
      </c>
      <c r="D1837" s="680">
        <v>1</v>
      </c>
      <c r="E1837" s="680">
        <v>0.8</v>
      </c>
      <c r="F1837" s="694">
        <f t="shared" ref="F1837:F1838" si="126">+(C1837*D1837)*E1837</f>
        <v>12025</v>
      </c>
      <c r="G1837" s="676"/>
    </row>
    <row r="1838" spans="1:7" ht="13.5" customHeight="1">
      <c r="A1838" s="1984" t="str">
        <f>+'MANO DE OBRA'!$A$65</f>
        <v>Ayudante (Incl. Prestaciones)</v>
      </c>
      <c r="B1838" s="1819"/>
      <c r="C1838" s="747">
        <f>+'MANO DE OBRA'!$E$65</f>
        <v>10972.8125</v>
      </c>
      <c r="D1838" s="614">
        <v>1</v>
      </c>
      <c r="E1838" s="614">
        <f>+E1837</f>
        <v>0.8</v>
      </c>
      <c r="F1838" s="455">
        <f t="shared" si="126"/>
        <v>8778.25</v>
      </c>
      <c r="G1838" s="709"/>
    </row>
    <row r="1839" spans="1:7" ht="13.5" customHeight="1">
      <c r="A1839" s="2015" t="str">
        <f>+A1834</f>
        <v>SUB-TOTAL</v>
      </c>
      <c r="B1839" s="1601"/>
      <c r="C1839" s="1601"/>
      <c r="D1839" s="1601"/>
      <c r="E1839" s="1601"/>
      <c r="F1839" s="1801"/>
      <c r="G1839" s="462">
        <f>SUM(F1837:F1838)</f>
        <v>20803.25</v>
      </c>
    </row>
    <row r="1841" spans="1:7" ht="13.5" customHeight="1">
      <c r="A1841" s="2015" t="s">
        <v>1567</v>
      </c>
      <c r="B1841" s="1601"/>
      <c r="C1841" s="1601"/>
      <c r="D1841" s="1601"/>
      <c r="E1841" s="1601"/>
      <c r="F1841" s="1801"/>
      <c r="G1841" s="459">
        <f>ROUND(G1820+G1829+G1834+G1839,0)</f>
        <v>54084</v>
      </c>
    </row>
    <row r="1842" spans="1:7" ht="13.5" customHeight="1">
      <c r="A1842" s="616"/>
      <c r="B1842" s="616"/>
      <c r="C1842" s="616"/>
      <c r="D1842" s="616"/>
      <c r="E1842" s="616"/>
      <c r="F1842" s="616"/>
      <c r="G1842" s="616"/>
    </row>
    <row r="1843" spans="1:7" ht="13.5" customHeight="1">
      <c r="A1843" s="616"/>
      <c r="B1843" s="616"/>
      <c r="C1843" s="616"/>
      <c r="D1843" s="616"/>
      <c r="E1843" s="616"/>
      <c r="F1843" s="616"/>
      <c r="G1843" s="616"/>
    </row>
    <row r="1844" spans="1:7" ht="24.75" customHeight="1">
      <c r="A1844" s="2005" t="s">
        <v>1604</v>
      </c>
      <c r="B1844" s="1616"/>
      <c r="C1844" s="1624"/>
      <c r="D1844" s="567"/>
      <c r="E1844" s="567"/>
      <c r="F1844" s="567"/>
      <c r="G1844" s="668"/>
    </row>
    <row r="1845" spans="1:7" ht="25.5" customHeight="1">
      <c r="A1845" s="1971"/>
      <c r="B1845" s="1817"/>
      <c r="C1845" s="1972"/>
      <c r="D1845" s="669"/>
      <c r="E1845" s="669"/>
      <c r="F1845" s="669"/>
      <c r="G1845" s="670"/>
    </row>
    <row r="1846" spans="1:7" ht="13.5" customHeight="1">
      <c r="A1846" s="618"/>
      <c r="B1846" s="618"/>
      <c r="C1846" s="618"/>
      <c r="D1846" s="618"/>
      <c r="E1846" s="618"/>
      <c r="F1846" s="618"/>
      <c r="G1846" s="618"/>
    </row>
    <row r="1847" spans="1:7" ht="26.25" customHeight="1">
      <c r="A1847" s="1973" t="e">
        <f ca="1">A10</f>
        <v>#NAME?</v>
      </c>
      <c r="B1847" s="1601"/>
      <c r="C1847" s="1602"/>
      <c r="D1847" s="1974" t="s">
        <v>2476</v>
      </c>
      <c r="E1847" s="1601"/>
      <c r="F1847" s="1601"/>
      <c r="G1847" s="1602"/>
    </row>
    <row r="1848" spans="1:7" ht="13.5" customHeight="1">
      <c r="A1848" s="620"/>
      <c r="B1848" s="620"/>
      <c r="C1848" s="620"/>
      <c r="D1848" s="620"/>
      <c r="E1848" s="620"/>
      <c r="F1848" s="620"/>
      <c r="G1848" s="620"/>
    </row>
    <row r="1849" spans="1:7" ht="13.5" customHeight="1">
      <c r="A1849" s="572"/>
      <c r="B1849" s="618"/>
      <c r="C1849" s="616"/>
      <c r="D1849" s="421" t="s">
        <v>1553</v>
      </c>
      <c r="E1849" s="422" t="s">
        <v>228</v>
      </c>
      <c r="F1849" s="572"/>
      <c r="G1849" s="572"/>
    </row>
    <row r="1850" spans="1:7" ht="13.5" customHeight="1">
      <c r="A1850" s="621" t="s">
        <v>1555</v>
      </c>
      <c r="B1850" s="618"/>
      <c r="C1850" s="618"/>
      <c r="D1850" s="618"/>
      <c r="E1850" s="618"/>
      <c r="F1850" s="618"/>
      <c r="G1850" s="618"/>
    </row>
    <row r="1851" spans="1:7" ht="13.5" customHeight="1">
      <c r="A1851" s="1975" t="s">
        <v>1556</v>
      </c>
      <c r="B1851" s="1601"/>
      <c r="C1851" s="1801"/>
      <c r="D1851" s="424" t="s">
        <v>208</v>
      </c>
      <c r="E1851" s="424" t="s">
        <v>1558</v>
      </c>
      <c r="F1851" s="424" t="s">
        <v>1559</v>
      </c>
      <c r="G1851" s="425"/>
    </row>
    <row r="1852" spans="1:7" ht="13.5" customHeight="1">
      <c r="A1852" s="1987" t="str">
        <f>+'LISTADO EQUIPOS'!$C$22</f>
        <v>HERRAMIENTA MENOR.</v>
      </c>
      <c r="B1852" s="1811"/>
      <c r="C1852" s="1967"/>
      <c r="D1852" s="675">
        <f>+'LISTADO EQUIPOS'!$E$22/8</f>
        <v>2850</v>
      </c>
      <c r="E1852" s="687">
        <f>+E1870</f>
        <v>0.8</v>
      </c>
      <c r="F1852" s="442">
        <f>+E1852*D1852</f>
        <v>2280</v>
      </c>
      <c r="G1852" s="688"/>
    </row>
    <row r="1853" spans="1:7" ht="13.5" customHeight="1">
      <c r="A1853" s="1996"/>
      <c r="B1853" s="1807"/>
      <c r="C1853" s="1819"/>
      <c r="D1853" s="434"/>
      <c r="E1853" s="758"/>
      <c r="F1853" s="434"/>
      <c r="G1853" s="435"/>
    </row>
    <row r="1854" spans="1:7" ht="13.5" customHeight="1">
      <c r="A1854" s="2015" t="s">
        <v>1560</v>
      </c>
      <c r="B1854" s="1601"/>
      <c r="C1854" s="1601"/>
      <c r="D1854" s="1601"/>
      <c r="E1854" s="1601"/>
      <c r="F1854" s="1801"/>
      <c r="G1854" s="462">
        <f>SUM(F1852:F1853)</f>
        <v>2280</v>
      </c>
    </row>
    <row r="1855" spans="1:7" ht="13.5" customHeight="1">
      <c r="A1855" s="621" t="s">
        <v>1561</v>
      </c>
      <c r="B1855" s="618"/>
      <c r="C1855" s="618"/>
      <c r="D1855" s="618"/>
      <c r="E1855" s="618"/>
      <c r="F1855" s="618"/>
      <c r="G1855" s="743"/>
    </row>
    <row r="1856" spans="1:7" ht="13.5" customHeight="1">
      <c r="A1856" s="1975" t="s">
        <v>1556</v>
      </c>
      <c r="B1856" s="1801"/>
      <c r="C1856" s="424" t="s">
        <v>6</v>
      </c>
      <c r="D1856" s="424" t="s">
        <v>1562</v>
      </c>
      <c r="E1856" s="424" t="s">
        <v>7</v>
      </c>
      <c r="F1856" s="424" t="s">
        <v>1559</v>
      </c>
      <c r="G1856" s="673"/>
    </row>
    <row r="1857" spans="1:7" ht="13.5" customHeight="1">
      <c r="A1857" s="1987" t="str">
        <f>+'ANALISIS BASICOS'!$A$260</f>
        <v>MORTERO 1:4 - IMPERMEABILIZADO</v>
      </c>
      <c r="B1857" s="1967"/>
      <c r="C1857" s="674" t="str">
        <f>+'ANALISIS BASICOS'!$E$236</f>
        <v>M3</v>
      </c>
      <c r="D1857" s="675">
        <f>+'ANALISIS BASICOS'!$G$260</f>
        <v>473789</v>
      </c>
      <c r="E1857" s="674">
        <v>0.02</v>
      </c>
      <c r="F1857" s="442">
        <f t="shared" ref="F1857:F1860" si="127">+E1857*D1857</f>
        <v>9475.7800000000007</v>
      </c>
      <c r="G1857" s="676"/>
    </row>
    <row r="1858" spans="1:7" ht="13.5" customHeight="1">
      <c r="A1858" s="1995" t="str">
        <f>+'LISTADO MATERIALES'!$C$140</f>
        <v>CEMENTO BLANCO</v>
      </c>
      <c r="B1858" s="1611"/>
      <c r="C1858" s="444" t="str">
        <f>+'LISTADO MATERIALES'!$D$140</f>
        <v>KG</v>
      </c>
      <c r="D1858" s="464">
        <f>+'LISTADO MATERIALES'!$E$140</f>
        <v>1103</v>
      </c>
      <c r="E1858" s="444">
        <v>0.2</v>
      </c>
      <c r="F1858" s="440">
        <f t="shared" si="127"/>
        <v>220.60000000000002</v>
      </c>
      <c r="G1858" s="707"/>
    </row>
    <row r="1859" spans="1:7" ht="13.5" customHeight="1">
      <c r="A1859" s="1995" t="str">
        <f>+'LISTADO MATERIALES'!$C$349</f>
        <v>TABLETA 20X25, EURO CERÁMICA</v>
      </c>
      <c r="B1859" s="1611"/>
      <c r="C1859" s="444" t="str">
        <f>+'LISTADO MATERIALES'!$D$349</f>
        <v>M2</v>
      </c>
      <c r="D1859" s="464">
        <f>+'LISTADO MATERIALES'!$E$349</f>
        <v>18690</v>
      </c>
      <c r="E1859" s="444">
        <v>1.05</v>
      </c>
      <c r="F1859" s="440">
        <f t="shared" si="127"/>
        <v>19624.5</v>
      </c>
      <c r="G1859" s="707"/>
    </row>
    <row r="1860" spans="1:7" ht="13.5" customHeight="1">
      <c r="A1860" s="1995" t="str">
        <f>+'LISTADO MATERIALES'!$C$729</f>
        <v>BLANCO DE ZINC</v>
      </c>
      <c r="B1860" s="1611"/>
      <c r="C1860" s="444" t="str">
        <f>+'LISTADO MATERIALES'!$D$81</f>
        <v>LB</v>
      </c>
      <c r="D1860" s="464">
        <f>+'LISTADO MATERIALES'!$E$81</f>
        <v>8925</v>
      </c>
      <c r="E1860" s="444">
        <v>0.1</v>
      </c>
      <c r="F1860" s="440">
        <f t="shared" si="127"/>
        <v>892.5</v>
      </c>
      <c r="G1860" s="707"/>
    </row>
    <row r="1861" spans="1:7" ht="13.5" customHeight="1">
      <c r="A1861" s="1995"/>
      <c r="B1861" s="1611"/>
      <c r="C1861" s="444"/>
      <c r="D1861" s="464"/>
      <c r="E1861" s="444"/>
      <c r="F1861" s="464"/>
      <c r="G1861" s="707"/>
    </row>
    <row r="1862" spans="1:7" ht="13.5" customHeight="1">
      <c r="A1862" s="2015" t="s">
        <v>1560</v>
      </c>
      <c r="B1862" s="1601"/>
      <c r="C1862" s="1601"/>
      <c r="D1862" s="1601"/>
      <c r="E1862" s="1601"/>
      <c r="F1862" s="1801"/>
      <c r="G1862" s="462">
        <f>SUM(F1857:F1861)</f>
        <v>30213.38</v>
      </c>
    </row>
    <row r="1863" spans="1:7" ht="13.5" customHeight="1">
      <c r="A1863" s="621" t="s">
        <v>1563</v>
      </c>
      <c r="B1863" s="618"/>
      <c r="C1863" s="618"/>
      <c r="D1863" s="618"/>
      <c r="E1863" s="618"/>
      <c r="F1863" s="618"/>
      <c r="G1863" s="743"/>
    </row>
    <row r="1864" spans="1:7" ht="13.5" customHeight="1">
      <c r="A1864" s="1975" t="s">
        <v>1556</v>
      </c>
      <c r="B1864" s="1801"/>
      <c r="C1864" s="424" t="s">
        <v>6</v>
      </c>
      <c r="D1864" s="424" t="s">
        <v>1562</v>
      </c>
      <c r="E1864" s="424" t="s">
        <v>7</v>
      </c>
      <c r="F1864" s="424" t="s">
        <v>1559</v>
      </c>
      <c r="G1864" s="438"/>
    </row>
    <row r="1865" spans="1:7" ht="13.5" customHeight="1">
      <c r="A1865" s="1987"/>
      <c r="B1865" s="1967"/>
      <c r="C1865" s="744"/>
      <c r="D1865" s="675"/>
      <c r="E1865" s="745"/>
      <c r="F1865" s="464"/>
      <c r="G1865" s="676"/>
    </row>
    <row r="1866" spans="1:7" ht="13.5" customHeight="1">
      <c r="A1866" s="1996"/>
      <c r="B1866" s="1819"/>
      <c r="C1866" s="744"/>
      <c r="D1866" s="434"/>
      <c r="E1866" s="746"/>
      <c r="F1866" s="434"/>
      <c r="G1866" s="457"/>
    </row>
    <row r="1867" spans="1:7" ht="13.5" customHeight="1">
      <c r="A1867" s="2015" t="s">
        <v>1560</v>
      </c>
      <c r="B1867" s="1601"/>
      <c r="C1867" s="1601"/>
      <c r="D1867" s="1601"/>
      <c r="E1867" s="1601"/>
      <c r="F1867" s="1801"/>
      <c r="G1867" s="462"/>
    </row>
    <row r="1868" spans="1:7" ht="13.5" customHeight="1">
      <c r="A1868" s="621" t="s">
        <v>1564</v>
      </c>
      <c r="B1868" s="618"/>
      <c r="C1868" s="618"/>
      <c r="D1868" s="618"/>
      <c r="E1868" s="618"/>
      <c r="F1868" s="618"/>
      <c r="G1868" s="743"/>
    </row>
    <row r="1869" spans="1:7" ht="13.5" customHeight="1">
      <c r="A1869" s="1975" t="s">
        <v>1565</v>
      </c>
      <c r="B1869" s="1801"/>
      <c r="C1869" s="424" t="s">
        <v>1566</v>
      </c>
      <c r="D1869" s="424" t="s">
        <v>6</v>
      </c>
      <c r="E1869" s="424" t="s">
        <v>7</v>
      </c>
      <c r="F1869" s="424" t="s">
        <v>1559</v>
      </c>
      <c r="G1869" s="462"/>
    </row>
    <row r="1870" spans="1:7" ht="13.5" customHeight="1">
      <c r="A1870" s="2004" t="str">
        <f>+'MANO DE OBRA'!$A$64</f>
        <v>Oficial (Incl. Prestaciones)</v>
      </c>
      <c r="B1870" s="1888"/>
      <c r="C1870" s="679">
        <f>+'MANO DE OBRA'!$E$64</f>
        <v>15031.25</v>
      </c>
      <c r="D1870" s="680">
        <v>1</v>
      </c>
      <c r="E1870" s="680">
        <v>0.8</v>
      </c>
      <c r="F1870" s="694">
        <f t="shared" ref="F1870:F1871" si="128">+(C1870*D1870)*E1870</f>
        <v>12025</v>
      </c>
      <c r="G1870" s="676"/>
    </row>
    <row r="1871" spans="1:7" ht="13.5" customHeight="1">
      <c r="A1871" s="1984" t="str">
        <f>+'MANO DE OBRA'!$A$65</f>
        <v>Ayudante (Incl. Prestaciones)</v>
      </c>
      <c r="B1871" s="1819"/>
      <c r="C1871" s="747">
        <f>+'MANO DE OBRA'!$E$65</f>
        <v>10972.8125</v>
      </c>
      <c r="D1871" s="614">
        <v>1</v>
      </c>
      <c r="E1871" s="614">
        <f>+E1870</f>
        <v>0.8</v>
      </c>
      <c r="F1871" s="455">
        <f t="shared" si="128"/>
        <v>8778.25</v>
      </c>
      <c r="G1871" s="709"/>
    </row>
    <row r="1872" spans="1:7" ht="13.5" customHeight="1">
      <c r="A1872" s="2015" t="str">
        <f>+A1867</f>
        <v>SUB-TOTAL</v>
      </c>
      <c r="B1872" s="1601"/>
      <c r="C1872" s="1601"/>
      <c r="D1872" s="1601"/>
      <c r="E1872" s="1601"/>
      <c r="F1872" s="1801"/>
      <c r="G1872" s="462">
        <f>SUM(F1870:F1871)</f>
        <v>20803.25</v>
      </c>
    </row>
    <row r="1874" spans="1:7" ht="13.5" customHeight="1">
      <c r="A1874" s="2015" t="s">
        <v>1567</v>
      </c>
      <c r="B1874" s="1601"/>
      <c r="C1874" s="1601"/>
      <c r="D1874" s="1601"/>
      <c r="E1874" s="1601"/>
      <c r="F1874" s="1801"/>
      <c r="G1874" s="459">
        <f>ROUND(G1854+G1862+G1867+G1872,0)</f>
        <v>53297</v>
      </c>
    </row>
    <row r="1875" spans="1:7" ht="13.5" customHeight="1">
      <c r="A1875" s="616"/>
      <c r="B1875" s="616"/>
      <c r="C1875" s="616"/>
      <c r="D1875" s="616"/>
      <c r="E1875" s="616"/>
      <c r="F1875" s="616"/>
      <c r="G1875" s="616"/>
    </row>
    <row r="1876" spans="1:7" ht="13.5" customHeight="1">
      <c r="A1876" s="616"/>
      <c r="B1876" s="616"/>
      <c r="C1876" s="616"/>
      <c r="D1876" s="616"/>
      <c r="E1876" s="616"/>
      <c r="F1876" s="616"/>
      <c r="G1876" s="616"/>
    </row>
    <row r="1877" spans="1:7" ht="22.5" customHeight="1">
      <c r="A1877" s="2005" t="s">
        <v>1604</v>
      </c>
      <c r="B1877" s="1616"/>
      <c r="C1877" s="1624"/>
      <c r="D1877" s="567"/>
      <c r="E1877" s="567"/>
      <c r="F1877" s="567"/>
      <c r="G1877" s="668"/>
    </row>
    <row r="1878" spans="1:7" ht="23.25" customHeight="1">
      <c r="A1878" s="1971"/>
      <c r="B1878" s="1817"/>
      <c r="C1878" s="1972"/>
      <c r="D1878" s="669"/>
      <c r="E1878" s="669"/>
      <c r="F1878" s="669"/>
      <c r="G1878" s="670"/>
    </row>
    <row r="1879" spans="1:7" ht="13.5" customHeight="1">
      <c r="A1879" s="618"/>
      <c r="B1879" s="618"/>
      <c r="C1879" s="618"/>
      <c r="D1879" s="618"/>
      <c r="E1879" s="618"/>
      <c r="F1879" s="618"/>
      <c r="G1879" s="618"/>
    </row>
    <row r="1880" spans="1:7" ht="29.25" customHeight="1">
      <c r="A1880" s="1973" t="e">
        <f ca="1">A10</f>
        <v>#NAME?</v>
      </c>
      <c r="B1880" s="1601"/>
      <c r="C1880" s="1602"/>
      <c r="D1880" s="1974" t="s">
        <v>2477</v>
      </c>
      <c r="E1880" s="1601"/>
      <c r="F1880" s="1601"/>
      <c r="G1880" s="1602"/>
    </row>
    <row r="1881" spans="1:7" ht="13.5" customHeight="1">
      <c r="A1881" s="620"/>
      <c r="B1881" s="620"/>
      <c r="C1881" s="620"/>
      <c r="D1881" s="620"/>
      <c r="E1881" s="620"/>
      <c r="F1881" s="620"/>
      <c r="G1881" s="620"/>
    </row>
    <row r="1882" spans="1:7" ht="13.5" customHeight="1">
      <c r="A1882" s="572"/>
      <c r="B1882" s="618"/>
      <c r="C1882" s="616"/>
      <c r="D1882" s="421" t="s">
        <v>1553</v>
      </c>
      <c r="E1882" s="422" t="s">
        <v>116</v>
      </c>
      <c r="F1882" s="572"/>
      <c r="G1882" s="572"/>
    </row>
    <row r="1883" spans="1:7" ht="13.5" customHeight="1">
      <c r="A1883" s="621" t="s">
        <v>1555</v>
      </c>
      <c r="B1883" s="618"/>
      <c r="C1883" s="618"/>
      <c r="D1883" s="618"/>
      <c r="E1883" s="618"/>
      <c r="F1883" s="618"/>
      <c r="G1883" s="618"/>
    </row>
    <row r="1884" spans="1:7" ht="13.5" customHeight="1">
      <c r="A1884" s="1975" t="s">
        <v>1556</v>
      </c>
      <c r="B1884" s="1601"/>
      <c r="C1884" s="1801"/>
      <c r="D1884" s="424" t="s">
        <v>208</v>
      </c>
      <c r="E1884" s="424" t="s">
        <v>1558</v>
      </c>
      <c r="F1884" s="424" t="s">
        <v>1559</v>
      </c>
      <c r="G1884" s="425"/>
    </row>
    <row r="1885" spans="1:7" ht="13.5" customHeight="1">
      <c r="A1885" s="1987" t="str">
        <f>+'LISTADO EQUIPOS'!$C$22</f>
        <v>HERRAMIENTA MENOR.</v>
      </c>
      <c r="B1885" s="1811"/>
      <c r="C1885" s="1967"/>
      <c r="D1885" s="675" t="s">
        <v>1569</v>
      </c>
      <c r="E1885" s="687">
        <v>1</v>
      </c>
      <c r="F1885" s="442">
        <v>107</v>
      </c>
      <c r="G1885" s="688"/>
    </row>
    <row r="1886" spans="1:7" ht="13.5" customHeight="1">
      <c r="A1886" s="1996"/>
      <c r="B1886" s="1807"/>
      <c r="C1886" s="1819"/>
      <c r="D1886" s="434"/>
      <c r="E1886" s="433"/>
      <c r="F1886" s="700"/>
      <c r="G1886" s="435"/>
    </row>
    <row r="1887" spans="1:7" ht="13.5" customHeight="1">
      <c r="A1887" s="2015" t="s">
        <v>1560</v>
      </c>
      <c r="B1887" s="1601"/>
      <c r="C1887" s="1601"/>
      <c r="D1887" s="1601"/>
      <c r="E1887" s="1601"/>
      <c r="F1887" s="1801"/>
      <c r="G1887" s="462">
        <f>SUM(F1885:F1886)</f>
        <v>107</v>
      </c>
    </row>
    <row r="1888" spans="1:7" ht="13.5" customHeight="1">
      <c r="A1888" s="621" t="s">
        <v>1561</v>
      </c>
      <c r="B1888" s="618"/>
      <c r="C1888" s="618"/>
      <c r="D1888" s="618"/>
      <c r="E1888" s="618"/>
      <c r="F1888" s="618"/>
      <c r="G1888" s="743"/>
    </row>
    <row r="1889" spans="1:7" ht="13.5" customHeight="1">
      <c r="A1889" s="1975" t="s">
        <v>1556</v>
      </c>
      <c r="B1889" s="1801"/>
      <c r="C1889" s="424" t="s">
        <v>6</v>
      </c>
      <c r="D1889" s="424" t="s">
        <v>1562</v>
      </c>
      <c r="E1889" s="424" t="s">
        <v>7</v>
      </c>
      <c r="F1889" s="424" t="s">
        <v>1559</v>
      </c>
      <c r="G1889" s="673"/>
    </row>
    <row r="1890" spans="1:7" ht="29.25" customHeight="1">
      <c r="A1890" s="1987" t="str">
        <f>'ANALISIS BASICOS'!$A$36</f>
        <v xml:space="preserve">CONCRETO NORMAL - 3000 PSI (210 KG/CM2) </v>
      </c>
      <c r="B1890" s="1967"/>
      <c r="C1890" s="674" t="str">
        <f>+'ANALISIS BASICOS'!$E$76</f>
        <v>M3</v>
      </c>
      <c r="D1890" s="675">
        <f>'ANALISIS BASICOS'!$G$36</f>
        <v>468441</v>
      </c>
      <c r="E1890" s="687">
        <v>1</v>
      </c>
      <c r="F1890" s="442">
        <f>+E1890*D1890</f>
        <v>468441</v>
      </c>
      <c r="G1890" s="676"/>
    </row>
    <row r="1891" spans="1:7" ht="13.5" customHeight="1">
      <c r="A1891" s="1995"/>
      <c r="B1891" s="1611"/>
      <c r="C1891" s="444"/>
      <c r="D1891" s="464"/>
      <c r="E1891" s="706"/>
      <c r="F1891" s="464"/>
      <c r="G1891" s="707"/>
    </row>
    <row r="1892" spans="1:7" ht="13.5" customHeight="1">
      <c r="A1892" s="1995"/>
      <c r="B1892" s="1611"/>
      <c r="C1892" s="444"/>
      <c r="D1892" s="464"/>
      <c r="E1892" s="706"/>
      <c r="F1892" s="464"/>
      <c r="G1892" s="707"/>
    </row>
    <row r="1893" spans="1:7" ht="13.5" customHeight="1">
      <c r="A1893" s="1996"/>
      <c r="B1893" s="1819"/>
      <c r="C1893" s="708"/>
      <c r="D1893" s="434"/>
      <c r="E1893" s="708"/>
      <c r="F1893" s="434"/>
      <c r="G1893" s="709"/>
    </row>
    <row r="1894" spans="1:7" ht="13.5" customHeight="1">
      <c r="A1894" s="2015" t="s">
        <v>1560</v>
      </c>
      <c r="B1894" s="1601"/>
      <c r="C1894" s="1601"/>
      <c r="D1894" s="1601"/>
      <c r="E1894" s="1601"/>
      <c r="F1894" s="1801"/>
      <c r="G1894" s="462">
        <f>SUM(F1890:F1893)</f>
        <v>468441</v>
      </c>
    </row>
    <row r="1895" spans="1:7" ht="13.5" customHeight="1">
      <c r="A1895" s="621" t="s">
        <v>1563</v>
      </c>
      <c r="B1895" s="618"/>
      <c r="C1895" s="618"/>
      <c r="D1895" s="618"/>
      <c r="E1895" s="618"/>
      <c r="F1895" s="618"/>
      <c r="G1895" s="743"/>
    </row>
    <row r="1896" spans="1:7" ht="13.5" customHeight="1">
      <c r="A1896" s="1975" t="s">
        <v>1556</v>
      </c>
      <c r="B1896" s="1801"/>
      <c r="C1896" s="424" t="s">
        <v>6</v>
      </c>
      <c r="D1896" s="424" t="s">
        <v>1562</v>
      </c>
      <c r="E1896" s="424" t="s">
        <v>7</v>
      </c>
      <c r="F1896" s="424" t="s">
        <v>1559</v>
      </c>
      <c r="G1896" s="438"/>
    </row>
    <row r="1897" spans="1:7" ht="13.5" customHeight="1">
      <c r="A1897" s="1987"/>
      <c r="B1897" s="1967"/>
      <c r="C1897" s="744"/>
      <c r="D1897" s="675"/>
      <c r="E1897" s="745"/>
      <c r="F1897" s="464"/>
      <c r="G1897" s="676"/>
    </row>
    <row r="1898" spans="1:7" ht="13.5" customHeight="1">
      <c r="A1898" s="1996"/>
      <c r="B1898" s="1819"/>
      <c r="C1898" s="744"/>
      <c r="D1898" s="434"/>
      <c r="E1898" s="746"/>
      <c r="F1898" s="434"/>
      <c r="G1898" s="457"/>
    </row>
    <row r="1899" spans="1:7" ht="13.5" customHeight="1">
      <c r="A1899" s="2015" t="s">
        <v>1560</v>
      </c>
      <c r="B1899" s="1601"/>
      <c r="C1899" s="1601"/>
      <c r="D1899" s="1601"/>
      <c r="E1899" s="1601"/>
      <c r="F1899" s="1801"/>
      <c r="G1899" s="462"/>
    </row>
    <row r="1900" spans="1:7" ht="13.5" customHeight="1">
      <c r="A1900" s="621" t="s">
        <v>1564</v>
      </c>
      <c r="B1900" s="618"/>
      <c r="C1900" s="618"/>
      <c r="D1900" s="618"/>
      <c r="E1900" s="618"/>
      <c r="F1900" s="618"/>
      <c r="G1900" s="743"/>
    </row>
    <row r="1901" spans="1:7" ht="13.5" customHeight="1">
      <c r="A1901" s="1975" t="s">
        <v>1565</v>
      </c>
      <c r="B1901" s="1801"/>
      <c r="C1901" s="424" t="s">
        <v>1566</v>
      </c>
      <c r="D1901" s="424" t="s">
        <v>6</v>
      </c>
      <c r="E1901" s="424" t="s">
        <v>7</v>
      </c>
      <c r="F1901" s="424" t="s">
        <v>1559</v>
      </c>
      <c r="G1901" s="462"/>
    </row>
    <row r="1902" spans="1:7" ht="13.5" customHeight="1">
      <c r="A1902" s="2004" t="str">
        <f>+'MANO DE OBRA'!$A$64</f>
        <v>Oficial (Incl. Prestaciones)</v>
      </c>
      <c r="B1902" s="1888"/>
      <c r="C1902" s="679">
        <f>+'MANO DE OBRA'!$E$64</f>
        <v>15031.25</v>
      </c>
      <c r="D1902" s="680">
        <v>1</v>
      </c>
      <c r="E1902" s="680">
        <v>1.8</v>
      </c>
      <c r="F1902" s="454">
        <f t="shared" ref="F1902:F1903" si="129">+(C1902*D1902)/E1902</f>
        <v>8350.6944444444434</v>
      </c>
      <c r="G1902" s="676"/>
    </row>
    <row r="1903" spans="1:7" ht="13.5" customHeight="1">
      <c r="A1903" s="1984" t="str">
        <f>+'MANO DE OBRA'!$A$65</f>
        <v>Ayudante (Incl. Prestaciones)</v>
      </c>
      <c r="B1903" s="1819"/>
      <c r="C1903" s="747">
        <f>+'MANO DE OBRA'!$E$65</f>
        <v>10972.8125</v>
      </c>
      <c r="D1903" s="614">
        <v>1</v>
      </c>
      <c r="E1903" s="614">
        <f>E1902</f>
        <v>1.8</v>
      </c>
      <c r="F1903" s="455">
        <f t="shared" si="129"/>
        <v>6096.0069444444443</v>
      </c>
      <c r="G1903" s="709"/>
    </row>
    <row r="1904" spans="1:7" ht="13.5" customHeight="1">
      <c r="A1904" s="2015" t="str">
        <f>+A1899</f>
        <v>SUB-TOTAL</v>
      </c>
      <c r="B1904" s="1601"/>
      <c r="C1904" s="1601"/>
      <c r="D1904" s="1601"/>
      <c r="E1904" s="1601"/>
      <c r="F1904" s="1801"/>
      <c r="G1904" s="462">
        <f>SUM(F1902:F1903)</f>
        <v>14446.701388888887</v>
      </c>
    </row>
    <row r="1906" spans="1:7" ht="13.5" customHeight="1">
      <c r="A1906" s="2015" t="s">
        <v>1567</v>
      </c>
      <c r="B1906" s="1601"/>
      <c r="C1906" s="1601"/>
      <c r="D1906" s="1601"/>
      <c r="E1906" s="1601"/>
      <c r="F1906" s="1801"/>
      <c r="G1906" s="459">
        <f>ROUND(G1887+G1894+G1899+G1904,0)</f>
        <v>482995</v>
      </c>
    </row>
    <row r="1907" spans="1:7" ht="13.5" customHeight="1">
      <c r="A1907" s="616"/>
      <c r="B1907" s="616"/>
      <c r="C1907" s="616"/>
      <c r="D1907" s="616"/>
      <c r="E1907" s="616"/>
      <c r="F1907" s="616"/>
      <c r="G1907" s="616"/>
    </row>
    <row r="1908" spans="1:7" ht="13.5" customHeight="1">
      <c r="A1908" s="616"/>
      <c r="B1908" s="616"/>
      <c r="C1908" s="616"/>
      <c r="D1908" s="616"/>
      <c r="E1908" s="616"/>
      <c r="F1908" s="616"/>
      <c r="G1908" s="616"/>
    </row>
    <row r="1909" spans="1:7" ht="23.25" customHeight="1">
      <c r="A1909" s="2005" t="s">
        <v>1604</v>
      </c>
      <c r="B1909" s="1616"/>
      <c r="C1909" s="1624"/>
      <c r="D1909" s="567"/>
      <c r="E1909" s="567"/>
      <c r="F1909" s="567"/>
      <c r="G1909" s="668"/>
    </row>
    <row r="1910" spans="1:7" ht="27" customHeight="1">
      <c r="A1910" s="1971"/>
      <c r="B1910" s="1817"/>
      <c r="C1910" s="1972"/>
      <c r="D1910" s="669"/>
      <c r="E1910" s="669"/>
      <c r="F1910" s="669"/>
      <c r="G1910" s="670"/>
    </row>
    <row r="1911" spans="1:7" ht="13.5" customHeight="1">
      <c r="A1911" s="618"/>
      <c r="B1911" s="618"/>
      <c r="C1911" s="618"/>
      <c r="D1911" s="618"/>
      <c r="E1911" s="618"/>
      <c r="F1911" s="618"/>
      <c r="G1911" s="618"/>
    </row>
    <row r="1912" spans="1:7" ht="30" customHeight="1">
      <c r="A1912" s="1973" t="e">
        <f ca="1">A10</f>
        <v>#NAME?</v>
      </c>
      <c r="B1912" s="1601"/>
      <c r="C1912" s="1602"/>
      <c r="D1912" s="1974" t="s">
        <v>2478</v>
      </c>
      <c r="E1912" s="1601"/>
      <c r="F1912" s="1601"/>
      <c r="G1912" s="1602"/>
    </row>
    <row r="1913" spans="1:7" ht="13.5" customHeight="1">
      <c r="A1913" s="620"/>
      <c r="B1913" s="620"/>
      <c r="C1913" s="620"/>
      <c r="D1913" s="620"/>
      <c r="E1913" s="620"/>
      <c r="F1913" s="620"/>
      <c r="G1913" s="620"/>
    </row>
    <row r="1914" spans="1:7" ht="13.5" customHeight="1">
      <c r="A1914" s="572"/>
      <c r="B1914" s="618"/>
      <c r="C1914" s="616"/>
      <c r="D1914" s="421" t="s">
        <v>1553</v>
      </c>
      <c r="E1914" s="422" t="s">
        <v>228</v>
      </c>
      <c r="F1914" s="572"/>
      <c r="G1914" s="572"/>
    </row>
    <row r="1915" spans="1:7" ht="13.5" customHeight="1">
      <c r="A1915" s="621" t="s">
        <v>1555</v>
      </c>
      <c r="B1915" s="618"/>
      <c r="C1915" s="618"/>
      <c r="D1915" s="618"/>
      <c r="E1915" s="618"/>
      <c r="F1915" s="618"/>
      <c r="G1915" s="618"/>
    </row>
    <row r="1916" spans="1:7" ht="13.5" customHeight="1">
      <c r="A1916" s="1975" t="s">
        <v>1556</v>
      </c>
      <c r="B1916" s="1601"/>
      <c r="C1916" s="1801"/>
      <c r="D1916" s="424" t="s">
        <v>208</v>
      </c>
      <c r="E1916" s="424" t="s">
        <v>1558</v>
      </c>
      <c r="F1916" s="424" t="s">
        <v>1559</v>
      </c>
      <c r="G1916" s="425"/>
    </row>
    <row r="1917" spans="1:7" ht="13.5" customHeight="1">
      <c r="A1917" s="1987" t="str">
        <f>+'LISTADO EQUIPOS'!$C$22</f>
        <v>HERRAMIENTA MENOR.</v>
      </c>
      <c r="B1917" s="1811"/>
      <c r="C1917" s="1967"/>
      <c r="D1917" s="739" t="s">
        <v>1569</v>
      </c>
      <c r="E1917" s="687">
        <v>1</v>
      </c>
      <c r="F1917" s="442">
        <v>500</v>
      </c>
      <c r="G1917" s="688"/>
    </row>
    <row r="1918" spans="1:7" ht="13.5" customHeight="1">
      <c r="A1918" s="1996"/>
      <c r="B1918" s="1807"/>
      <c r="C1918" s="1819"/>
      <c r="D1918" s="434"/>
      <c r="E1918" s="758"/>
      <c r="F1918" s="434"/>
      <c r="G1918" s="435"/>
    </row>
    <row r="1919" spans="1:7" ht="13.5" customHeight="1">
      <c r="A1919" s="2015" t="s">
        <v>1560</v>
      </c>
      <c r="B1919" s="1601"/>
      <c r="C1919" s="1601"/>
      <c r="D1919" s="1601"/>
      <c r="E1919" s="1601"/>
      <c r="F1919" s="1801"/>
      <c r="G1919" s="462">
        <f>SUM(F1917:F1918)</f>
        <v>500</v>
      </c>
    </row>
    <row r="1920" spans="1:7" ht="13.5" customHeight="1">
      <c r="A1920" s="621" t="s">
        <v>1561</v>
      </c>
      <c r="B1920" s="618"/>
      <c r="C1920" s="618"/>
      <c r="D1920" s="618"/>
      <c r="E1920" s="618"/>
      <c r="F1920" s="618"/>
      <c r="G1920" s="743"/>
    </row>
    <row r="1921" spans="1:7" ht="13.5" customHeight="1">
      <c r="A1921" s="1975" t="s">
        <v>1556</v>
      </c>
      <c r="B1921" s="1801"/>
      <c r="C1921" s="424" t="s">
        <v>6</v>
      </c>
      <c r="D1921" s="424" t="s">
        <v>1562</v>
      </c>
      <c r="E1921" s="424" t="s">
        <v>7</v>
      </c>
      <c r="F1921" s="424" t="s">
        <v>1559</v>
      </c>
      <c r="G1921" s="673"/>
    </row>
    <row r="1922" spans="1:7" ht="13.5" customHeight="1">
      <c r="A1922" s="1987" t="str">
        <f>'LISTADO MATERIALES'!$C$156</f>
        <v>GRAVILLA 1"</v>
      </c>
      <c r="B1922" s="1967"/>
      <c r="C1922" s="674" t="str">
        <f>'LISTADO MATERIALES'!$D$156</f>
        <v>M3</v>
      </c>
      <c r="D1922" s="675">
        <f>'LISTADO MATERIALES'!$E$156</f>
        <v>67200</v>
      </c>
      <c r="E1922" s="674">
        <v>0.05</v>
      </c>
      <c r="F1922" s="442">
        <f>+E1922*D1922</f>
        <v>3360</v>
      </c>
      <c r="G1922" s="676"/>
    </row>
    <row r="1923" spans="1:7" ht="13.5" customHeight="1">
      <c r="A1923" s="1995"/>
      <c r="B1923" s="1611"/>
      <c r="C1923" s="444"/>
      <c r="D1923" s="464"/>
      <c r="E1923" s="444"/>
      <c r="F1923" s="440"/>
      <c r="G1923" s="707"/>
    </row>
    <row r="1924" spans="1:7" ht="13.5" customHeight="1">
      <c r="A1924" s="1995"/>
      <c r="B1924" s="1611"/>
      <c r="C1924" s="444"/>
      <c r="D1924" s="464"/>
      <c r="E1924" s="444"/>
      <c r="F1924" s="440"/>
      <c r="G1924" s="707"/>
    </row>
    <row r="1925" spans="1:7" ht="13.5" customHeight="1">
      <c r="A1925" s="1995"/>
      <c r="B1925" s="1611"/>
      <c r="C1925" s="444"/>
      <c r="D1925" s="464"/>
      <c r="E1925" s="444"/>
      <c r="F1925" s="440"/>
      <c r="G1925" s="707"/>
    </row>
    <row r="1926" spans="1:7" ht="13.5" customHeight="1">
      <c r="A1926" s="1995"/>
      <c r="B1926" s="1611"/>
      <c r="C1926" s="444"/>
      <c r="D1926" s="464"/>
      <c r="E1926" s="444"/>
      <c r="F1926" s="464"/>
      <c r="G1926" s="707"/>
    </row>
    <row r="1927" spans="1:7" ht="13.5" customHeight="1">
      <c r="A1927" s="2015" t="s">
        <v>1560</v>
      </c>
      <c r="B1927" s="1601"/>
      <c r="C1927" s="1601"/>
      <c r="D1927" s="1601"/>
      <c r="E1927" s="1601"/>
      <c r="F1927" s="1801"/>
      <c r="G1927" s="462">
        <f>SUM(F1922:F1926)</f>
        <v>3360</v>
      </c>
    </row>
    <row r="1928" spans="1:7" ht="13.5" customHeight="1">
      <c r="A1928" s="621" t="s">
        <v>1563</v>
      </c>
      <c r="B1928" s="618"/>
      <c r="C1928" s="618"/>
      <c r="D1928" s="618"/>
      <c r="E1928" s="618"/>
      <c r="F1928" s="618"/>
      <c r="G1928" s="743"/>
    </row>
    <row r="1929" spans="1:7" ht="13.5" customHeight="1">
      <c r="A1929" s="1975" t="s">
        <v>1556</v>
      </c>
      <c r="B1929" s="1801"/>
      <c r="C1929" s="424" t="s">
        <v>6</v>
      </c>
      <c r="D1929" s="424" t="s">
        <v>1562</v>
      </c>
      <c r="E1929" s="424" t="s">
        <v>7</v>
      </c>
      <c r="F1929" s="424" t="s">
        <v>1559</v>
      </c>
      <c r="G1929" s="438"/>
    </row>
    <row r="1930" spans="1:7" ht="13.5" customHeight="1">
      <c r="A1930" s="1987" t="s">
        <v>2479</v>
      </c>
      <c r="B1930" s="1967"/>
      <c r="C1930" s="744" t="s">
        <v>1573</v>
      </c>
      <c r="D1930" s="675"/>
      <c r="E1930" s="745"/>
      <c r="F1930" s="464">
        <v>1000</v>
      </c>
      <c r="G1930" s="676"/>
    </row>
    <row r="1931" spans="1:7" ht="13.5" customHeight="1">
      <c r="A1931" s="1996"/>
      <c r="B1931" s="1819"/>
      <c r="C1931" s="744"/>
      <c r="D1931" s="434"/>
      <c r="E1931" s="746"/>
      <c r="F1931" s="434"/>
      <c r="G1931" s="457"/>
    </row>
    <row r="1932" spans="1:7" ht="13.5" customHeight="1">
      <c r="A1932" s="2015" t="s">
        <v>1560</v>
      </c>
      <c r="B1932" s="1601"/>
      <c r="C1932" s="1601"/>
      <c r="D1932" s="1601"/>
      <c r="E1932" s="1601"/>
      <c r="F1932" s="1801"/>
      <c r="G1932" s="462">
        <f>SUM(F1930:F1931)</f>
        <v>1000</v>
      </c>
    </row>
    <row r="1933" spans="1:7" ht="13.5" customHeight="1">
      <c r="A1933" s="621" t="s">
        <v>1564</v>
      </c>
      <c r="B1933" s="618"/>
      <c r="C1933" s="618"/>
      <c r="D1933" s="618"/>
      <c r="E1933" s="618"/>
      <c r="F1933" s="618"/>
      <c r="G1933" s="743"/>
    </row>
    <row r="1934" spans="1:7" ht="13.5" customHeight="1">
      <c r="A1934" s="1975" t="s">
        <v>1565</v>
      </c>
      <c r="B1934" s="1801"/>
      <c r="C1934" s="424" t="s">
        <v>1566</v>
      </c>
      <c r="D1934" s="424" t="s">
        <v>6</v>
      </c>
      <c r="E1934" s="424" t="s">
        <v>7</v>
      </c>
      <c r="F1934" s="424" t="s">
        <v>1559</v>
      </c>
      <c r="G1934" s="462"/>
    </row>
    <row r="1935" spans="1:7" ht="13.5" customHeight="1">
      <c r="A1935" s="2004" t="str">
        <f>+'MANO DE OBRA'!$A$64</f>
        <v>Oficial (Incl. Prestaciones)</v>
      </c>
      <c r="B1935" s="1888"/>
      <c r="C1935" s="679">
        <f>+'MANO DE OBRA'!$E$64</f>
        <v>15031.25</v>
      </c>
      <c r="D1935" s="680">
        <v>1</v>
      </c>
      <c r="E1935" s="680">
        <v>3</v>
      </c>
      <c r="F1935" s="467">
        <f t="shared" ref="F1935:F1936" si="130">+(C1935*D1935)/E1935</f>
        <v>5010.416666666667</v>
      </c>
      <c r="G1935" s="676"/>
    </row>
    <row r="1936" spans="1:7" ht="13.5" customHeight="1">
      <c r="A1936" s="1984" t="str">
        <f>+'MANO DE OBRA'!$A$65</f>
        <v>Ayudante (Incl. Prestaciones)</v>
      </c>
      <c r="B1936" s="1819"/>
      <c r="C1936" s="747">
        <f>+'MANO DE OBRA'!$E$65</f>
        <v>10972.8125</v>
      </c>
      <c r="D1936" s="614">
        <v>1</v>
      </c>
      <c r="E1936" s="614">
        <f>+E1935</f>
        <v>3</v>
      </c>
      <c r="F1936" s="740">
        <f t="shared" si="130"/>
        <v>3657.6041666666665</v>
      </c>
      <c r="G1936" s="709"/>
    </row>
    <row r="1937" spans="1:7" ht="13.5" customHeight="1">
      <c r="A1937" s="2015" t="str">
        <f>+A1932</f>
        <v>SUB-TOTAL</v>
      </c>
      <c r="B1937" s="1601"/>
      <c r="C1937" s="1601"/>
      <c r="D1937" s="1601"/>
      <c r="E1937" s="1601"/>
      <c r="F1937" s="1801"/>
      <c r="G1937" s="462">
        <f>SUM(F1935:F1936)</f>
        <v>8668.0208333333339</v>
      </c>
    </row>
    <row r="1938" spans="1:7" ht="13.5" customHeight="1">
      <c r="A1938" s="618"/>
      <c r="B1938" s="618"/>
      <c r="C1938" s="618"/>
      <c r="D1938" s="618"/>
      <c r="E1938" s="618"/>
      <c r="F1938" s="748"/>
      <c r="G1938" s="743"/>
    </row>
    <row r="1939" spans="1:7" ht="13.5" customHeight="1">
      <c r="A1939" s="2015" t="s">
        <v>1567</v>
      </c>
      <c r="B1939" s="1601"/>
      <c r="C1939" s="1601"/>
      <c r="D1939" s="1601"/>
      <c r="E1939" s="1601"/>
      <c r="F1939" s="1801"/>
      <c r="G1939" s="459">
        <f>ROUND(G1919+G1927+G1932+G1937,0)</f>
        <v>13528</v>
      </c>
    </row>
    <row r="1940" spans="1:7" ht="13.5" customHeight="1">
      <c r="A1940" s="616"/>
      <c r="B1940" s="616"/>
      <c r="C1940" s="616"/>
      <c r="D1940" s="616"/>
      <c r="E1940" s="616"/>
      <c r="F1940" s="616"/>
      <c r="G1940" s="616"/>
    </row>
    <row r="1941" spans="1:7" ht="13.5" customHeight="1">
      <c r="A1941" s="616"/>
      <c r="B1941" s="616"/>
      <c r="C1941" s="616"/>
      <c r="D1941" s="616"/>
      <c r="E1941" s="616"/>
      <c r="F1941" s="616"/>
      <c r="G1941" s="616"/>
    </row>
    <row r="1942" spans="1:7" ht="28.5" customHeight="1">
      <c r="A1942" s="1989" t="e">
        <f>+'ANALISIS BASICOS'!$A$7</f>
        <v>#REF!</v>
      </c>
      <c r="B1942" s="1616"/>
      <c r="C1942" s="1624"/>
      <c r="D1942" s="1990" t="s">
        <v>1195</v>
      </c>
      <c r="E1942" s="1616"/>
      <c r="F1942" s="1616"/>
      <c r="G1942" s="1624"/>
    </row>
    <row r="1943" spans="1:7" ht="21.75" customHeight="1">
      <c r="A1943" s="1971"/>
      <c r="B1943" s="1817"/>
      <c r="C1943" s="1972"/>
      <c r="D1943" s="1971"/>
      <c r="E1943" s="1817"/>
      <c r="F1943" s="1817"/>
      <c r="G1943" s="1972"/>
    </row>
    <row r="1944" spans="1:7" ht="13.5" customHeight="1">
      <c r="A1944" s="1030"/>
      <c r="B1944" s="1030"/>
      <c r="C1944" s="1030"/>
      <c r="D1944" s="1030"/>
      <c r="E1944" s="1030"/>
      <c r="F1944" s="1030"/>
      <c r="G1944" s="1030"/>
    </row>
    <row r="1945" spans="1:7" ht="47.25" customHeight="1">
      <c r="A1945" s="1991" t="e">
        <f ca="1">A10</f>
        <v>#NAME?</v>
      </c>
      <c r="B1945" s="1601"/>
      <c r="C1945" s="1602"/>
      <c r="D1945" s="2089" t="s">
        <v>2480</v>
      </c>
      <c r="E1945" s="1601"/>
      <c r="F1945" s="1601"/>
      <c r="G1945" s="1602"/>
    </row>
    <row r="1946" spans="1:7" ht="13.5" customHeight="1">
      <c r="A1946" s="1058"/>
      <c r="B1946" s="1058"/>
      <c r="C1946" s="1058"/>
      <c r="D1946" s="1058"/>
      <c r="E1946" s="1058"/>
      <c r="F1946" s="1058"/>
      <c r="G1946" s="1058"/>
    </row>
    <row r="1947" spans="1:7" ht="13.5" customHeight="1">
      <c r="A1947" s="718"/>
      <c r="B1947" s="1030"/>
      <c r="C1947" s="752"/>
      <c r="D1947" s="717" t="s">
        <v>1553</v>
      </c>
      <c r="E1947" s="717" t="s">
        <v>228</v>
      </c>
      <c r="F1947" s="421" t="s">
        <v>1554</v>
      </c>
      <c r="G1947" s="422" t="s">
        <v>48</v>
      </c>
    </row>
    <row r="1948" spans="1:7" ht="13.5" customHeight="1">
      <c r="A1948" s="794" t="s">
        <v>1555</v>
      </c>
      <c r="B1948" s="1030"/>
      <c r="C1948" s="1030"/>
      <c r="D1948" s="1030"/>
      <c r="E1948" s="1030"/>
      <c r="F1948" s="1030"/>
      <c r="G1948" s="1030"/>
    </row>
    <row r="1949" spans="1:7" ht="13.5" customHeight="1">
      <c r="A1949" s="2089" t="s">
        <v>1556</v>
      </c>
      <c r="B1949" s="1601"/>
      <c r="C1949" s="1801"/>
      <c r="D1949" s="719" t="s">
        <v>208</v>
      </c>
      <c r="E1949" s="719" t="s">
        <v>1558</v>
      </c>
      <c r="F1949" s="719" t="s">
        <v>1559</v>
      </c>
      <c r="G1949" s="720"/>
    </row>
    <row r="1950" spans="1:7" ht="13.5" customHeight="1">
      <c r="A1950" s="1987" t="str">
        <f>+'LISTADO EQUIPOS'!$C$22</f>
        <v>HERRAMIENTA MENOR.</v>
      </c>
      <c r="B1950" s="1811"/>
      <c r="C1950" s="1967"/>
      <c r="D1950" s="675">
        <f>+'LISTADO EQUIPOS'!$E$22/8</f>
        <v>2850</v>
      </c>
      <c r="E1950" s="687">
        <f>+E1967</f>
        <v>2.0502086716576295</v>
      </c>
      <c r="F1950" s="675">
        <f>+D1950/E1950</f>
        <v>1390.1024024523929</v>
      </c>
      <c r="G1950" s="688"/>
    </row>
    <row r="1951" spans="1:7" ht="13.5" customHeight="1">
      <c r="A1951" s="2090" t="str">
        <f>+'ANALISIS BASICOS'!$A$360</f>
        <v>FORMALETA EN MADERA</v>
      </c>
      <c r="B1951" s="1807"/>
      <c r="C1951" s="1819"/>
      <c r="D1951" s="1037">
        <f>+INSUMOS!H50</f>
        <v>45681</v>
      </c>
      <c r="E1951" s="724">
        <v>0.01</v>
      </c>
      <c r="F1951" s="723">
        <f>+E1951*D1951</f>
        <v>456.81</v>
      </c>
      <c r="G1951" s="1038"/>
    </row>
    <row r="1952" spans="1:7" ht="13.5" customHeight="1">
      <c r="A1952" s="2087" t="s">
        <v>1560</v>
      </c>
      <c r="B1952" s="1601"/>
      <c r="C1952" s="1601"/>
      <c r="D1952" s="1601"/>
      <c r="E1952" s="1601"/>
      <c r="F1952" s="1801"/>
      <c r="G1952" s="725">
        <f>SUM(F1950:F1951)</f>
        <v>1846.9124024523928</v>
      </c>
    </row>
    <row r="1953" spans="1:7" ht="13.5" customHeight="1">
      <c r="A1953" s="794" t="s">
        <v>1561</v>
      </c>
      <c r="B1953" s="1030"/>
      <c r="C1953" s="1030"/>
      <c r="D1953" s="1030"/>
      <c r="E1953" s="1030"/>
      <c r="F1953" s="1030"/>
      <c r="G1953" s="1039"/>
    </row>
    <row r="1954" spans="1:7" ht="13.5" customHeight="1">
      <c r="A1954" s="2089" t="s">
        <v>1556</v>
      </c>
      <c r="B1954" s="1801"/>
      <c r="C1954" s="719" t="s">
        <v>6</v>
      </c>
      <c r="D1954" s="719" t="s">
        <v>1562</v>
      </c>
      <c r="E1954" s="719" t="s">
        <v>7</v>
      </c>
      <c r="F1954" s="719" t="s">
        <v>1559</v>
      </c>
      <c r="G1954" s="726"/>
    </row>
    <row r="1955" spans="1:7" ht="13.5" customHeight="1">
      <c r="A1955" s="2091" t="str">
        <f>+'ANALISIS BASICOS'!$A$36</f>
        <v xml:space="preserve">CONCRETO NORMAL - 3000 PSI (210 KG/CM2) </v>
      </c>
      <c r="B1955" s="1967"/>
      <c r="C1955" s="727" t="str">
        <f>+'ANALISIS BASICOS'!$E$12</f>
        <v>M3</v>
      </c>
      <c r="D1955" s="1040">
        <f>+INSUMOS!R26</f>
        <v>737007.6</v>
      </c>
      <c r="E1955" s="1061">
        <v>0.105</v>
      </c>
      <c r="F1955" s="728">
        <f t="shared" ref="F1955:F1957" si="131">+E1955*D1955</f>
        <v>77385.797999999995</v>
      </c>
      <c r="G1955" s="730"/>
    </row>
    <row r="1956" spans="1:7" ht="13.5" customHeight="1">
      <c r="A1956" s="2092" t="str">
        <f>'LISTADO MATERIALES'!$C$723</f>
        <v>AGUA</v>
      </c>
      <c r="B1956" s="1611"/>
      <c r="C1956" s="731" t="str">
        <f>'LISTADO MATERIALES'!$D$723</f>
        <v>LT</v>
      </c>
      <c r="D1956" s="1041">
        <f>+INSUMOS!H7</f>
        <v>30</v>
      </c>
      <c r="E1956" s="721">
        <v>30</v>
      </c>
      <c r="F1956" s="722">
        <f t="shared" si="131"/>
        <v>900</v>
      </c>
      <c r="G1956" s="1042"/>
    </row>
    <row r="1957" spans="1:7" ht="13.5" customHeight="1">
      <c r="A1957" s="2092" t="str">
        <f>+$A$1989</f>
        <v>MALLA ELECTROSOLDADA D163</v>
      </c>
      <c r="B1957" s="1611"/>
      <c r="C1957" s="731" t="str">
        <f>+$C$1989</f>
        <v>M2</v>
      </c>
      <c r="D1957" s="1041">
        <f>+INSUMOS!H51</f>
        <v>6234.0425531914898</v>
      </c>
      <c r="E1957" s="721">
        <f>+E1989</f>
        <v>1.05</v>
      </c>
      <c r="F1957" s="722">
        <f t="shared" si="131"/>
        <v>6545.7446808510649</v>
      </c>
      <c r="G1957" s="1042"/>
    </row>
    <row r="1958" spans="1:7" ht="13.5" customHeight="1">
      <c r="A1958" s="2090"/>
      <c r="B1958" s="1819"/>
      <c r="C1958" s="1043"/>
      <c r="D1958" s="1037"/>
      <c r="E1958" s="1043"/>
      <c r="F1958" s="1037"/>
      <c r="G1958" s="1044"/>
    </row>
    <row r="1959" spans="1:7" ht="13.5" customHeight="1">
      <c r="A1959" s="2087" t="s">
        <v>1560</v>
      </c>
      <c r="B1959" s="1601"/>
      <c r="C1959" s="1601"/>
      <c r="D1959" s="1601"/>
      <c r="E1959" s="1601"/>
      <c r="F1959" s="1801"/>
      <c r="G1959" s="725">
        <f>SUM(F1955:F1958)</f>
        <v>84831.542680851067</v>
      </c>
    </row>
    <row r="1960" spans="1:7" ht="13.5" customHeight="1">
      <c r="A1960" s="794" t="s">
        <v>1563</v>
      </c>
      <c r="B1960" s="1030"/>
      <c r="C1960" s="1030"/>
      <c r="D1960" s="1030"/>
      <c r="E1960" s="1030"/>
      <c r="F1960" s="1030"/>
      <c r="G1960" s="1039"/>
    </row>
    <row r="1961" spans="1:7" ht="13.5" customHeight="1">
      <c r="A1961" s="2089" t="s">
        <v>1556</v>
      </c>
      <c r="B1961" s="1801"/>
      <c r="C1961" s="719" t="s">
        <v>6</v>
      </c>
      <c r="D1961" s="719" t="s">
        <v>1562</v>
      </c>
      <c r="E1961" s="719" t="s">
        <v>7</v>
      </c>
      <c r="F1961" s="719" t="s">
        <v>1559</v>
      </c>
      <c r="G1961" s="732"/>
    </row>
    <row r="1962" spans="1:7" ht="13.5" customHeight="1">
      <c r="A1962" s="2091"/>
      <c r="B1962" s="1967"/>
      <c r="C1962" s="1045"/>
      <c r="D1962" s="1040"/>
      <c r="E1962" s="1046"/>
      <c r="F1962" s="1041"/>
      <c r="G1962" s="730"/>
    </row>
    <row r="1963" spans="1:7" ht="13.5" customHeight="1">
      <c r="A1963" s="2090"/>
      <c r="B1963" s="1819"/>
      <c r="C1963" s="1045"/>
      <c r="D1963" s="1037"/>
      <c r="E1963" s="1047"/>
      <c r="F1963" s="1037"/>
      <c r="G1963" s="1048"/>
    </row>
    <row r="1964" spans="1:7" ht="13.5" customHeight="1">
      <c r="A1964" s="2087" t="s">
        <v>1560</v>
      </c>
      <c r="B1964" s="1601"/>
      <c r="C1964" s="1601"/>
      <c r="D1964" s="1601"/>
      <c r="E1964" s="1601"/>
      <c r="F1964" s="1801"/>
      <c r="G1964" s="725"/>
    </row>
    <row r="1965" spans="1:7" ht="13.5" customHeight="1">
      <c r="A1965" s="794" t="s">
        <v>1564</v>
      </c>
      <c r="B1965" s="1030"/>
      <c r="C1965" s="1030"/>
      <c r="D1965" s="1030"/>
      <c r="E1965" s="1030"/>
      <c r="F1965" s="1030"/>
      <c r="G1965" s="1039"/>
    </row>
    <row r="1966" spans="1:7" ht="13.5" customHeight="1">
      <c r="A1966" s="2089" t="s">
        <v>1565</v>
      </c>
      <c r="B1966" s="1801"/>
      <c r="C1966" s="719" t="s">
        <v>1566</v>
      </c>
      <c r="D1966" s="719" t="s">
        <v>6</v>
      </c>
      <c r="E1966" s="719" t="s">
        <v>7</v>
      </c>
      <c r="F1966" s="719" t="s">
        <v>1559</v>
      </c>
      <c r="G1966" s="725"/>
    </row>
    <row r="1967" spans="1:7" ht="12.75" customHeight="1">
      <c r="A1967" s="2093" t="str">
        <f>+'MANO DE OBRA'!$A$64</f>
        <v>Oficial (Incl. Prestaciones)</v>
      </c>
      <c r="B1967" s="1910"/>
      <c r="C1967" s="733">
        <f>+'MANO DE OBRA'!$E$64</f>
        <v>15031.25</v>
      </c>
      <c r="D1967" s="734">
        <v>1</v>
      </c>
      <c r="E1967" s="734">
        <v>2.0502086716576295</v>
      </c>
      <c r="F1967" s="1062">
        <f t="shared" ref="F1967:F1968" si="132">+(C1967*D1967)/E1967</f>
        <v>7331.5707848640459</v>
      </c>
      <c r="G1967" s="730"/>
    </row>
    <row r="1968" spans="1:7" ht="13.5" customHeight="1">
      <c r="A1968" s="2094" t="str">
        <f>+'MANO DE OBRA'!$A$65</f>
        <v>Ayudante (Incl. Prestaciones)</v>
      </c>
      <c r="B1968" s="1819"/>
      <c r="C1968" s="1049">
        <f>+'MANO DE OBRA'!$E$65</f>
        <v>10972.8125</v>
      </c>
      <c r="D1968" s="1050">
        <v>3</v>
      </c>
      <c r="E1968" s="1050">
        <f>+E1967</f>
        <v>2.0502086716576295</v>
      </c>
      <c r="F1968" s="1063">
        <f t="shared" si="132"/>
        <v>16056.14001885226</v>
      </c>
      <c r="G1968" s="1044"/>
    </row>
    <row r="1969" spans="1:7" ht="13.5" customHeight="1">
      <c r="A1969" s="2087" t="str">
        <f>+A1964</f>
        <v>SUB-TOTAL</v>
      </c>
      <c r="B1969" s="1601"/>
      <c r="C1969" s="1601"/>
      <c r="D1969" s="1601"/>
      <c r="E1969" s="1601"/>
      <c r="F1969" s="1801"/>
      <c r="G1969" s="725">
        <f>SUM(F1967:F1968)</f>
        <v>23387.710803716305</v>
      </c>
    </row>
    <row r="1970" spans="1:7" ht="13.5" customHeight="1">
      <c r="A1970" s="1030"/>
      <c r="B1970" s="1030"/>
      <c r="C1970" s="1030"/>
      <c r="D1970" s="1030"/>
      <c r="E1970" s="1030"/>
      <c r="F1970" s="1051"/>
      <c r="G1970" s="1039"/>
    </row>
    <row r="1971" spans="1:7" ht="13.5" customHeight="1">
      <c r="A1971" s="2087" t="s">
        <v>1567</v>
      </c>
      <c r="B1971" s="1601"/>
      <c r="C1971" s="1601"/>
      <c r="D1971" s="1601"/>
      <c r="E1971" s="1601"/>
      <c r="F1971" s="1801"/>
      <c r="G1971" s="1060">
        <f>ROUND(G1952+G1959+G1964+G1969,0)</f>
        <v>110066</v>
      </c>
    </row>
    <row r="1972" spans="1:7" ht="13.5" hidden="1" customHeight="1">
      <c r="A1972" s="616"/>
      <c r="B1972" s="616"/>
      <c r="C1972" s="616"/>
      <c r="D1972" s="616"/>
      <c r="E1972" s="616"/>
      <c r="F1972" s="616"/>
      <c r="G1972" s="616"/>
    </row>
    <row r="1973" spans="1:7" ht="13.5" hidden="1" customHeight="1">
      <c r="A1973" s="616"/>
      <c r="B1973" s="616"/>
      <c r="C1973" s="616"/>
      <c r="D1973" s="616"/>
      <c r="E1973" s="616"/>
      <c r="F1973" s="616"/>
      <c r="G1973" s="616"/>
    </row>
    <row r="1974" spans="1:7" ht="25.5" hidden="1" customHeight="1">
      <c r="A1974" s="1994" t="e">
        <f>+'ANALISIS BASICOS'!$A$7</f>
        <v>#REF!</v>
      </c>
      <c r="B1974" s="1616"/>
      <c r="C1974" s="1624"/>
      <c r="D1974" s="1990"/>
      <c r="E1974" s="1616"/>
      <c r="F1974" s="1616"/>
      <c r="G1974" s="1624"/>
    </row>
    <row r="1975" spans="1:7" ht="26.25" hidden="1" customHeight="1">
      <c r="A1975" s="1971"/>
      <c r="B1975" s="1817"/>
      <c r="C1975" s="1972"/>
      <c r="D1975" s="1971"/>
      <c r="E1975" s="1817"/>
      <c r="F1975" s="1817"/>
      <c r="G1975" s="1972"/>
    </row>
    <row r="1976" spans="1:7" ht="13.5" hidden="1" customHeight="1">
      <c r="A1976" s="1030"/>
      <c r="B1976" s="1030"/>
      <c r="C1976" s="1030"/>
      <c r="D1976" s="1030"/>
      <c r="E1976" s="1030"/>
      <c r="F1976" s="1030"/>
      <c r="G1976" s="1030"/>
    </row>
    <row r="1977" spans="1:7" ht="43.5" hidden="1" customHeight="1">
      <c r="A1977" s="1991" t="e">
        <f ca="1">A10</f>
        <v>#NAME?</v>
      </c>
      <c r="B1977" s="1601"/>
      <c r="C1977" s="1602"/>
      <c r="D1977" s="1974" t="s">
        <v>2481</v>
      </c>
      <c r="E1977" s="1601"/>
      <c r="F1977" s="1601"/>
      <c r="G1977" s="1602"/>
    </row>
    <row r="1978" spans="1:7" ht="13.5" hidden="1" customHeight="1">
      <c r="A1978" s="1058"/>
      <c r="B1978" s="1058"/>
      <c r="C1978" s="1058"/>
      <c r="D1978" s="1058"/>
      <c r="E1978" s="1058"/>
      <c r="F1978" s="1058"/>
      <c r="G1978" s="1058"/>
    </row>
    <row r="1979" spans="1:7" ht="16.5" hidden="1" customHeight="1">
      <c r="A1979" s="718"/>
      <c r="B1979" s="1030"/>
      <c r="C1979" s="752"/>
      <c r="D1979" s="717" t="s">
        <v>1553</v>
      </c>
      <c r="E1979" s="717" t="s">
        <v>228</v>
      </c>
      <c r="F1979" s="421" t="s">
        <v>1554</v>
      </c>
      <c r="G1979" s="422" t="s">
        <v>542</v>
      </c>
    </row>
    <row r="1980" spans="1:7" ht="13.5" hidden="1" customHeight="1">
      <c r="A1980" s="794" t="s">
        <v>1555</v>
      </c>
      <c r="B1980" s="1030"/>
      <c r="C1980" s="1030"/>
      <c r="D1980" s="1030"/>
      <c r="E1980" s="1030"/>
      <c r="F1980" s="1030"/>
      <c r="G1980" s="1030"/>
    </row>
    <row r="1981" spans="1:7" ht="13.5" hidden="1" customHeight="1">
      <c r="A1981" s="2089" t="s">
        <v>1556</v>
      </c>
      <c r="B1981" s="1601"/>
      <c r="C1981" s="1801"/>
      <c r="D1981" s="719" t="s">
        <v>208</v>
      </c>
      <c r="E1981" s="719" t="s">
        <v>1558</v>
      </c>
      <c r="F1981" s="719" t="s">
        <v>1559</v>
      </c>
      <c r="G1981" s="720"/>
    </row>
    <row r="1982" spans="1:7" ht="13.5" hidden="1" customHeight="1">
      <c r="A1982" s="2091" t="str">
        <f>+'LISTADO EQUIPOS'!$C$22</f>
        <v>HERRAMIENTA MENOR.</v>
      </c>
      <c r="B1982" s="1811"/>
      <c r="C1982" s="1967"/>
      <c r="D1982" s="1035" t="s">
        <v>1569</v>
      </c>
      <c r="E1982" s="729"/>
      <c r="F1982" s="728">
        <v>500</v>
      </c>
      <c r="G1982" s="1036"/>
    </row>
    <row r="1983" spans="1:7" ht="13.5" hidden="1" customHeight="1">
      <c r="A1983" s="2090" t="str">
        <f>+'ANALISIS BASICOS'!$A$360</f>
        <v>FORMALETA EN MADERA</v>
      </c>
      <c r="B1983" s="1807"/>
      <c r="C1983" s="1819"/>
      <c r="D1983" s="1037">
        <f>+'ANALISIS BASICOS'!$G$360</f>
        <v>41998</v>
      </c>
      <c r="E1983" s="724">
        <v>0.01</v>
      </c>
      <c r="F1983" s="723">
        <f>+E1983*D1983</f>
        <v>419.98</v>
      </c>
      <c r="G1983" s="1038"/>
    </row>
    <row r="1984" spans="1:7" ht="13.5" hidden="1" customHeight="1">
      <c r="A1984" s="2087" t="s">
        <v>1560</v>
      </c>
      <c r="B1984" s="1601"/>
      <c r="C1984" s="1601"/>
      <c r="D1984" s="1601"/>
      <c r="E1984" s="1601"/>
      <c r="F1984" s="1801"/>
      <c r="G1984" s="725">
        <f>SUM(F1982:F1983)</f>
        <v>919.98</v>
      </c>
    </row>
    <row r="1985" spans="1:7" ht="13.5" hidden="1" customHeight="1">
      <c r="A1985" s="794" t="s">
        <v>1561</v>
      </c>
      <c r="B1985" s="1030"/>
      <c r="C1985" s="1030"/>
      <c r="D1985" s="1030"/>
      <c r="E1985" s="1030"/>
      <c r="F1985" s="1030"/>
      <c r="G1985" s="1039"/>
    </row>
    <row r="1986" spans="1:7" ht="13.5" hidden="1" customHeight="1">
      <c r="A1986" s="2089" t="s">
        <v>1556</v>
      </c>
      <c r="B1986" s="1801"/>
      <c r="C1986" s="719" t="s">
        <v>6</v>
      </c>
      <c r="D1986" s="719" t="s">
        <v>1562</v>
      </c>
      <c r="E1986" s="719" t="s">
        <v>7</v>
      </c>
      <c r="F1986" s="719" t="s">
        <v>1559</v>
      </c>
      <c r="G1986" s="726"/>
    </row>
    <row r="1987" spans="1:7" ht="13.5" hidden="1" customHeight="1">
      <c r="A1987" s="2091" t="str">
        <f>+'ANALISIS BASICOS'!$A$36</f>
        <v xml:space="preserve">CONCRETO NORMAL - 3000 PSI (210 KG/CM2) </v>
      </c>
      <c r="B1987" s="1967"/>
      <c r="C1987" s="727" t="str">
        <f>+'ANALISIS BASICOS'!$E$12</f>
        <v>M3</v>
      </c>
      <c r="D1987" s="1040">
        <f>+'ANALISIS BASICOS'!$G$36</f>
        <v>468441</v>
      </c>
      <c r="E1987" s="729">
        <f>1*0.1</f>
        <v>0.1</v>
      </c>
      <c r="F1987" s="728">
        <f t="shared" ref="F1987:F1989" si="133">+E1987*D1987</f>
        <v>46844.100000000006</v>
      </c>
      <c r="G1987" s="730"/>
    </row>
    <row r="1988" spans="1:7" ht="13.5" hidden="1" customHeight="1">
      <c r="A1988" s="2092" t="str">
        <f>'LISTADO MATERIALES'!$C$723</f>
        <v>AGUA</v>
      </c>
      <c r="B1988" s="1611"/>
      <c r="C1988" s="731" t="str">
        <f>'LISTADO MATERIALES'!$D$723</f>
        <v>LT</v>
      </c>
      <c r="D1988" s="1041">
        <f>'LISTADO MATERIALES'!$E$723</f>
        <v>21</v>
      </c>
      <c r="E1988" s="721">
        <v>20</v>
      </c>
      <c r="F1988" s="722">
        <f t="shared" si="133"/>
        <v>420</v>
      </c>
      <c r="G1988" s="1042"/>
    </row>
    <row r="1989" spans="1:7" ht="13.5" hidden="1" customHeight="1">
      <c r="A1989" s="2092" t="str">
        <f>'LISTADO MATERIALES'!$C$50</f>
        <v>MALLA ELECTROSOLDADA D163</v>
      </c>
      <c r="B1989" s="1611"/>
      <c r="C1989" s="731" t="str">
        <f>'LISTADO MATERIALES'!$D$50</f>
        <v>M2</v>
      </c>
      <c r="D1989" s="1041">
        <v>3250</v>
      </c>
      <c r="E1989" s="721">
        <v>1.05</v>
      </c>
      <c r="F1989" s="722">
        <f t="shared" si="133"/>
        <v>3412.5</v>
      </c>
      <c r="G1989" s="1042"/>
    </row>
    <row r="1990" spans="1:7" ht="13.5" hidden="1" customHeight="1">
      <c r="A1990" s="2090"/>
      <c r="B1990" s="1819"/>
      <c r="C1990" s="1043"/>
      <c r="D1990" s="1037"/>
      <c r="E1990" s="1043"/>
      <c r="F1990" s="1037"/>
      <c r="G1990" s="1044"/>
    </row>
    <row r="1991" spans="1:7" ht="13.5" hidden="1" customHeight="1">
      <c r="A1991" s="2087" t="s">
        <v>1560</v>
      </c>
      <c r="B1991" s="1601"/>
      <c r="C1991" s="1601"/>
      <c r="D1991" s="1601"/>
      <c r="E1991" s="1601"/>
      <c r="F1991" s="1801"/>
      <c r="G1991" s="725">
        <f>SUM(F1987:F1990)</f>
        <v>50676.600000000006</v>
      </c>
    </row>
    <row r="1992" spans="1:7" ht="13.5" hidden="1" customHeight="1">
      <c r="A1992" s="794" t="s">
        <v>1563</v>
      </c>
      <c r="B1992" s="1030"/>
      <c r="C1992" s="1030"/>
      <c r="D1992" s="1030"/>
      <c r="E1992" s="1030"/>
      <c r="F1992" s="1030"/>
      <c r="G1992" s="1039"/>
    </row>
    <row r="1993" spans="1:7" ht="13.5" hidden="1" customHeight="1">
      <c r="A1993" s="2089" t="s">
        <v>1556</v>
      </c>
      <c r="B1993" s="1801"/>
      <c r="C1993" s="719" t="s">
        <v>6</v>
      </c>
      <c r="D1993" s="719" t="s">
        <v>1562</v>
      </c>
      <c r="E1993" s="719" t="s">
        <v>7</v>
      </c>
      <c r="F1993" s="719" t="s">
        <v>1559</v>
      </c>
      <c r="G1993" s="732"/>
    </row>
    <row r="1994" spans="1:7" ht="13.5" hidden="1" customHeight="1">
      <c r="A1994" s="2091" t="s">
        <v>1572</v>
      </c>
      <c r="B1994" s="1967"/>
      <c r="C1994" s="1045" t="s">
        <v>1569</v>
      </c>
      <c r="D1994" s="1040"/>
      <c r="E1994" s="1046"/>
      <c r="F1994" s="1041">
        <v>500</v>
      </c>
      <c r="G1994" s="730"/>
    </row>
    <row r="1995" spans="1:7" ht="13.5" hidden="1" customHeight="1">
      <c r="A1995" s="2090"/>
      <c r="B1995" s="1819"/>
      <c r="C1995" s="1045"/>
      <c r="D1995" s="1037"/>
      <c r="E1995" s="1047"/>
      <c r="F1995" s="1037"/>
      <c r="G1995" s="1048"/>
    </row>
    <row r="1996" spans="1:7" ht="13.5" hidden="1" customHeight="1">
      <c r="A1996" s="2087" t="s">
        <v>1560</v>
      </c>
      <c r="B1996" s="1601"/>
      <c r="C1996" s="1601"/>
      <c r="D1996" s="1601"/>
      <c r="E1996" s="1601"/>
      <c r="F1996" s="1801"/>
      <c r="G1996" s="725">
        <f>SUM(F1994:F1995)</f>
        <v>500</v>
      </c>
    </row>
    <row r="1997" spans="1:7" ht="13.5" hidden="1" customHeight="1">
      <c r="A1997" s="794" t="s">
        <v>1564</v>
      </c>
      <c r="B1997" s="1030"/>
      <c r="C1997" s="1030"/>
      <c r="D1997" s="1030"/>
      <c r="E1997" s="1030"/>
      <c r="F1997" s="1030"/>
      <c r="G1997" s="1039"/>
    </row>
    <row r="1998" spans="1:7" ht="13.5" hidden="1" customHeight="1">
      <c r="A1998" s="2089" t="s">
        <v>1565</v>
      </c>
      <c r="B1998" s="1801"/>
      <c r="C1998" s="719" t="s">
        <v>1566</v>
      </c>
      <c r="D1998" s="719" t="s">
        <v>6</v>
      </c>
      <c r="E1998" s="719" t="s">
        <v>7</v>
      </c>
      <c r="F1998" s="719" t="s">
        <v>1559</v>
      </c>
      <c r="G1998" s="725"/>
    </row>
    <row r="1999" spans="1:7" ht="13.5" hidden="1" customHeight="1">
      <c r="A1999" s="2093" t="str">
        <f>+'MANO DE OBRA'!$A$64</f>
        <v>Oficial (Incl. Prestaciones)</v>
      </c>
      <c r="B1999" s="1910"/>
      <c r="C1999" s="733">
        <f>+'MANO DE OBRA'!$E$64</f>
        <v>15031.25</v>
      </c>
      <c r="D1999" s="734">
        <v>1</v>
      </c>
      <c r="E1999" s="734">
        <v>3.3151971958682749</v>
      </c>
      <c r="F1999" s="1062">
        <f t="shared" ref="F1999:F2000" si="134">+(C1999*D1999)/E1999</f>
        <v>4534.0440136512616</v>
      </c>
      <c r="G1999" s="730"/>
    </row>
    <row r="2000" spans="1:7" ht="13.5" hidden="1" customHeight="1">
      <c r="A2000" s="2094" t="str">
        <f>+'MANO DE OBRA'!$A$65</f>
        <v>Ayudante (Incl. Prestaciones)</v>
      </c>
      <c r="B2000" s="1819"/>
      <c r="C2000" s="1049">
        <f>+'MANO DE OBRA'!$E$65</f>
        <v>10972.8125</v>
      </c>
      <c r="D2000" s="1050">
        <v>3</v>
      </c>
      <c r="E2000" s="1050">
        <f>+E1999</f>
        <v>3.3151971958682749</v>
      </c>
      <c r="F2000" s="1063">
        <f t="shared" si="134"/>
        <v>9929.5563898962628</v>
      </c>
      <c r="G2000" s="1044"/>
    </row>
    <row r="2001" spans="1:7" ht="13.5" hidden="1" customHeight="1">
      <c r="A2001" s="2087" t="str">
        <f>+A1996</f>
        <v>SUB-TOTAL</v>
      </c>
      <c r="B2001" s="1601"/>
      <c r="C2001" s="1601"/>
      <c r="D2001" s="1601"/>
      <c r="E2001" s="1601"/>
      <c r="F2001" s="1801"/>
      <c r="G2001" s="725">
        <f>SUM(F1999:F2000)</f>
        <v>14463.600403547523</v>
      </c>
    </row>
    <row r="2002" spans="1:7" ht="13.5" hidden="1" customHeight="1">
      <c r="A2002" s="1030"/>
      <c r="B2002" s="1030"/>
      <c r="C2002" s="1030"/>
      <c r="D2002" s="1030"/>
      <c r="E2002" s="1030"/>
      <c r="F2002" s="1051"/>
      <c r="G2002" s="1039"/>
    </row>
    <row r="2003" spans="1:7" ht="13.5" hidden="1" customHeight="1">
      <c r="A2003" s="2087" t="s">
        <v>1567</v>
      </c>
      <c r="B2003" s="1601"/>
      <c r="C2003" s="1601"/>
      <c r="D2003" s="1601"/>
      <c r="E2003" s="1601"/>
      <c r="F2003" s="1801"/>
      <c r="G2003" s="1060">
        <f>ROUND(G1984+G1991+G1996+G2001,0)</f>
        <v>66560</v>
      </c>
    </row>
    <row r="2004" spans="1:7" ht="13.5" hidden="1" customHeight="1">
      <c r="A2004" s="616"/>
      <c r="B2004" s="616"/>
      <c r="C2004" s="616"/>
      <c r="D2004" s="616"/>
      <c r="E2004" s="616"/>
      <c r="F2004" s="616"/>
      <c r="G2004" s="616"/>
    </row>
    <row r="2005" spans="1:7" ht="13.5" hidden="1" customHeight="1">
      <c r="A2005" s="616"/>
      <c r="B2005" s="616"/>
      <c r="C2005" s="616"/>
      <c r="D2005" s="616"/>
      <c r="E2005" s="616"/>
      <c r="F2005" s="616"/>
      <c r="G2005" s="616"/>
    </row>
    <row r="2006" spans="1:7" ht="30.75" hidden="1" customHeight="1">
      <c r="A2006" s="1994" t="e">
        <f>+'ANALISIS BASICOS'!$A$7</f>
        <v>#REF!</v>
      </c>
      <c r="B2006" s="1616"/>
      <c r="C2006" s="1624"/>
      <c r="D2006" s="1990"/>
      <c r="E2006" s="1616"/>
      <c r="F2006" s="1616"/>
      <c r="G2006" s="1624"/>
    </row>
    <row r="2007" spans="1:7" ht="24.75" hidden="1" customHeight="1">
      <c r="A2007" s="1971"/>
      <c r="B2007" s="1817"/>
      <c r="C2007" s="1972"/>
      <c r="D2007" s="1971"/>
      <c r="E2007" s="1817"/>
      <c r="F2007" s="1817"/>
      <c r="G2007" s="1972"/>
    </row>
    <row r="2008" spans="1:7" ht="13.5" hidden="1" customHeight="1">
      <c r="A2008" s="1030"/>
      <c r="B2008" s="1030"/>
      <c r="C2008" s="1030"/>
      <c r="D2008" s="1030"/>
      <c r="E2008" s="1030"/>
      <c r="F2008" s="1030"/>
      <c r="G2008" s="1030"/>
    </row>
    <row r="2009" spans="1:7" ht="43.5" hidden="1" customHeight="1">
      <c r="A2009" s="1991" t="e">
        <f ca="1">A42</f>
        <v>#NAME?</v>
      </c>
      <c r="B2009" s="1601"/>
      <c r="C2009" s="1602"/>
      <c r="D2009" s="1974" t="s">
        <v>2482</v>
      </c>
      <c r="E2009" s="1601"/>
      <c r="F2009" s="1601"/>
      <c r="G2009" s="1602"/>
    </row>
    <row r="2010" spans="1:7" ht="13.5" hidden="1" customHeight="1">
      <c r="A2010" s="1058"/>
      <c r="B2010" s="1058"/>
      <c r="C2010" s="1058"/>
      <c r="D2010" s="1058"/>
      <c r="E2010" s="1058"/>
      <c r="F2010" s="1058"/>
      <c r="G2010" s="1058"/>
    </row>
    <row r="2011" spans="1:7" ht="16.5" hidden="1" customHeight="1">
      <c r="A2011" s="718"/>
      <c r="B2011" s="1030"/>
      <c r="C2011" s="752"/>
      <c r="D2011" s="717" t="s">
        <v>1553</v>
      </c>
      <c r="E2011" s="717" t="s">
        <v>228</v>
      </c>
      <c r="F2011" s="421" t="s">
        <v>1554</v>
      </c>
      <c r="G2011" s="422" t="s">
        <v>156</v>
      </c>
    </row>
    <row r="2012" spans="1:7" ht="13.5" hidden="1" customHeight="1">
      <c r="A2012" s="794" t="s">
        <v>1555</v>
      </c>
      <c r="B2012" s="1030"/>
      <c r="C2012" s="1030"/>
      <c r="D2012" s="1030"/>
      <c r="E2012" s="1030"/>
      <c r="F2012" s="1030"/>
      <c r="G2012" s="1030"/>
    </row>
    <row r="2013" spans="1:7" ht="13.5" hidden="1" customHeight="1">
      <c r="A2013" s="2089" t="s">
        <v>1556</v>
      </c>
      <c r="B2013" s="1601"/>
      <c r="C2013" s="1801"/>
      <c r="D2013" s="719" t="s">
        <v>208</v>
      </c>
      <c r="E2013" s="719" t="s">
        <v>1558</v>
      </c>
      <c r="F2013" s="719" t="s">
        <v>1559</v>
      </c>
      <c r="G2013" s="720"/>
    </row>
    <row r="2014" spans="1:7" ht="13.5" hidden="1" customHeight="1">
      <c r="A2014" s="1987" t="str">
        <f>+'LISTADO EQUIPOS'!$C$22</f>
        <v>HERRAMIENTA MENOR.</v>
      </c>
      <c r="B2014" s="1811"/>
      <c r="C2014" s="1967"/>
      <c r="D2014" s="675">
        <f>+'LISTADO EQUIPOS'!$E$22/8</f>
        <v>2850</v>
      </c>
      <c r="E2014" s="687">
        <f>+E2031</f>
        <v>2.1394228481249775</v>
      </c>
      <c r="F2014" s="675">
        <f>+D2014/E2014</f>
        <v>1332.1349739242912</v>
      </c>
      <c r="G2014" s="688"/>
    </row>
    <row r="2015" spans="1:7" ht="13.5" hidden="1" customHeight="1">
      <c r="A2015" s="2090" t="str">
        <f>+'ANALISIS BASICOS'!$A$360</f>
        <v>FORMALETA EN MADERA</v>
      </c>
      <c r="B2015" s="1807"/>
      <c r="C2015" s="1819"/>
      <c r="D2015" s="1037">
        <f>+'ANALISIS BASICOS'!$G$360</f>
        <v>41998</v>
      </c>
      <c r="E2015" s="724">
        <v>0.01</v>
      </c>
      <c r="F2015" s="723">
        <f>+E2015*D2015</f>
        <v>419.98</v>
      </c>
      <c r="G2015" s="1038"/>
    </row>
    <row r="2016" spans="1:7" ht="13.5" hidden="1" customHeight="1">
      <c r="A2016" s="2087" t="s">
        <v>1560</v>
      </c>
      <c r="B2016" s="1601"/>
      <c r="C2016" s="1601"/>
      <c r="D2016" s="1601"/>
      <c r="E2016" s="1601"/>
      <c r="F2016" s="1801"/>
      <c r="G2016" s="725">
        <f>SUM(F2014:F2015)</f>
        <v>1752.1149739242912</v>
      </c>
    </row>
    <row r="2017" spans="1:7" ht="13.5" hidden="1" customHeight="1">
      <c r="A2017" s="794" t="s">
        <v>1561</v>
      </c>
      <c r="B2017" s="1030"/>
      <c r="C2017" s="1030"/>
      <c r="D2017" s="1030"/>
      <c r="E2017" s="1030"/>
      <c r="F2017" s="1030"/>
      <c r="G2017" s="1039"/>
    </row>
    <row r="2018" spans="1:7" ht="13.5" hidden="1" customHeight="1">
      <c r="A2018" s="2089" t="s">
        <v>1556</v>
      </c>
      <c r="B2018" s="1801"/>
      <c r="C2018" s="719" t="s">
        <v>6</v>
      </c>
      <c r="D2018" s="719" t="s">
        <v>1562</v>
      </c>
      <c r="E2018" s="719" t="s">
        <v>7</v>
      </c>
      <c r="F2018" s="719" t="s">
        <v>1559</v>
      </c>
      <c r="G2018" s="726"/>
    </row>
    <row r="2019" spans="1:7" ht="13.5" hidden="1" customHeight="1">
      <c r="A2019" s="2091" t="s">
        <v>943</v>
      </c>
      <c r="B2019" s="1967"/>
      <c r="C2019" s="727" t="s">
        <v>228</v>
      </c>
      <c r="D2019" s="1040">
        <v>101501.21954889147</v>
      </c>
      <c r="E2019" s="729">
        <v>1.05</v>
      </c>
      <c r="F2019" s="728">
        <f t="shared" ref="F2019:F2021" si="135">+E2019*D2019</f>
        <v>106576.28052633605</v>
      </c>
      <c r="G2019" s="730"/>
    </row>
    <row r="2020" spans="1:7" ht="13.5" hidden="1" customHeight="1">
      <c r="A2020" s="1995" t="str">
        <f>+'LISTADO MATERIALES'!$C$140</f>
        <v>CEMENTO BLANCO</v>
      </c>
      <c r="B2020" s="1611"/>
      <c r="C2020" s="444" t="str">
        <f>+'LISTADO MATERIALES'!$D$140</f>
        <v>KG</v>
      </c>
      <c r="D2020" s="464">
        <f>+'LISTADO MATERIALES'!$E$140</f>
        <v>1103</v>
      </c>
      <c r="E2020" s="444">
        <v>1.5</v>
      </c>
      <c r="F2020" s="440">
        <f t="shared" si="135"/>
        <v>1654.5</v>
      </c>
      <c r="G2020" s="1042"/>
    </row>
    <row r="2021" spans="1:7" ht="13.5" hidden="1" customHeight="1">
      <c r="A2021" s="1995" t="str">
        <f>+'LISTADO MATERIALES'!$C$729</f>
        <v>BLANCO DE ZINC</v>
      </c>
      <c r="B2021" s="1611"/>
      <c r="C2021" s="444" t="str">
        <f>+'LISTADO MATERIALES'!$D$81</f>
        <v>LB</v>
      </c>
      <c r="D2021" s="464">
        <f>+'LISTADO MATERIALES'!$E$81</f>
        <v>8925</v>
      </c>
      <c r="E2021" s="444">
        <v>0.5</v>
      </c>
      <c r="F2021" s="440">
        <f t="shared" si="135"/>
        <v>4462.5</v>
      </c>
      <c r="G2021" s="1042"/>
    </row>
    <row r="2022" spans="1:7" ht="13.5" hidden="1" customHeight="1">
      <c r="A2022" s="2090"/>
      <c r="B2022" s="1819"/>
      <c r="C2022" s="1043"/>
      <c r="D2022" s="1037"/>
      <c r="E2022" s="1043"/>
      <c r="F2022" s="1037"/>
      <c r="G2022" s="1044"/>
    </row>
    <row r="2023" spans="1:7" ht="13.5" hidden="1" customHeight="1">
      <c r="A2023" s="2087" t="s">
        <v>1560</v>
      </c>
      <c r="B2023" s="1601"/>
      <c r="C2023" s="1601"/>
      <c r="D2023" s="1601"/>
      <c r="E2023" s="1601"/>
      <c r="F2023" s="1801"/>
      <c r="G2023" s="725">
        <f>SUM(F2019:F2022)</f>
        <v>112693.28052633605</v>
      </c>
    </row>
    <row r="2024" spans="1:7" ht="13.5" hidden="1" customHeight="1">
      <c r="A2024" s="794" t="s">
        <v>1563</v>
      </c>
      <c r="B2024" s="1030"/>
      <c r="C2024" s="1030"/>
      <c r="D2024" s="1030"/>
      <c r="E2024" s="1030"/>
      <c r="F2024" s="1030"/>
      <c r="G2024" s="1039"/>
    </row>
    <row r="2025" spans="1:7" ht="13.5" hidden="1" customHeight="1">
      <c r="A2025" s="2089" t="s">
        <v>1556</v>
      </c>
      <c r="B2025" s="1801"/>
      <c r="C2025" s="719" t="s">
        <v>6</v>
      </c>
      <c r="D2025" s="719" t="s">
        <v>1562</v>
      </c>
      <c r="E2025" s="719" t="s">
        <v>7</v>
      </c>
      <c r="F2025" s="719" t="s">
        <v>1559</v>
      </c>
      <c r="G2025" s="732"/>
    </row>
    <row r="2026" spans="1:7" ht="13.5" hidden="1" customHeight="1">
      <c r="A2026" s="2091"/>
      <c r="B2026" s="1967"/>
      <c r="C2026" s="1045"/>
      <c r="D2026" s="1040"/>
      <c r="E2026" s="1046"/>
      <c r="F2026" s="1041"/>
      <c r="G2026" s="730"/>
    </row>
    <row r="2027" spans="1:7" ht="13.5" hidden="1" customHeight="1">
      <c r="A2027" s="2090"/>
      <c r="B2027" s="1819"/>
      <c r="C2027" s="1045"/>
      <c r="D2027" s="1037"/>
      <c r="E2027" s="1047"/>
      <c r="F2027" s="1037"/>
      <c r="G2027" s="1048"/>
    </row>
    <row r="2028" spans="1:7" ht="13.5" hidden="1" customHeight="1">
      <c r="A2028" s="2087" t="s">
        <v>1560</v>
      </c>
      <c r="B2028" s="1601"/>
      <c r="C2028" s="1601"/>
      <c r="D2028" s="1601"/>
      <c r="E2028" s="1601"/>
      <c r="F2028" s="1801"/>
      <c r="G2028" s="725">
        <f>SUM(F2026:F2027)</f>
        <v>0</v>
      </c>
    </row>
    <row r="2029" spans="1:7" ht="13.5" hidden="1" customHeight="1">
      <c r="A2029" s="794" t="s">
        <v>1564</v>
      </c>
      <c r="B2029" s="1030"/>
      <c r="C2029" s="1030"/>
      <c r="D2029" s="1030"/>
      <c r="E2029" s="1030"/>
      <c r="F2029" s="1030"/>
      <c r="G2029" s="1039"/>
    </row>
    <row r="2030" spans="1:7" ht="13.5" hidden="1" customHeight="1">
      <c r="A2030" s="2089" t="s">
        <v>1565</v>
      </c>
      <c r="B2030" s="1801"/>
      <c r="C2030" s="719" t="s">
        <v>1566</v>
      </c>
      <c r="D2030" s="719" t="s">
        <v>6</v>
      </c>
      <c r="E2030" s="719" t="s">
        <v>7</v>
      </c>
      <c r="F2030" s="719" t="s">
        <v>1559</v>
      </c>
      <c r="G2030" s="725"/>
    </row>
    <row r="2031" spans="1:7" ht="13.5" hidden="1" customHeight="1">
      <c r="A2031" s="2093" t="str">
        <f>+'MANO DE OBRA'!$A$64</f>
        <v>Oficial (Incl. Prestaciones)</v>
      </c>
      <c r="B2031" s="1910"/>
      <c r="C2031" s="733">
        <f>+'MANO DE OBRA'!$E$64</f>
        <v>15031.25</v>
      </c>
      <c r="D2031" s="734">
        <v>1</v>
      </c>
      <c r="E2031" s="734">
        <v>2.1394228481249775</v>
      </c>
      <c r="F2031" s="1062">
        <f t="shared" ref="F2031:F2032" si="136">+(C2031*D2031)/E2031</f>
        <v>7025.8434479998259</v>
      </c>
      <c r="G2031" s="730"/>
    </row>
    <row r="2032" spans="1:7" ht="13.5" hidden="1" customHeight="1">
      <c r="A2032" s="2094" t="str">
        <f>+'MANO DE OBRA'!$A$65</f>
        <v>Ayudante (Incl. Prestaciones)</v>
      </c>
      <c r="B2032" s="1819"/>
      <c r="C2032" s="1049">
        <f>+'MANO DE OBRA'!$E$65</f>
        <v>10972.8125</v>
      </c>
      <c r="D2032" s="1050">
        <v>3</v>
      </c>
      <c r="E2032" s="1050">
        <f>+E2031</f>
        <v>2.1394228481249775</v>
      </c>
      <c r="F2032" s="1063">
        <f t="shared" si="136"/>
        <v>15386.597151119619</v>
      </c>
      <c r="G2032" s="1044"/>
    </row>
    <row r="2033" spans="1:7" ht="13.5" hidden="1" customHeight="1">
      <c r="A2033" s="2087" t="str">
        <f>+A2028</f>
        <v>SUB-TOTAL</v>
      </c>
      <c r="B2033" s="1601"/>
      <c r="C2033" s="1601"/>
      <c r="D2033" s="1601"/>
      <c r="E2033" s="1601"/>
      <c r="F2033" s="1801"/>
      <c r="G2033" s="725">
        <f>SUM(F2031:F2032)</f>
        <v>22412.440599119444</v>
      </c>
    </row>
    <row r="2034" spans="1:7" ht="13.5" hidden="1" customHeight="1">
      <c r="A2034" s="1030"/>
      <c r="B2034" s="1030"/>
      <c r="C2034" s="1030"/>
      <c r="D2034" s="1030"/>
      <c r="E2034" s="1030"/>
      <c r="F2034" s="1051"/>
      <c r="G2034" s="1039"/>
    </row>
    <row r="2035" spans="1:7" ht="13.5" hidden="1" customHeight="1">
      <c r="A2035" s="2087" t="s">
        <v>1567</v>
      </c>
      <c r="B2035" s="1601"/>
      <c r="C2035" s="1601"/>
      <c r="D2035" s="1601"/>
      <c r="E2035" s="1601"/>
      <c r="F2035" s="1801"/>
      <c r="G2035" s="1060">
        <f>ROUND(G2016+G2023+G2028+G2033,0)</f>
        <v>136858</v>
      </c>
    </row>
    <row r="2036" spans="1:7" ht="13.5" hidden="1" customHeight="1">
      <c r="A2036" s="616"/>
      <c r="B2036" s="616"/>
      <c r="C2036" s="616"/>
      <c r="D2036" s="616"/>
      <c r="E2036" s="616"/>
      <c r="F2036" s="616"/>
      <c r="G2036" s="616"/>
    </row>
    <row r="2037" spans="1:7" ht="13.5" hidden="1" customHeight="1">
      <c r="A2037" s="616"/>
      <c r="B2037" s="616"/>
      <c r="C2037" s="616"/>
      <c r="D2037" s="616"/>
      <c r="E2037" s="616"/>
      <c r="F2037" s="616"/>
      <c r="G2037" s="616"/>
    </row>
    <row r="2038" spans="1:7" ht="30.75" hidden="1" customHeight="1">
      <c r="A2038" s="1994" t="e">
        <f>+'ANALISIS BASICOS'!$A$7</f>
        <v>#REF!</v>
      </c>
      <c r="B2038" s="1616"/>
      <c r="C2038" s="1624"/>
      <c r="D2038" s="1990"/>
      <c r="E2038" s="1616"/>
      <c r="F2038" s="1616"/>
      <c r="G2038" s="1624"/>
    </row>
    <row r="2039" spans="1:7" ht="24.75" hidden="1" customHeight="1">
      <c r="A2039" s="1971"/>
      <c r="B2039" s="1817"/>
      <c r="C2039" s="1972"/>
      <c r="D2039" s="1971"/>
      <c r="E2039" s="1817"/>
      <c r="F2039" s="1817"/>
      <c r="G2039" s="1972"/>
    </row>
    <row r="2040" spans="1:7" ht="13.5" hidden="1" customHeight="1">
      <c r="A2040" s="1030"/>
      <c r="B2040" s="1030"/>
      <c r="C2040" s="1030"/>
      <c r="D2040" s="1030"/>
      <c r="E2040" s="1030"/>
      <c r="F2040" s="1030"/>
      <c r="G2040" s="1030"/>
    </row>
    <row r="2041" spans="1:7" ht="43.5" hidden="1" customHeight="1">
      <c r="A2041" s="1991" t="e">
        <f ca="1">A74</f>
        <v>#NAME?</v>
      </c>
      <c r="B2041" s="1601"/>
      <c r="C2041" s="1602"/>
      <c r="D2041" s="1974" t="s">
        <v>2483</v>
      </c>
      <c r="E2041" s="1601"/>
      <c r="F2041" s="1601"/>
      <c r="G2041" s="1602"/>
    </row>
    <row r="2042" spans="1:7" ht="13.5" hidden="1" customHeight="1">
      <c r="A2042" s="1058"/>
      <c r="B2042" s="1058"/>
      <c r="C2042" s="1058"/>
      <c r="D2042" s="1058"/>
      <c r="E2042" s="1058"/>
      <c r="F2042" s="1058"/>
      <c r="G2042" s="1058"/>
    </row>
    <row r="2043" spans="1:7" ht="16.5" hidden="1" customHeight="1">
      <c r="A2043" s="718"/>
      <c r="B2043" s="1030"/>
      <c r="C2043" s="752"/>
      <c r="D2043" s="717" t="s">
        <v>1553</v>
      </c>
      <c r="E2043" s="717" t="s">
        <v>228</v>
      </c>
      <c r="F2043" s="421" t="s">
        <v>1554</v>
      </c>
      <c r="G2043" s="422" t="s">
        <v>157</v>
      </c>
    </row>
    <row r="2044" spans="1:7" ht="13.5" hidden="1" customHeight="1">
      <c r="A2044" s="794" t="s">
        <v>1555</v>
      </c>
      <c r="B2044" s="1030"/>
      <c r="C2044" s="1030"/>
      <c r="D2044" s="1030"/>
      <c r="E2044" s="1030"/>
      <c r="F2044" s="1030"/>
      <c r="G2044" s="1030"/>
    </row>
    <row r="2045" spans="1:7" ht="13.5" hidden="1" customHeight="1">
      <c r="A2045" s="2089" t="s">
        <v>1556</v>
      </c>
      <c r="B2045" s="1601"/>
      <c r="C2045" s="1801"/>
      <c r="D2045" s="719" t="s">
        <v>208</v>
      </c>
      <c r="E2045" s="719" t="s">
        <v>1558</v>
      </c>
      <c r="F2045" s="719" t="s">
        <v>1559</v>
      </c>
      <c r="G2045" s="720"/>
    </row>
    <row r="2046" spans="1:7" ht="13.5" hidden="1" customHeight="1">
      <c r="A2046" s="1987" t="str">
        <f>+'LISTADO EQUIPOS'!$C$22</f>
        <v>HERRAMIENTA MENOR.</v>
      </c>
      <c r="B2046" s="1811"/>
      <c r="C2046" s="1967"/>
      <c r="D2046" s="675">
        <f>+'LISTADO EQUIPOS'!$E$22/8</f>
        <v>2850</v>
      </c>
      <c r="E2046" s="687">
        <f>+E2063</f>
        <v>3</v>
      </c>
      <c r="F2046" s="675">
        <f>+D2046/E2046</f>
        <v>950</v>
      </c>
      <c r="G2046" s="688"/>
    </row>
    <row r="2047" spans="1:7" ht="13.5" hidden="1" customHeight="1">
      <c r="A2047" s="2090" t="str">
        <f>+'ANALISIS BASICOS'!$A$360</f>
        <v>FORMALETA EN MADERA</v>
      </c>
      <c r="B2047" s="1807"/>
      <c r="C2047" s="1819"/>
      <c r="D2047" s="1037">
        <f>+'ANALISIS BASICOS'!$G$360</f>
        <v>41998</v>
      </c>
      <c r="E2047" s="724">
        <v>0.01</v>
      </c>
      <c r="F2047" s="723">
        <f>+E2047*D2047</f>
        <v>419.98</v>
      </c>
      <c r="G2047" s="1038"/>
    </row>
    <row r="2048" spans="1:7" ht="13.5" hidden="1" customHeight="1">
      <c r="A2048" s="2087" t="s">
        <v>1560</v>
      </c>
      <c r="B2048" s="1601"/>
      <c r="C2048" s="1601"/>
      <c r="D2048" s="1601"/>
      <c r="E2048" s="1601"/>
      <c r="F2048" s="1801"/>
      <c r="G2048" s="725">
        <f>SUM(F2046:F2047)</f>
        <v>1369.98</v>
      </c>
    </row>
    <row r="2049" spans="1:7" ht="13.5" hidden="1" customHeight="1">
      <c r="A2049" s="794" t="s">
        <v>1561</v>
      </c>
      <c r="B2049" s="1030"/>
      <c r="C2049" s="1030"/>
      <c r="D2049" s="1030"/>
      <c r="E2049" s="1030"/>
      <c r="F2049" s="1030"/>
      <c r="G2049" s="1039"/>
    </row>
    <row r="2050" spans="1:7" ht="13.5" hidden="1" customHeight="1">
      <c r="A2050" s="2089" t="s">
        <v>1556</v>
      </c>
      <c r="B2050" s="1801"/>
      <c r="C2050" s="719" t="s">
        <v>6</v>
      </c>
      <c r="D2050" s="719" t="s">
        <v>1562</v>
      </c>
      <c r="E2050" s="719" t="s">
        <v>7</v>
      </c>
      <c r="F2050" s="719" t="s">
        <v>1559</v>
      </c>
      <c r="G2050" s="726"/>
    </row>
    <row r="2051" spans="1:7" ht="13.5" hidden="1" customHeight="1">
      <c r="A2051" s="2091" t="s">
        <v>407</v>
      </c>
      <c r="B2051" s="1967"/>
      <c r="C2051" s="727" t="s">
        <v>228</v>
      </c>
      <c r="D2051" s="1040">
        <v>45812.43786829483</v>
      </c>
      <c r="E2051" s="729">
        <v>1.05</v>
      </c>
      <c r="F2051" s="728">
        <f t="shared" ref="F2051:F2053" si="137">+E2051*D2051</f>
        <v>48103.05976170957</v>
      </c>
      <c r="G2051" s="730"/>
    </row>
    <row r="2052" spans="1:7" ht="13.5" hidden="1" customHeight="1">
      <c r="A2052" s="1995" t="str">
        <f>+'LISTADO MATERIALES'!$C$140</f>
        <v>CEMENTO BLANCO</v>
      </c>
      <c r="B2052" s="1611"/>
      <c r="C2052" s="444" t="str">
        <f>+'LISTADO MATERIALES'!$D$140</f>
        <v>KG</v>
      </c>
      <c r="D2052" s="464">
        <f>+'LISTADO MATERIALES'!$E$140</f>
        <v>1103</v>
      </c>
      <c r="E2052" s="444">
        <v>0.75</v>
      </c>
      <c r="F2052" s="440">
        <f t="shared" si="137"/>
        <v>827.25</v>
      </c>
      <c r="G2052" s="1042"/>
    </row>
    <row r="2053" spans="1:7" ht="13.5" hidden="1" customHeight="1">
      <c r="A2053" s="1995" t="str">
        <f>+'LISTADO MATERIALES'!$C$729</f>
        <v>BLANCO DE ZINC</v>
      </c>
      <c r="B2053" s="1611"/>
      <c r="C2053" s="444" t="str">
        <f>+'LISTADO MATERIALES'!$D$81</f>
        <v>LB</v>
      </c>
      <c r="D2053" s="464">
        <f>+'LISTADO MATERIALES'!$E$81</f>
        <v>8925</v>
      </c>
      <c r="E2053" s="444">
        <v>0.2</v>
      </c>
      <c r="F2053" s="440">
        <f t="shared" si="137"/>
        <v>1785</v>
      </c>
      <c r="G2053" s="1042"/>
    </row>
    <row r="2054" spans="1:7" ht="13.5" hidden="1" customHeight="1">
      <c r="A2054" s="2090"/>
      <c r="B2054" s="1819"/>
      <c r="C2054" s="1043"/>
      <c r="D2054" s="1037"/>
      <c r="E2054" s="1043"/>
      <c r="F2054" s="1037"/>
      <c r="G2054" s="1044"/>
    </row>
    <row r="2055" spans="1:7" ht="13.5" hidden="1" customHeight="1">
      <c r="A2055" s="2087" t="s">
        <v>1560</v>
      </c>
      <c r="B2055" s="1601"/>
      <c r="C2055" s="1601"/>
      <c r="D2055" s="1601"/>
      <c r="E2055" s="1601"/>
      <c r="F2055" s="1801"/>
      <c r="G2055" s="725">
        <f>SUM(F2051:F2054)</f>
        <v>50715.30976170957</v>
      </c>
    </row>
    <row r="2056" spans="1:7" ht="13.5" hidden="1" customHeight="1">
      <c r="A2056" s="794" t="s">
        <v>1563</v>
      </c>
      <c r="B2056" s="1030"/>
      <c r="C2056" s="1030"/>
      <c r="D2056" s="1030"/>
      <c r="E2056" s="1030"/>
      <c r="F2056" s="1030"/>
      <c r="G2056" s="1039"/>
    </row>
    <row r="2057" spans="1:7" ht="13.5" hidden="1" customHeight="1">
      <c r="A2057" s="2089" t="s">
        <v>1556</v>
      </c>
      <c r="B2057" s="1801"/>
      <c r="C2057" s="719" t="s">
        <v>6</v>
      </c>
      <c r="D2057" s="719" t="s">
        <v>1562</v>
      </c>
      <c r="E2057" s="719" t="s">
        <v>7</v>
      </c>
      <c r="F2057" s="719" t="s">
        <v>1559</v>
      </c>
      <c r="G2057" s="732"/>
    </row>
    <row r="2058" spans="1:7" ht="13.5" hidden="1" customHeight="1">
      <c r="A2058" s="2091"/>
      <c r="B2058" s="1967"/>
      <c r="C2058" s="1045"/>
      <c r="D2058" s="1040"/>
      <c r="E2058" s="1046"/>
      <c r="F2058" s="1041"/>
      <c r="G2058" s="730"/>
    </row>
    <row r="2059" spans="1:7" ht="13.5" hidden="1" customHeight="1">
      <c r="A2059" s="2090"/>
      <c r="B2059" s="1819"/>
      <c r="C2059" s="1045"/>
      <c r="D2059" s="1037"/>
      <c r="E2059" s="1047"/>
      <c r="F2059" s="1037"/>
      <c r="G2059" s="1048"/>
    </row>
    <row r="2060" spans="1:7" ht="13.5" hidden="1" customHeight="1">
      <c r="A2060" s="2087" t="s">
        <v>1560</v>
      </c>
      <c r="B2060" s="1601"/>
      <c r="C2060" s="1601"/>
      <c r="D2060" s="1601"/>
      <c r="E2060" s="1601"/>
      <c r="F2060" s="1801"/>
      <c r="G2060" s="725">
        <f>SUM(F2058:F2059)</f>
        <v>0</v>
      </c>
    </row>
    <row r="2061" spans="1:7" ht="13.5" hidden="1" customHeight="1">
      <c r="A2061" s="794" t="s">
        <v>1564</v>
      </c>
      <c r="B2061" s="1030"/>
      <c r="C2061" s="1030"/>
      <c r="D2061" s="1030"/>
      <c r="E2061" s="1030"/>
      <c r="F2061" s="1030"/>
      <c r="G2061" s="1039"/>
    </row>
    <row r="2062" spans="1:7" ht="13.5" hidden="1" customHeight="1">
      <c r="A2062" s="2089" t="s">
        <v>1565</v>
      </c>
      <c r="B2062" s="1801"/>
      <c r="C2062" s="719" t="s">
        <v>1566</v>
      </c>
      <c r="D2062" s="719" t="s">
        <v>6</v>
      </c>
      <c r="E2062" s="719" t="s">
        <v>7</v>
      </c>
      <c r="F2062" s="719" t="s">
        <v>1559</v>
      </c>
      <c r="G2062" s="725"/>
    </row>
    <row r="2063" spans="1:7" ht="13.5" hidden="1" customHeight="1">
      <c r="A2063" s="2093" t="str">
        <f>+'MANO DE OBRA'!$A$64</f>
        <v>Oficial (Incl. Prestaciones)</v>
      </c>
      <c r="B2063" s="1910"/>
      <c r="C2063" s="733">
        <f>+'MANO DE OBRA'!$E$64</f>
        <v>15031.25</v>
      </c>
      <c r="D2063" s="734">
        <v>1</v>
      </c>
      <c r="E2063" s="734">
        <v>3</v>
      </c>
      <c r="F2063" s="1062">
        <f t="shared" ref="F2063:F2064" si="138">+(C2063*D2063)/E2063</f>
        <v>5010.416666666667</v>
      </c>
      <c r="G2063" s="730"/>
    </row>
    <row r="2064" spans="1:7" ht="13.5" hidden="1" customHeight="1">
      <c r="A2064" s="2094" t="str">
        <f>+'MANO DE OBRA'!$A$65</f>
        <v>Ayudante (Incl. Prestaciones)</v>
      </c>
      <c r="B2064" s="1819"/>
      <c r="C2064" s="1049">
        <f>+'MANO DE OBRA'!$E$65</f>
        <v>10972.8125</v>
      </c>
      <c r="D2064" s="1050">
        <v>3</v>
      </c>
      <c r="E2064" s="1050">
        <f>+E2063</f>
        <v>3</v>
      </c>
      <c r="F2064" s="1063">
        <f t="shared" si="138"/>
        <v>10972.8125</v>
      </c>
      <c r="G2064" s="1044"/>
    </row>
    <row r="2065" spans="1:7" ht="13.5" hidden="1" customHeight="1">
      <c r="A2065" s="2087" t="str">
        <f>+A2060</f>
        <v>SUB-TOTAL</v>
      </c>
      <c r="B2065" s="1601"/>
      <c r="C2065" s="1601"/>
      <c r="D2065" s="1601"/>
      <c r="E2065" s="1601"/>
      <c r="F2065" s="1801"/>
      <c r="G2065" s="725">
        <f>SUM(F2063:F2064)</f>
        <v>15983.229166666668</v>
      </c>
    </row>
    <row r="2066" spans="1:7" ht="13.5" hidden="1" customHeight="1">
      <c r="A2066" s="1030"/>
      <c r="B2066" s="1030"/>
      <c r="C2066" s="1030"/>
      <c r="D2066" s="1030"/>
      <c r="E2066" s="1030"/>
      <c r="F2066" s="1051"/>
      <c r="G2066" s="1039"/>
    </row>
    <row r="2067" spans="1:7" ht="13.5" hidden="1" customHeight="1">
      <c r="A2067" s="2087" t="s">
        <v>1567</v>
      </c>
      <c r="B2067" s="1601"/>
      <c r="C2067" s="1601"/>
      <c r="D2067" s="1601"/>
      <c r="E2067" s="1601"/>
      <c r="F2067" s="1801"/>
      <c r="G2067" s="1060">
        <f>ROUND(G2048+G2055+G2060+G2065,0)</f>
        <v>68069</v>
      </c>
    </row>
    <row r="2068" spans="1:7" ht="13.5" hidden="1" customHeight="1">
      <c r="A2068" s="616"/>
      <c r="B2068" s="616"/>
      <c r="C2068" s="616"/>
      <c r="D2068" s="616"/>
      <c r="E2068" s="616"/>
      <c r="F2068" s="616"/>
      <c r="G2068" s="616"/>
    </row>
    <row r="2069" spans="1:7" ht="13.5" hidden="1" customHeight="1">
      <c r="A2069" s="616"/>
      <c r="B2069" s="616"/>
      <c r="C2069" s="616"/>
      <c r="D2069" s="616"/>
      <c r="E2069" s="616"/>
      <c r="F2069" s="616"/>
      <c r="G2069" s="616"/>
    </row>
    <row r="2070" spans="1:7" ht="30.75" hidden="1" customHeight="1">
      <c r="A2070" s="1994" t="e">
        <f>+'ANALISIS BASICOS'!$A$7</f>
        <v>#REF!</v>
      </c>
      <c r="B2070" s="1616"/>
      <c r="C2070" s="1624"/>
      <c r="D2070" s="1990"/>
      <c r="E2070" s="1616"/>
      <c r="F2070" s="1616"/>
      <c r="G2070" s="1624"/>
    </row>
    <row r="2071" spans="1:7" ht="24.75" hidden="1" customHeight="1">
      <c r="A2071" s="1971"/>
      <c r="B2071" s="1817"/>
      <c r="C2071" s="1972"/>
      <c r="D2071" s="1971"/>
      <c r="E2071" s="1817"/>
      <c r="F2071" s="1817"/>
      <c r="G2071" s="1972"/>
    </row>
    <row r="2072" spans="1:7" ht="13.5" hidden="1" customHeight="1">
      <c r="A2072" s="1030"/>
      <c r="B2072" s="1030"/>
      <c r="C2072" s="1030"/>
      <c r="D2072" s="1030"/>
      <c r="E2072" s="1030"/>
      <c r="F2072" s="1030"/>
      <c r="G2072" s="1030"/>
    </row>
    <row r="2073" spans="1:7" ht="43.5" hidden="1" customHeight="1">
      <c r="A2073" s="1991" t="e">
        <f ca="1">+A2041</f>
        <v>#NAME?</v>
      </c>
      <c r="B2073" s="1601"/>
      <c r="C2073" s="1602"/>
      <c r="D2073" s="1974" t="s">
        <v>2484</v>
      </c>
      <c r="E2073" s="1601"/>
      <c r="F2073" s="1601"/>
      <c r="G2073" s="1602"/>
    </row>
    <row r="2074" spans="1:7" ht="13.5" hidden="1" customHeight="1">
      <c r="A2074" s="1058"/>
      <c r="B2074" s="1058"/>
      <c r="C2074" s="1058"/>
      <c r="D2074" s="1058"/>
      <c r="E2074" s="1058"/>
      <c r="F2074" s="1058"/>
      <c r="G2074" s="1058"/>
    </row>
    <row r="2075" spans="1:7" ht="16.5" hidden="1" customHeight="1">
      <c r="A2075" s="718"/>
      <c r="B2075" s="1030"/>
      <c r="C2075" s="752"/>
      <c r="D2075" s="717" t="s">
        <v>1553</v>
      </c>
      <c r="E2075" s="717" t="s">
        <v>228</v>
      </c>
      <c r="F2075" s="421" t="s">
        <v>1554</v>
      </c>
      <c r="G2075" s="422" t="s">
        <v>158</v>
      </c>
    </row>
    <row r="2076" spans="1:7" ht="13.5" hidden="1" customHeight="1">
      <c r="A2076" s="794" t="s">
        <v>1555</v>
      </c>
      <c r="B2076" s="1030"/>
      <c r="C2076" s="1030"/>
      <c r="D2076" s="1030"/>
      <c r="E2076" s="1030"/>
      <c r="F2076" s="1030"/>
      <c r="G2076" s="1030"/>
    </row>
    <row r="2077" spans="1:7" ht="13.5" hidden="1" customHeight="1">
      <c r="A2077" s="2089" t="s">
        <v>1556</v>
      </c>
      <c r="B2077" s="1601"/>
      <c r="C2077" s="1801"/>
      <c r="D2077" s="719" t="s">
        <v>208</v>
      </c>
      <c r="E2077" s="719" t="s">
        <v>1558</v>
      </c>
      <c r="F2077" s="719" t="s">
        <v>1559</v>
      </c>
      <c r="G2077" s="720"/>
    </row>
    <row r="2078" spans="1:7" ht="13.5" hidden="1" customHeight="1">
      <c r="A2078" s="1987" t="str">
        <f>+'LISTADO EQUIPOS'!$C$22</f>
        <v>HERRAMIENTA MENOR.</v>
      </c>
      <c r="B2078" s="1811"/>
      <c r="C2078" s="1967"/>
      <c r="D2078" s="675">
        <f>+'LISTADO EQUIPOS'!$E$22/8</f>
        <v>2850</v>
      </c>
      <c r="E2078" s="687">
        <f>+E2095</f>
        <v>3</v>
      </c>
      <c r="F2078" s="675">
        <f>+D2078/E2078</f>
        <v>950</v>
      </c>
      <c r="G2078" s="688"/>
    </row>
    <row r="2079" spans="1:7" ht="13.5" hidden="1" customHeight="1">
      <c r="A2079" s="2090" t="str">
        <f>+'ANALISIS BASICOS'!$A$360</f>
        <v>FORMALETA EN MADERA</v>
      </c>
      <c r="B2079" s="1807"/>
      <c r="C2079" s="1819"/>
      <c r="D2079" s="1037">
        <f>+'ANALISIS BASICOS'!$G$360</f>
        <v>41998</v>
      </c>
      <c r="E2079" s="724">
        <v>0.01</v>
      </c>
      <c r="F2079" s="723">
        <f>+E2079*D2079</f>
        <v>419.98</v>
      </c>
      <c r="G2079" s="1038"/>
    </row>
    <row r="2080" spans="1:7" ht="13.5" hidden="1" customHeight="1">
      <c r="A2080" s="2087" t="s">
        <v>1560</v>
      </c>
      <c r="B2080" s="1601"/>
      <c r="C2080" s="1601"/>
      <c r="D2080" s="1601"/>
      <c r="E2080" s="1601"/>
      <c r="F2080" s="1801"/>
      <c r="G2080" s="725">
        <f>SUM(F2078:F2079)</f>
        <v>1369.98</v>
      </c>
    </row>
    <row r="2081" spans="1:7" ht="13.5" hidden="1" customHeight="1">
      <c r="A2081" s="794" t="s">
        <v>1561</v>
      </c>
      <c r="B2081" s="1030"/>
      <c r="C2081" s="1030"/>
      <c r="D2081" s="1030"/>
      <c r="E2081" s="1030"/>
      <c r="F2081" s="1030"/>
      <c r="G2081" s="1039"/>
    </row>
    <row r="2082" spans="1:7" ht="13.5" hidden="1" customHeight="1">
      <c r="A2082" s="2089" t="s">
        <v>1556</v>
      </c>
      <c r="B2082" s="1801"/>
      <c r="C2082" s="719" t="s">
        <v>6</v>
      </c>
      <c r="D2082" s="719" t="s">
        <v>1562</v>
      </c>
      <c r="E2082" s="719" t="s">
        <v>7</v>
      </c>
      <c r="F2082" s="719" t="s">
        <v>1559</v>
      </c>
      <c r="G2082" s="726"/>
    </row>
    <row r="2083" spans="1:7" ht="13.5" hidden="1" customHeight="1">
      <c r="A2083" s="2091" t="s">
        <v>408</v>
      </c>
      <c r="B2083" s="1967"/>
      <c r="C2083" s="727" t="s">
        <v>228</v>
      </c>
      <c r="D2083" s="1040">
        <v>44027.561747595406</v>
      </c>
      <c r="E2083" s="729">
        <v>1.05</v>
      </c>
      <c r="F2083" s="728">
        <f t="shared" ref="F2083:F2085" si="139">+E2083*D2083</f>
        <v>46228.939834975179</v>
      </c>
      <c r="G2083" s="730"/>
    </row>
    <row r="2084" spans="1:7" ht="13.5" hidden="1" customHeight="1">
      <c r="A2084" s="1995" t="str">
        <f>+'LISTADO MATERIALES'!$C$140</f>
        <v>CEMENTO BLANCO</v>
      </c>
      <c r="B2084" s="1611"/>
      <c r="C2084" s="444" t="str">
        <f>+'LISTADO MATERIALES'!$D$140</f>
        <v>KG</v>
      </c>
      <c r="D2084" s="464">
        <f>+'LISTADO MATERIALES'!$E$140</f>
        <v>1103</v>
      </c>
      <c r="E2084" s="444">
        <v>0.75</v>
      </c>
      <c r="F2084" s="440">
        <f t="shared" si="139"/>
        <v>827.25</v>
      </c>
      <c r="G2084" s="1042"/>
    </row>
    <row r="2085" spans="1:7" ht="13.5" hidden="1" customHeight="1">
      <c r="A2085" s="1995" t="str">
        <f>+'LISTADO MATERIALES'!$C$729</f>
        <v>BLANCO DE ZINC</v>
      </c>
      <c r="B2085" s="1611"/>
      <c r="C2085" s="444" t="str">
        <f>+'LISTADO MATERIALES'!$D$81</f>
        <v>LB</v>
      </c>
      <c r="D2085" s="464">
        <f>+'LISTADO MATERIALES'!$E$81</f>
        <v>8925</v>
      </c>
      <c r="E2085" s="444">
        <v>0.2</v>
      </c>
      <c r="F2085" s="440">
        <f t="shared" si="139"/>
        <v>1785</v>
      </c>
      <c r="G2085" s="1042"/>
    </row>
    <row r="2086" spans="1:7" ht="13.5" hidden="1" customHeight="1">
      <c r="A2086" s="2090"/>
      <c r="B2086" s="1819"/>
      <c r="C2086" s="1043"/>
      <c r="D2086" s="1037"/>
      <c r="E2086" s="1043"/>
      <c r="F2086" s="1037"/>
      <c r="G2086" s="1044"/>
    </row>
    <row r="2087" spans="1:7" ht="13.5" hidden="1" customHeight="1">
      <c r="A2087" s="2087" t="s">
        <v>1560</v>
      </c>
      <c r="B2087" s="1601"/>
      <c r="C2087" s="1601"/>
      <c r="D2087" s="1601"/>
      <c r="E2087" s="1601"/>
      <c r="F2087" s="1801"/>
      <c r="G2087" s="725">
        <f>SUM(F2083:F2086)</f>
        <v>48841.189834975179</v>
      </c>
    </row>
    <row r="2088" spans="1:7" ht="13.5" hidden="1" customHeight="1">
      <c r="A2088" s="794" t="s">
        <v>1563</v>
      </c>
      <c r="B2088" s="1030"/>
      <c r="C2088" s="1030"/>
      <c r="D2088" s="1030"/>
      <c r="E2088" s="1030"/>
      <c r="F2088" s="1030"/>
      <c r="G2088" s="1039"/>
    </row>
    <row r="2089" spans="1:7" ht="13.5" hidden="1" customHeight="1">
      <c r="A2089" s="2089" t="s">
        <v>1556</v>
      </c>
      <c r="B2089" s="1801"/>
      <c r="C2089" s="719" t="s">
        <v>6</v>
      </c>
      <c r="D2089" s="719" t="s">
        <v>1562</v>
      </c>
      <c r="E2089" s="719" t="s">
        <v>7</v>
      </c>
      <c r="F2089" s="719" t="s">
        <v>1559</v>
      </c>
      <c r="G2089" s="732"/>
    </row>
    <row r="2090" spans="1:7" ht="13.5" hidden="1" customHeight="1">
      <c r="A2090" s="2091"/>
      <c r="B2090" s="1967"/>
      <c r="C2090" s="1045"/>
      <c r="D2090" s="1040"/>
      <c r="E2090" s="1046"/>
      <c r="F2090" s="1041"/>
      <c r="G2090" s="730"/>
    </row>
    <row r="2091" spans="1:7" ht="13.5" hidden="1" customHeight="1">
      <c r="A2091" s="2090"/>
      <c r="B2091" s="1819"/>
      <c r="C2091" s="1045"/>
      <c r="D2091" s="1037"/>
      <c r="E2091" s="1047"/>
      <c r="F2091" s="1037"/>
      <c r="G2091" s="1048"/>
    </row>
    <row r="2092" spans="1:7" ht="13.5" hidden="1" customHeight="1">
      <c r="A2092" s="2087" t="s">
        <v>1560</v>
      </c>
      <c r="B2092" s="1601"/>
      <c r="C2092" s="1601"/>
      <c r="D2092" s="1601"/>
      <c r="E2092" s="1601"/>
      <c r="F2092" s="1801"/>
      <c r="G2092" s="725">
        <f>SUM(F2090:F2091)</f>
        <v>0</v>
      </c>
    </row>
    <row r="2093" spans="1:7" ht="13.5" hidden="1" customHeight="1">
      <c r="A2093" s="794" t="s">
        <v>1564</v>
      </c>
      <c r="B2093" s="1030"/>
      <c r="C2093" s="1030"/>
      <c r="D2093" s="1030"/>
      <c r="E2093" s="1030"/>
      <c r="F2093" s="1030"/>
      <c r="G2093" s="1039"/>
    </row>
    <row r="2094" spans="1:7" ht="13.5" hidden="1" customHeight="1">
      <c r="A2094" s="2089" t="s">
        <v>1565</v>
      </c>
      <c r="B2094" s="1801"/>
      <c r="C2094" s="719" t="s">
        <v>1566</v>
      </c>
      <c r="D2094" s="719" t="s">
        <v>6</v>
      </c>
      <c r="E2094" s="719" t="s">
        <v>7</v>
      </c>
      <c r="F2094" s="719" t="s">
        <v>1559</v>
      </c>
      <c r="G2094" s="725"/>
    </row>
    <row r="2095" spans="1:7" ht="13.5" hidden="1" customHeight="1">
      <c r="A2095" s="2093" t="str">
        <f>+'MANO DE OBRA'!$A$64</f>
        <v>Oficial (Incl. Prestaciones)</v>
      </c>
      <c r="B2095" s="1910"/>
      <c r="C2095" s="733">
        <f>+'MANO DE OBRA'!$E$64</f>
        <v>15031.25</v>
      </c>
      <c r="D2095" s="734">
        <v>1</v>
      </c>
      <c r="E2095" s="734">
        <v>3</v>
      </c>
      <c r="F2095" s="1062">
        <f t="shared" ref="F2095:F2096" si="140">+(C2095*D2095)/E2095</f>
        <v>5010.416666666667</v>
      </c>
      <c r="G2095" s="730"/>
    </row>
    <row r="2096" spans="1:7" ht="13.5" hidden="1" customHeight="1">
      <c r="A2096" s="2094" t="str">
        <f>+'MANO DE OBRA'!$A$65</f>
        <v>Ayudante (Incl. Prestaciones)</v>
      </c>
      <c r="B2096" s="1819"/>
      <c r="C2096" s="1049">
        <f>+'MANO DE OBRA'!$E$65</f>
        <v>10972.8125</v>
      </c>
      <c r="D2096" s="1050">
        <v>3</v>
      </c>
      <c r="E2096" s="1050">
        <f>+E2095</f>
        <v>3</v>
      </c>
      <c r="F2096" s="1063">
        <f t="shared" si="140"/>
        <v>10972.8125</v>
      </c>
      <c r="G2096" s="1044"/>
    </row>
    <row r="2097" spans="1:7" ht="13.5" hidden="1" customHeight="1">
      <c r="A2097" s="2087" t="str">
        <f>+A2092</f>
        <v>SUB-TOTAL</v>
      </c>
      <c r="B2097" s="1601"/>
      <c r="C2097" s="1601"/>
      <c r="D2097" s="1601"/>
      <c r="E2097" s="1601"/>
      <c r="F2097" s="1801"/>
      <c r="G2097" s="725">
        <f>SUM(F2095:F2096)</f>
        <v>15983.229166666668</v>
      </c>
    </row>
    <row r="2098" spans="1:7" ht="13.5" hidden="1" customHeight="1">
      <c r="A2098" s="1030"/>
      <c r="B2098" s="1030"/>
      <c r="C2098" s="1030"/>
      <c r="D2098" s="1030"/>
      <c r="E2098" s="1030"/>
      <c r="F2098" s="1051"/>
      <c r="G2098" s="1039"/>
    </row>
    <row r="2099" spans="1:7" ht="13.5" hidden="1" customHeight="1">
      <c r="A2099" s="2087" t="s">
        <v>1567</v>
      </c>
      <c r="B2099" s="1601"/>
      <c r="C2099" s="1601"/>
      <c r="D2099" s="1601"/>
      <c r="E2099" s="1601"/>
      <c r="F2099" s="1801"/>
      <c r="G2099" s="1060">
        <f>ROUND(G2080+G2087+G2092+G2097,0)</f>
        <v>66194</v>
      </c>
    </row>
    <row r="2100" spans="1:7" ht="13.5" hidden="1" customHeight="1">
      <c r="A2100" s="616"/>
      <c r="B2100" s="616"/>
      <c r="C2100" s="616"/>
      <c r="D2100" s="616"/>
      <c r="E2100" s="616"/>
      <c r="F2100" s="616"/>
      <c r="G2100" s="616"/>
    </row>
    <row r="2101" spans="1:7" ht="13.5" hidden="1" customHeight="1">
      <c r="A2101" s="616"/>
      <c r="B2101" s="616"/>
      <c r="C2101" s="616"/>
      <c r="D2101" s="616"/>
      <c r="E2101" s="616"/>
      <c r="F2101" s="616"/>
      <c r="G2101" s="616"/>
    </row>
    <row r="2102" spans="1:7" ht="30.75" hidden="1" customHeight="1">
      <c r="A2102" s="1994" t="e">
        <f>+'ANALISIS BASICOS'!$A$7</f>
        <v>#REF!</v>
      </c>
      <c r="B2102" s="1616"/>
      <c r="C2102" s="1624"/>
      <c r="D2102" s="1990"/>
      <c r="E2102" s="1616"/>
      <c r="F2102" s="1616"/>
      <c r="G2102" s="1624"/>
    </row>
    <row r="2103" spans="1:7" ht="24.75" hidden="1" customHeight="1">
      <c r="A2103" s="1971"/>
      <c r="B2103" s="1817"/>
      <c r="C2103" s="1972"/>
      <c r="D2103" s="1971"/>
      <c r="E2103" s="1817"/>
      <c r="F2103" s="1817"/>
      <c r="G2103" s="1972"/>
    </row>
    <row r="2104" spans="1:7" ht="13.5" hidden="1" customHeight="1">
      <c r="A2104" s="1030"/>
      <c r="B2104" s="1030"/>
      <c r="C2104" s="1030"/>
      <c r="D2104" s="1030"/>
      <c r="E2104" s="1030"/>
      <c r="F2104" s="1030"/>
      <c r="G2104" s="1030"/>
    </row>
    <row r="2105" spans="1:7" ht="43.5" hidden="1" customHeight="1">
      <c r="A2105" s="1991" t="e">
        <f ca="1">+A2073</f>
        <v>#NAME?</v>
      </c>
      <c r="B2105" s="1601"/>
      <c r="C2105" s="1602"/>
      <c r="D2105" s="1974" t="s">
        <v>2485</v>
      </c>
      <c r="E2105" s="1601"/>
      <c r="F2105" s="1601"/>
      <c r="G2105" s="1602"/>
    </row>
    <row r="2106" spans="1:7" ht="13.5" hidden="1" customHeight="1">
      <c r="A2106" s="1058"/>
      <c r="B2106" s="1058"/>
      <c r="C2106" s="1058"/>
      <c r="D2106" s="1058"/>
      <c r="E2106" s="1058"/>
      <c r="F2106" s="1058"/>
      <c r="G2106" s="1058"/>
    </row>
    <row r="2107" spans="1:7" ht="16.5" hidden="1" customHeight="1">
      <c r="A2107" s="718"/>
      <c r="B2107" s="1030"/>
      <c r="C2107" s="752"/>
      <c r="D2107" s="717" t="s">
        <v>1553</v>
      </c>
      <c r="E2107" s="717" t="s">
        <v>228</v>
      </c>
      <c r="F2107" s="421" t="s">
        <v>1554</v>
      </c>
      <c r="G2107" s="422" t="s">
        <v>159</v>
      </c>
    </row>
    <row r="2108" spans="1:7" ht="13.5" hidden="1" customHeight="1">
      <c r="A2108" s="794" t="s">
        <v>1555</v>
      </c>
      <c r="B2108" s="1030"/>
      <c r="C2108" s="1030"/>
      <c r="D2108" s="1030"/>
      <c r="E2108" s="1030"/>
      <c r="F2108" s="1030"/>
      <c r="G2108" s="1030"/>
    </row>
    <row r="2109" spans="1:7" ht="13.5" hidden="1" customHeight="1">
      <c r="A2109" s="2089" t="s">
        <v>1556</v>
      </c>
      <c r="B2109" s="1601"/>
      <c r="C2109" s="1801"/>
      <c r="D2109" s="719" t="s">
        <v>208</v>
      </c>
      <c r="E2109" s="719" t="s">
        <v>1558</v>
      </c>
      <c r="F2109" s="719" t="s">
        <v>1559</v>
      </c>
      <c r="G2109" s="720"/>
    </row>
    <row r="2110" spans="1:7" ht="13.5" hidden="1" customHeight="1">
      <c r="A2110" s="1987" t="str">
        <f>+'LISTADO EQUIPOS'!$C$22</f>
        <v>HERRAMIENTA MENOR.</v>
      </c>
      <c r="B2110" s="1811"/>
      <c r="C2110" s="1967"/>
      <c r="D2110" s="675">
        <f>+'LISTADO EQUIPOS'!$E$22/8</f>
        <v>2850</v>
      </c>
      <c r="E2110" s="687">
        <f>+E2127</f>
        <v>2.5</v>
      </c>
      <c r="F2110" s="675">
        <f>+D2110/E2110</f>
        <v>1140</v>
      </c>
      <c r="G2110" s="688"/>
    </row>
    <row r="2111" spans="1:7" ht="13.5" hidden="1" customHeight="1">
      <c r="A2111" s="2090" t="str">
        <f>+'ANALISIS BASICOS'!$A$360</f>
        <v>FORMALETA EN MADERA</v>
      </c>
      <c r="B2111" s="1807"/>
      <c r="C2111" s="1819"/>
      <c r="D2111" s="1037">
        <f>+'ANALISIS BASICOS'!$G$360</f>
        <v>41998</v>
      </c>
      <c r="E2111" s="724">
        <v>0.01</v>
      </c>
      <c r="F2111" s="723">
        <f>+E2111*D2111</f>
        <v>419.98</v>
      </c>
      <c r="G2111" s="1038"/>
    </row>
    <row r="2112" spans="1:7" ht="13.5" hidden="1" customHeight="1">
      <c r="A2112" s="2087" t="s">
        <v>1560</v>
      </c>
      <c r="B2112" s="1601"/>
      <c r="C2112" s="1601"/>
      <c r="D2112" s="1601"/>
      <c r="E2112" s="1601"/>
      <c r="F2112" s="1801"/>
      <c r="G2112" s="725">
        <f>SUM(F2110:F2111)</f>
        <v>1559.98</v>
      </c>
    </row>
    <row r="2113" spans="1:7" ht="13.5" hidden="1" customHeight="1">
      <c r="A2113" s="794" t="s">
        <v>1561</v>
      </c>
      <c r="B2113" s="1030"/>
      <c r="C2113" s="1030"/>
      <c r="D2113" s="1030"/>
      <c r="E2113" s="1030"/>
      <c r="F2113" s="1030"/>
      <c r="G2113" s="1039"/>
    </row>
    <row r="2114" spans="1:7" ht="13.5" hidden="1" customHeight="1">
      <c r="A2114" s="2089" t="s">
        <v>1556</v>
      </c>
      <c r="B2114" s="1801"/>
      <c r="C2114" s="719" t="s">
        <v>6</v>
      </c>
      <c r="D2114" s="719" t="s">
        <v>1562</v>
      </c>
      <c r="E2114" s="719" t="s">
        <v>7</v>
      </c>
      <c r="F2114" s="719" t="s">
        <v>1559</v>
      </c>
      <c r="G2114" s="726"/>
    </row>
    <row r="2115" spans="1:7" ht="13.5" hidden="1" customHeight="1">
      <c r="A2115" s="2091" t="s">
        <v>2486</v>
      </c>
      <c r="B2115" s="1967"/>
      <c r="C2115" s="727" t="s">
        <v>228</v>
      </c>
      <c r="D2115" s="1040">
        <v>54432.242088170839</v>
      </c>
      <c r="E2115" s="729">
        <v>1.05</v>
      </c>
      <c r="F2115" s="728">
        <f t="shared" ref="F2115:F2117" si="141">+E2115*D2115</f>
        <v>57153.854192579383</v>
      </c>
      <c r="G2115" s="730"/>
    </row>
    <row r="2116" spans="1:7" ht="13.5" hidden="1" customHeight="1">
      <c r="A2116" s="1995" t="str">
        <f>+'LISTADO MATERIALES'!$C$140</f>
        <v>CEMENTO BLANCO</v>
      </c>
      <c r="B2116" s="1611"/>
      <c r="C2116" s="444" t="str">
        <f>+'LISTADO MATERIALES'!$D$140</f>
        <v>KG</v>
      </c>
      <c r="D2116" s="464">
        <f>+'LISTADO MATERIALES'!$E$140</f>
        <v>1103</v>
      </c>
      <c r="E2116" s="444">
        <v>0.75</v>
      </c>
      <c r="F2116" s="440">
        <f t="shared" si="141"/>
        <v>827.25</v>
      </c>
      <c r="G2116" s="1042"/>
    </row>
    <row r="2117" spans="1:7" ht="13.5" hidden="1" customHeight="1">
      <c r="A2117" s="1995" t="str">
        <f>+'LISTADO MATERIALES'!$C$729</f>
        <v>BLANCO DE ZINC</v>
      </c>
      <c r="B2117" s="1611"/>
      <c r="C2117" s="444" t="str">
        <f>+'LISTADO MATERIALES'!$D$81</f>
        <v>LB</v>
      </c>
      <c r="D2117" s="464">
        <f>+'LISTADO MATERIALES'!$E$81</f>
        <v>8925</v>
      </c>
      <c r="E2117" s="444">
        <v>0.2</v>
      </c>
      <c r="F2117" s="440">
        <f t="shared" si="141"/>
        <v>1785</v>
      </c>
      <c r="G2117" s="1042"/>
    </row>
    <row r="2118" spans="1:7" ht="13.5" hidden="1" customHeight="1">
      <c r="A2118" s="2090"/>
      <c r="B2118" s="1819"/>
      <c r="C2118" s="1043"/>
      <c r="D2118" s="1037"/>
      <c r="E2118" s="1043"/>
      <c r="F2118" s="1037"/>
      <c r="G2118" s="1044"/>
    </row>
    <row r="2119" spans="1:7" ht="13.5" hidden="1" customHeight="1">
      <c r="A2119" s="2087" t="s">
        <v>1560</v>
      </c>
      <c r="B2119" s="1601"/>
      <c r="C2119" s="1601"/>
      <c r="D2119" s="1601"/>
      <c r="E2119" s="1601"/>
      <c r="F2119" s="1801"/>
      <c r="G2119" s="725">
        <f>SUM(F2115:F2118)</f>
        <v>59766.104192579383</v>
      </c>
    </row>
    <row r="2120" spans="1:7" ht="13.5" hidden="1" customHeight="1">
      <c r="A2120" s="794" t="s">
        <v>1563</v>
      </c>
      <c r="B2120" s="1030"/>
      <c r="C2120" s="1030"/>
      <c r="D2120" s="1030"/>
      <c r="E2120" s="1030"/>
      <c r="F2120" s="1030"/>
      <c r="G2120" s="1039"/>
    </row>
    <row r="2121" spans="1:7" ht="13.5" hidden="1" customHeight="1">
      <c r="A2121" s="2089" t="s">
        <v>1556</v>
      </c>
      <c r="B2121" s="1801"/>
      <c r="C2121" s="719" t="s">
        <v>6</v>
      </c>
      <c r="D2121" s="719" t="s">
        <v>1562</v>
      </c>
      <c r="E2121" s="719" t="s">
        <v>7</v>
      </c>
      <c r="F2121" s="719" t="s">
        <v>1559</v>
      </c>
      <c r="G2121" s="732"/>
    </row>
    <row r="2122" spans="1:7" ht="13.5" hidden="1" customHeight="1">
      <c r="A2122" s="2091"/>
      <c r="B2122" s="1967"/>
      <c r="C2122" s="1045"/>
      <c r="D2122" s="1040"/>
      <c r="E2122" s="1046"/>
      <c r="F2122" s="1041"/>
      <c r="G2122" s="730"/>
    </row>
    <row r="2123" spans="1:7" ht="13.5" hidden="1" customHeight="1">
      <c r="A2123" s="2090"/>
      <c r="B2123" s="1819"/>
      <c r="C2123" s="1045"/>
      <c r="D2123" s="1037"/>
      <c r="E2123" s="1047"/>
      <c r="F2123" s="1037"/>
      <c r="G2123" s="1048"/>
    </row>
    <row r="2124" spans="1:7" ht="13.5" hidden="1" customHeight="1">
      <c r="A2124" s="2087" t="s">
        <v>1560</v>
      </c>
      <c r="B2124" s="1601"/>
      <c r="C2124" s="1601"/>
      <c r="D2124" s="1601"/>
      <c r="E2124" s="1601"/>
      <c r="F2124" s="1801"/>
      <c r="G2124" s="725">
        <f>SUM(F2122:F2123)</f>
        <v>0</v>
      </c>
    </row>
    <row r="2125" spans="1:7" ht="13.5" hidden="1" customHeight="1">
      <c r="A2125" s="794" t="s">
        <v>1564</v>
      </c>
      <c r="B2125" s="1030"/>
      <c r="C2125" s="1030"/>
      <c r="D2125" s="1030"/>
      <c r="E2125" s="1030"/>
      <c r="F2125" s="1030"/>
      <c r="G2125" s="1039"/>
    </row>
    <row r="2126" spans="1:7" ht="13.5" hidden="1" customHeight="1">
      <c r="A2126" s="2089" t="s">
        <v>1565</v>
      </c>
      <c r="B2126" s="1801"/>
      <c r="C2126" s="719" t="s">
        <v>1566</v>
      </c>
      <c r="D2126" s="719" t="s">
        <v>6</v>
      </c>
      <c r="E2126" s="719" t="s">
        <v>7</v>
      </c>
      <c r="F2126" s="719" t="s">
        <v>1559</v>
      </c>
      <c r="G2126" s="725"/>
    </row>
    <row r="2127" spans="1:7" ht="13.5" hidden="1" customHeight="1">
      <c r="A2127" s="2093" t="str">
        <f>+'MANO DE OBRA'!$A$64</f>
        <v>Oficial (Incl. Prestaciones)</v>
      </c>
      <c r="B2127" s="1910"/>
      <c r="C2127" s="733">
        <f>+'MANO DE OBRA'!$E$64</f>
        <v>15031.25</v>
      </c>
      <c r="D2127" s="734">
        <v>1</v>
      </c>
      <c r="E2127" s="734">
        <v>2.5</v>
      </c>
      <c r="F2127" s="1062">
        <f t="shared" ref="F2127:F2128" si="142">+(C2127*D2127)/E2127</f>
        <v>6012.5</v>
      </c>
      <c r="G2127" s="730"/>
    </row>
    <row r="2128" spans="1:7" ht="13.5" hidden="1" customHeight="1">
      <c r="A2128" s="2094" t="str">
        <f>+'MANO DE OBRA'!$A$65</f>
        <v>Ayudante (Incl. Prestaciones)</v>
      </c>
      <c r="B2128" s="1819"/>
      <c r="C2128" s="1049">
        <f>+'MANO DE OBRA'!$E$65</f>
        <v>10972.8125</v>
      </c>
      <c r="D2128" s="1050">
        <v>3</v>
      </c>
      <c r="E2128" s="1050">
        <f>+E2127</f>
        <v>2.5</v>
      </c>
      <c r="F2128" s="1063">
        <f t="shared" si="142"/>
        <v>13167.375</v>
      </c>
      <c r="G2128" s="1044"/>
    </row>
    <row r="2129" spans="1:7" ht="13.5" hidden="1" customHeight="1">
      <c r="A2129" s="2087" t="str">
        <f>+A2124</f>
        <v>SUB-TOTAL</v>
      </c>
      <c r="B2129" s="1601"/>
      <c r="C2129" s="1601"/>
      <c r="D2129" s="1601"/>
      <c r="E2129" s="1601"/>
      <c r="F2129" s="1801"/>
      <c r="G2129" s="725">
        <f>SUM(F2127:F2128)</f>
        <v>19179.875</v>
      </c>
    </row>
    <row r="2130" spans="1:7" ht="13.5" hidden="1" customHeight="1">
      <c r="A2130" s="1030"/>
      <c r="B2130" s="1030"/>
      <c r="C2130" s="1030"/>
      <c r="D2130" s="1030"/>
      <c r="E2130" s="1030"/>
      <c r="F2130" s="1051"/>
      <c r="G2130" s="1039"/>
    </row>
    <row r="2131" spans="1:7" ht="13.5" hidden="1" customHeight="1">
      <c r="A2131" s="2087" t="s">
        <v>1567</v>
      </c>
      <c r="B2131" s="1601"/>
      <c r="C2131" s="1601"/>
      <c r="D2131" s="1601"/>
      <c r="E2131" s="1601"/>
      <c r="F2131" s="1801"/>
      <c r="G2131" s="1060">
        <f>ROUND(G2112+G2119+G2124+G2129,0)</f>
        <v>80506</v>
      </c>
    </row>
    <row r="2132" spans="1:7" ht="13.5" hidden="1" customHeight="1">
      <c r="A2132" s="616"/>
      <c r="B2132" s="616"/>
      <c r="C2132" s="616"/>
      <c r="D2132" s="616"/>
      <c r="E2132" s="616"/>
      <c r="F2132" s="616"/>
      <c r="G2132" s="616"/>
    </row>
    <row r="2133" spans="1:7" ht="13.5" hidden="1" customHeight="1">
      <c r="A2133" s="616"/>
      <c r="B2133" s="616"/>
      <c r="C2133" s="616"/>
      <c r="D2133" s="616"/>
      <c r="E2133" s="616"/>
      <c r="F2133" s="616"/>
      <c r="G2133" s="616"/>
    </row>
    <row r="2134" spans="1:7" ht="30.75" hidden="1" customHeight="1">
      <c r="A2134" s="1994" t="e">
        <f>+'ANALISIS BASICOS'!$A$7</f>
        <v>#REF!</v>
      </c>
      <c r="B2134" s="1616"/>
      <c r="C2134" s="1624"/>
      <c r="D2134" s="1990"/>
      <c r="E2134" s="1616"/>
      <c r="F2134" s="1616"/>
      <c r="G2134" s="1624"/>
    </row>
    <row r="2135" spans="1:7" ht="24.75" hidden="1" customHeight="1">
      <c r="A2135" s="1971"/>
      <c r="B2135" s="1817"/>
      <c r="C2135" s="1972"/>
      <c r="D2135" s="1971"/>
      <c r="E2135" s="1817"/>
      <c r="F2135" s="1817"/>
      <c r="G2135" s="1972"/>
    </row>
    <row r="2136" spans="1:7" ht="13.5" hidden="1" customHeight="1">
      <c r="A2136" s="1030"/>
      <c r="B2136" s="1030"/>
      <c r="C2136" s="1030"/>
      <c r="D2136" s="1030"/>
      <c r="E2136" s="1030"/>
      <c r="F2136" s="1030"/>
      <c r="G2136" s="1030"/>
    </row>
    <row r="2137" spans="1:7" ht="43.5" hidden="1" customHeight="1">
      <c r="A2137" s="1991" t="e">
        <f ca="1">+A2105</f>
        <v>#NAME?</v>
      </c>
      <c r="B2137" s="1601"/>
      <c r="C2137" s="1602"/>
      <c r="D2137" s="1974" t="s">
        <v>2487</v>
      </c>
      <c r="E2137" s="1601"/>
      <c r="F2137" s="1601"/>
      <c r="G2137" s="1602"/>
    </row>
    <row r="2138" spans="1:7" ht="13.5" hidden="1" customHeight="1">
      <c r="A2138" s="1058"/>
      <c r="B2138" s="1058"/>
      <c r="C2138" s="1058"/>
      <c r="D2138" s="1058"/>
      <c r="E2138" s="1058"/>
      <c r="F2138" s="1058"/>
      <c r="G2138" s="1058"/>
    </row>
    <row r="2139" spans="1:7" ht="16.5" hidden="1" customHeight="1">
      <c r="A2139" s="718"/>
      <c r="B2139" s="1030"/>
      <c r="C2139" s="752"/>
      <c r="D2139" s="717" t="s">
        <v>1553</v>
      </c>
      <c r="E2139" s="717" t="s">
        <v>228</v>
      </c>
      <c r="F2139" s="421" t="s">
        <v>1554</v>
      </c>
      <c r="G2139" s="422" t="s">
        <v>160</v>
      </c>
    </row>
    <row r="2140" spans="1:7" ht="13.5" hidden="1" customHeight="1">
      <c r="A2140" s="794" t="s">
        <v>1555</v>
      </c>
      <c r="B2140" s="1030"/>
      <c r="C2140" s="1030"/>
      <c r="D2140" s="1030"/>
      <c r="E2140" s="1030"/>
      <c r="F2140" s="1030"/>
      <c r="G2140" s="1030"/>
    </row>
    <row r="2141" spans="1:7" ht="13.5" hidden="1" customHeight="1">
      <c r="A2141" s="2089" t="s">
        <v>1556</v>
      </c>
      <c r="B2141" s="1601"/>
      <c r="C2141" s="1801"/>
      <c r="D2141" s="719" t="s">
        <v>208</v>
      </c>
      <c r="E2141" s="719" t="s">
        <v>1558</v>
      </c>
      <c r="F2141" s="719" t="s">
        <v>1559</v>
      </c>
      <c r="G2141" s="720"/>
    </row>
    <row r="2142" spans="1:7" ht="13.5" hidden="1" customHeight="1">
      <c r="A2142" s="1987" t="str">
        <f>+'LISTADO EQUIPOS'!$C$22</f>
        <v>HERRAMIENTA MENOR.</v>
      </c>
      <c r="B2142" s="1811"/>
      <c r="C2142" s="1967"/>
      <c r="D2142" s="675">
        <f>+'LISTADO EQUIPOS'!$E$22/8</f>
        <v>2850</v>
      </c>
      <c r="E2142" s="687">
        <f>+E2159</f>
        <v>2.1914422000373208</v>
      </c>
      <c r="F2142" s="675">
        <f>+D2142/E2142</f>
        <v>1300.5134244250037</v>
      </c>
      <c r="G2142" s="688"/>
    </row>
    <row r="2143" spans="1:7" ht="13.5" hidden="1" customHeight="1">
      <c r="A2143" s="2090" t="str">
        <f>+'ANALISIS BASICOS'!$A$360</f>
        <v>FORMALETA EN MADERA</v>
      </c>
      <c r="B2143" s="1807"/>
      <c r="C2143" s="1819"/>
      <c r="D2143" s="1037">
        <f>+'ANALISIS BASICOS'!$G$360</f>
        <v>41998</v>
      </c>
      <c r="E2143" s="724">
        <v>0.01</v>
      </c>
      <c r="F2143" s="723">
        <f>+E2143*D2143</f>
        <v>419.98</v>
      </c>
      <c r="G2143" s="1038"/>
    </row>
    <row r="2144" spans="1:7" ht="13.5" hidden="1" customHeight="1">
      <c r="A2144" s="2087" t="s">
        <v>1560</v>
      </c>
      <c r="B2144" s="1601"/>
      <c r="C2144" s="1601"/>
      <c r="D2144" s="1601"/>
      <c r="E2144" s="1601"/>
      <c r="F2144" s="1801"/>
      <c r="G2144" s="725">
        <f>SUM(F2142:F2143)</f>
        <v>1720.4934244250037</v>
      </c>
    </row>
    <row r="2145" spans="1:7" ht="13.5" hidden="1" customHeight="1">
      <c r="A2145" s="794" t="s">
        <v>1561</v>
      </c>
      <c r="B2145" s="1030"/>
      <c r="C2145" s="1030"/>
      <c r="D2145" s="1030"/>
      <c r="E2145" s="1030"/>
      <c r="F2145" s="1030"/>
      <c r="G2145" s="1039"/>
    </row>
    <row r="2146" spans="1:7" ht="13.5" hidden="1" customHeight="1">
      <c r="A2146" s="2089" t="s">
        <v>1556</v>
      </c>
      <c r="B2146" s="1801"/>
      <c r="C2146" s="719" t="s">
        <v>6</v>
      </c>
      <c r="D2146" s="719" t="s">
        <v>1562</v>
      </c>
      <c r="E2146" s="719" t="s">
        <v>7</v>
      </c>
      <c r="F2146" s="719" t="s">
        <v>1559</v>
      </c>
      <c r="G2146" s="726"/>
    </row>
    <row r="2147" spans="1:7" ht="13.5" hidden="1" customHeight="1">
      <c r="A2147" s="2091" t="s">
        <v>411</v>
      </c>
      <c r="B2147" s="1967"/>
      <c r="C2147" s="727" t="s">
        <v>228</v>
      </c>
      <c r="D2147" s="1040">
        <v>39450</v>
      </c>
      <c r="E2147" s="729">
        <v>1.05</v>
      </c>
      <c r="F2147" s="728">
        <f t="shared" ref="F2147:F2149" si="143">+E2147*D2147</f>
        <v>41422.5</v>
      </c>
      <c r="G2147" s="730"/>
    </row>
    <row r="2148" spans="1:7" ht="13.5" hidden="1" customHeight="1">
      <c r="A2148" s="1995" t="str">
        <f>+'LISTADO MATERIALES'!$C$140</f>
        <v>CEMENTO BLANCO</v>
      </c>
      <c r="B2148" s="1611"/>
      <c r="C2148" s="444" t="str">
        <f>+'LISTADO MATERIALES'!$D$140</f>
        <v>KG</v>
      </c>
      <c r="D2148" s="464">
        <f>+'LISTADO MATERIALES'!$E$140</f>
        <v>1103</v>
      </c>
      <c r="E2148" s="444">
        <v>0.75</v>
      </c>
      <c r="F2148" s="440">
        <f t="shared" si="143"/>
        <v>827.25</v>
      </c>
      <c r="G2148" s="1042"/>
    </row>
    <row r="2149" spans="1:7" ht="13.5" hidden="1" customHeight="1">
      <c r="A2149" s="1995" t="str">
        <f>+'LISTADO MATERIALES'!$C$729</f>
        <v>BLANCO DE ZINC</v>
      </c>
      <c r="B2149" s="1611"/>
      <c r="C2149" s="444" t="str">
        <f>+'LISTADO MATERIALES'!$D$81</f>
        <v>LB</v>
      </c>
      <c r="D2149" s="464">
        <f>+'LISTADO MATERIALES'!$E$81</f>
        <v>8925</v>
      </c>
      <c r="E2149" s="444">
        <v>0.2</v>
      </c>
      <c r="F2149" s="440">
        <f t="shared" si="143"/>
        <v>1785</v>
      </c>
      <c r="G2149" s="1042"/>
    </row>
    <row r="2150" spans="1:7" ht="13.5" hidden="1" customHeight="1">
      <c r="A2150" s="2090"/>
      <c r="B2150" s="1819"/>
      <c r="C2150" s="1043"/>
      <c r="D2150" s="1037"/>
      <c r="E2150" s="1043"/>
      <c r="F2150" s="1037"/>
      <c r="G2150" s="1044"/>
    </row>
    <row r="2151" spans="1:7" ht="13.5" hidden="1" customHeight="1">
      <c r="A2151" s="2087" t="s">
        <v>1560</v>
      </c>
      <c r="B2151" s="1601"/>
      <c r="C2151" s="1601"/>
      <c r="D2151" s="1601"/>
      <c r="E2151" s="1601"/>
      <c r="F2151" s="1801"/>
      <c r="G2151" s="725">
        <f>SUM(F2147:F2150)</f>
        <v>44034.75</v>
      </c>
    </row>
    <row r="2152" spans="1:7" ht="13.5" hidden="1" customHeight="1">
      <c r="A2152" s="794" t="s">
        <v>1563</v>
      </c>
      <c r="B2152" s="1030"/>
      <c r="C2152" s="1030"/>
      <c r="D2152" s="1030"/>
      <c r="E2152" s="1030"/>
      <c r="F2152" s="1030"/>
      <c r="G2152" s="1039"/>
    </row>
    <row r="2153" spans="1:7" ht="13.5" hidden="1" customHeight="1">
      <c r="A2153" s="2089" t="s">
        <v>1556</v>
      </c>
      <c r="B2153" s="1801"/>
      <c r="C2153" s="719" t="s">
        <v>6</v>
      </c>
      <c r="D2153" s="719" t="s">
        <v>1562</v>
      </c>
      <c r="E2153" s="719" t="s">
        <v>7</v>
      </c>
      <c r="F2153" s="719" t="s">
        <v>1559</v>
      </c>
      <c r="G2153" s="732"/>
    </row>
    <row r="2154" spans="1:7" ht="13.5" hidden="1" customHeight="1">
      <c r="A2154" s="2091"/>
      <c r="B2154" s="1967"/>
      <c r="C2154" s="1045"/>
      <c r="D2154" s="1040"/>
      <c r="E2154" s="1046"/>
      <c r="F2154" s="1041"/>
      <c r="G2154" s="730"/>
    </row>
    <row r="2155" spans="1:7" ht="13.5" hidden="1" customHeight="1">
      <c r="A2155" s="2090"/>
      <c r="B2155" s="1819"/>
      <c r="C2155" s="1045"/>
      <c r="D2155" s="1037"/>
      <c r="E2155" s="1047"/>
      <c r="F2155" s="1037"/>
      <c r="G2155" s="1048"/>
    </row>
    <row r="2156" spans="1:7" ht="13.5" hidden="1" customHeight="1">
      <c r="A2156" s="2087" t="s">
        <v>1560</v>
      </c>
      <c r="B2156" s="1601"/>
      <c r="C2156" s="1601"/>
      <c r="D2156" s="1601"/>
      <c r="E2156" s="1601"/>
      <c r="F2156" s="1801"/>
      <c r="G2156" s="725">
        <f>SUM(F2154:F2155)</f>
        <v>0</v>
      </c>
    </row>
    <row r="2157" spans="1:7" ht="13.5" hidden="1" customHeight="1">
      <c r="A2157" s="794" t="s">
        <v>1564</v>
      </c>
      <c r="B2157" s="1030"/>
      <c r="C2157" s="1030"/>
      <c r="D2157" s="1030"/>
      <c r="E2157" s="1030"/>
      <c r="F2157" s="1030"/>
      <c r="G2157" s="1039"/>
    </row>
    <row r="2158" spans="1:7" ht="13.5" hidden="1" customHeight="1">
      <c r="A2158" s="2089" t="s">
        <v>1565</v>
      </c>
      <c r="B2158" s="1801"/>
      <c r="C2158" s="719" t="s">
        <v>1566</v>
      </c>
      <c r="D2158" s="719" t="s">
        <v>6</v>
      </c>
      <c r="E2158" s="719" t="s">
        <v>7</v>
      </c>
      <c r="F2158" s="719" t="s">
        <v>1559</v>
      </c>
      <c r="G2158" s="725"/>
    </row>
    <row r="2159" spans="1:7" ht="13.5" hidden="1" customHeight="1">
      <c r="A2159" s="2093" t="str">
        <f>+'MANO DE OBRA'!$A$64</f>
        <v>Oficial (Incl. Prestaciones)</v>
      </c>
      <c r="B2159" s="1910"/>
      <c r="C2159" s="733">
        <f>+'MANO DE OBRA'!$E$64</f>
        <v>15031.25</v>
      </c>
      <c r="D2159" s="734">
        <v>1</v>
      </c>
      <c r="E2159" s="734">
        <v>2.1914422000373208</v>
      </c>
      <c r="F2159" s="1062">
        <f t="shared" ref="F2159:F2160" si="144">+(C2159*D2159)/E2159</f>
        <v>6859.067512592399</v>
      </c>
      <c r="G2159" s="730"/>
    </row>
    <row r="2160" spans="1:7" ht="13.5" hidden="1" customHeight="1">
      <c r="A2160" s="2094" t="str">
        <f>+'MANO DE OBRA'!$A$65</f>
        <v>Ayudante (Incl. Prestaciones)</v>
      </c>
      <c r="B2160" s="1819"/>
      <c r="C2160" s="1049">
        <f>+'MANO DE OBRA'!$E$65</f>
        <v>10972.8125</v>
      </c>
      <c r="D2160" s="1050">
        <v>3</v>
      </c>
      <c r="E2160" s="1050">
        <f>+E2159</f>
        <v>2.1914422000373208</v>
      </c>
      <c r="F2160" s="1063">
        <f t="shared" si="144"/>
        <v>15021.357852577354</v>
      </c>
      <c r="G2160" s="1044"/>
    </row>
    <row r="2161" spans="1:7" ht="13.5" hidden="1" customHeight="1">
      <c r="A2161" s="2087" t="str">
        <f>+A2156</f>
        <v>SUB-TOTAL</v>
      </c>
      <c r="B2161" s="1601"/>
      <c r="C2161" s="1601"/>
      <c r="D2161" s="1601"/>
      <c r="E2161" s="1601"/>
      <c r="F2161" s="1801"/>
      <c r="G2161" s="725">
        <f>SUM(F2159:F2160)</f>
        <v>21880.425365169751</v>
      </c>
    </row>
    <row r="2162" spans="1:7" ht="13.5" hidden="1" customHeight="1">
      <c r="A2162" s="1030"/>
      <c r="B2162" s="1030"/>
      <c r="C2162" s="1030"/>
      <c r="D2162" s="1030"/>
      <c r="E2162" s="1030"/>
      <c r="F2162" s="1051"/>
      <c r="G2162" s="1039"/>
    </row>
    <row r="2163" spans="1:7" ht="13.5" hidden="1" customHeight="1">
      <c r="A2163" s="2087" t="s">
        <v>1567</v>
      </c>
      <c r="B2163" s="1601"/>
      <c r="C2163" s="1601"/>
      <c r="D2163" s="1601"/>
      <c r="E2163" s="1601"/>
      <c r="F2163" s="1801"/>
      <c r="G2163" s="1060">
        <f>ROUND(G2144+G2151+G2156+G2161,0)</f>
        <v>67636</v>
      </c>
    </row>
    <row r="2164" spans="1:7" ht="13.5" hidden="1" customHeight="1">
      <c r="A2164" s="616"/>
      <c r="B2164" s="616"/>
      <c r="C2164" s="616"/>
      <c r="D2164" s="616"/>
      <c r="E2164" s="616"/>
      <c r="F2164" s="616"/>
      <c r="G2164" s="616"/>
    </row>
    <row r="2165" spans="1:7" ht="13.5" hidden="1" customHeight="1">
      <c r="A2165" s="616"/>
      <c r="B2165" s="616"/>
      <c r="C2165" s="616"/>
      <c r="D2165" s="616"/>
      <c r="E2165" s="616"/>
      <c r="F2165" s="616"/>
      <c r="G2165" s="616"/>
    </row>
    <row r="2166" spans="1:7" ht="30.75" hidden="1" customHeight="1">
      <c r="A2166" s="1994" t="e">
        <f>+'ANALISIS BASICOS'!$A$7</f>
        <v>#REF!</v>
      </c>
      <c r="B2166" s="1616"/>
      <c r="C2166" s="1624"/>
      <c r="D2166" s="1990"/>
      <c r="E2166" s="1616"/>
      <c r="F2166" s="1616"/>
      <c r="G2166" s="1624"/>
    </row>
    <row r="2167" spans="1:7" ht="24.75" hidden="1" customHeight="1">
      <c r="A2167" s="1971"/>
      <c r="B2167" s="1817"/>
      <c r="C2167" s="1972"/>
      <c r="D2167" s="1971"/>
      <c r="E2167" s="1817"/>
      <c r="F2167" s="1817"/>
      <c r="G2167" s="1972"/>
    </row>
    <row r="2168" spans="1:7" ht="13.5" hidden="1" customHeight="1">
      <c r="A2168" s="1030"/>
      <c r="B2168" s="1030"/>
      <c r="C2168" s="1030"/>
      <c r="D2168" s="1030"/>
      <c r="E2168" s="1030"/>
      <c r="F2168" s="1030"/>
      <c r="G2168" s="1030"/>
    </row>
    <row r="2169" spans="1:7" ht="43.5" hidden="1" customHeight="1">
      <c r="A2169" s="1991" t="e">
        <f ca="1">+A2137</f>
        <v>#NAME?</v>
      </c>
      <c r="B2169" s="1601"/>
      <c r="C2169" s="1602"/>
      <c r="D2169" s="1974" t="s">
        <v>2488</v>
      </c>
      <c r="E2169" s="1601"/>
      <c r="F2169" s="1601"/>
      <c r="G2169" s="1602"/>
    </row>
    <row r="2170" spans="1:7" ht="13.5" hidden="1" customHeight="1">
      <c r="A2170" s="1058"/>
      <c r="B2170" s="1058"/>
      <c r="C2170" s="1058"/>
      <c r="D2170" s="1058"/>
      <c r="E2170" s="1058"/>
      <c r="F2170" s="1058"/>
      <c r="G2170" s="1058"/>
    </row>
    <row r="2171" spans="1:7" ht="16.5" hidden="1" customHeight="1">
      <c r="A2171" s="718"/>
      <c r="B2171" s="1030"/>
      <c r="C2171" s="752"/>
      <c r="D2171" s="717" t="s">
        <v>1553</v>
      </c>
      <c r="E2171" s="717" t="s">
        <v>228</v>
      </c>
      <c r="F2171" s="421" t="s">
        <v>1554</v>
      </c>
      <c r="G2171" s="422" t="s">
        <v>161</v>
      </c>
    </row>
    <row r="2172" spans="1:7" ht="13.5" hidden="1" customHeight="1">
      <c r="A2172" s="794" t="s">
        <v>1555</v>
      </c>
      <c r="B2172" s="1030"/>
      <c r="C2172" s="1030"/>
      <c r="D2172" s="1030"/>
      <c r="E2172" s="1030"/>
      <c r="F2172" s="1030"/>
      <c r="G2172" s="1030"/>
    </row>
    <row r="2173" spans="1:7" ht="13.5" hidden="1" customHeight="1">
      <c r="A2173" s="2089" t="s">
        <v>1556</v>
      </c>
      <c r="B2173" s="1601"/>
      <c r="C2173" s="1801"/>
      <c r="D2173" s="719" t="s">
        <v>208</v>
      </c>
      <c r="E2173" s="719" t="s">
        <v>1558</v>
      </c>
      <c r="F2173" s="719" t="s">
        <v>1559</v>
      </c>
      <c r="G2173" s="720"/>
    </row>
    <row r="2174" spans="1:7" ht="13.5" hidden="1" customHeight="1">
      <c r="A2174" s="1987" t="str">
        <f>+'LISTADO EQUIPOS'!$C$22</f>
        <v>HERRAMIENTA MENOR.</v>
      </c>
      <c r="B2174" s="1811"/>
      <c r="C2174" s="1967"/>
      <c r="D2174" s="675">
        <f>+'LISTADO EQUIPOS'!$E$22/8</f>
        <v>2850</v>
      </c>
      <c r="E2174" s="687">
        <f>+E2191</f>
        <v>2.5</v>
      </c>
      <c r="F2174" s="675">
        <f>+D2174/E2174</f>
        <v>1140</v>
      </c>
      <c r="G2174" s="688"/>
    </row>
    <row r="2175" spans="1:7" ht="13.5" hidden="1" customHeight="1">
      <c r="A2175" s="2090" t="str">
        <f>+'ANALISIS BASICOS'!$A$360</f>
        <v>FORMALETA EN MADERA</v>
      </c>
      <c r="B2175" s="1807"/>
      <c r="C2175" s="1819"/>
      <c r="D2175" s="1037">
        <f>+'ANALISIS BASICOS'!$G$360</f>
        <v>41998</v>
      </c>
      <c r="E2175" s="724">
        <v>0.01</v>
      </c>
      <c r="F2175" s="723">
        <f>+E2175*D2175</f>
        <v>419.98</v>
      </c>
      <c r="G2175" s="1038"/>
    </row>
    <row r="2176" spans="1:7" ht="13.5" hidden="1" customHeight="1">
      <c r="A2176" s="2087" t="s">
        <v>1560</v>
      </c>
      <c r="B2176" s="1601"/>
      <c r="C2176" s="1601"/>
      <c r="D2176" s="1601"/>
      <c r="E2176" s="1601"/>
      <c r="F2176" s="1801"/>
      <c r="G2176" s="725">
        <f>SUM(F2174:F2175)</f>
        <v>1559.98</v>
      </c>
    </row>
    <row r="2177" spans="1:7" ht="13.5" hidden="1" customHeight="1">
      <c r="A2177" s="794" t="s">
        <v>1561</v>
      </c>
      <c r="B2177" s="1030"/>
      <c r="C2177" s="1030"/>
      <c r="D2177" s="1030"/>
      <c r="E2177" s="1030"/>
      <c r="F2177" s="1030"/>
      <c r="G2177" s="1039"/>
    </row>
    <row r="2178" spans="1:7" ht="13.5" hidden="1" customHeight="1">
      <c r="A2178" s="2089" t="s">
        <v>1556</v>
      </c>
      <c r="B2178" s="1801"/>
      <c r="C2178" s="719" t="s">
        <v>6</v>
      </c>
      <c r="D2178" s="719" t="s">
        <v>1562</v>
      </c>
      <c r="E2178" s="719" t="s">
        <v>7</v>
      </c>
      <c r="F2178" s="719" t="s">
        <v>1559</v>
      </c>
      <c r="G2178" s="726"/>
    </row>
    <row r="2179" spans="1:7" ht="13.5" hidden="1" customHeight="1">
      <c r="A2179" s="2091" t="s">
        <v>413</v>
      </c>
      <c r="B2179" s="1967"/>
      <c r="C2179" s="727" t="s">
        <v>228</v>
      </c>
      <c r="D2179" s="1040">
        <v>46055.756736412528</v>
      </c>
      <c r="E2179" s="729">
        <v>1.05</v>
      </c>
      <c r="F2179" s="728">
        <f t="shared" ref="F2179:F2181" si="145">+E2179*D2179</f>
        <v>48358.544573233157</v>
      </c>
      <c r="G2179" s="730"/>
    </row>
    <row r="2180" spans="1:7" ht="13.5" hidden="1" customHeight="1">
      <c r="A2180" s="1995" t="str">
        <f>+'LISTADO MATERIALES'!$C$140</f>
        <v>CEMENTO BLANCO</v>
      </c>
      <c r="B2180" s="1611"/>
      <c r="C2180" s="444" t="str">
        <f>+'LISTADO MATERIALES'!$D$140</f>
        <v>KG</v>
      </c>
      <c r="D2180" s="464">
        <f>+'LISTADO MATERIALES'!$E$140</f>
        <v>1103</v>
      </c>
      <c r="E2180" s="444">
        <v>0.75</v>
      </c>
      <c r="F2180" s="440">
        <f t="shared" si="145"/>
        <v>827.25</v>
      </c>
      <c r="G2180" s="1042"/>
    </row>
    <row r="2181" spans="1:7" ht="13.5" hidden="1" customHeight="1">
      <c r="A2181" s="1995" t="str">
        <f>+'LISTADO MATERIALES'!$C$729</f>
        <v>BLANCO DE ZINC</v>
      </c>
      <c r="B2181" s="1611"/>
      <c r="C2181" s="444" t="str">
        <f>+'LISTADO MATERIALES'!$D$81</f>
        <v>LB</v>
      </c>
      <c r="D2181" s="464">
        <f>+'LISTADO MATERIALES'!$E$81</f>
        <v>8925</v>
      </c>
      <c r="E2181" s="444">
        <v>0.2</v>
      </c>
      <c r="F2181" s="440">
        <f t="shared" si="145"/>
        <v>1785</v>
      </c>
      <c r="G2181" s="1042"/>
    </row>
    <row r="2182" spans="1:7" ht="13.5" hidden="1" customHeight="1">
      <c r="A2182" s="2090"/>
      <c r="B2182" s="1819"/>
      <c r="C2182" s="1043"/>
      <c r="D2182" s="1037"/>
      <c r="E2182" s="1043"/>
      <c r="F2182" s="1037"/>
      <c r="G2182" s="1044"/>
    </row>
    <row r="2183" spans="1:7" ht="13.5" hidden="1" customHeight="1">
      <c r="A2183" s="2087" t="s">
        <v>1560</v>
      </c>
      <c r="B2183" s="1601"/>
      <c r="C2183" s="1601"/>
      <c r="D2183" s="1601"/>
      <c r="E2183" s="1601"/>
      <c r="F2183" s="1801"/>
      <c r="G2183" s="725">
        <f>SUM(F2179:F2182)</f>
        <v>50970.794573233157</v>
      </c>
    </row>
    <row r="2184" spans="1:7" ht="13.5" hidden="1" customHeight="1">
      <c r="A2184" s="794" t="s">
        <v>1563</v>
      </c>
      <c r="B2184" s="1030"/>
      <c r="C2184" s="1030"/>
      <c r="D2184" s="1030"/>
      <c r="E2184" s="1030"/>
      <c r="F2184" s="1030"/>
      <c r="G2184" s="1039"/>
    </row>
    <row r="2185" spans="1:7" ht="13.5" hidden="1" customHeight="1">
      <c r="A2185" s="2089" t="s">
        <v>1556</v>
      </c>
      <c r="B2185" s="1801"/>
      <c r="C2185" s="719" t="s">
        <v>6</v>
      </c>
      <c r="D2185" s="719" t="s">
        <v>1562</v>
      </c>
      <c r="E2185" s="719" t="s">
        <v>7</v>
      </c>
      <c r="F2185" s="719" t="s">
        <v>1559</v>
      </c>
      <c r="G2185" s="732"/>
    </row>
    <row r="2186" spans="1:7" ht="13.5" hidden="1" customHeight="1">
      <c r="A2186" s="2091"/>
      <c r="B2186" s="1967"/>
      <c r="C2186" s="1045"/>
      <c r="D2186" s="1040"/>
      <c r="E2186" s="1046"/>
      <c r="F2186" s="1041"/>
      <c r="G2186" s="730"/>
    </row>
    <row r="2187" spans="1:7" ht="13.5" hidden="1" customHeight="1">
      <c r="A2187" s="2090"/>
      <c r="B2187" s="1819"/>
      <c r="C2187" s="1045"/>
      <c r="D2187" s="1037"/>
      <c r="E2187" s="1047"/>
      <c r="F2187" s="1037"/>
      <c r="G2187" s="1048"/>
    </row>
    <row r="2188" spans="1:7" ht="13.5" hidden="1" customHeight="1">
      <c r="A2188" s="2087" t="s">
        <v>1560</v>
      </c>
      <c r="B2188" s="1601"/>
      <c r="C2188" s="1601"/>
      <c r="D2188" s="1601"/>
      <c r="E2188" s="1601"/>
      <c r="F2188" s="1801"/>
      <c r="G2188" s="725">
        <f>SUM(F2186:F2187)</f>
        <v>0</v>
      </c>
    </row>
    <row r="2189" spans="1:7" ht="13.5" hidden="1" customHeight="1">
      <c r="A2189" s="794" t="s">
        <v>1564</v>
      </c>
      <c r="B2189" s="1030"/>
      <c r="C2189" s="1030"/>
      <c r="D2189" s="1030"/>
      <c r="E2189" s="1030"/>
      <c r="F2189" s="1030"/>
      <c r="G2189" s="1039"/>
    </row>
    <row r="2190" spans="1:7" ht="13.5" hidden="1" customHeight="1">
      <c r="A2190" s="2089" t="s">
        <v>1565</v>
      </c>
      <c r="B2190" s="1801"/>
      <c r="C2190" s="719" t="s">
        <v>1566</v>
      </c>
      <c r="D2190" s="719" t="s">
        <v>6</v>
      </c>
      <c r="E2190" s="719" t="s">
        <v>7</v>
      </c>
      <c r="F2190" s="719" t="s">
        <v>1559</v>
      </c>
      <c r="G2190" s="725"/>
    </row>
    <row r="2191" spans="1:7" ht="13.5" hidden="1" customHeight="1">
      <c r="A2191" s="2093" t="str">
        <f>+'MANO DE OBRA'!$A$64</f>
        <v>Oficial (Incl. Prestaciones)</v>
      </c>
      <c r="B2191" s="1910"/>
      <c r="C2191" s="733">
        <f>+'MANO DE OBRA'!$E$64</f>
        <v>15031.25</v>
      </c>
      <c r="D2191" s="734">
        <v>1</v>
      </c>
      <c r="E2191" s="734">
        <v>2.5</v>
      </c>
      <c r="F2191" s="1062">
        <f t="shared" ref="F2191:F2192" si="146">+(C2191*D2191)/E2191</f>
        <v>6012.5</v>
      </c>
      <c r="G2191" s="730"/>
    </row>
    <row r="2192" spans="1:7" ht="13.5" hidden="1" customHeight="1">
      <c r="A2192" s="2094" t="str">
        <f>+'MANO DE OBRA'!$A$65</f>
        <v>Ayudante (Incl. Prestaciones)</v>
      </c>
      <c r="B2192" s="1819"/>
      <c r="C2192" s="1049">
        <f>+'MANO DE OBRA'!$E$65</f>
        <v>10972.8125</v>
      </c>
      <c r="D2192" s="1050">
        <v>3</v>
      </c>
      <c r="E2192" s="1050">
        <v>3</v>
      </c>
      <c r="F2192" s="1063">
        <f t="shared" si="146"/>
        <v>10972.8125</v>
      </c>
      <c r="G2192" s="1044"/>
    </row>
    <row r="2193" spans="1:7" ht="13.5" hidden="1" customHeight="1">
      <c r="A2193" s="2087" t="str">
        <f>+A2188</f>
        <v>SUB-TOTAL</v>
      </c>
      <c r="B2193" s="1601"/>
      <c r="C2193" s="1601"/>
      <c r="D2193" s="1601"/>
      <c r="E2193" s="1601"/>
      <c r="F2193" s="1801"/>
      <c r="G2193" s="725">
        <f>SUM(F2191:F2192)</f>
        <v>16985.3125</v>
      </c>
    </row>
    <row r="2194" spans="1:7" ht="13.5" hidden="1" customHeight="1">
      <c r="A2194" s="1030"/>
      <c r="B2194" s="1030"/>
      <c r="C2194" s="1030"/>
      <c r="D2194" s="1030"/>
      <c r="E2194" s="1030"/>
      <c r="F2194" s="1051"/>
      <c r="G2194" s="1039"/>
    </row>
    <row r="2195" spans="1:7" ht="13.5" hidden="1" customHeight="1">
      <c r="A2195" s="2087" t="s">
        <v>1567</v>
      </c>
      <c r="B2195" s="1601"/>
      <c r="C2195" s="1601"/>
      <c r="D2195" s="1601"/>
      <c r="E2195" s="1601"/>
      <c r="F2195" s="1801"/>
      <c r="G2195" s="1060">
        <f>ROUND(G2176+G2183+G2188+G2193,0)</f>
        <v>69516</v>
      </c>
    </row>
    <row r="2196" spans="1:7" ht="13.5" hidden="1" customHeight="1">
      <c r="A2196" s="616"/>
      <c r="B2196" s="616"/>
      <c r="C2196" s="616"/>
      <c r="D2196" s="616"/>
      <c r="E2196" s="616"/>
      <c r="F2196" s="616"/>
      <c r="G2196" s="616"/>
    </row>
    <row r="2197" spans="1:7" ht="13.5" hidden="1" customHeight="1">
      <c r="A2197" s="616"/>
      <c r="B2197" s="616"/>
      <c r="C2197" s="616"/>
      <c r="D2197" s="616"/>
      <c r="E2197" s="616"/>
      <c r="F2197" s="616"/>
      <c r="G2197" s="616"/>
    </row>
    <row r="2198" spans="1:7" ht="30.75" hidden="1" customHeight="1">
      <c r="A2198" s="1994" t="e">
        <f>+'ANALISIS BASICOS'!$A$7</f>
        <v>#REF!</v>
      </c>
      <c r="B2198" s="1616"/>
      <c r="C2198" s="1624"/>
      <c r="D2198" s="1990"/>
      <c r="E2198" s="1616"/>
      <c r="F2198" s="1616"/>
      <c r="G2198" s="1624"/>
    </row>
    <row r="2199" spans="1:7" ht="24.75" hidden="1" customHeight="1">
      <c r="A2199" s="1971"/>
      <c r="B2199" s="1817"/>
      <c r="C2199" s="1972"/>
      <c r="D2199" s="1971"/>
      <c r="E2199" s="1817"/>
      <c r="F2199" s="1817"/>
      <c r="G2199" s="1972"/>
    </row>
    <row r="2200" spans="1:7" ht="13.5" hidden="1" customHeight="1">
      <c r="A2200" s="1030"/>
      <c r="B2200" s="1030"/>
      <c r="C2200" s="1030"/>
      <c r="D2200" s="1030"/>
      <c r="E2200" s="1030"/>
      <c r="F2200" s="1030"/>
      <c r="G2200" s="1030"/>
    </row>
    <row r="2201" spans="1:7" ht="43.5" hidden="1" customHeight="1">
      <c r="A2201" s="1991" t="e">
        <f ca="1">+A2169</f>
        <v>#NAME?</v>
      </c>
      <c r="B2201" s="1601"/>
      <c r="C2201" s="1602"/>
      <c r="D2201" s="1974" t="s">
        <v>2489</v>
      </c>
      <c r="E2201" s="1601"/>
      <c r="F2201" s="1601"/>
      <c r="G2201" s="1602"/>
    </row>
    <row r="2202" spans="1:7" ht="13.5" hidden="1" customHeight="1">
      <c r="A2202" s="1058"/>
      <c r="B2202" s="1058"/>
      <c r="C2202" s="1058"/>
      <c r="D2202" s="1058"/>
      <c r="E2202" s="1058"/>
      <c r="F2202" s="1058"/>
      <c r="G2202" s="1058"/>
    </row>
    <row r="2203" spans="1:7" ht="16.5" hidden="1" customHeight="1">
      <c r="A2203" s="718"/>
      <c r="B2203" s="1030"/>
      <c r="C2203" s="752"/>
      <c r="D2203" s="717" t="s">
        <v>1553</v>
      </c>
      <c r="E2203" s="717" t="s">
        <v>228</v>
      </c>
      <c r="F2203" s="421" t="s">
        <v>1554</v>
      </c>
      <c r="G2203" s="422" t="s">
        <v>162</v>
      </c>
    </row>
    <row r="2204" spans="1:7" ht="13.5" hidden="1" customHeight="1">
      <c r="A2204" s="794" t="s">
        <v>1555</v>
      </c>
      <c r="B2204" s="1030"/>
      <c r="C2204" s="1030"/>
      <c r="D2204" s="1030"/>
      <c r="E2204" s="1030"/>
      <c r="F2204" s="1030"/>
      <c r="G2204" s="1030"/>
    </row>
    <row r="2205" spans="1:7" ht="13.5" hidden="1" customHeight="1">
      <c r="A2205" s="2089" t="s">
        <v>1556</v>
      </c>
      <c r="B2205" s="1601"/>
      <c r="C2205" s="1801"/>
      <c r="D2205" s="719" t="s">
        <v>208</v>
      </c>
      <c r="E2205" s="719" t="s">
        <v>1558</v>
      </c>
      <c r="F2205" s="719" t="s">
        <v>1559</v>
      </c>
      <c r="G2205" s="720"/>
    </row>
    <row r="2206" spans="1:7" ht="13.5" hidden="1" customHeight="1">
      <c r="A2206" s="1987" t="str">
        <f>+'LISTADO EQUIPOS'!$C$22</f>
        <v>HERRAMIENTA MENOR.</v>
      </c>
      <c r="B2206" s="1811"/>
      <c r="C2206" s="1967"/>
      <c r="D2206" s="675">
        <f>+'LISTADO EQUIPOS'!$E$22/8</f>
        <v>2850</v>
      </c>
      <c r="E2206" s="687">
        <f>+E2223</f>
        <v>2.6045648684471869</v>
      </c>
      <c r="F2206" s="675">
        <f>+D2206/E2206</f>
        <v>1094.2326814456108</v>
      </c>
      <c r="G2206" s="688"/>
    </row>
    <row r="2207" spans="1:7" ht="13.5" hidden="1" customHeight="1">
      <c r="A2207" s="2090" t="str">
        <f>+'ANALISIS BASICOS'!$A$360</f>
        <v>FORMALETA EN MADERA</v>
      </c>
      <c r="B2207" s="1807"/>
      <c r="C2207" s="1819"/>
      <c r="D2207" s="1037">
        <f>+'ANALISIS BASICOS'!$G$360</f>
        <v>41998</v>
      </c>
      <c r="E2207" s="724">
        <v>0.01</v>
      </c>
      <c r="F2207" s="723">
        <f>+E2207*D2207</f>
        <v>419.98</v>
      </c>
      <c r="G2207" s="1038"/>
    </row>
    <row r="2208" spans="1:7" ht="13.5" hidden="1" customHeight="1">
      <c r="A2208" s="2087" t="s">
        <v>1560</v>
      </c>
      <c r="B2208" s="1601"/>
      <c r="C2208" s="1601"/>
      <c r="D2208" s="1601"/>
      <c r="E2208" s="1601"/>
      <c r="F2208" s="1801"/>
      <c r="G2208" s="725">
        <f>SUM(F2206:F2207)</f>
        <v>1514.2126814456108</v>
      </c>
    </row>
    <row r="2209" spans="1:7" ht="13.5" hidden="1" customHeight="1">
      <c r="A2209" s="794" t="s">
        <v>1561</v>
      </c>
      <c r="B2209" s="1030"/>
      <c r="C2209" s="1030"/>
      <c r="D2209" s="1030"/>
      <c r="E2209" s="1030"/>
      <c r="F2209" s="1030"/>
      <c r="G2209" s="1039"/>
    </row>
    <row r="2210" spans="1:7" ht="13.5" hidden="1" customHeight="1">
      <c r="A2210" s="2089" t="s">
        <v>1556</v>
      </c>
      <c r="B2210" s="1801"/>
      <c r="C2210" s="719" t="s">
        <v>6</v>
      </c>
      <c r="D2210" s="719" t="s">
        <v>1562</v>
      </c>
      <c r="E2210" s="719" t="s">
        <v>7</v>
      </c>
      <c r="F2210" s="719" t="s">
        <v>1559</v>
      </c>
      <c r="G2210" s="726"/>
    </row>
    <row r="2211" spans="1:7" ht="13.5" hidden="1" customHeight="1">
      <c r="A2211" s="2091" t="s">
        <v>977</v>
      </c>
      <c r="B2211" s="1967"/>
      <c r="C2211" s="727" t="s">
        <v>228</v>
      </c>
      <c r="D2211" s="1040">
        <v>83450</v>
      </c>
      <c r="E2211" s="729">
        <v>1.05</v>
      </c>
      <c r="F2211" s="728">
        <f t="shared" ref="F2211:F2213" si="147">+E2211*D2211</f>
        <v>87622.5</v>
      </c>
      <c r="G2211" s="730"/>
    </row>
    <row r="2212" spans="1:7" ht="13.5" hidden="1" customHeight="1">
      <c r="A2212" s="1995" t="str">
        <f>+'LISTADO MATERIALES'!$C$140</f>
        <v>CEMENTO BLANCO</v>
      </c>
      <c r="B2212" s="1611"/>
      <c r="C2212" s="444" t="str">
        <f>+'LISTADO MATERIALES'!$D$140</f>
        <v>KG</v>
      </c>
      <c r="D2212" s="464">
        <f>+'LISTADO MATERIALES'!$E$140</f>
        <v>1103</v>
      </c>
      <c r="E2212" s="444">
        <v>0.75</v>
      </c>
      <c r="F2212" s="440">
        <f t="shared" si="147"/>
        <v>827.25</v>
      </c>
      <c r="G2212" s="1042"/>
    </row>
    <row r="2213" spans="1:7" ht="13.5" hidden="1" customHeight="1">
      <c r="A2213" s="1995" t="str">
        <f>+'LISTADO MATERIALES'!$C$729</f>
        <v>BLANCO DE ZINC</v>
      </c>
      <c r="B2213" s="1611"/>
      <c r="C2213" s="444" t="str">
        <f>+'LISTADO MATERIALES'!$D$81</f>
        <v>LB</v>
      </c>
      <c r="D2213" s="464">
        <f>+'LISTADO MATERIALES'!$E$81</f>
        <v>8925</v>
      </c>
      <c r="E2213" s="444">
        <v>0.2</v>
      </c>
      <c r="F2213" s="440">
        <f t="shared" si="147"/>
        <v>1785</v>
      </c>
      <c r="G2213" s="1042"/>
    </row>
    <row r="2214" spans="1:7" ht="13.5" hidden="1" customHeight="1">
      <c r="A2214" s="2090"/>
      <c r="B2214" s="1819"/>
      <c r="C2214" s="1043"/>
      <c r="D2214" s="1037"/>
      <c r="E2214" s="1043"/>
      <c r="F2214" s="1037"/>
      <c r="G2214" s="1044"/>
    </row>
    <row r="2215" spans="1:7" ht="13.5" hidden="1" customHeight="1">
      <c r="A2215" s="2087" t="s">
        <v>1560</v>
      </c>
      <c r="B2215" s="1601"/>
      <c r="C2215" s="1601"/>
      <c r="D2215" s="1601"/>
      <c r="E2215" s="1601"/>
      <c r="F2215" s="1801"/>
      <c r="G2215" s="725">
        <f>SUM(F2211:F2214)</f>
        <v>90234.75</v>
      </c>
    </row>
    <row r="2216" spans="1:7" ht="13.5" hidden="1" customHeight="1">
      <c r="A2216" s="794" t="s">
        <v>1563</v>
      </c>
      <c r="B2216" s="1030"/>
      <c r="C2216" s="1030"/>
      <c r="D2216" s="1030"/>
      <c r="E2216" s="1030"/>
      <c r="F2216" s="1030"/>
      <c r="G2216" s="1039"/>
    </row>
    <row r="2217" spans="1:7" ht="13.5" hidden="1" customHeight="1">
      <c r="A2217" s="2089" t="s">
        <v>1556</v>
      </c>
      <c r="B2217" s="1801"/>
      <c r="C2217" s="719" t="s">
        <v>6</v>
      </c>
      <c r="D2217" s="719" t="s">
        <v>1562</v>
      </c>
      <c r="E2217" s="719" t="s">
        <v>7</v>
      </c>
      <c r="F2217" s="719" t="s">
        <v>1559</v>
      </c>
      <c r="G2217" s="732"/>
    </row>
    <row r="2218" spans="1:7" ht="13.5" hidden="1" customHeight="1">
      <c r="A2218" s="2091"/>
      <c r="B2218" s="1967"/>
      <c r="C2218" s="1045"/>
      <c r="D2218" s="1040"/>
      <c r="E2218" s="1046"/>
      <c r="F2218" s="1041"/>
      <c r="G2218" s="730"/>
    </row>
    <row r="2219" spans="1:7" ht="13.5" hidden="1" customHeight="1">
      <c r="A2219" s="2090"/>
      <c r="B2219" s="1819"/>
      <c r="C2219" s="1045"/>
      <c r="D2219" s="1037"/>
      <c r="E2219" s="1047"/>
      <c r="F2219" s="1037"/>
      <c r="G2219" s="1048"/>
    </row>
    <row r="2220" spans="1:7" ht="13.5" hidden="1" customHeight="1">
      <c r="A2220" s="2087" t="s">
        <v>1560</v>
      </c>
      <c r="B2220" s="1601"/>
      <c r="C2220" s="1601"/>
      <c r="D2220" s="1601"/>
      <c r="E2220" s="1601"/>
      <c r="F2220" s="1801"/>
      <c r="G2220" s="725">
        <f>SUM(F2218:F2219)</f>
        <v>0</v>
      </c>
    </row>
    <row r="2221" spans="1:7" ht="13.5" hidden="1" customHeight="1">
      <c r="A2221" s="794" t="s">
        <v>1564</v>
      </c>
      <c r="B2221" s="1030"/>
      <c r="C2221" s="1030"/>
      <c r="D2221" s="1030"/>
      <c r="E2221" s="1030"/>
      <c r="F2221" s="1030"/>
      <c r="G2221" s="1039"/>
    </row>
    <row r="2222" spans="1:7" ht="13.5" hidden="1" customHeight="1">
      <c r="A2222" s="2089" t="s">
        <v>1565</v>
      </c>
      <c r="B2222" s="1801"/>
      <c r="C2222" s="719" t="s">
        <v>1566</v>
      </c>
      <c r="D2222" s="719" t="s">
        <v>6</v>
      </c>
      <c r="E2222" s="719" t="s">
        <v>7</v>
      </c>
      <c r="F2222" s="719" t="s">
        <v>1559</v>
      </c>
      <c r="G2222" s="725"/>
    </row>
    <row r="2223" spans="1:7" ht="13.5" hidden="1" customHeight="1">
      <c r="A2223" s="2093" t="str">
        <f>+'MANO DE OBRA'!$A$64</f>
        <v>Oficial (Incl. Prestaciones)</v>
      </c>
      <c r="B2223" s="1910"/>
      <c r="C2223" s="733">
        <f>+'MANO DE OBRA'!$E$64</f>
        <v>15031.25</v>
      </c>
      <c r="D2223" s="734">
        <v>1</v>
      </c>
      <c r="E2223" s="734">
        <v>2.6045648684471869</v>
      </c>
      <c r="F2223" s="1062">
        <f t="shared" ref="F2223:F2224" si="148">+(C2223*D2223)/E2223</f>
        <v>5771.1175413962592</v>
      </c>
      <c r="G2223" s="730"/>
    </row>
    <row r="2224" spans="1:7" ht="13.5" hidden="1" customHeight="1">
      <c r="A2224" s="2094" t="str">
        <f>+'MANO DE OBRA'!$A$65</f>
        <v>Ayudante (Incl. Prestaciones)</v>
      </c>
      <c r="B2224" s="1819"/>
      <c r="C2224" s="1049">
        <f>+'MANO DE OBRA'!$E$65</f>
        <v>10972.8125</v>
      </c>
      <c r="D2224" s="1050">
        <v>3</v>
      </c>
      <c r="E2224" s="1050">
        <f>+E2223</f>
        <v>2.6045648684471869</v>
      </c>
      <c r="F2224" s="1063">
        <f t="shared" si="148"/>
        <v>12638.747415657806</v>
      </c>
      <c r="G2224" s="1044"/>
    </row>
    <row r="2225" spans="1:7" ht="13.5" hidden="1" customHeight="1">
      <c r="A2225" s="2087" t="str">
        <f>+A2220</f>
        <v>SUB-TOTAL</v>
      </c>
      <c r="B2225" s="1601"/>
      <c r="C2225" s="1601"/>
      <c r="D2225" s="1601"/>
      <c r="E2225" s="1601"/>
      <c r="F2225" s="1801"/>
      <c r="G2225" s="725">
        <f>SUM(F2223:F2224)</f>
        <v>18409.864957054066</v>
      </c>
    </row>
    <row r="2226" spans="1:7" ht="13.5" hidden="1" customHeight="1">
      <c r="A2226" s="1030"/>
      <c r="B2226" s="1030"/>
      <c r="C2226" s="1030"/>
      <c r="D2226" s="1030"/>
      <c r="E2226" s="1030"/>
      <c r="F2226" s="1051"/>
      <c r="G2226" s="1039"/>
    </row>
    <row r="2227" spans="1:7" ht="13.5" hidden="1" customHeight="1">
      <c r="A2227" s="2087" t="s">
        <v>1567</v>
      </c>
      <c r="B2227" s="1601"/>
      <c r="C2227" s="1601"/>
      <c r="D2227" s="1601"/>
      <c r="E2227" s="1601"/>
      <c r="F2227" s="1801"/>
      <c r="G2227" s="1060">
        <f>ROUND(G2208+G2215+G2220+G2225,0)</f>
        <v>110159</v>
      </c>
    </row>
    <row r="2228" spans="1:7" ht="13.5" hidden="1" customHeight="1">
      <c r="A2228" s="616"/>
      <c r="B2228" s="616"/>
      <c r="C2228" s="616"/>
      <c r="D2228" s="616"/>
      <c r="E2228" s="616"/>
      <c r="F2228" s="616"/>
      <c r="G2228" s="616"/>
    </row>
    <row r="2229" spans="1:7" ht="13.5" hidden="1" customHeight="1">
      <c r="A2229" s="616"/>
      <c r="B2229" s="616"/>
      <c r="C2229" s="616"/>
      <c r="D2229" s="616"/>
      <c r="E2229" s="616"/>
      <c r="F2229" s="616"/>
      <c r="G2229" s="616"/>
    </row>
    <row r="2230" spans="1:7" ht="30.75" hidden="1" customHeight="1">
      <c r="A2230" s="1994" t="e">
        <f>+'ANALISIS BASICOS'!$A$7</f>
        <v>#REF!</v>
      </c>
      <c r="B2230" s="1616"/>
      <c r="C2230" s="1624"/>
      <c r="D2230" s="1990"/>
      <c r="E2230" s="1616"/>
      <c r="F2230" s="1616"/>
      <c r="G2230" s="1624"/>
    </row>
    <row r="2231" spans="1:7" ht="24.75" hidden="1" customHeight="1">
      <c r="A2231" s="1971"/>
      <c r="B2231" s="1817"/>
      <c r="C2231" s="1972"/>
      <c r="D2231" s="1971"/>
      <c r="E2231" s="1817"/>
      <c r="F2231" s="1817"/>
      <c r="G2231" s="1972"/>
    </row>
    <row r="2232" spans="1:7" ht="13.5" hidden="1" customHeight="1">
      <c r="A2232" s="1030"/>
      <c r="B2232" s="1030"/>
      <c r="C2232" s="1030"/>
      <c r="D2232" s="1030"/>
      <c r="E2232" s="1030"/>
      <c r="F2232" s="1030"/>
      <c r="G2232" s="1030"/>
    </row>
    <row r="2233" spans="1:7" ht="43.5" hidden="1" customHeight="1">
      <c r="A2233" s="1991" t="e">
        <f ca="1">+A2201</f>
        <v>#NAME?</v>
      </c>
      <c r="B2233" s="1601"/>
      <c r="C2233" s="1602"/>
      <c r="D2233" s="1974" t="s">
        <v>2490</v>
      </c>
      <c r="E2233" s="1601"/>
      <c r="F2233" s="1601"/>
      <c r="G2233" s="1602"/>
    </row>
    <row r="2234" spans="1:7" ht="13.5" hidden="1" customHeight="1">
      <c r="A2234" s="1058"/>
      <c r="B2234" s="1058"/>
      <c r="C2234" s="1058"/>
      <c r="D2234" s="1058"/>
      <c r="E2234" s="1058"/>
      <c r="F2234" s="1058"/>
      <c r="G2234" s="1058"/>
    </row>
    <row r="2235" spans="1:7" ht="16.5" hidden="1" customHeight="1">
      <c r="A2235" s="718"/>
      <c r="B2235" s="1030"/>
      <c r="C2235" s="752"/>
      <c r="D2235" s="717" t="s">
        <v>1553</v>
      </c>
      <c r="E2235" s="717" t="s">
        <v>120</v>
      </c>
      <c r="F2235" s="421" t="s">
        <v>1554</v>
      </c>
      <c r="G2235" s="422" t="s">
        <v>163</v>
      </c>
    </row>
    <row r="2236" spans="1:7" ht="13.5" hidden="1" customHeight="1">
      <c r="A2236" s="794" t="s">
        <v>1555</v>
      </c>
      <c r="B2236" s="1030"/>
      <c r="C2236" s="1030"/>
      <c r="D2236" s="1030"/>
      <c r="E2236" s="1030"/>
      <c r="F2236" s="1030"/>
      <c r="G2236" s="1030"/>
    </row>
    <row r="2237" spans="1:7" ht="13.5" hidden="1" customHeight="1">
      <c r="A2237" s="2089" t="s">
        <v>1556</v>
      </c>
      <c r="B2237" s="1601"/>
      <c r="C2237" s="1801"/>
      <c r="D2237" s="719" t="s">
        <v>208</v>
      </c>
      <c r="E2237" s="719" t="s">
        <v>1558</v>
      </c>
      <c r="F2237" s="719" t="s">
        <v>1559</v>
      </c>
      <c r="G2237" s="720"/>
    </row>
    <row r="2238" spans="1:7" ht="13.5" hidden="1" customHeight="1">
      <c r="A2238" s="1987" t="str">
        <f>+'LISTADO EQUIPOS'!$C$22</f>
        <v>HERRAMIENTA MENOR.</v>
      </c>
      <c r="B2238" s="1811"/>
      <c r="C2238" s="1967"/>
      <c r="D2238" s="675">
        <f>+'LISTADO EQUIPOS'!$E$22/8</f>
        <v>2850</v>
      </c>
      <c r="E2238" s="687">
        <f>+E2255</f>
        <v>3.9855908121107699</v>
      </c>
      <c r="F2238" s="675">
        <f>+D2238/E2238</f>
        <v>715.07591580647966</v>
      </c>
      <c r="G2238" s="688"/>
    </row>
    <row r="2239" spans="1:7" ht="13.5" hidden="1" customHeight="1">
      <c r="A2239" s="2090" t="str">
        <f>+'ANALISIS BASICOS'!$A$360</f>
        <v>FORMALETA EN MADERA</v>
      </c>
      <c r="B2239" s="1807"/>
      <c r="C2239" s="1819"/>
      <c r="D2239" s="1037">
        <f>+'ANALISIS BASICOS'!$G$360</f>
        <v>41998</v>
      </c>
      <c r="E2239" s="724">
        <v>0.01</v>
      </c>
      <c r="F2239" s="723">
        <f>+E2239*D2239</f>
        <v>419.98</v>
      </c>
      <c r="G2239" s="1038"/>
    </row>
    <row r="2240" spans="1:7" ht="13.5" hidden="1" customHeight="1">
      <c r="A2240" s="2087" t="s">
        <v>1560</v>
      </c>
      <c r="B2240" s="1601"/>
      <c r="C2240" s="1601"/>
      <c r="D2240" s="1601"/>
      <c r="E2240" s="1601"/>
      <c r="F2240" s="1801"/>
      <c r="G2240" s="725">
        <f>SUM(F2238:F2239)</f>
        <v>1135.0559158064798</v>
      </c>
    </row>
    <row r="2241" spans="1:7" ht="13.5" hidden="1" customHeight="1">
      <c r="A2241" s="794" t="s">
        <v>1561</v>
      </c>
      <c r="B2241" s="1030"/>
      <c r="C2241" s="1030"/>
      <c r="D2241" s="1030"/>
      <c r="E2241" s="1030"/>
      <c r="F2241" s="1030"/>
      <c r="G2241" s="1039"/>
    </row>
    <row r="2242" spans="1:7" ht="13.5" hidden="1" customHeight="1">
      <c r="A2242" s="2089" t="s">
        <v>1556</v>
      </c>
      <c r="B2242" s="1801"/>
      <c r="C2242" s="719" t="s">
        <v>6</v>
      </c>
      <c r="D2242" s="719" t="s">
        <v>1562</v>
      </c>
      <c r="E2242" s="719" t="s">
        <v>7</v>
      </c>
      <c r="F2242" s="719" t="s">
        <v>1559</v>
      </c>
      <c r="G2242" s="726"/>
    </row>
    <row r="2243" spans="1:7" ht="13.5" hidden="1" customHeight="1">
      <c r="A2243" s="2091" t="s">
        <v>2491</v>
      </c>
      <c r="B2243" s="1967"/>
      <c r="C2243" s="727" t="s">
        <v>228</v>
      </c>
      <c r="D2243" s="1040">
        <v>38450</v>
      </c>
      <c r="E2243" s="1061">
        <v>0.105</v>
      </c>
      <c r="F2243" s="728">
        <f t="shared" ref="F2243:F2245" si="149">+E2243*D2243</f>
        <v>4037.25</v>
      </c>
      <c r="G2243" s="730"/>
    </row>
    <row r="2244" spans="1:7" ht="13.5" hidden="1" customHeight="1">
      <c r="A2244" s="1995" t="str">
        <f>+'LISTADO MATERIALES'!$C$140</f>
        <v>CEMENTO BLANCO</v>
      </c>
      <c r="B2244" s="1611"/>
      <c r="C2244" s="444" t="str">
        <f>+'LISTADO MATERIALES'!$D$140</f>
        <v>KG</v>
      </c>
      <c r="D2244" s="464">
        <f>+'LISTADO MATERIALES'!$E$140</f>
        <v>1103</v>
      </c>
      <c r="E2244" s="444">
        <v>0.75</v>
      </c>
      <c r="F2244" s="440">
        <f t="shared" si="149"/>
        <v>827.25</v>
      </c>
      <c r="G2244" s="1042"/>
    </row>
    <row r="2245" spans="1:7" ht="13.5" hidden="1" customHeight="1">
      <c r="A2245" s="1995" t="str">
        <f>+'LISTADO MATERIALES'!$C$729</f>
        <v>BLANCO DE ZINC</v>
      </c>
      <c r="B2245" s="1611"/>
      <c r="C2245" s="444" t="str">
        <f>+'LISTADO MATERIALES'!$D$81</f>
        <v>LB</v>
      </c>
      <c r="D2245" s="464">
        <f>+'LISTADO MATERIALES'!$E$81</f>
        <v>8925</v>
      </c>
      <c r="E2245" s="444">
        <v>0.2</v>
      </c>
      <c r="F2245" s="440">
        <f t="shared" si="149"/>
        <v>1785</v>
      </c>
      <c r="G2245" s="1042"/>
    </row>
    <row r="2246" spans="1:7" ht="13.5" hidden="1" customHeight="1">
      <c r="A2246" s="2090"/>
      <c r="B2246" s="1819"/>
      <c r="C2246" s="1043"/>
      <c r="D2246" s="1037"/>
      <c r="E2246" s="1043"/>
      <c r="F2246" s="1037"/>
      <c r="G2246" s="1044"/>
    </row>
    <row r="2247" spans="1:7" ht="13.5" hidden="1" customHeight="1">
      <c r="A2247" s="2087" t="s">
        <v>1560</v>
      </c>
      <c r="B2247" s="1601"/>
      <c r="C2247" s="1601"/>
      <c r="D2247" s="1601"/>
      <c r="E2247" s="1601"/>
      <c r="F2247" s="1801"/>
      <c r="G2247" s="725">
        <f>SUM(F2243:F2246)</f>
        <v>6649.5</v>
      </c>
    </row>
    <row r="2248" spans="1:7" ht="13.5" hidden="1" customHeight="1">
      <c r="A2248" s="794" t="s">
        <v>1563</v>
      </c>
      <c r="B2248" s="1030"/>
      <c r="C2248" s="1030"/>
      <c r="D2248" s="1030"/>
      <c r="E2248" s="1030"/>
      <c r="F2248" s="1030"/>
      <c r="G2248" s="1039"/>
    </row>
    <row r="2249" spans="1:7" ht="13.5" hidden="1" customHeight="1">
      <c r="A2249" s="2089" t="s">
        <v>1556</v>
      </c>
      <c r="B2249" s="1801"/>
      <c r="C2249" s="719" t="s">
        <v>6</v>
      </c>
      <c r="D2249" s="719" t="s">
        <v>1562</v>
      </c>
      <c r="E2249" s="719" t="s">
        <v>7</v>
      </c>
      <c r="F2249" s="719" t="s">
        <v>1559</v>
      </c>
      <c r="G2249" s="732"/>
    </row>
    <row r="2250" spans="1:7" ht="13.5" hidden="1" customHeight="1">
      <c r="A2250" s="2091"/>
      <c r="B2250" s="1967"/>
      <c r="C2250" s="1045"/>
      <c r="D2250" s="1040"/>
      <c r="E2250" s="1046"/>
      <c r="F2250" s="1041"/>
      <c r="G2250" s="730"/>
    </row>
    <row r="2251" spans="1:7" ht="13.5" hidden="1" customHeight="1">
      <c r="A2251" s="2090"/>
      <c r="B2251" s="1819"/>
      <c r="C2251" s="1045"/>
      <c r="D2251" s="1037"/>
      <c r="E2251" s="1047"/>
      <c r="F2251" s="1037"/>
      <c r="G2251" s="1048"/>
    </row>
    <row r="2252" spans="1:7" ht="13.5" hidden="1" customHeight="1">
      <c r="A2252" s="2087" t="s">
        <v>1560</v>
      </c>
      <c r="B2252" s="1601"/>
      <c r="C2252" s="1601"/>
      <c r="D2252" s="1601"/>
      <c r="E2252" s="1601"/>
      <c r="F2252" s="1801"/>
      <c r="G2252" s="725">
        <f>SUM(F2250:F2251)</f>
        <v>0</v>
      </c>
    </row>
    <row r="2253" spans="1:7" ht="13.5" hidden="1" customHeight="1">
      <c r="A2253" s="794" t="s">
        <v>1564</v>
      </c>
      <c r="B2253" s="1030"/>
      <c r="C2253" s="1030"/>
      <c r="D2253" s="1030"/>
      <c r="E2253" s="1030"/>
      <c r="F2253" s="1030"/>
      <c r="G2253" s="1039"/>
    </row>
    <row r="2254" spans="1:7" ht="13.5" hidden="1" customHeight="1">
      <c r="A2254" s="2089" t="s">
        <v>1565</v>
      </c>
      <c r="B2254" s="1801"/>
      <c r="C2254" s="719" t="s">
        <v>1566</v>
      </c>
      <c r="D2254" s="719" t="s">
        <v>6</v>
      </c>
      <c r="E2254" s="719" t="s">
        <v>7</v>
      </c>
      <c r="F2254" s="719" t="s">
        <v>1559</v>
      </c>
      <c r="G2254" s="725"/>
    </row>
    <row r="2255" spans="1:7" ht="13.5" hidden="1" customHeight="1">
      <c r="A2255" s="2093" t="str">
        <f>+'MANO DE OBRA'!$A$64</f>
        <v>Oficial (Incl. Prestaciones)</v>
      </c>
      <c r="B2255" s="1910"/>
      <c r="C2255" s="733">
        <f>+'MANO DE OBRA'!$E$64</f>
        <v>15031.25</v>
      </c>
      <c r="D2255" s="734">
        <v>1</v>
      </c>
      <c r="E2255" s="734">
        <v>3.9855908121107699</v>
      </c>
      <c r="F2255" s="1062">
        <f t="shared" ref="F2255:F2256" si="150">+(C2255*D2255)/E2255</f>
        <v>3771.3981963039114</v>
      </c>
      <c r="G2255" s="730"/>
    </row>
    <row r="2256" spans="1:7" ht="13.5" hidden="1" customHeight="1">
      <c r="A2256" s="2094" t="str">
        <f>+'MANO DE OBRA'!$A$65</f>
        <v>Ayudante (Incl. Prestaciones)</v>
      </c>
      <c r="B2256" s="1819"/>
      <c r="C2256" s="1049">
        <f>+'MANO DE OBRA'!$E$65</f>
        <v>10972.8125</v>
      </c>
      <c r="D2256" s="1050">
        <v>3</v>
      </c>
      <c r="E2256" s="1050">
        <f>+E2255</f>
        <v>3.9855908121107699</v>
      </c>
      <c r="F2256" s="1063">
        <f t="shared" si="150"/>
        <v>8259.3620499055669</v>
      </c>
      <c r="G2256" s="1044"/>
    </row>
    <row r="2257" spans="1:7" ht="13.5" hidden="1" customHeight="1">
      <c r="A2257" s="2087" t="str">
        <f>+A2252</f>
        <v>SUB-TOTAL</v>
      </c>
      <c r="B2257" s="1601"/>
      <c r="C2257" s="1601"/>
      <c r="D2257" s="1601"/>
      <c r="E2257" s="1601"/>
      <c r="F2257" s="1801"/>
      <c r="G2257" s="725">
        <f>SUM(F2255:F2256)</f>
        <v>12030.760246209478</v>
      </c>
    </row>
    <row r="2258" spans="1:7" ht="13.5" hidden="1" customHeight="1">
      <c r="A2258" s="1030"/>
      <c r="B2258" s="1030"/>
      <c r="C2258" s="1030"/>
      <c r="D2258" s="1030"/>
      <c r="E2258" s="1030"/>
      <c r="F2258" s="1051"/>
      <c r="G2258" s="1039"/>
    </row>
    <row r="2259" spans="1:7" ht="13.5" hidden="1" customHeight="1">
      <c r="A2259" s="2087" t="s">
        <v>1567</v>
      </c>
      <c r="B2259" s="1601"/>
      <c r="C2259" s="1601"/>
      <c r="D2259" s="1601"/>
      <c r="E2259" s="1601"/>
      <c r="F2259" s="1801"/>
      <c r="G2259" s="1060">
        <f>ROUND(G2240+G2247+G2252+G2257,0)</f>
        <v>19815</v>
      </c>
    </row>
    <row r="2260" spans="1:7" ht="13.5" hidden="1" customHeight="1">
      <c r="A2260" s="616"/>
      <c r="B2260" s="616"/>
      <c r="C2260" s="616"/>
      <c r="D2260" s="616"/>
      <c r="E2260" s="616"/>
      <c r="F2260" s="616"/>
      <c r="G2260" s="616"/>
    </row>
    <row r="2261" spans="1:7" ht="13.5" hidden="1" customHeight="1">
      <c r="A2261" s="616"/>
      <c r="B2261" s="616"/>
      <c r="C2261" s="616"/>
      <c r="D2261" s="616"/>
      <c r="E2261" s="616"/>
      <c r="F2261" s="616"/>
      <c r="G2261" s="616"/>
    </row>
    <row r="2262" spans="1:7" ht="13.5" hidden="1" customHeight="1">
      <c r="A2262" s="616"/>
      <c r="B2262" s="616"/>
      <c r="C2262" s="616"/>
      <c r="D2262" s="616"/>
      <c r="E2262" s="616"/>
      <c r="F2262" s="616"/>
      <c r="G2262" s="616"/>
    </row>
    <row r="2263" spans="1:7" ht="24.75" hidden="1" customHeight="1">
      <c r="A2263" s="1989" t="e">
        <f>+'ANALISIS BASICOS'!$A$7</f>
        <v>#REF!</v>
      </c>
      <c r="B2263" s="1616"/>
      <c r="C2263" s="1624"/>
      <c r="D2263" s="567"/>
      <c r="E2263" s="567"/>
      <c r="F2263" s="567"/>
      <c r="G2263" s="668"/>
    </row>
    <row r="2264" spans="1:7" ht="25.5" hidden="1" customHeight="1">
      <c r="A2264" s="1971"/>
      <c r="B2264" s="1817"/>
      <c r="C2264" s="1972"/>
      <c r="D2264" s="669"/>
      <c r="E2264" s="669"/>
      <c r="F2264" s="669"/>
      <c r="G2264" s="670"/>
    </row>
    <row r="2265" spans="1:7" ht="13.5" hidden="1" customHeight="1">
      <c r="A2265" s="618"/>
      <c r="B2265" s="618"/>
      <c r="C2265" s="618"/>
      <c r="D2265" s="618"/>
      <c r="E2265" s="618"/>
      <c r="F2265" s="618"/>
      <c r="G2265" s="618"/>
    </row>
    <row r="2266" spans="1:7" ht="117" hidden="1" customHeight="1">
      <c r="A2266" s="1991" t="e">
        <f ca="1">+A1945</f>
        <v>#NAME?</v>
      </c>
      <c r="B2266" s="1601"/>
      <c r="C2266" s="1602"/>
      <c r="D2266" s="1974" t="s">
        <v>2492</v>
      </c>
      <c r="E2266" s="1601"/>
      <c r="F2266" s="1601"/>
      <c r="G2266" s="1602"/>
    </row>
    <row r="2267" spans="1:7" ht="13.5" hidden="1" customHeight="1">
      <c r="A2267" s="620"/>
      <c r="B2267" s="620"/>
      <c r="C2267" s="620"/>
      <c r="D2267" s="620"/>
      <c r="E2267" s="620"/>
      <c r="F2267" s="620"/>
      <c r="G2267" s="620"/>
    </row>
    <row r="2268" spans="1:7" ht="13.5" hidden="1" customHeight="1">
      <c r="A2268" s="572"/>
      <c r="B2268" s="618"/>
      <c r="C2268" s="616"/>
      <c r="D2268" s="421" t="s">
        <v>1553</v>
      </c>
      <c r="E2268" s="422" t="s">
        <v>228</v>
      </c>
      <c r="F2268" s="421" t="s">
        <v>1554</v>
      </c>
      <c r="G2268" s="422" t="s">
        <v>80</v>
      </c>
    </row>
    <row r="2269" spans="1:7" ht="13.5" hidden="1" customHeight="1">
      <c r="A2269" s="621" t="s">
        <v>1555</v>
      </c>
      <c r="B2269" s="618"/>
      <c r="C2269" s="618"/>
      <c r="D2269" s="618"/>
      <c r="E2269" s="618"/>
      <c r="F2269" s="618"/>
      <c r="G2269" s="618"/>
    </row>
    <row r="2270" spans="1:7" ht="13.5" hidden="1" customHeight="1">
      <c r="A2270" s="1975" t="s">
        <v>1556</v>
      </c>
      <c r="B2270" s="1601"/>
      <c r="C2270" s="1801"/>
      <c r="D2270" s="424" t="s">
        <v>208</v>
      </c>
      <c r="E2270" s="424" t="s">
        <v>1558</v>
      </c>
      <c r="F2270" s="424" t="s">
        <v>1559</v>
      </c>
      <c r="G2270" s="425"/>
    </row>
    <row r="2271" spans="1:7" ht="13.5" hidden="1" customHeight="1">
      <c r="A2271" s="1987" t="str">
        <f>+'LISTADO EQUIPOS'!$C$22</f>
        <v>HERRAMIENTA MENOR.</v>
      </c>
      <c r="B2271" s="1811"/>
      <c r="C2271" s="1967"/>
      <c r="D2271" s="675">
        <f>+'LISTADO EQUIPOS'!$E$22/8</f>
        <v>2850</v>
      </c>
      <c r="E2271" s="687">
        <v>0.2</v>
      </c>
      <c r="F2271" s="442">
        <f t="shared" ref="F2271:F2272" si="151">+E2271*D2271</f>
        <v>570</v>
      </c>
      <c r="G2271" s="688"/>
    </row>
    <row r="2272" spans="1:7" ht="13.5" hidden="1" customHeight="1">
      <c r="A2272" s="1996" t="s">
        <v>2493</v>
      </c>
      <c r="B2272" s="1807"/>
      <c r="C2272" s="1819"/>
      <c r="D2272" s="434">
        <v>15450</v>
      </c>
      <c r="E2272" s="433">
        <v>0.1</v>
      </c>
      <c r="F2272" s="434">
        <f t="shared" si="151"/>
        <v>1545</v>
      </c>
      <c r="G2272" s="435"/>
    </row>
    <row r="2273" spans="1:7" ht="13.5" hidden="1" customHeight="1">
      <c r="A2273" s="2015" t="s">
        <v>1560</v>
      </c>
      <c r="B2273" s="1601"/>
      <c r="C2273" s="1601"/>
      <c r="D2273" s="1601"/>
      <c r="E2273" s="1601"/>
      <c r="F2273" s="1801"/>
      <c r="G2273" s="462">
        <f>SUM(F2271:F2272)</f>
        <v>2115</v>
      </c>
    </row>
    <row r="2274" spans="1:7" ht="13.5" hidden="1" customHeight="1">
      <c r="A2274" s="621" t="s">
        <v>1561</v>
      </c>
      <c r="B2274" s="618"/>
      <c r="C2274" s="618"/>
      <c r="D2274" s="618"/>
      <c r="E2274" s="618"/>
      <c r="F2274" s="618"/>
      <c r="G2274" s="743"/>
    </row>
    <row r="2275" spans="1:7" ht="13.5" hidden="1" customHeight="1">
      <c r="A2275" s="1975" t="s">
        <v>1556</v>
      </c>
      <c r="B2275" s="1801"/>
      <c r="C2275" s="424" t="s">
        <v>6</v>
      </c>
      <c r="D2275" s="424" t="s">
        <v>1562</v>
      </c>
      <c r="E2275" s="424" t="s">
        <v>7</v>
      </c>
      <c r="F2275" s="424" t="s">
        <v>1559</v>
      </c>
      <c r="G2275" s="673"/>
    </row>
    <row r="2276" spans="1:7" ht="13.5" hidden="1" customHeight="1">
      <c r="A2276" s="2091" t="s">
        <v>2494</v>
      </c>
      <c r="B2276" s="1967"/>
      <c r="C2276" s="727" t="s">
        <v>228</v>
      </c>
      <c r="D2276" s="1040">
        <v>62450</v>
      </c>
      <c r="E2276" s="1061">
        <v>1.05</v>
      </c>
      <c r="F2276" s="728">
        <f t="shared" ref="F2276:F2279" si="152">+E2276*D2276</f>
        <v>65572.5</v>
      </c>
      <c r="G2276" s="730"/>
    </row>
    <row r="2277" spans="1:7" ht="13.5" hidden="1" customHeight="1">
      <c r="A2277" s="2092" t="s">
        <v>2495</v>
      </c>
      <c r="B2277" s="1611"/>
      <c r="C2277" s="731" t="s">
        <v>171</v>
      </c>
      <c r="D2277" s="1041">
        <v>800</v>
      </c>
      <c r="E2277" s="721">
        <v>15</v>
      </c>
      <c r="F2277" s="722">
        <f t="shared" si="152"/>
        <v>12000</v>
      </c>
      <c r="G2277" s="1042"/>
    </row>
    <row r="2278" spans="1:7" ht="13.5" hidden="1" customHeight="1">
      <c r="A2278" s="2092" t="s">
        <v>2496</v>
      </c>
      <c r="B2278" s="1611"/>
      <c r="C2278" s="731" t="s">
        <v>116</v>
      </c>
      <c r="D2278" s="1041">
        <v>34450</v>
      </c>
      <c r="E2278" s="721">
        <v>1.05</v>
      </c>
      <c r="F2278" s="722">
        <f t="shared" si="152"/>
        <v>36172.5</v>
      </c>
      <c r="G2278" s="1042"/>
    </row>
    <row r="2279" spans="1:7" ht="13.5" hidden="1" customHeight="1">
      <c r="A2279" s="1996" t="s">
        <v>2497</v>
      </c>
      <c r="B2279" s="1819"/>
      <c r="C2279" s="708" t="s">
        <v>120</v>
      </c>
      <c r="D2279" s="434">
        <v>15000</v>
      </c>
      <c r="E2279" s="708">
        <v>1</v>
      </c>
      <c r="F2279" s="700">
        <f t="shared" si="152"/>
        <v>15000</v>
      </c>
      <c r="G2279" s="709"/>
    </row>
    <row r="2280" spans="1:7" ht="13.5" hidden="1" customHeight="1">
      <c r="A2280" s="2015" t="s">
        <v>1560</v>
      </c>
      <c r="B2280" s="1601"/>
      <c r="C2280" s="1601"/>
      <c r="D2280" s="1601"/>
      <c r="E2280" s="1601"/>
      <c r="F2280" s="1801"/>
      <c r="G2280" s="462">
        <f>SUM(F2276:F2279)</f>
        <v>128745</v>
      </c>
    </row>
    <row r="2281" spans="1:7" ht="13.5" hidden="1" customHeight="1">
      <c r="A2281" s="621" t="s">
        <v>1563</v>
      </c>
      <c r="B2281" s="618"/>
      <c r="C2281" s="618"/>
      <c r="D2281" s="618"/>
      <c r="E2281" s="618"/>
      <c r="F2281" s="618"/>
      <c r="G2281" s="743"/>
    </row>
    <row r="2282" spans="1:7" ht="13.5" hidden="1" customHeight="1">
      <c r="A2282" s="1975" t="s">
        <v>1556</v>
      </c>
      <c r="B2282" s="1801"/>
      <c r="C2282" s="424" t="s">
        <v>6</v>
      </c>
      <c r="D2282" s="424" t="s">
        <v>1562</v>
      </c>
      <c r="E2282" s="424" t="s">
        <v>7</v>
      </c>
      <c r="F2282" s="424" t="s">
        <v>1559</v>
      </c>
      <c r="G2282" s="438"/>
    </row>
    <row r="2283" spans="1:7" ht="13.5" hidden="1" customHeight="1">
      <c r="A2283" s="1987"/>
      <c r="B2283" s="1967"/>
      <c r="C2283" s="744"/>
      <c r="D2283" s="675"/>
      <c r="E2283" s="745"/>
      <c r="F2283" s="464"/>
      <c r="G2283" s="676"/>
    </row>
    <row r="2284" spans="1:7" ht="13.5" hidden="1" customHeight="1">
      <c r="A2284" s="1996"/>
      <c r="B2284" s="1819"/>
      <c r="C2284" s="744"/>
      <c r="D2284" s="434"/>
      <c r="E2284" s="746"/>
      <c r="F2284" s="434"/>
      <c r="G2284" s="457"/>
    </row>
    <row r="2285" spans="1:7" ht="13.5" hidden="1" customHeight="1">
      <c r="A2285" s="2015" t="s">
        <v>1560</v>
      </c>
      <c r="B2285" s="1601"/>
      <c r="C2285" s="1601"/>
      <c r="D2285" s="1601"/>
      <c r="E2285" s="1601"/>
      <c r="F2285" s="1801"/>
      <c r="G2285" s="462"/>
    </row>
    <row r="2286" spans="1:7" ht="13.5" hidden="1" customHeight="1">
      <c r="A2286" s="621" t="s">
        <v>1564</v>
      </c>
      <c r="B2286" s="618"/>
      <c r="C2286" s="618"/>
      <c r="D2286" s="618"/>
      <c r="E2286" s="618"/>
      <c r="F2286" s="618"/>
      <c r="G2286" s="743"/>
    </row>
    <row r="2287" spans="1:7" ht="13.5" hidden="1" customHeight="1">
      <c r="A2287" s="1975" t="s">
        <v>1565</v>
      </c>
      <c r="B2287" s="1801"/>
      <c r="C2287" s="424" t="s">
        <v>1566</v>
      </c>
      <c r="D2287" s="424" t="s">
        <v>6</v>
      </c>
      <c r="E2287" s="424" t="s">
        <v>7</v>
      </c>
      <c r="F2287" s="424" t="s">
        <v>1559</v>
      </c>
      <c r="G2287" s="462"/>
    </row>
    <row r="2288" spans="1:7" ht="13.5" hidden="1" customHeight="1">
      <c r="A2288" s="2004" t="str">
        <f>+'MANO DE OBRA'!$A$64</f>
        <v>Oficial (Incl. Prestaciones)</v>
      </c>
      <c r="B2288" s="1888"/>
      <c r="C2288" s="679">
        <f>+'MANO DE OBRA'!$E$64</f>
        <v>15031.25</v>
      </c>
      <c r="D2288" s="680">
        <v>1</v>
      </c>
      <c r="E2288" s="680">
        <v>0.87919484097569767</v>
      </c>
      <c r="F2288" s="694">
        <f t="shared" ref="F2288:F2289" si="153">+(C2288*D2288)*E2288</f>
        <v>13215.397453415955</v>
      </c>
      <c r="G2288" s="676"/>
    </row>
    <row r="2289" spans="1:7" ht="13.5" hidden="1" customHeight="1">
      <c r="A2289" s="1984" t="str">
        <f>+'MANO DE OBRA'!$A$65</f>
        <v>Ayudante (Incl. Prestaciones)</v>
      </c>
      <c r="B2289" s="1819"/>
      <c r="C2289" s="747">
        <f>+'MANO DE OBRA'!$E$65</f>
        <v>10972.8125</v>
      </c>
      <c r="D2289" s="614">
        <v>1</v>
      </c>
      <c r="E2289" s="614">
        <f>+E2288</f>
        <v>0.87919484097569767</v>
      </c>
      <c r="F2289" s="455">
        <f t="shared" si="153"/>
        <v>9647.2401409936483</v>
      </c>
      <c r="G2289" s="709"/>
    </row>
    <row r="2290" spans="1:7" ht="13.5" hidden="1" customHeight="1">
      <c r="A2290" s="2015" t="str">
        <f>+A2285</f>
        <v>SUB-TOTAL</v>
      </c>
      <c r="B2290" s="1601"/>
      <c r="C2290" s="1601"/>
      <c r="D2290" s="1601"/>
      <c r="E2290" s="1601"/>
      <c r="F2290" s="1801"/>
      <c r="G2290" s="462">
        <f>SUM(F2288:F2289)</f>
        <v>22862.637594409603</v>
      </c>
    </row>
    <row r="2291" spans="1:7" ht="13.5" hidden="1" customHeight="1">
      <c r="A2291" s="618"/>
      <c r="B2291" s="618"/>
      <c r="C2291" s="618"/>
      <c r="D2291" s="618"/>
      <c r="E2291" s="618"/>
      <c r="F2291" s="748"/>
      <c r="G2291" s="743"/>
    </row>
    <row r="2292" spans="1:7" ht="13.5" hidden="1" customHeight="1">
      <c r="A2292" s="2015" t="s">
        <v>1567</v>
      </c>
      <c r="B2292" s="1601"/>
      <c r="C2292" s="1601"/>
      <c r="D2292" s="1601"/>
      <c r="E2292" s="1601"/>
      <c r="F2292" s="1801"/>
      <c r="G2292" s="459">
        <f>ROUND(G2273+G2280+G2285+G2290,0)</f>
        <v>153723</v>
      </c>
    </row>
    <row r="2293" spans="1:7" ht="13.5" hidden="1" customHeight="1">
      <c r="A2293" s="616"/>
      <c r="B2293" s="616"/>
      <c r="C2293" s="616"/>
      <c r="D2293" s="616"/>
      <c r="E2293" s="616"/>
      <c r="F2293" s="616"/>
      <c r="G2293" s="616"/>
    </row>
    <row r="2294" spans="1:7" ht="13.5" hidden="1" customHeight="1">
      <c r="A2294" s="616"/>
      <c r="B2294" s="616"/>
      <c r="C2294" s="616"/>
      <c r="D2294" s="616"/>
      <c r="E2294" s="616"/>
      <c r="F2294" s="616"/>
      <c r="G2294" s="616"/>
    </row>
    <row r="2295" spans="1:7" ht="24.75" hidden="1" customHeight="1">
      <c r="A2295" s="1989" t="e">
        <f>+'ANALISIS BASICOS'!$A$7</f>
        <v>#REF!</v>
      </c>
      <c r="B2295" s="1616"/>
      <c r="C2295" s="1624"/>
      <c r="D2295" s="567"/>
      <c r="E2295" s="567"/>
      <c r="F2295" s="567"/>
      <c r="G2295" s="668"/>
    </row>
    <row r="2296" spans="1:7" ht="25.5" hidden="1" customHeight="1">
      <c r="A2296" s="1971"/>
      <c r="B2296" s="1817"/>
      <c r="C2296" s="1972"/>
      <c r="D2296" s="669"/>
      <c r="E2296" s="669"/>
      <c r="F2296" s="669"/>
      <c r="G2296" s="670"/>
    </row>
    <row r="2297" spans="1:7" ht="13.5" hidden="1" customHeight="1">
      <c r="A2297" s="618"/>
      <c r="B2297" s="618"/>
      <c r="C2297" s="618"/>
      <c r="D2297" s="618"/>
      <c r="E2297" s="618"/>
      <c r="F2297" s="618"/>
      <c r="G2297" s="618"/>
    </row>
    <row r="2298" spans="1:7" ht="78.75" hidden="1" customHeight="1">
      <c r="A2298" s="1991" t="e">
        <f ca="1">+A1977</f>
        <v>#NAME?</v>
      </c>
      <c r="B2298" s="1601"/>
      <c r="C2298" s="1602"/>
      <c r="D2298" s="1974" t="s">
        <v>2498</v>
      </c>
      <c r="E2298" s="1601"/>
      <c r="F2298" s="1601"/>
      <c r="G2298" s="1602"/>
    </row>
    <row r="2299" spans="1:7" ht="13.5" hidden="1" customHeight="1">
      <c r="A2299" s="620"/>
      <c r="B2299" s="620"/>
      <c r="C2299" s="620"/>
      <c r="D2299" s="620"/>
      <c r="E2299" s="620"/>
      <c r="F2299" s="620"/>
      <c r="G2299" s="620"/>
    </row>
    <row r="2300" spans="1:7" ht="13.5" hidden="1" customHeight="1">
      <c r="A2300" s="572"/>
      <c r="B2300" s="618"/>
      <c r="C2300" s="616"/>
      <c r="D2300" s="421" t="s">
        <v>1553</v>
      </c>
      <c r="E2300" s="422" t="s">
        <v>228</v>
      </c>
      <c r="F2300" s="421" t="s">
        <v>1554</v>
      </c>
      <c r="G2300" s="422" t="s">
        <v>82</v>
      </c>
    </row>
    <row r="2301" spans="1:7" ht="13.5" hidden="1" customHeight="1">
      <c r="A2301" s="621" t="s">
        <v>1555</v>
      </c>
      <c r="B2301" s="618"/>
      <c r="C2301" s="618"/>
      <c r="D2301" s="618"/>
      <c r="E2301" s="618"/>
      <c r="F2301" s="618"/>
      <c r="G2301" s="618"/>
    </row>
    <row r="2302" spans="1:7" ht="13.5" hidden="1" customHeight="1">
      <c r="A2302" s="1975" t="s">
        <v>1556</v>
      </c>
      <c r="B2302" s="1601"/>
      <c r="C2302" s="1801"/>
      <c r="D2302" s="424" t="s">
        <v>208</v>
      </c>
      <c r="E2302" s="424" t="s">
        <v>1558</v>
      </c>
      <c r="F2302" s="424" t="s">
        <v>1559</v>
      </c>
      <c r="G2302" s="425"/>
    </row>
    <row r="2303" spans="1:7" ht="12" hidden="1" customHeight="1">
      <c r="A2303" s="1987" t="str">
        <f>+'LISTADO EQUIPOS'!$C$22</f>
        <v>HERRAMIENTA MENOR.</v>
      </c>
      <c r="B2303" s="1811"/>
      <c r="C2303" s="1967"/>
      <c r="D2303" s="675">
        <f>+'LISTADO EQUIPOS'!$E$22/8</f>
        <v>2850</v>
      </c>
      <c r="E2303" s="687">
        <v>0.2</v>
      </c>
      <c r="F2303" s="442">
        <f>+E2303*D2303</f>
        <v>570</v>
      </c>
      <c r="G2303" s="688"/>
    </row>
    <row r="2304" spans="1:7" ht="13.5" hidden="1" customHeight="1">
      <c r="A2304" s="1996"/>
      <c r="B2304" s="1807"/>
      <c r="C2304" s="1819"/>
      <c r="D2304" s="434"/>
      <c r="E2304" s="433"/>
      <c r="F2304" s="434"/>
      <c r="G2304" s="435"/>
    </row>
    <row r="2305" spans="1:7" ht="13.5" hidden="1" customHeight="1">
      <c r="A2305" s="2015" t="s">
        <v>1560</v>
      </c>
      <c r="B2305" s="1601"/>
      <c r="C2305" s="1601"/>
      <c r="D2305" s="1601"/>
      <c r="E2305" s="1601"/>
      <c r="F2305" s="1801"/>
      <c r="G2305" s="462">
        <f>SUM(F2303:F2304)</f>
        <v>570</v>
      </c>
    </row>
    <row r="2306" spans="1:7" ht="13.5" hidden="1" customHeight="1">
      <c r="A2306" s="621" t="s">
        <v>1561</v>
      </c>
      <c r="B2306" s="618"/>
      <c r="C2306" s="618"/>
      <c r="D2306" s="618"/>
      <c r="E2306" s="618"/>
      <c r="F2306" s="618"/>
      <c r="G2306" s="743"/>
    </row>
    <row r="2307" spans="1:7" ht="13.5" hidden="1" customHeight="1">
      <c r="A2307" s="1975" t="s">
        <v>1556</v>
      </c>
      <c r="B2307" s="1801"/>
      <c r="C2307" s="424" t="s">
        <v>6</v>
      </c>
      <c r="D2307" s="424" t="s">
        <v>1562</v>
      </c>
      <c r="E2307" s="424" t="s">
        <v>7</v>
      </c>
      <c r="F2307" s="424" t="s">
        <v>1559</v>
      </c>
      <c r="G2307" s="673"/>
    </row>
    <row r="2308" spans="1:7" ht="13.5" hidden="1" customHeight="1">
      <c r="A2308" s="2091" t="s">
        <v>2499</v>
      </c>
      <c r="B2308" s="1967"/>
      <c r="C2308" s="727" t="s">
        <v>228</v>
      </c>
      <c r="D2308" s="728">
        <v>72491.049489095618</v>
      </c>
      <c r="E2308" s="1061">
        <v>1.05</v>
      </c>
      <c r="F2308" s="728">
        <f>+E2308*D2308</f>
        <v>76115.601963550405</v>
      </c>
      <c r="G2308" s="730"/>
    </row>
    <row r="2309" spans="1:7" ht="13.5" hidden="1" customHeight="1">
      <c r="A2309" s="2092"/>
      <c r="B2309" s="1611"/>
      <c r="C2309" s="731"/>
      <c r="D2309" s="1041"/>
      <c r="E2309" s="721"/>
      <c r="F2309" s="722"/>
      <c r="G2309" s="1042"/>
    </row>
    <row r="2310" spans="1:7" ht="13.5" hidden="1" customHeight="1">
      <c r="A2310" s="2092"/>
      <c r="B2310" s="1611"/>
      <c r="C2310" s="731"/>
      <c r="D2310" s="1041"/>
      <c r="E2310" s="721"/>
      <c r="F2310" s="722"/>
      <c r="G2310" s="1042"/>
    </row>
    <row r="2311" spans="1:7" ht="13.5" hidden="1" customHeight="1">
      <c r="A2311" s="1996"/>
      <c r="B2311" s="1819"/>
      <c r="C2311" s="708"/>
      <c r="D2311" s="434"/>
      <c r="E2311" s="708"/>
      <c r="F2311" s="700"/>
      <c r="G2311" s="709"/>
    </row>
    <row r="2312" spans="1:7" ht="13.5" hidden="1" customHeight="1">
      <c r="A2312" s="2015" t="s">
        <v>1560</v>
      </c>
      <c r="B2312" s="1601"/>
      <c r="C2312" s="1601"/>
      <c r="D2312" s="1601"/>
      <c r="E2312" s="1601"/>
      <c r="F2312" s="1801"/>
      <c r="G2312" s="462">
        <f>SUM(F2308:F2311)</f>
        <v>76115.601963550405</v>
      </c>
    </row>
    <row r="2313" spans="1:7" ht="13.5" hidden="1" customHeight="1">
      <c r="A2313" s="621" t="s">
        <v>1563</v>
      </c>
      <c r="B2313" s="618"/>
      <c r="C2313" s="618"/>
      <c r="D2313" s="618"/>
      <c r="E2313" s="618"/>
      <c r="F2313" s="618"/>
      <c r="G2313" s="743"/>
    </row>
    <row r="2314" spans="1:7" ht="13.5" hidden="1" customHeight="1">
      <c r="A2314" s="1975" t="s">
        <v>1556</v>
      </c>
      <c r="B2314" s="1801"/>
      <c r="C2314" s="424" t="s">
        <v>6</v>
      </c>
      <c r="D2314" s="424" t="s">
        <v>1562</v>
      </c>
      <c r="E2314" s="424" t="s">
        <v>7</v>
      </c>
      <c r="F2314" s="424" t="s">
        <v>1559</v>
      </c>
      <c r="G2314" s="438"/>
    </row>
    <row r="2315" spans="1:7" ht="13.5" hidden="1" customHeight="1">
      <c r="A2315" s="1987"/>
      <c r="B2315" s="1967"/>
      <c r="C2315" s="744"/>
      <c r="D2315" s="675"/>
      <c r="E2315" s="745"/>
      <c r="F2315" s="464"/>
      <c r="G2315" s="676"/>
    </row>
    <row r="2316" spans="1:7" ht="13.5" hidden="1" customHeight="1">
      <c r="A2316" s="1996"/>
      <c r="B2316" s="1819"/>
      <c r="C2316" s="744"/>
      <c r="D2316" s="434"/>
      <c r="E2316" s="746"/>
      <c r="F2316" s="434"/>
      <c r="G2316" s="457"/>
    </row>
    <row r="2317" spans="1:7" ht="13.5" hidden="1" customHeight="1">
      <c r="A2317" s="2015" t="s">
        <v>1560</v>
      </c>
      <c r="B2317" s="1601"/>
      <c r="C2317" s="1601"/>
      <c r="D2317" s="1601"/>
      <c r="E2317" s="1601"/>
      <c r="F2317" s="1801"/>
      <c r="G2317" s="462"/>
    </row>
    <row r="2318" spans="1:7" ht="13.5" hidden="1" customHeight="1">
      <c r="A2318" s="621" t="s">
        <v>1564</v>
      </c>
      <c r="B2318" s="618"/>
      <c r="C2318" s="618"/>
      <c r="D2318" s="618"/>
      <c r="E2318" s="618"/>
      <c r="F2318" s="618"/>
      <c r="G2318" s="743"/>
    </row>
    <row r="2319" spans="1:7" ht="13.5" hidden="1" customHeight="1">
      <c r="A2319" s="1975" t="s">
        <v>1565</v>
      </c>
      <c r="B2319" s="1801"/>
      <c r="C2319" s="424" t="s">
        <v>1566</v>
      </c>
      <c r="D2319" s="424" t="s">
        <v>6</v>
      </c>
      <c r="E2319" s="424" t="s">
        <v>7</v>
      </c>
      <c r="F2319" s="424" t="s">
        <v>1559</v>
      </c>
      <c r="G2319" s="462"/>
    </row>
    <row r="2320" spans="1:7" ht="13.5" hidden="1" customHeight="1">
      <c r="A2320" s="2004" t="str">
        <f>+'MANO DE OBRA'!$A$64</f>
        <v>Oficial (Incl. Prestaciones)</v>
      </c>
      <c r="B2320" s="1888"/>
      <c r="C2320" s="679">
        <f>+'MANO DE OBRA'!$E$64</f>
        <v>15031.25</v>
      </c>
      <c r="D2320" s="680">
        <v>1</v>
      </c>
      <c r="E2320" s="680">
        <v>0.95</v>
      </c>
      <c r="F2320" s="694">
        <f t="shared" ref="F2320:F2321" si="154">+(C2320*D2320)*E2320</f>
        <v>14279.6875</v>
      </c>
      <c r="G2320" s="676"/>
    </row>
    <row r="2321" spans="1:7" ht="13.5" hidden="1" customHeight="1">
      <c r="A2321" s="1984" t="str">
        <f>+'MANO DE OBRA'!$A$65</f>
        <v>Ayudante (Incl. Prestaciones)</v>
      </c>
      <c r="B2321" s="1819"/>
      <c r="C2321" s="747">
        <f>+'MANO DE OBRA'!$E$65</f>
        <v>10972.8125</v>
      </c>
      <c r="D2321" s="614">
        <v>1</v>
      </c>
      <c r="E2321" s="614">
        <f>+E2320</f>
        <v>0.95</v>
      </c>
      <c r="F2321" s="455">
        <f t="shared" si="154"/>
        <v>10424.171875</v>
      </c>
      <c r="G2321" s="709"/>
    </row>
    <row r="2322" spans="1:7" ht="13.5" hidden="1" customHeight="1">
      <c r="A2322" s="2015" t="str">
        <f>+A2317</f>
        <v>SUB-TOTAL</v>
      </c>
      <c r="B2322" s="1601"/>
      <c r="C2322" s="1601"/>
      <c r="D2322" s="1601"/>
      <c r="E2322" s="1601"/>
      <c r="F2322" s="1801"/>
      <c r="G2322" s="462">
        <f>SUM(F2320:F2321)</f>
        <v>24703.859375</v>
      </c>
    </row>
    <row r="2323" spans="1:7" ht="13.5" hidden="1" customHeight="1">
      <c r="A2323" s="618"/>
      <c r="B2323" s="618"/>
      <c r="C2323" s="618"/>
      <c r="D2323" s="618"/>
      <c r="E2323" s="618"/>
      <c r="F2323" s="748"/>
      <c r="G2323" s="743"/>
    </row>
    <row r="2324" spans="1:7" ht="13.5" hidden="1" customHeight="1">
      <c r="A2324" s="2015" t="s">
        <v>1567</v>
      </c>
      <c r="B2324" s="1601"/>
      <c r="C2324" s="1601"/>
      <c r="D2324" s="1601"/>
      <c r="E2324" s="1601"/>
      <c r="F2324" s="1801"/>
      <c r="G2324" s="459">
        <f>ROUND(G2305+G2312+G2317+G2322,0)</f>
        <v>101389</v>
      </c>
    </row>
    <row r="2325" spans="1:7" ht="13.5" hidden="1" customHeight="1">
      <c r="A2325" s="616"/>
      <c r="B2325" s="616"/>
      <c r="C2325" s="616"/>
      <c r="D2325" s="616"/>
      <c r="E2325" s="616"/>
      <c r="F2325" s="616"/>
      <c r="G2325" s="616"/>
    </row>
    <row r="2326" spans="1:7" ht="13.5" hidden="1" customHeight="1">
      <c r="A2326" s="616"/>
      <c r="B2326" s="616"/>
      <c r="C2326" s="616"/>
      <c r="D2326" s="616"/>
      <c r="E2326" s="616"/>
      <c r="F2326" s="616"/>
      <c r="G2326" s="616"/>
    </row>
    <row r="2327" spans="1:7" ht="24.75" hidden="1" customHeight="1">
      <c r="A2327" s="1989" t="e">
        <f>+'ANALISIS BASICOS'!$A$7</f>
        <v>#REF!</v>
      </c>
      <c r="B2327" s="1616"/>
      <c r="C2327" s="1624"/>
      <c r="D2327" s="567"/>
      <c r="E2327" s="567"/>
      <c r="F2327" s="567"/>
      <c r="G2327" s="668"/>
    </row>
    <row r="2328" spans="1:7" ht="25.5" hidden="1" customHeight="1">
      <c r="A2328" s="1971"/>
      <c r="B2328" s="1817"/>
      <c r="C2328" s="1972"/>
      <c r="D2328" s="669"/>
      <c r="E2328" s="669"/>
      <c r="F2328" s="669"/>
      <c r="G2328" s="670"/>
    </row>
    <row r="2329" spans="1:7" ht="13.5" hidden="1" customHeight="1">
      <c r="A2329" s="618"/>
      <c r="B2329" s="618"/>
      <c r="C2329" s="618"/>
      <c r="D2329" s="618"/>
      <c r="E2329" s="618"/>
      <c r="F2329" s="618"/>
      <c r="G2329" s="618"/>
    </row>
    <row r="2330" spans="1:7" ht="52.5" hidden="1" customHeight="1">
      <c r="A2330" s="1991" t="e">
        <f ca="1">+A2298</f>
        <v>#NAME?</v>
      </c>
      <c r="B2330" s="1601"/>
      <c r="C2330" s="1602"/>
      <c r="D2330" s="1974" t="s">
        <v>2500</v>
      </c>
      <c r="E2330" s="1601"/>
      <c r="F2330" s="1601"/>
      <c r="G2330" s="1602"/>
    </row>
    <row r="2331" spans="1:7" ht="13.5" hidden="1" customHeight="1">
      <c r="A2331" s="620"/>
      <c r="B2331" s="620"/>
      <c r="C2331" s="620"/>
      <c r="D2331" s="620"/>
      <c r="E2331" s="620"/>
      <c r="F2331" s="620"/>
      <c r="G2331" s="620"/>
    </row>
    <row r="2332" spans="1:7" ht="13.5" hidden="1" customHeight="1">
      <c r="A2332" s="572"/>
      <c r="B2332" s="618"/>
      <c r="C2332" s="616"/>
      <c r="D2332" s="421" t="s">
        <v>1553</v>
      </c>
      <c r="E2332" s="422" t="s">
        <v>116</v>
      </c>
      <c r="F2332" s="421" t="s">
        <v>1554</v>
      </c>
      <c r="G2332" s="422" t="s">
        <v>89</v>
      </c>
    </row>
    <row r="2333" spans="1:7" ht="13.5" hidden="1" customHeight="1">
      <c r="A2333" s="621" t="s">
        <v>1555</v>
      </c>
      <c r="B2333" s="618"/>
      <c r="C2333" s="618"/>
      <c r="D2333" s="618"/>
      <c r="E2333" s="618"/>
      <c r="F2333" s="618"/>
      <c r="G2333" s="618"/>
    </row>
    <row r="2334" spans="1:7" ht="13.5" hidden="1" customHeight="1">
      <c r="A2334" s="1975" t="s">
        <v>1556</v>
      </c>
      <c r="B2334" s="1601"/>
      <c r="C2334" s="1801"/>
      <c r="D2334" s="424" t="s">
        <v>208</v>
      </c>
      <c r="E2334" s="424" t="s">
        <v>1558</v>
      </c>
      <c r="F2334" s="424" t="s">
        <v>1559</v>
      </c>
      <c r="G2334" s="425"/>
    </row>
    <row r="2335" spans="1:7" ht="13.5" hidden="1" customHeight="1">
      <c r="A2335" s="1987" t="str">
        <f>+'LISTADO EQUIPOS'!$C$22</f>
        <v>HERRAMIENTA MENOR.</v>
      </c>
      <c r="B2335" s="1811"/>
      <c r="C2335" s="1967"/>
      <c r="D2335" s="675">
        <f>+'LISTADO EQUIPOS'!$E$22/8</f>
        <v>2850</v>
      </c>
      <c r="E2335" s="687">
        <v>0.2</v>
      </c>
      <c r="F2335" s="442">
        <f t="shared" ref="F2335:F2338" si="155">+E2335*D2335</f>
        <v>570</v>
      </c>
      <c r="G2335" s="688"/>
    </row>
    <row r="2336" spans="1:7" ht="13.5" hidden="1" customHeight="1">
      <c r="A2336" s="1988" t="str">
        <f>+'ANALISIS BASICOS'!$A$360</f>
        <v>FORMALETA EN MADERA</v>
      </c>
      <c r="B2336" s="1610"/>
      <c r="C2336" s="1611"/>
      <c r="D2336" s="431">
        <f>+'ANALISIS BASICOS'!$G$360</f>
        <v>41998</v>
      </c>
      <c r="E2336" s="430">
        <v>0.75</v>
      </c>
      <c r="F2336" s="689">
        <f t="shared" si="155"/>
        <v>31498.5</v>
      </c>
      <c r="G2336" s="751"/>
    </row>
    <row r="2337" spans="1:7" ht="13.5" hidden="1" customHeight="1">
      <c r="A2337" s="1988" t="str">
        <f>+'LISTADO EQUIPOS'!$C$77</f>
        <v>TABLERO DE MADERA :.0.70 x 1.40 (CAMILLA)</v>
      </c>
      <c r="B2337" s="1610"/>
      <c r="C2337" s="1611"/>
      <c r="D2337" s="431">
        <f>+'LISTADO EQUIPOS'!$E$77</f>
        <v>350</v>
      </c>
      <c r="E2337" s="430">
        <v>42</v>
      </c>
      <c r="F2337" s="689">
        <f t="shared" si="155"/>
        <v>14700</v>
      </c>
      <c r="G2337" s="751"/>
    </row>
    <row r="2338" spans="1:7" ht="13.5" hidden="1" customHeight="1">
      <c r="A2338" s="1995" t="str">
        <f>+'LISTADO EQUIPOS'!$C$37</f>
        <v>VIBRADOR DE CONCRETO ELECTRICO O A GASOLINA.</v>
      </c>
      <c r="B2338" s="1610"/>
      <c r="C2338" s="1611"/>
      <c r="D2338" s="464">
        <f>+'LISTADO EQUIPOS'!$E$37/8</f>
        <v>4950</v>
      </c>
      <c r="E2338" s="706">
        <v>1.2</v>
      </c>
      <c r="F2338" s="464">
        <f t="shared" si="155"/>
        <v>5940</v>
      </c>
      <c r="G2338" s="751"/>
    </row>
    <row r="2339" spans="1:7" ht="13.5" hidden="1" customHeight="1">
      <c r="A2339" s="1999"/>
      <c r="B2339" s="1817"/>
      <c r="C2339" s="2000"/>
      <c r="D2339" s="1064"/>
      <c r="E2339" s="1065"/>
      <c r="F2339" s="1064"/>
      <c r="G2339" s="768"/>
    </row>
    <row r="2340" spans="1:7" ht="13.5" hidden="1" customHeight="1">
      <c r="A2340" s="2015" t="s">
        <v>1560</v>
      </c>
      <c r="B2340" s="1601"/>
      <c r="C2340" s="1601"/>
      <c r="D2340" s="1601"/>
      <c r="E2340" s="1601"/>
      <c r="F2340" s="1801"/>
      <c r="G2340" s="462">
        <f>SUM(F2335:F2339)</f>
        <v>52708.5</v>
      </c>
    </row>
    <row r="2341" spans="1:7" ht="13.5" hidden="1" customHeight="1">
      <c r="A2341" s="621" t="s">
        <v>1561</v>
      </c>
      <c r="B2341" s="618"/>
      <c r="C2341" s="618"/>
      <c r="D2341" s="618"/>
      <c r="E2341" s="618"/>
      <c r="F2341" s="618"/>
      <c r="G2341" s="743"/>
    </row>
    <row r="2342" spans="1:7" ht="13.5" hidden="1" customHeight="1">
      <c r="A2342" s="1975" t="s">
        <v>1556</v>
      </c>
      <c r="B2342" s="1801"/>
      <c r="C2342" s="424" t="s">
        <v>6</v>
      </c>
      <c r="D2342" s="424" t="s">
        <v>1562</v>
      </c>
      <c r="E2342" s="424" t="s">
        <v>7</v>
      </c>
      <c r="F2342" s="424" t="s">
        <v>1559</v>
      </c>
      <c r="G2342" s="673"/>
    </row>
    <row r="2343" spans="1:7" ht="13.5" hidden="1" customHeight="1">
      <c r="A2343" s="2091" t="str">
        <f>+'ANALISIS BASICOS'!$A$36</f>
        <v xml:space="preserve">CONCRETO NORMAL - 3000 PSI (210 KG/CM2) </v>
      </c>
      <c r="B2343" s="1967"/>
      <c r="C2343" s="727" t="str">
        <f>+'ANALISIS BASICOS'!$E$12</f>
        <v>M3</v>
      </c>
      <c r="D2343" s="1040">
        <f>+'ANALISIS BASICOS'!$G$36</f>
        <v>468441</v>
      </c>
      <c r="E2343" s="1061">
        <v>1.05</v>
      </c>
      <c r="F2343" s="728">
        <f t="shared" ref="F2343:F2346" si="156">+E2343*D2343</f>
        <v>491863.05000000005</v>
      </c>
      <c r="G2343" s="730"/>
    </row>
    <row r="2344" spans="1:7" ht="13.5" hidden="1" customHeight="1">
      <c r="A2344" s="2092" t="str">
        <f>'LISTADO MATERIALES'!$C$723</f>
        <v>AGUA</v>
      </c>
      <c r="B2344" s="1611"/>
      <c r="C2344" s="731" t="str">
        <f>'LISTADO MATERIALES'!$D$723</f>
        <v>LT</v>
      </c>
      <c r="D2344" s="1041">
        <f>'LISTADO MATERIALES'!$E$723</f>
        <v>21</v>
      </c>
      <c r="E2344" s="721">
        <v>30</v>
      </c>
      <c r="F2344" s="722">
        <f t="shared" si="156"/>
        <v>630</v>
      </c>
      <c r="G2344" s="1042"/>
    </row>
    <row r="2345" spans="1:7" ht="13.5" hidden="1" customHeight="1">
      <c r="A2345" s="2092" t="str">
        <f>+'LISTADO MATERIALES'!$C$10</f>
        <v xml:space="preserve">ACERO Fy= 4200 Kg/cm2   </v>
      </c>
      <c r="B2345" s="1611"/>
      <c r="C2345" s="731" t="str">
        <f>+'LISTADO MATERIALES'!$D$10</f>
        <v>KG</v>
      </c>
      <c r="D2345" s="1041">
        <f>'LISTADO MATERIALES'!$E$10</f>
        <v>2800</v>
      </c>
      <c r="E2345" s="721">
        <v>18.5</v>
      </c>
      <c r="F2345" s="722">
        <f t="shared" si="156"/>
        <v>51800</v>
      </c>
      <c r="G2345" s="1042"/>
    </row>
    <row r="2346" spans="1:7" ht="13.5" hidden="1" customHeight="1">
      <c r="A2346" s="1996" t="str">
        <f>+'LISTADO MATERIALES'!$C$16</f>
        <v>ALAMBRE NEGRO No. 18</v>
      </c>
      <c r="B2346" s="1819"/>
      <c r="C2346" s="708" t="str">
        <f>+'LISTADO MATERIALES'!$D$16</f>
        <v>KG</v>
      </c>
      <c r="D2346" s="434">
        <f>+'LISTADO MATERIALES'!$E$16</f>
        <v>3150</v>
      </c>
      <c r="E2346" s="708">
        <v>4.5</v>
      </c>
      <c r="F2346" s="700">
        <f t="shared" si="156"/>
        <v>14175</v>
      </c>
      <c r="G2346" s="709"/>
    </row>
    <row r="2347" spans="1:7" ht="13.5" hidden="1" customHeight="1">
      <c r="A2347" s="2015" t="s">
        <v>1560</v>
      </c>
      <c r="B2347" s="1601"/>
      <c r="C2347" s="1601"/>
      <c r="D2347" s="1601"/>
      <c r="E2347" s="1601"/>
      <c r="F2347" s="1801"/>
      <c r="G2347" s="462">
        <f>SUM(F2343:F2346)</f>
        <v>558468.05000000005</v>
      </c>
    </row>
    <row r="2348" spans="1:7" ht="13.5" hidden="1" customHeight="1">
      <c r="A2348" s="621" t="s">
        <v>1563</v>
      </c>
      <c r="B2348" s="618"/>
      <c r="C2348" s="618"/>
      <c r="D2348" s="618"/>
      <c r="E2348" s="618"/>
      <c r="F2348" s="618"/>
      <c r="G2348" s="743"/>
    </row>
    <row r="2349" spans="1:7" ht="13.5" hidden="1" customHeight="1">
      <c r="A2349" s="1975" t="s">
        <v>1556</v>
      </c>
      <c r="B2349" s="1801"/>
      <c r="C2349" s="424" t="s">
        <v>6</v>
      </c>
      <c r="D2349" s="424" t="s">
        <v>1562</v>
      </c>
      <c r="E2349" s="424" t="s">
        <v>7</v>
      </c>
      <c r="F2349" s="424" t="s">
        <v>1559</v>
      </c>
      <c r="G2349" s="438"/>
    </row>
    <row r="2350" spans="1:7" ht="13.5" hidden="1" customHeight="1">
      <c r="A2350" s="1987"/>
      <c r="B2350" s="1967"/>
      <c r="C2350" s="744"/>
      <c r="D2350" s="675"/>
      <c r="E2350" s="745"/>
      <c r="F2350" s="464"/>
      <c r="G2350" s="676"/>
    </row>
    <row r="2351" spans="1:7" ht="13.5" hidden="1" customHeight="1">
      <c r="A2351" s="1996"/>
      <c r="B2351" s="1819"/>
      <c r="C2351" s="744"/>
      <c r="D2351" s="434"/>
      <c r="E2351" s="746"/>
      <c r="F2351" s="434"/>
      <c r="G2351" s="457"/>
    </row>
    <row r="2352" spans="1:7" ht="13.5" hidden="1" customHeight="1">
      <c r="A2352" s="2015" t="s">
        <v>1560</v>
      </c>
      <c r="B2352" s="1601"/>
      <c r="C2352" s="1601"/>
      <c r="D2352" s="1601"/>
      <c r="E2352" s="1601"/>
      <c r="F2352" s="1801"/>
      <c r="G2352" s="462"/>
    </row>
    <row r="2353" spans="1:7" ht="13.5" hidden="1" customHeight="1">
      <c r="A2353" s="621" t="s">
        <v>1564</v>
      </c>
      <c r="B2353" s="618"/>
      <c r="C2353" s="618"/>
      <c r="D2353" s="618"/>
      <c r="E2353" s="618"/>
      <c r="F2353" s="618"/>
      <c r="G2353" s="743"/>
    </row>
    <row r="2354" spans="1:7" ht="13.5" hidden="1" customHeight="1">
      <c r="A2354" s="1975" t="s">
        <v>1565</v>
      </c>
      <c r="B2354" s="1801"/>
      <c r="C2354" s="424" t="s">
        <v>1566</v>
      </c>
      <c r="D2354" s="424" t="s">
        <v>6</v>
      </c>
      <c r="E2354" s="424" t="s">
        <v>7</v>
      </c>
      <c r="F2354" s="424" t="s">
        <v>1559</v>
      </c>
      <c r="G2354" s="462"/>
    </row>
    <row r="2355" spans="1:7" ht="13.5" hidden="1" customHeight="1">
      <c r="A2355" s="2004" t="str">
        <f>+'MANO DE OBRA'!$A$64</f>
        <v>Oficial (Incl. Prestaciones)</v>
      </c>
      <c r="B2355" s="1888"/>
      <c r="C2355" s="679">
        <f>+'MANO DE OBRA'!$E$64</f>
        <v>15031.25</v>
      </c>
      <c r="D2355" s="680">
        <v>1</v>
      </c>
      <c r="E2355" s="680">
        <v>6.8457659922416143</v>
      </c>
      <c r="F2355" s="694">
        <f t="shared" ref="F2355:F2356" si="157">+(C2355*D2355)*E2355</f>
        <v>102900.42007088177</v>
      </c>
      <c r="G2355" s="676"/>
    </row>
    <row r="2356" spans="1:7" ht="13.5" hidden="1" customHeight="1">
      <c r="A2356" s="1984" t="str">
        <f>+'MANO DE OBRA'!$A$65</f>
        <v>Ayudante (Incl. Prestaciones)</v>
      </c>
      <c r="B2356" s="1819"/>
      <c r="C2356" s="747">
        <f>+'MANO DE OBRA'!$E$65</f>
        <v>10972.8125</v>
      </c>
      <c r="D2356" s="614">
        <v>1</v>
      </c>
      <c r="E2356" s="614">
        <f>+E2355</f>
        <v>6.8457659922416143</v>
      </c>
      <c r="F2356" s="455">
        <f t="shared" si="157"/>
        <v>75117.306651743682</v>
      </c>
      <c r="G2356" s="709"/>
    </row>
    <row r="2357" spans="1:7" ht="13.5" hidden="1" customHeight="1">
      <c r="A2357" s="2015" t="str">
        <f>+A2352</f>
        <v>SUB-TOTAL</v>
      </c>
      <c r="B2357" s="1601"/>
      <c r="C2357" s="1601"/>
      <c r="D2357" s="1601"/>
      <c r="E2357" s="1601"/>
      <c r="F2357" s="1801"/>
      <c r="G2357" s="462">
        <f>SUM(F2355:F2356)</f>
        <v>178017.72672262543</v>
      </c>
    </row>
    <row r="2358" spans="1:7" ht="13.5" hidden="1" customHeight="1">
      <c r="A2358" s="618"/>
      <c r="B2358" s="618"/>
      <c r="C2358" s="618"/>
      <c r="D2358" s="618"/>
      <c r="E2358" s="618"/>
      <c r="F2358" s="748"/>
      <c r="G2358" s="743"/>
    </row>
    <row r="2359" spans="1:7" ht="13.5" hidden="1" customHeight="1">
      <c r="A2359" s="2015" t="s">
        <v>1567</v>
      </c>
      <c r="B2359" s="1601"/>
      <c r="C2359" s="1601"/>
      <c r="D2359" s="1601"/>
      <c r="E2359" s="1601"/>
      <c r="F2359" s="1801"/>
      <c r="G2359" s="459">
        <f>ROUND(G2340+G2347+G2352+G2357,0)</f>
        <v>789194</v>
      </c>
    </row>
    <row r="2360" spans="1:7" ht="13.5" hidden="1" customHeight="1">
      <c r="A2360" s="616"/>
      <c r="B2360" s="616"/>
      <c r="C2360" s="616"/>
      <c r="D2360" s="616"/>
      <c r="E2360" s="616"/>
      <c r="F2360" s="616"/>
      <c r="G2360" s="616"/>
    </row>
    <row r="2361" spans="1:7" ht="13.5" customHeight="1">
      <c r="A2361" s="616"/>
      <c r="B2361" s="616"/>
      <c r="C2361" s="616"/>
      <c r="D2361" s="616"/>
      <c r="E2361" s="616"/>
      <c r="F2361" s="616"/>
      <c r="G2361" s="616"/>
    </row>
    <row r="2362" spans="1:7" ht="13.5" customHeight="1">
      <c r="A2362" s="616"/>
      <c r="B2362" s="616"/>
      <c r="C2362" s="616"/>
      <c r="D2362" s="616"/>
      <c r="E2362" s="616"/>
      <c r="F2362" s="616"/>
      <c r="G2362" s="616"/>
    </row>
    <row r="2363" spans="1:7" ht="13.5" customHeight="1">
      <c r="A2363" s="1986"/>
      <c r="B2363" s="1605"/>
      <c r="C2363" s="1605"/>
      <c r="D2363" s="1605"/>
      <c r="E2363" s="616"/>
      <c r="F2363" s="616"/>
      <c r="G2363" s="616"/>
    </row>
  </sheetData>
  <mergeCells count="1686">
    <mergeCell ref="A2097:F2097"/>
    <mergeCell ref="A2099:F2099"/>
    <mergeCell ref="A2102:C2103"/>
    <mergeCell ref="D2102:G2103"/>
    <mergeCell ref="A2105:C2105"/>
    <mergeCell ref="D2105:G2105"/>
    <mergeCell ref="A2109:C2109"/>
    <mergeCell ref="A2110:C2110"/>
    <mergeCell ref="A2111:C2111"/>
    <mergeCell ref="A2112:F2112"/>
    <mergeCell ref="A2114:B2114"/>
    <mergeCell ref="A2115:B2115"/>
    <mergeCell ref="A2116:B2116"/>
    <mergeCell ref="A2117:B2117"/>
    <mergeCell ref="A2118:B2118"/>
    <mergeCell ref="A2119:F2119"/>
    <mergeCell ref="A2121:B2121"/>
    <mergeCell ref="A2122:B2122"/>
    <mergeCell ref="A2123:B2123"/>
    <mergeCell ref="A2124:F2124"/>
    <mergeCell ref="A2126:B2126"/>
    <mergeCell ref="A2127:B2127"/>
    <mergeCell ref="A2128:B2128"/>
    <mergeCell ref="A2129:F2129"/>
    <mergeCell ref="A2131:F2131"/>
    <mergeCell ref="A2134:C2135"/>
    <mergeCell ref="D2134:G2135"/>
    <mergeCell ref="D2137:G2137"/>
    <mergeCell ref="A2137:C2137"/>
    <mergeCell ref="A2141:C2141"/>
    <mergeCell ref="A2142:C2142"/>
    <mergeCell ref="A2143:C2143"/>
    <mergeCell ref="A2144:F2144"/>
    <mergeCell ref="A2146:B2146"/>
    <mergeCell ref="A2147:B2147"/>
    <mergeCell ref="A2155:B2155"/>
    <mergeCell ref="A2158:B2158"/>
    <mergeCell ref="A2159:B2159"/>
    <mergeCell ref="A2160:B2160"/>
    <mergeCell ref="A2148:B2148"/>
    <mergeCell ref="A2149:B2149"/>
    <mergeCell ref="A2150:B2150"/>
    <mergeCell ref="A2151:F2151"/>
    <mergeCell ref="A2153:B2153"/>
    <mergeCell ref="A2154:B2154"/>
    <mergeCell ref="A2156:F2156"/>
    <mergeCell ref="A2161:F2161"/>
    <mergeCell ref="A2163:F2163"/>
    <mergeCell ref="A2166:C2167"/>
    <mergeCell ref="D2166:G2167"/>
    <mergeCell ref="A2169:C2169"/>
    <mergeCell ref="D2169:G2169"/>
    <mergeCell ref="A2173:C2173"/>
    <mergeCell ref="A2174:C2174"/>
    <mergeCell ref="A2175:C2175"/>
    <mergeCell ref="A2176:F2176"/>
    <mergeCell ref="A2178:B2178"/>
    <mergeCell ref="A2179:B2179"/>
    <mergeCell ref="A2180:B2180"/>
    <mergeCell ref="A2181:B2181"/>
    <mergeCell ref="A2182:B2182"/>
    <mergeCell ref="A2183:F2183"/>
    <mergeCell ref="A2185:B2185"/>
    <mergeCell ref="A2186:B2186"/>
    <mergeCell ref="A2187:B2187"/>
    <mergeCell ref="A2188:F2188"/>
    <mergeCell ref="A2190:B2190"/>
    <mergeCell ref="A2191:B2191"/>
    <mergeCell ref="A2192:B2192"/>
    <mergeCell ref="A2193:F2193"/>
    <mergeCell ref="A2195:F2195"/>
    <mergeCell ref="A2198:C2199"/>
    <mergeCell ref="D2198:G2199"/>
    <mergeCell ref="D2201:G2201"/>
    <mergeCell ref="A2201:C2201"/>
    <mergeCell ref="A2205:C2205"/>
    <mergeCell ref="A2206:C2206"/>
    <mergeCell ref="A2207:C2207"/>
    <mergeCell ref="A2208:F2208"/>
    <mergeCell ref="A2210:B2210"/>
    <mergeCell ref="A2211:B2211"/>
    <mergeCell ref="A2219:B2219"/>
    <mergeCell ref="A2222:B2222"/>
    <mergeCell ref="A2223:B2223"/>
    <mergeCell ref="A2224:B2224"/>
    <mergeCell ref="A2212:B2212"/>
    <mergeCell ref="A2213:B2213"/>
    <mergeCell ref="A2214:B2214"/>
    <mergeCell ref="A2215:F2215"/>
    <mergeCell ref="A2217:B2217"/>
    <mergeCell ref="A2218:B2218"/>
    <mergeCell ref="A2220:F2220"/>
    <mergeCell ref="A2287:B2287"/>
    <mergeCell ref="A2288:B2288"/>
    <mergeCell ref="A2289:B2289"/>
    <mergeCell ref="A2290:F2290"/>
    <mergeCell ref="A2292:F2292"/>
    <mergeCell ref="A2295:C2296"/>
    <mergeCell ref="D2298:G2298"/>
    <mergeCell ref="A2298:C2298"/>
    <mergeCell ref="A2302:C2302"/>
    <mergeCell ref="A2303:C2303"/>
    <mergeCell ref="A2304:C2304"/>
    <mergeCell ref="A2305:F2305"/>
    <mergeCell ref="A2307:B2307"/>
    <mergeCell ref="A2308:B2308"/>
    <mergeCell ref="A2316:B2316"/>
    <mergeCell ref="A2319:B2319"/>
    <mergeCell ref="A2320:B2320"/>
    <mergeCell ref="A2321:B2321"/>
    <mergeCell ref="A2309:B2309"/>
    <mergeCell ref="A2310:B2310"/>
    <mergeCell ref="A2311:B2311"/>
    <mergeCell ref="A2312:F2312"/>
    <mergeCell ref="A2314:B2314"/>
    <mergeCell ref="A2315:B2315"/>
    <mergeCell ref="A2317:F2317"/>
    <mergeCell ref="A2336:C2336"/>
    <mergeCell ref="A2337:C2337"/>
    <mergeCell ref="A2338:C2338"/>
    <mergeCell ref="A2339:C2339"/>
    <mergeCell ref="A2340:F2340"/>
    <mergeCell ref="A2342:B2342"/>
    <mergeCell ref="A2343:B2343"/>
    <mergeCell ref="A2351:B2351"/>
    <mergeCell ref="A2354:B2354"/>
    <mergeCell ref="A2355:B2355"/>
    <mergeCell ref="A2356:B2356"/>
    <mergeCell ref="A2357:F2357"/>
    <mergeCell ref="A2359:F2359"/>
    <mergeCell ref="A2363:D2363"/>
    <mergeCell ref="A2344:B2344"/>
    <mergeCell ref="A2345:B2345"/>
    <mergeCell ref="A2346:B2346"/>
    <mergeCell ref="A2347:F2347"/>
    <mergeCell ref="A2349:B2349"/>
    <mergeCell ref="A2350:B2350"/>
    <mergeCell ref="A2352:F2352"/>
    <mergeCell ref="A2225:F2225"/>
    <mergeCell ref="A2227:F2227"/>
    <mergeCell ref="A2230:C2231"/>
    <mergeCell ref="D2230:G2231"/>
    <mergeCell ref="A2233:C2233"/>
    <mergeCell ref="D2233:G2233"/>
    <mergeCell ref="A2237:C2237"/>
    <mergeCell ref="A2238:C2238"/>
    <mergeCell ref="A2239:C2239"/>
    <mergeCell ref="A2240:F2240"/>
    <mergeCell ref="A2242:B2242"/>
    <mergeCell ref="A2243:B2243"/>
    <mergeCell ref="A2244:B2244"/>
    <mergeCell ref="A2245:B2245"/>
    <mergeCell ref="A2246:B2246"/>
    <mergeCell ref="A2247:F2247"/>
    <mergeCell ref="A2249:B2249"/>
    <mergeCell ref="A2250:B2250"/>
    <mergeCell ref="A2251:B2251"/>
    <mergeCell ref="A2252:F2252"/>
    <mergeCell ref="A2254:B2254"/>
    <mergeCell ref="A2255:B2255"/>
    <mergeCell ref="A2256:B2256"/>
    <mergeCell ref="A2257:F2257"/>
    <mergeCell ref="A2259:F2259"/>
    <mergeCell ref="A2263:C2264"/>
    <mergeCell ref="A2266:C2266"/>
    <mergeCell ref="D2266:G2266"/>
    <mergeCell ref="A2270:C2270"/>
    <mergeCell ref="A2271:C2271"/>
    <mergeCell ref="A2272:C2272"/>
    <mergeCell ref="A2273:F2273"/>
    <mergeCell ref="A2275:B2275"/>
    <mergeCell ref="A2276:B2276"/>
    <mergeCell ref="A2277:B2277"/>
    <mergeCell ref="A2278:B2278"/>
    <mergeCell ref="A2279:B2279"/>
    <mergeCell ref="A2280:F2280"/>
    <mergeCell ref="A2282:B2282"/>
    <mergeCell ref="A2283:B2283"/>
    <mergeCell ref="A2284:B2284"/>
    <mergeCell ref="A2285:F2285"/>
    <mergeCell ref="A2322:F2322"/>
    <mergeCell ref="A2324:F2324"/>
    <mergeCell ref="A2327:C2328"/>
    <mergeCell ref="A2330:C2330"/>
    <mergeCell ref="D2330:G2330"/>
    <mergeCell ref="A2334:C2334"/>
    <mergeCell ref="A2335:C2335"/>
    <mergeCell ref="A1781:C1781"/>
    <mergeCell ref="A1785:C1785"/>
    <mergeCell ref="A1786:C1786"/>
    <mergeCell ref="A1787:C1787"/>
    <mergeCell ref="A1788:F1788"/>
    <mergeCell ref="A1790:B1790"/>
    <mergeCell ref="A1791:B1791"/>
    <mergeCell ref="A1792:B1792"/>
    <mergeCell ref="A1793:B1793"/>
    <mergeCell ref="A1794:B1794"/>
    <mergeCell ref="A1795:F1795"/>
    <mergeCell ref="A1797:B1797"/>
    <mergeCell ref="A1798:B1798"/>
    <mergeCell ref="A1800:F1800"/>
    <mergeCell ref="A1817:C1817"/>
    <mergeCell ref="A1818:C1818"/>
    <mergeCell ref="A1819:C1819"/>
    <mergeCell ref="A1820:F1820"/>
    <mergeCell ref="A1822:B1822"/>
    <mergeCell ref="A1823:B1823"/>
    <mergeCell ref="A1730:B1730"/>
    <mergeCell ref="A1733:B1733"/>
    <mergeCell ref="A1734:B1734"/>
    <mergeCell ref="A1735:B1735"/>
    <mergeCell ref="A1738:B1738"/>
    <mergeCell ref="A1739:B1739"/>
    <mergeCell ref="A1740:B1740"/>
    <mergeCell ref="A1723:C1723"/>
    <mergeCell ref="A1724:F1724"/>
    <mergeCell ref="A1726:B1726"/>
    <mergeCell ref="A1727:B1727"/>
    <mergeCell ref="A1728:B1728"/>
    <mergeCell ref="A1729:B1729"/>
    <mergeCell ref="A1731:F1731"/>
    <mergeCell ref="A1736:F1736"/>
    <mergeCell ref="A1741:F1741"/>
    <mergeCell ref="A1743:F1743"/>
    <mergeCell ref="A1746:C1747"/>
    <mergeCell ref="D1746:G1747"/>
    <mergeCell ref="A1749:C1749"/>
    <mergeCell ref="D1749:G1749"/>
    <mergeCell ref="A1753:C1753"/>
    <mergeCell ref="A1754:C1754"/>
    <mergeCell ref="A1755:C1755"/>
    <mergeCell ref="A1756:F1756"/>
    <mergeCell ref="A1758:B1758"/>
    <mergeCell ref="A1759:B1759"/>
    <mergeCell ref="A1760:B1760"/>
    <mergeCell ref="A1761:B1761"/>
    <mergeCell ref="A1762:B1762"/>
    <mergeCell ref="A1763:F1763"/>
    <mergeCell ref="A1765:B1765"/>
    <mergeCell ref="A1766:B1766"/>
    <mergeCell ref="A1767:B1767"/>
    <mergeCell ref="A1768:F1768"/>
    <mergeCell ref="A1770:B1770"/>
    <mergeCell ref="A1771:B1771"/>
    <mergeCell ref="A1772:B1772"/>
    <mergeCell ref="A1773:F1773"/>
    <mergeCell ref="A1775:F1775"/>
    <mergeCell ref="A1778:C1779"/>
    <mergeCell ref="D1781:G1781"/>
    <mergeCell ref="A1799:B1799"/>
    <mergeCell ref="A1802:B1802"/>
    <mergeCell ref="A1803:B1803"/>
    <mergeCell ref="A1804:B1804"/>
    <mergeCell ref="A1805:F1805"/>
    <mergeCell ref="A1807:F1807"/>
    <mergeCell ref="A1810:C1811"/>
    <mergeCell ref="A1813:C1813"/>
    <mergeCell ref="D1813:G1813"/>
    <mergeCell ref="A1824:B1824"/>
    <mergeCell ref="A1825:B1825"/>
    <mergeCell ref="A1826:B1826"/>
    <mergeCell ref="A1827:B1827"/>
    <mergeCell ref="A1828:B1828"/>
    <mergeCell ref="A1829:F1829"/>
    <mergeCell ref="A1831:B1831"/>
    <mergeCell ref="A1832:B1832"/>
    <mergeCell ref="A1833:B1833"/>
    <mergeCell ref="A1834:F1834"/>
    <mergeCell ref="A1836:B1836"/>
    <mergeCell ref="A1837:B1837"/>
    <mergeCell ref="A1838:B1838"/>
    <mergeCell ref="A1839:F1839"/>
    <mergeCell ref="A1841:F1841"/>
    <mergeCell ref="A1844:C1845"/>
    <mergeCell ref="A1847:C1847"/>
    <mergeCell ref="D1847:G1847"/>
    <mergeCell ref="A1851:C1851"/>
    <mergeCell ref="A1852:C1852"/>
    <mergeCell ref="A1853:C1853"/>
    <mergeCell ref="A1854:F1854"/>
    <mergeCell ref="A1856:B1856"/>
    <mergeCell ref="A1857:B1857"/>
    <mergeCell ref="A1858:B1858"/>
    <mergeCell ref="A1859:B1859"/>
    <mergeCell ref="A1860:B1860"/>
    <mergeCell ref="A1861:B1861"/>
    <mergeCell ref="A1862:F1862"/>
    <mergeCell ref="A1864:B1864"/>
    <mergeCell ref="A1865:B1865"/>
    <mergeCell ref="A1866:B1866"/>
    <mergeCell ref="A1867:F1867"/>
    <mergeCell ref="A1869:B1869"/>
    <mergeCell ref="A1870:B1870"/>
    <mergeCell ref="A1871:B1871"/>
    <mergeCell ref="A1872:F1872"/>
    <mergeCell ref="A1874:F1874"/>
    <mergeCell ref="A1877:C1878"/>
    <mergeCell ref="A1880:C1880"/>
    <mergeCell ref="D1880:G1880"/>
    <mergeCell ref="A1942:C1943"/>
    <mergeCell ref="D1942:G1943"/>
    <mergeCell ref="A1945:C1945"/>
    <mergeCell ref="D1945:G1945"/>
    <mergeCell ref="A1949:C1949"/>
    <mergeCell ref="A1950:C1950"/>
    <mergeCell ref="A1952:F1952"/>
    <mergeCell ref="A1951:C1951"/>
    <mergeCell ref="A1954:B1954"/>
    <mergeCell ref="A1955:B1955"/>
    <mergeCell ref="A1956:B1956"/>
    <mergeCell ref="A1924:B1924"/>
    <mergeCell ref="A1925:B1925"/>
    <mergeCell ref="A1926:B1926"/>
    <mergeCell ref="A1927:F1927"/>
    <mergeCell ref="A1929:B1929"/>
    <mergeCell ref="A1930:B1930"/>
    <mergeCell ref="A1931:B1931"/>
    <mergeCell ref="A1932:F1932"/>
    <mergeCell ref="A1934:B1934"/>
    <mergeCell ref="A1935:B1935"/>
    <mergeCell ref="A1936:B1936"/>
    <mergeCell ref="A1937:F1937"/>
    <mergeCell ref="A1939:F1939"/>
    <mergeCell ref="A1957:B1957"/>
    <mergeCell ref="A1958:B1958"/>
    <mergeCell ref="A1959:F1959"/>
    <mergeCell ref="A1884:C1884"/>
    <mergeCell ref="A1885:C1885"/>
    <mergeCell ref="A1886:C1886"/>
    <mergeCell ref="A1887:F1887"/>
    <mergeCell ref="A1889:B1889"/>
    <mergeCell ref="A1890:B1890"/>
    <mergeCell ref="A1891:B1891"/>
    <mergeCell ref="A1892:B1892"/>
    <mergeCell ref="A1893:B1893"/>
    <mergeCell ref="A1894:F1894"/>
    <mergeCell ref="A1896:B1896"/>
    <mergeCell ref="A1897:B1897"/>
    <mergeCell ref="A1898:B1898"/>
    <mergeCell ref="A1899:F1899"/>
    <mergeCell ref="A1901:B1901"/>
    <mergeCell ref="A1902:B1902"/>
    <mergeCell ref="A1903:B1903"/>
    <mergeCell ref="A1904:F1904"/>
    <mergeCell ref="A1906:F1906"/>
    <mergeCell ref="A1909:C1910"/>
    <mergeCell ref="D1912:G1912"/>
    <mergeCell ref="A1912:C1912"/>
    <mergeCell ref="A1916:C1916"/>
    <mergeCell ref="A1917:C1917"/>
    <mergeCell ref="A1918:C1918"/>
    <mergeCell ref="A1919:F1919"/>
    <mergeCell ref="A1921:B1921"/>
    <mergeCell ref="A1922:B1922"/>
    <mergeCell ref="A1923:B1923"/>
    <mergeCell ref="A1961:B1961"/>
    <mergeCell ref="A1962:B1962"/>
    <mergeCell ref="A1963:B1963"/>
    <mergeCell ref="A1964:F1964"/>
    <mergeCell ref="A1966:B1966"/>
    <mergeCell ref="A1967:B1967"/>
    <mergeCell ref="A1968:B1968"/>
    <mergeCell ref="A1969:F1969"/>
    <mergeCell ref="A1971:F1971"/>
    <mergeCell ref="A1974:C1975"/>
    <mergeCell ref="D1974:G1975"/>
    <mergeCell ref="A1977:C1977"/>
    <mergeCell ref="D1977:G1977"/>
    <mergeCell ref="A1981:C1981"/>
    <mergeCell ref="A1982:C1982"/>
    <mergeCell ref="A1983:C1983"/>
    <mergeCell ref="A1984:F1984"/>
    <mergeCell ref="A2031:B2031"/>
    <mergeCell ref="A2032:B2032"/>
    <mergeCell ref="A2020:B2020"/>
    <mergeCell ref="A2021:B2021"/>
    <mergeCell ref="A2022:B2022"/>
    <mergeCell ref="A2023:F2023"/>
    <mergeCell ref="A2025:B2025"/>
    <mergeCell ref="A2026:B2026"/>
    <mergeCell ref="A2028:F2028"/>
    <mergeCell ref="A1986:B1986"/>
    <mergeCell ref="A1987:B1987"/>
    <mergeCell ref="A1988:B1988"/>
    <mergeCell ref="A1989:B1989"/>
    <mergeCell ref="A1990:B1990"/>
    <mergeCell ref="A1991:F1991"/>
    <mergeCell ref="A1993:B1993"/>
    <mergeCell ref="A1994:B1994"/>
    <mergeCell ref="A1995:B1995"/>
    <mergeCell ref="A1996:F1996"/>
    <mergeCell ref="A1998:B1998"/>
    <mergeCell ref="A1999:B1999"/>
    <mergeCell ref="A2000:B2000"/>
    <mergeCell ref="A2001:F2001"/>
    <mergeCell ref="A2003:F2003"/>
    <mergeCell ref="A2006:C2007"/>
    <mergeCell ref="D2006:G2007"/>
    <mergeCell ref="A29:F29"/>
    <mergeCell ref="A31:B31"/>
    <mergeCell ref="A32:B32"/>
    <mergeCell ref="A2058:B2058"/>
    <mergeCell ref="A2059:B2059"/>
    <mergeCell ref="A2060:F2060"/>
    <mergeCell ref="A2062:B2062"/>
    <mergeCell ref="A2063:B2063"/>
    <mergeCell ref="A2064:B2064"/>
    <mergeCell ref="A2065:F2065"/>
    <mergeCell ref="A2067:F2067"/>
    <mergeCell ref="A2070:C2071"/>
    <mergeCell ref="D2070:G2071"/>
    <mergeCell ref="D2073:G2073"/>
    <mergeCell ref="A2073:C2073"/>
    <mergeCell ref="A2077:C2077"/>
    <mergeCell ref="A2078:C2078"/>
    <mergeCell ref="A2033:F2033"/>
    <mergeCell ref="A2035:F2035"/>
    <mergeCell ref="A2038:C2039"/>
    <mergeCell ref="D2038:G2039"/>
    <mergeCell ref="A2041:C2041"/>
    <mergeCell ref="D2041:G2041"/>
    <mergeCell ref="A2045:C2045"/>
    <mergeCell ref="A2046:C2046"/>
    <mergeCell ref="A2047:C2047"/>
    <mergeCell ref="A2048:F2048"/>
    <mergeCell ref="A2050:B2050"/>
    <mergeCell ref="A2051:B2051"/>
    <mergeCell ref="A2052:B2052"/>
    <mergeCell ref="A2053:B2053"/>
    <mergeCell ref="A2054:B2054"/>
    <mergeCell ref="A7:C8"/>
    <mergeCell ref="D7:G8"/>
    <mergeCell ref="A10:C10"/>
    <mergeCell ref="D10:G10"/>
    <mergeCell ref="A14:C14"/>
    <mergeCell ref="A15:C15"/>
    <mergeCell ref="A17:F17"/>
    <mergeCell ref="A16:C16"/>
    <mergeCell ref="A19:B19"/>
    <mergeCell ref="A20:B20"/>
    <mergeCell ref="A21:B21"/>
    <mergeCell ref="A22:B22"/>
    <mergeCell ref="A23:B23"/>
    <mergeCell ref="A24:F24"/>
    <mergeCell ref="A26:B26"/>
    <mergeCell ref="A27:B27"/>
    <mergeCell ref="A28:B28"/>
    <mergeCell ref="A52:B52"/>
    <mergeCell ref="A53:B53"/>
    <mergeCell ref="A54:B54"/>
    <mergeCell ref="A56:F56"/>
    <mergeCell ref="A61:F61"/>
    <mergeCell ref="A2083:B2083"/>
    <mergeCell ref="A2091:B2091"/>
    <mergeCell ref="A2094:B2094"/>
    <mergeCell ref="A2095:B2095"/>
    <mergeCell ref="A2096:B2096"/>
    <mergeCell ref="A2084:B2084"/>
    <mergeCell ref="A2085:B2085"/>
    <mergeCell ref="A2086:B2086"/>
    <mergeCell ref="A2087:F2087"/>
    <mergeCell ref="A2089:B2089"/>
    <mergeCell ref="A2090:B2090"/>
    <mergeCell ref="A2092:F2092"/>
    <mergeCell ref="A2079:C2079"/>
    <mergeCell ref="A2080:F2080"/>
    <mergeCell ref="A2082:B2082"/>
    <mergeCell ref="A2055:F2055"/>
    <mergeCell ref="A2057:B2057"/>
    <mergeCell ref="D2009:G2009"/>
    <mergeCell ref="A2009:C2009"/>
    <mergeCell ref="A2013:C2013"/>
    <mergeCell ref="A2014:C2014"/>
    <mergeCell ref="A2015:C2015"/>
    <mergeCell ref="A2016:F2016"/>
    <mergeCell ref="A2018:B2018"/>
    <mergeCell ref="A2019:B2019"/>
    <mergeCell ref="A2027:B2027"/>
    <mergeCell ref="A2030:B2030"/>
    <mergeCell ref="A149:B149"/>
    <mergeCell ref="A117:B117"/>
    <mergeCell ref="A118:B118"/>
    <mergeCell ref="A119:B119"/>
    <mergeCell ref="A120:F120"/>
    <mergeCell ref="A122:B122"/>
    <mergeCell ref="A123:B123"/>
    <mergeCell ref="A124:B124"/>
    <mergeCell ref="A125:F125"/>
    <mergeCell ref="A127:B127"/>
    <mergeCell ref="A128:B128"/>
    <mergeCell ref="A129:B129"/>
    <mergeCell ref="A130:F130"/>
    <mergeCell ref="A132:F132"/>
    <mergeCell ref="A33:B33"/>
    <mergeCell ref="A34:F34"/>
    <mergeCell ref="A36:F36"/>
    <mergeCell ref="A39:C40"/>
    <mergeCell ref="A42:C42"/>
    <mergeCell ref="D42:G42"/>
    <mergeCell ref="A46:C46"/>
    <mergeCell ref="A47:C47"/>
    <mergeCell ref="A55:B55"/>
    <mergeCell ref="A58:B58"/>
    <mergeCell ref="A59:B59"/>
    <mergeCell ref="A60:B60"/>
    <mergeCell ref="A63:B63"/>
    <mergeCell ref="A64:B64"/>
    <mergeCell ref="A65:B65"/>
    <mergeCell ref="A48:C48"/>
    <mergeCell ref="A49:F49"/>
    <mergeCell ref="A51:B51"/>
    <mergeCell ref="A116:B116"/>
    <mergeCell ref="A66:F66"/>
    <mergeCell ref="A68:F68"/>
    <mergeCell ref="A71:C72"/>
    <mergeCell ref="D71:G72"/>
    <mergeCell ref="A74:C74"/>
    <mergeCell ref="D74:G74"/>
    <mergeCell ref="A135:C135"/>
    <mergeCell ref="A136:C136"/>
    <mergeCell ref="A138:C138"/>
    <mergeCell ref="D138:G138"/>
    <mergeCell ref="A142:C142"/>
    <mergeCell ref="A143:C143"/>
    <mergeCell ref="A145:F145"/>
    <mergeCell ref="A144:C144"/>
    <mergeCell ref="A147:B147"/>
    <mergeCell ref="A148:B148"/>
    <mergeCell ref="A179:B179"/>
    <mergeCell ref="A150:B150"/>
    <mergeCell ref="A151:B151"/>
    <mergeCell ref="A152:F152"/>
    <mergeCell ref="A78:C78"/>
    <mergeCell ref="A79:C79"/>
    <mergeCell ref="A80:C80"/>
    <mergeCell ref="A81:F81"/>
    <mergeCell ref="A83:B83"/>
    <mergeCell ref="A84:B84"/>
    <mergeCell ref="A85:B85"/>
    <mergeCell ref="A86:B86"/>
    <mergeCell ref="A87:B87"/>
    <mergeCell ref="A88:F88"/>
    <mergeCell ref="A90:B90"/>
    <mergeCell ref="A91:B91"/>
    <mergeCell ref="A92:B92"/>
    <mergeCell ref="A93:F93"/>
    <mergeCell ref="A95:B95"/>
    <mergeCell ref="A96:B96"/>
    <mergeCell ref="A97:B97"/>
    <mergeCell ref="A98:F98"/>
    <mergeCell ref="A100:F100"/>
    <mergeCell ref="A103:C103"/>
    <mergeCell ref="A104:C104"/>
    <mergeCell ref="A106:C106"/>
    <mergeCell ref="D106:G106"/>
    <mergeCell ref="A110:C110"/>
    <mergeCell ref="A111:C111"/>
    <mergeCell ref="A112:C112"/>
    <mergeCell ref="A113:F113"/>
    <mergeCell ref="A115:B115"/>
    <mergeCell ref="A154:B154"/>
    <mergeCell ref="A155:B155"/>
    <mergeCell ref="A156:B156"/>
    <mergeCell ref="A157:F157"/>
    <mergeCell ref="A159:B159"/>
    <mergeCell ref="A160:B160"/>
    <mergeCell ref="A161:B161"/>
    <mergeCell ref="A162:F162"/>
    <mergeCell ref="A164:F164"/>
    <mergeCell ref="A167:C167"/>
    <mergeCell ref="A168:C168"/>
    <mergeCell ref="A170:C170"/>
    <mergeCell ref="D170:G170"/>
    <mergeCell ref="A174:C174"/>
    <mergeCell ref="A175:C175"/>
    <mergeCell ref="A176:C176"/>
    <mergeCell ref="A177:F177"/>
    <mergeCell ref="A180:B180"/>
    <mergeCell ref="A181:B181"/>
    <mergeCell ref="A182:B182"/>
    <mergeCell ref="A183:B183"/>
    <mergeCell ref="A184:F184"/>
    <mergeCell ref="A186:B186"/>
    <mergeCell ref="A187:B187"/>
    <mergeCell ref="A188:B188"/>
    <mergeCell ref="A189:F189"/>
    <mergeCell ref="A191:B191"/>
    <mergeCell ref="A192:B192"/>
    <mergeCell ref="A193:B193"/>
    <mergeCell ref="A194:F194"/>
    <mergeCell ref="A196:F196"/>
    <mergeCell ref="A199:C199"/>
    <mergeCell ref="A200:C200"/>
    <mergeCell ref="A215:B215"/>
    <mergeCell ref="D202:G202"/>
    <mergeCell ref="A202:C202"/>
    <mergeCell ref="A206:C206"/>
    <mergeCell ref="A207:C207"/>
    <mergeCell ref="A208:C208"/>
    <mergeCell ref="A209:F209"/>
    <mergeCell ref="A211:B211"/>
    <mergeCell ref="A212:B212"/>
    <mergeCell ref="A213:B213"/>
    <mergeCell ref="A214:B214"/>
    <mergeCell ref="A216:F216"/>
    <mergeCell ref="A218:B218"/>
    <mergeCell ref="A219:B219"/>
    <mergeCell ref="A221:F221"/>
    <mergeCell ref="A228:F228"/>
    <mergeCell ref="A231:C232"/>
    <mergeCell ref="D231:G232"/>
    <mergeCell ref="A234:C234"/>
    <mergeCell ref="D234:G234"/>
    <mergeCell ref="A238:C238"/>
    <mergeCell ref="A239:C239"/>
    <mergeCell ref="A240:C240"/>
    <mergeCell ref="A241:C241"/>
    <mergeCell ref="A242:C242"/>
    <mergeCell ref="A243:F243"/>
    <mergeCell ref="A245:B245"/>
    <mergeCell ref="A226:F226"/>
    <mergeCell ref="A220:B220"/>
    <mergeCell ref="A223:B223"/>
    <mergeCell ref="A224:B224"/>
    <mergeCell ref="A225:B225"/>
    <mergeCell ref="A246:B246"/>
    <mergeCell ref="A247:B247"/>
    <mergeCell ref="A248:B248"/>
    <mergeCell ref="A249:B249"/>
    <mergeCell ref="A265:D265"/>
    <mergeCell ref="A250:B250"/>
    <mergeCell ref="A251:F251"/>
    <mergeCell ref="A253:B253"/>
    <mergeCell ref="A254:B254"/>
    <mergeCell ref="A255:B255"/>
    <mergeCell ref="A256:F256"/>
    <mergeCell ref="A258:B258"/>
    <mergeCell ref="A259:B259"/>
    <mergeCell ref="A260:B260"/>
    <mergeCell ref="A261:F261"/>
    <mergeCell ref="A263:F263"/>
    <mergeCell ref="D264:E264"/>
    <mergeCell ref="A268:C268"/>
    <mergeCell ref="D268:G268"/>
    <mergeCell ref="A269:C269"/>
    <mergeCell ref="A271:C271"/>
    <mergeCell ref="A272:C272"/>
    <mergeCell ref="A392:B392"/>
    <mergeCell ref="A395:B395"/>
    <mergeCell ref="A396:B396"/>
    <mergeCell ref="A313:C313"/>
    <mergeCell ref="A314:F314"/>
    <mergeCell ref="A316:B316"/>
    <mergeCell ref="A317:B317"/>
    <mergeCell ref="A318:B318"/>
    <mergeCell ref="A319:B319"/>
    <mergeCell ref="A320:B320"/>
    <mergeCell ref="A328:B328"/>
    <mergeCell ref="A331:B331"/>
    <mergeCell ref="A332:B332"/>
    <mergeCell ref="A333:B333"/>
    <mergeCell ref="A321:B321"/>
    <mergeCell ref="A322:B322"/>
    <mergeCell ref="A323:B323"/>
    <mergeCell ref="A324:F324"/>
    <mergeCell ref="A374:C374"/>
    <mergeCell ref="A378:C378"/>
    <mergeCell ref="A379:C379"/>
    <mergeCell ref="A380:C380"/>
    <mergeCell ref="A381:F381"/>
    <mergeCell ref="A383:B383"/>
    <mergeCell ref="A384:B384"/>
    <mergeCell ref="A274:C274"/>
    <mergeCell ref="D274:G274"/>
    <mergeCell ref="A278:C278"/>
    <mergeCell ref="A279:C279"/>
    <mergeCell ref="A280:C280"/>
    <mergeCell ref="A281:F281"/>
    <mergeCell ref="A283:B283"/>
    <mergeCell ref="A303:C303"/>
    <mergeCell ref="A304:C304"/>
    <mergeCell ref="A306:C306"/>
    <mergeCell ref="D306:G306"/>
    <mergeCell ref="A310:C310"/>
    <mergeCell ref="A311:C311"/>
    <mergeCell ref="A312:C312"/>
    <mergeCell ref="A284:B284"/>
    <mergeCell ref="A285:B285"/>
    <mergeCell ref="A286:B286"/>
    <mergeCell ref="A287:B287"/>
    <mergeCell ref="A288:F288"/>
    <mergeCell ref="A290:B290"/>
    <mergeCell ref="A291:B291"/>
    <mergeCell ref="A292:B292"/>
    <mergeCell ref="A293:F293"/>
    <mergeCell ref="A295:B295"/>
    <mergeCell ref="A296:B296"/>
    <mergeCell ref="A297:B297"/>
    <mergeCell ref="A298:F298"/>
    <mergeCell ref="A300:F300"/>
    <mergeCell ref="A326:B326"/>
    <mergeCell ref="A327:B327"/>
    <mergeCell ref="A329:F329"/>
    <mergeCell ref="A334:F334"/>
    <mergeCell ref="A336:F336"/>
    <mergeCell ref="A339:C339"/>
    <mergeCell ref="A340:C340"/>
    <mergeCell ref="A342:C342"/>
    <mergeCell ref="D342:G342"/>
    <mergeCell ref="A346:C346"/>
    <mergeCell ref="A347:C347"/>
    <mergeCell ref="A348:C348"/>
    <mergeCell ref="A349:F349"/>
    <mergeCell ref="A351:B351"/>
    <mergeCell ref="A352:B352"/>
    <mergeCell ref="A353:B353"/>
    <mergeCell ref="A354:B354"/>
    <mergeCell ref="A355:B355"/>
    <mergeCell ref="A356:F356"/>
    <mergeCell ref="A358:B358"/>
    <mergeCell ref="A359:B359"/>
    <mergeCell ref="A360:B360"/>
    <mergeCell ref="A361:F361"/>
    <mergeCell ref="A363:B363"/>
    <mergeCell ref="A398:F398"/>
    <mergeCell ref="A400:F400"/>
    <mergeCell ref="A403:C403"/>
    <mergeCell ref="A404:C404"/>
    <mergeCell ref="A406:C406"/>
    <mergeCell ref="D406:G406"/>
    <mergeCell ref="A410:C410"/>
    <mergeCell ref="A411:C411"/>
    <mergeCell ref="A412:C412"/>
    <mergeCell ref="A413:F413"/>
    <mergeCell ref="A397:B397"/>
    <mergeCell ref="A385:B385"/>
    <mergeCell ref="A386:B386"/>
    <mergeCell ref="A387:B387"/>
    <mergeCell ref="A388:F388"/>
    <mergeCell ref="A390:B390"/>
    <mergeCell ref="A391:B391"/>
    <mergeCell ref="A393:F393"/>
    <mergeCell ref="A364:B364"/>
    <mergeCell ref="A365:B365"/>
    <mergeCell ref="A366:F366"/>
    <mergeCell ref="A368:F368"/>
    <mergeCell ref="A371:C371"/>
    <mergeCell ref="A372:C372"/>
    <mergeCell ref="D374:G374"/>
    <mergeCell ref="A415:B415"/>
    <mergeCell ref="A416:B416"/>
    <mergeCell ref="A417:B417"/>
    <mergeCell ref="A418:B418"/>
    <mergeCell ref="A419:B419"/>
    <mergeCell ref="A420:F420"/>
    <mergeCell ref="A422:B422"/>
    <mergeCell ref="A423:B423"/>
    <mergeCell ref="A424:B424"/>
    <mergeCell ref="A425:F425"/>
    <mergeCell ref="A427:B427"/>
    <mergeCell ref="A428:B428"/>
    <mergeCell ref="A429:B429"/>
    <mergeCell ref="A430:F430"/>
    <mergeCell ref="A432:F432"/>
    <mergeCell ref="A435:C435"/>
    <mergeCell ref="A436:C436"/>
    <mergeCell ref="D438:G438"/>
    <mergeCell ref="A438:C438"/>
    <mergeCell ref="A442:C442"/>
    <mergeCell ref="A443:C443"/>
    <mergeCell ref="A444:C444"/>
    <mergeCell ref="A445:F445"/>
    <mergeCell ref="A447:B447"/>
    <mergeCell ref="A448:B448"/>
    <mergeCell ref="A456:B456"/>
    <mergeCell ref="A459:B459"/>
    <mergeCell ref="A460:B460"/>
    <mergeCell ref="A461:B461"/>
    <mergeCell ref="A449:B449"/>
    <mergeCell ref="A450:B450"/>
    <mergeCell ref="A451:B451"/>
    <mergeCell ref="A452:F452"/>
    <mergeCell ref="A454:B454"/>
    <mergeCell ref="A455:B455"/>
    <mergeCell ref="A457:F457"/>
    <mergeCell ref="A462:F462"/>
    <mergeCell ref="A464:F464"/>
    <mergeCell ref="A467:C467"/>
    <mergeCell ref="A468:C468"/>
    <mergeCell ref="A470:C470"/>
    <mergeCell ref="D470:G470"/>
    <mergeCell ref="A474:C474"/>
    <mergeCell ref="A475:C475"/>
    <mergeCell ref="A476:C476"/>
    <mergeCell ref="A477:F477"/>
    <mergeCell ref="A479:B479"/>
    <mergeCell ref="A480:B480"/>
    <mergeCell ref="A481:B481"/>
    <mergeCell ref="A482:B482"/>
    <mergeCell ref="A483:B483"/>
    <mergeCell ref="A484:F484"/>
    <mergeCell ref="A486:B486"/>
    <mergeCell ref="A487:B487"/>
    <mergeCell ref="A488:B488"/>
    <mergeCell ref="A489:F489"/>
    <mergeCell ref="A491:B491"/>
    <mergeCell ref="A492:B492"/>
    <mergeCell ref="A493:B493"/>
    <mergeCell ref="A494:F494"/>
    <mergeCell ref="A496:F496"/>
    <mergeCell ref="A499:C500"/>
    <mergeCell ref="D499:G500"/>
    <mergeCell ref="D502:G502"/>
    <mergeCell ref="A502:C502"/>
    <mergeCell ref="A506:C506"/>
    <mergeCell ref="A507:C507"/>
    <mergeCell ref="A508:C508"/>
    <mergeCell ref="A509:F509"/>
    <mergeCell ref="A511:B511"/>
    <mergeCell ref="A512:B512"/>
    <mergeCell ref="A520:B520"/>
    <mergeCell ref="A523:B523"/>
    <mergeCell ref="A524:B524"/>
    <mergeCell ref="A525:B525"/>
    <mergeCell ref="A513:B513"/>
    <mergeCell ref="A514:B514"/>
    <mergeCell ref="A515:B515"/>
    <mergeCell ref="A516:F516"/>
    <mergeCell ref="A518:B518"/>
    <mergeCell ref="A519:B519"/>
    <mergeCell ref="A521:F521"/>
    <mergeCell ref="A526:F526"/>
    <mergeCell ref="A528:F528"/>
    <mergeCell ref="A531:C532"/>
    <mergeCell ref="A534:C534"/>
    <mergeCell ref="D534:G534"/>
    <mergeCell ref="A538:C538"/>
    <mergeCell ref="A539:C539"/>
    <mergeCell ref="A540:C540"/>
    <mergeCell ref="A541:F541"/>
    <mergeCell ref="A543:B543"/>
    <mergeCell ref="A544:B544"/>
    <mergeCell ref="A545:B545"/>
    <mergeCell ref="A546:B546"/>
    <mergeCell ref="A547:B547"/>
    <mergeCell ref="A548:B548"/>
    <mergeCell ref="A549:B549"/>
    <mergeCell ref="A550:F550"/>
    <mergeCell ref="A552:B552"/>
    <mergeCell ref="A553:B553"/>
    <mergeCell ref="A554:B554"/>
    <mergeCell ref="A555:F555"/>
    <mergeCell ref="A557:B557"/>
    <mergeCell ref="A558:B558"/>
    <mergeCell ref="A559:B559"/>
    <mergeCell ref="A560:F560"/>
    <mergeCell ref="A562:F562"/>
    <mergeCell ref="A565:C566"/>
    <mergeCell ref="D568:G568"/>
    <mergeCell ref="A568:C568"/>
    <mergeCell ref="A572:C572"/>
    <mergeCell ref="A573:C573"/>
    <mergeCell ref="A574:C574"/>
    <mergeCell ref="A575:F575"/>
    <mergeCell ref="A577:B577"/>
    <mergeCell ref="A578:B578"/>
    <mergeCell ref="A585:B585"/>
    <mergeCell ref="A588:B588"/>
    <mergeCell ref="A589:B589"/>
    <mergeCell ref="A590:B590"/>
    <mergeCell ref="A593:B593"/>
    <mergeCell ref="A594:B594"/>
    <mergeCell ref="A595:B595"/>
    <mergeCell ref="A579:B579"/>
    <mergeCell ref="A580:B580"/>
    <mergeCell ref="A581:B581"/>
    <mergeCell ref="A582:B582"/>
    <mergeCell ref="A583:B583"/>
    <mergeCell ref="A584:B584"/>
    <mergeCell ref="A586:F586"/>
    <mergeCell ref="A591:F591"/>
    <mergeCell ref="A596:F596"/>
    <mergeCell ref="A598:F598"/>
    <mergeCell ref="A601:C601"/>
    <mergeCell ref="A602:C602"/>
    <mergeCell ref="A604:C604"/>
    <mergeCell ref="D604:G604"/>
    <mergeCell ref="A608:C608"/>
    <mergeCell ref="A609:C609"/>
    <mergeCell ref="A610:C610"/>
    <mergeCell ref="A611:F611"/>
    <mergeCell ref="A613:B613"/>
    <mergeCell ref="A614:B614"/>
    <mergeCell ref="A615:B615"/>
    <mergeCell ref="A616:B616"/>
    <mergeCell ref="A617:B617"/>
    <mergeCell ref="A618:B618"/>
    <mergeCell ref="A619:B619"/>
    <mergeCell ref="A620:F620"/>
    <mergeCell ref="A622:B622"/>
    <mergeCell ref="A623:B623"/>
    <mergeCell ref="A624:B624"/>
    <mergeCell ref="A625:F625"/>
    <mergeCell ref="A627:B627"/>
    <mergeCell ref="A628:B628"/>
    <mergeCell ref="A629:B629"/>
    <mergeCell ref="A630:F630"/>
    <mergeCell ref="A632:F632"/>
    <mergeCell ref="A635:C635"/>
    <mergeCell ref="A636:C636"/>
    <mergeCell ref="A638:C638"/>
    <mergeCell ref="D638:G638"/>
    <mergeCell ref="A642:C642"/>
    <mergeCell ref="A643:C643"/>
    <mergeCell ref="A644:C644"/>
    <mergeCell ref="A652:B652"/>
    <mergeCell ref="A655:B655"/>
    <mergeCell ref="A656:B656"/>
    <mergeCell ref="A657:B657"/>
    <mergeCell ref="A660:B660"/>
    <mergeCell ref="A661:B661"/>
    <mergeCell ref="A662:B662"/>
    <mergeCell ref="A645:C645"/>
    <mergeCell ref="A646:F646"/>
    <mergeCell ref="A648:B648"/>
    <mergeCell ref="A649:B649"/>
    <mergeCell ref="A650:B650"/>
    <mergeCell ref="A651:B651"/>
    <mergeCell ref="A653:F653"/>
    <mergeCell ref="A658:F658"/>
    <mergeCell ref="A663:F663"/>
    <mergeCell ref="A665:F665"/>
    <mergeCell ref="A668:C668"/>
    <mergeCell ref="A669:C669"/>
    <mergeCell ref="A671:C671"/>
    <mergeCell ref="D671:G671"/>
    <mergeCell ref="A675:C675"/>
    <mergeCell ref="A676:C676"/>
    <mergeCell ref="A677:C677"/>
    <mergeCell ref="A678:F678"/>
    <mergeCell ref="A680:B680"/>
    <mergeCell ref="A681:B681"/>
    <mergeCell ref="A682:B682"/>
    <mergeCell ref="A683:B683"/>
    <mergeCell ref="A684:B684"/>
    <mergeCell ref="A685:B685"/>
    <mergeCell ref="A686:B686"/>
    <mergeCell ref="A687:F687"/>
    <mergeCell ref="A689:B689"/>
    <mergeCell ref="A690:B690"/>
    <mergeCell ref="A691:B691"/>
    <mergeCell ref="A692:F692"/>
    <mergeCell ref="A694:B694"/>
    <mergeCell ref="A695:B695"/>
    <mergeCell ref="A696:B696"/>
    <mergeCell ref="A697:F697"/>
    <mergeCell ref="A699:F699"/>
    <mergeCell ref="A702:C702"/>
    <mergeCell ref="A703:C703"/>
    <mergeCell ref="A705:C705"/>
    <mergeCell ref="D705:G705"/>
    <mergeCell ref="A709:C709"/>
    <mergeCell ref="A710:C710"/>
    <mergeCell ref="A712:F712"/>
    <mergeCell ref="A719:B719"/>
    <mergeCell ref="A722:B722"/>
    <mergeCell ref="A723:B723"/>
    <mergeCell ref="A724:B724"/>
    <mergeCell ref="A727:B727"/>
    <mergeCell ref="A728:B728"/>
    <mergeCell ref="A729:B729"/>
    <mergeCell ref="A711:C711"/>
    <mergeCell ref="A714:B714"/>
    <mergeCell ref="A715:B715"/>
    <mergeCell ref="A716:B716"/>
    <mergeCell ref="A717:B717"/>
    <mergeCell ref="A718:B718"/>
    <mergeCell ref="A720:F720"/>
    <mergeCell ref="A725:F725"/>
    <mergeCell ref="A730:F730"/>
    <mergeCell ref="A732:F732"/>
    <mergeCell ref="A735:C735"/>
    <mergeCell ref="A736:C736"/>
    <mergeCell ref="A738:C738"/>
    <mergeCell ref="D738:G738"/>
    <mergeCell ref="A1137:C1137"/>
    <mergeCell ref="A1138:F1138"/>
    <mergeCell ref="A1140:B1140"/>
    <mergeCell ref="A1141:B1141"/>
    <mergeCell ref="A1142:B1142"/>
    <mergeCell ref="A1143:B1143"/>
    <mergeCell ref="A1144:B1144"/>
    <mergeCell ref="A1145:B1145"/>
    <mergeCell ref="A1146:F1146"/>
    <mergeCell ref="A1148:B1148"/>
    <mergeCell ref="A1149:B1149"/>
    <mergeCell ref="A776:C776"/>
    <mergeCell ref="A777:C777"/>
    <mergeCell ref="A778:F778"/>
    <mergeCell ref="A787:B787"/>
    <mergeCell ref="A788:B788"/>
    <mergeCell ref="A789:F789"/>
    <mergeCell ref="A780:B780"/>
    <mergeCell ref="A781:B781"/>
    <mergeCell ref="A782:B782"/>
    <mergeCell ref="A783:B783"/>
    <mergeCell ref="A784:B784"/>
    <mergeCell ref="A785:B785"/>
    <mergeCell ref="A786:B786"/>
    <mergeCell ref="A791:B791"/>
    <mergeCell ref="A792:B792"/>
    <mergeCell ref="A1150:B1150"/>
    <mergeCell ref="A1151:F1151"/>
    <mergeCell ref="A1153:B1153"/>
    <mergeCell ref="A1154:B1154"/>
    <mergeCell ref="A1155:B1155"/>
    <mergeCell ref="A1156:F1156"/>
    <mergeCell ref="A1158:F1158"/>
    <mergeCell ref="A1160:C1161"/>
    <mergeCell ref="A1163:C1163"/>
    <mergeCell ref="D1163:G1163"/>
    <mergeCell ref="A1167:C1167"/>
    <mergeCell ref="A1168:C1168"/>
    <mergeCell ref="A1169:C1169"/>
    <mergeCell ref="A1170:F1170"/>
    <mergeCell ref="A1172:B1172"/>
    <mergeCell ref="A1173:B1173"/>
    <mergeCell ref="A1174:B1174"/>
    <mergeCell ref="A1182:B1182"/>
    <mergeCell ref="A1185:B1185"/>
    <mergeCell ref="A1186:B1186"/>
    <mergeCell ref="A1187:B1187"/>
    <mergeCell ref="A1175:B1175"/>
    <mergeCell ref="A1176:B1176"/>
    <mergeCell ref="A1177:B1177"/>
    <mergeCell ref="A1178:F1178"/>
    <mergeCell ref="A1180:B1180"/>
    <mergeCell ref="A1181:B1181"/>
    <mergeCell ref="A1183:F1183"/>
    <mergeCell ref="A1188:F1188"/>
    <mergeCell ref="A1190:F1190"/>
    <mergeCell ref="A1192:C1193"/>
    <mergeCell ref="A1195:C1195"/>
    <mergeCell ref="D1195:G1195"/>
    <mergeCell ref="A1199:C1199"/>
    <mergeCell ref="A1200:C1200"/>
    <mergeCell ref="A1201:C1201"/>
    <mergeCell ref="A1202:F1202"/>
    <mergeCell ref="A1204:B1204"/>
    <mergeCell ref="A1205:B1205"/>
    <mergeCell ref="A1206:B1206"/>
    <mergeCell ref="A1207:B1207"/>
    <mergeCell ref="A1208:B1208"/>
    <mergeCell ref="A1209:B1209"/>
    <mergeCell ref="A1210:F1210"/>
    <mergeCell ref="A1212:B1212"/>
    <mergeCell ref="A1213:B1213"/>
    <mergeCell ref="A1214:B1214"/>
    <mergeCell ref="A1215:F1215"/>
    <mergeCell ref="A1217:B1217"/>
    <mergeCell ref="A1218:B1218"/>
    <mergeCell ref="A1219:B1219"/>
    <mergeCell ref="A1220:F1220"/>
    <mergeCell ref="A1222:F1222"/>
    <mergeCell ref="A1224:C1225"/>
    <mergeCell ref="A1227:C1227"/>
    <mergeCell ref="D1227:G1227"/>
    <mergeCell ref="A1231:C1231"/>
    <mergeCell ref="A1232:C1232"/>
    <mergeCell ref="A1233:C1233"/>
    <mergeCell ref="A1234:F1234"/>
    <mergeCell ref="A1236:B1236"/>
    <mergeCell ref="A1237:B1237"/>
    <mergeCell ref="A1238:B1238"/>
    <mergeCell ref="A1246:B1246"/>
    <mergeCell ref="A1249:B1249"/>
    <mergeCell ref="A1250:B1250"/>
    <mergeCell ref="A1251:B1251"/>
    <mergeCell ref="A1239:B1239"/>
    <mergeCell ref="A1240:B1240"/>
    <mergeCell ref="A1241:B1241"/>
    <mergeCell ref="A1242:F1242"/>
    <mergeCell ref="A1244:B1244"/>
    <mergeCell ref="A1245:B1245"/>
    <mergeCell ref="A1247:F1247"/>
    <mergeCell ref="A1252:F1252"/>
    <mergeCell ref="A1254:F1254"/>
    <mergeCell ref="A1256:C1257"/>
    <mergeCell ref="A1259:C1259"/>
    <mergeCell ref="D1259:G1259"/>
    <mergeCell ref="A1263:C1263"/>
    <mergeCell ref="A1264:C1264"/>
    <mergeCell ref="A1265:C1265"/>
    <mergeCell ref="A1266:F1266"/>
    <mergeCell ref="A1268:B1268"/>
    <mergeCell ref="A1269:B1269"/>
    <mergeCell ref="A1270:B1270"/>
    <mergeCell ref="A1271:B1271"/>
    <mergeCell ref="A1272:B1272"/>
    <mergeCell ref="A1273:B1273"/>
    <mergeCell ref="A1274:F1274"/>
    <mergeCell ref="A1276:B1276"/>
    <mergeCell ref="A1277:B1277"/>
    <mergeCell ref="A1278:B1278"/>
    <mergeCell ref="A1279:F1279"/>
    <mergeCell ref="A1281:B1281"/>
    <mergeCell ref="A1282:B1282"/>
    <mergeCell ref="A1283:B1283"/>
    <mergeCell ref="A1284:F1284"/>
    <mergeCell ref="A1286:F1286"/>
    <mergeCell ref="A1288:C1289"/>
    <mergeCell ref="A1291:C1291"/>
    <mergeCell ref="D1291:G1291"/>
    <mergeCell ref="A1295:C1295"/>
    <mergeCell ref="A1296:C1296"/>
    <mergeCell ref="A1297:C1297"/>
    <mergeCell ref="A1298:F1298"/>
    <mergeCell ref="A1300:B1300"/>
    <mergeCell ref="A1301:B1301"/>
    <mergeCell ref="A1302:B1302"/>
    <mergeCell ref="A1310:B1310"/>
    <mergeCell ref="A1313:B1313"/>
    <mergeCell ref="A1314:B1314"/>
    <mergeCell ref="A1315:B1315"/>
    <mergeCell ref="A1303:B1303"/>
    <mergeCell ref="A1304:B1304"/>
    <mergeCell ref="A1305:B1305"/>
    <mergeCell ref="A1306:F1306"/>
    <mergeCell ref="A1308:B1308"/>
    <mergeCell ref="A1309:B1309"/>
    <mergeCell ref="A1311:F1311"/>
    <mergeCell ref="A1316:F1316"/>
    <mergeCell ref="A1318:F1318"/>
    <mergeCell ref="A1320:C1321"/>
    <mergeCell ref="A1323:C1323"/>
    <mergeCell ref="D1323:G1323"/>
    <mergeCell ref="A1327:C1327"/>
    <mergeCell ref="A1328:C1328"/>
    <mergeCell ref="A1329:C1329"/>
    <mergeCell ref="A1330:F1330"/>
    <mergeCell ref="A1332:B1332"/>
    <mergeCell ref="A1333:B1333"/>
    <mergeCell ref="A1334:B1334"/>
    <mergeCell ref="A1335:B1335"/>
    <mergeCell ref="A1336:B1336"/>
    <mergeCell ref="A1337:B1337"/>
    <mergeCell ref="A1338:F1338"/>
    <mergeCell ref="A1340:B1340"/>
    <mergeCell ref="A1341:B1341"/>
    <mergeCell ref="A1342:B1342"/>
    <mergeCell ref="A1343:F1343"/>
    <mergeCell ref="A1345:B1345"/>
    <mergeCell ref="A1346:B1346"/>
    <mergeCell ref="A1347:B1347"/>
    <mergeCell ref="A1348:F1348"/>
    <mergeCell ref="A1350:F1350"/>
    <mergeCell ref="A1352:C1353"/>
    <mergeCell ref="A1355:C1355"/>
    <mergeCell ref="D1355:G1355"/>
    <mergeCell ref="A1359:C1359"/>
    <mergeCell ref="A1360:C1360"/>
    <mergeCell ref="A1361:C1361"/>
    <mergeCell ref="A1362:F1362"/>
    <mergeCell ref="A1364:B1364"/>
    <mergeCell ref="A1365:B1365"/>
    <mergeCell ref="A1366:B1366"/>
    <mergeCell ref="A1374:B1374"/>
    <mergeCell ref="A1377:B1377"/>
    <mergeCell ref="A1378:B1378"/>
    <mergeCell ref="A1379:B1379"/>
    <mergeCell ref="A1367:B1367"/>
    <mergeCell ref="A1368:B1368"/>
    <mergeCell ref="A1369:B1369"/>
    <mergeCell ref="A1370:F1370"/>
    <mergeCell ref="A1372:B1372"/>
    <mergeCell ref="A1373:B1373"/>
    <mergeCell ref="A1375:F1375"/>
    <mergeCell ref="A1380:F1380"/>
    <mergeCell ref="A1382:F1382"/>
    <mergeCell ref="A1384:C1385"/>
    <mergeCell ref="A1387:C1387"/>
    <mergeCell ref="D1387:G1387"/>
    <mergeCell ref="A1391:C1391"/>
    <mergeCell ref="A1392:C1392"/>
    <mergeCell ref="A1393:C1393"/>
    <mergeCell ref="A1394:F1394"/>
    <mergeCell ref="A1396:B1396"/>
    <mergeCell ref="A1397:B1397"/>
    <mergeCell ref="A1398:B1398"/>
    <mergeCell ref="A1399:B1399"/>
    <mergeCell ref="A1400:B1400"/>
    <mergeCell ref="A1401:B1401"/>
    <mergeCell ref="A1402:F1402"/>
    <mergeCell ref="A1404:B1404"/>
    <mergeCell ref="A1405:B1405"/>
    <mergeCell ref="A1406:B1406"/>
    <mergeCell ref="A1407:F1407"/>
    <mergeCell ref="A1409:B1409"/>
    <mergeCell ref="A1410:B1410"/>
    <mergeCell ref="A1411:B1411"/>
    <mergeCell ref="A1412:F1412"/>
    <mergeCell ref="A1414:F1414"/>
    <mergeCell ref="A1417:C1418"/>
    <mergeCell ref="A1420:C1420"/>
    <mergeCell ref="D1420:G1420"/>
    <mergeCell ref="A1424:C1424"/>
    <mergeCell ref="A1425:C1425"/>
    <mergeCell ref="A1426:C1426"/>
    <mergeCell ref="A1427:F1427"/>
    <mergeCell ref="A1429:B1429"/>
    <mergeCell ref="A1430:B1430"/>
    <mergeCell ref="A1431:B1431"/>
    <mergeCell ref="A1439:B1439"/>
    <mergeCell ref="A1442:B1442"/>
    <mergeCell ref="A1443:B1443"/>
    <mergeCell ref="A1444:B1444"/>
    <mergeCell ref="A1432:B1432"/>
    <mergeCell ref="A1433:B1433"/>
    <mergeCell ref="A1434:B1434"/>
    <mergeCell ref="A1435:F1435"/>
    <mergeCell ref="A1437:B1437"/>
    <mergeCell ref="A1438:B1438"/>
    <mergeCell ref="A1440:F1440"/>
    <mergeCell ref="A1445:F1445"/>
    <mergeCell ref="A1447:F1447"/>
    <mergeCell ref="A1450:C1451"/>
    <mergeCell ref="A1453:C1453"/>
    <mergeCell ref="D1453:G1453"/>
    <mergeCell ref="A1457:C1457"/>
    <mergeCell ref="A1458:C1458"/>
    <mergeCell ref="A1459:C1459"/>
    <mergeCell ref="A1460:F1460"/>
    <mergeCell ref="A1462:B1462"/>
    <mergeCell ref="A1463:B1463"/>
    <mergeCell ref="A1464:B1464"/>
    <mergeCell ref="A1465:B1465"/>
    <mergeCell ref="A1466:B1466"/>
    <mergeCell ref="A1467:B1467"/>
    <mergeCell ref="A1468:F1468"/>
    <mergeCell ref="A1470:B1470"/>
    <mergeCell ref="A1471:B1471"/>
    <mergeCell ref="A1472:B1472"/>
    <mergeCell ref="A1473:F1473"/>
    <mergeCell ref="A1475:B1475"/>
    <mergeCell ref="A1476:B1476"/>
    <mergeCell ref="A1477:B1477"/>
    <mergeCell ref="A1478:F1478"/>
    <mergeCell ref="A1480:F1480"/>
    <mergeCell ref="A1482:C1483"/>
    <mergeCell ref="A1485:C1485"/>
    <mergeCell ref="D1485:G1485"/>
    <mergeCell ref="A1489:C1489"/>
    <mergeCell ref="A1490:C1490"/>
    <mergeCell ref="A1491:C1491"/>
    <mergeCell ref="A1492:F1492"/>
    <mergeCell ref="A1494:B1494"/>
    <mergeCell ref="A1495:B1495"/>
    <mergeCell ref="A1496:B1496"/>
    <mergeCell ref="A1504:B1504"/>
    <mergeCell ref="A1507:B1507"/>
    <mergeCell ref="A1508:B1508"/>
    <mergeCell ref="A1509:B1509"/>
    <mergeCell ref="A1497:B1497"/>
    <mergeCell ref="A1498:B1498"/>
    <mergeCell ref="A1499:B1499"/>
    <mergeCell ref="A1500:F1500"/>
    <mergeCell ref="A1502:B1502"/>
    <mergeCell ref="A1503:B1503"/>
    <mergeCell ref="A1505:F1505"/>
    <mergeCell ref="A1510:F1510"/>
    <mergeCell ref="A1512:F1512"/>
    <mergeCell ref="A1515:C1516"/>
    <mergeCell ref="A1518:C1518"/>
    <mergeCell ref="D1518:G1518"/>
    <mergeCell ref="A1522:C1522"/>
    <mergeCell ref="A1523:C1523"/>
    <mergeCell ref="A1524:C1524"/>
    <mergeCell ref="A1525:F1525"/>
    <mergeCell ref="A1527:B1527"/>
    <mergeCell ref="A1528:B1528"/>
    <mergeCell ref="A1529:B1529"/>
    <mergeCell ref="A1530:B1530"/>
    <mergeCell ref="A1531:B1531"/>
    <mergeCell ref="A1532:B1532"/>
    <mergeCell ref="A1533:F1533"/>
    <mergeCell ref="A1535:B1535"/>
    <mergeCell ref="A1584:C1584"/>
    <mergeCell ref="D1584:G1584"/>
    <mergeCell ref="A1536:B1536"/>
    <mergeCell ref="A1537:B1537"/>
    <mergeCell ref="A1538:F1538"/>
    <mergeCell ref="A1540:B1540"/>
    <mergeCell ref="A1541:B1541"/>
    <mergeCell ref="A1542:B1542"/>
    <mergeCell ref="A1543:F1543"/>
    <mergeCell ref="A1545:F1545"/>
    <mergeCell ref="A1548:C1549"/>
    <mergeCell ref="A1551:C1551"/>
    <mergeCell ref="D1551:G1551"/>
    <mergeCell ref="A1555:C1555"/>
    <mergeCell ref="A1556:C1556"/>
    <mergeCell ref="A1557:C1557"/>
    <mergeCell ref="A1558:F1558"/>
    <mergeCell ref="A1560:B1560"/>
    <mergeCell ref="A1561:B1561"/>
    <mergeCell ref="A1641:B1641"/>
    <mergeCell ref="A1629:B1629"/>
    <mergeCell ref="A1630:B1630"/>
    <mergeCell ref="A1631:B1631"/>
    <mergeCell ref="A1632:F1632"/>
    <mergeCell ref="A1634:B1634"/>
    <mergeCell ref="A1635:B1635"/>
    <mergeCell ref="A1637:F1637"/>
    <mergeCell ref="A1588:C1588"/>
    <mergeCell ref="A1589:C1589"/>
    <mergeCell ref="A1590:C1590"/>
    <mergeCell ref="A1591:F1591"/>
    <mergeCell ref="A1593:B1593"/>
    <mergeCell ref="A1594:B1594"/>
    <mergeCell ref="A1595:B1595"/>
    <mergeCell ref="A1596:B1596"/>
    <mergeCell ref="A1597:B1597"/>
    <mergeCell ref="A1598:B1598"/>
    <mergeCell ref="A1599:F1599"/>
    <mergeCell ref="A1601:B1601"/>
    <mergeCell ref="A1602:B1602"/>
    <mergeCell ref="A1603:B1603"/>
    <mergeCell ref="A1604:F1604"/>
    <mergeCell ref="A1606:B1606"/>
    <mergeCell ref="A1607:B1607"/>
    <mergeCell ref="A762:F762"/>
    <mergeCell ref="A764:F764"/>
    <mergeCell ref="A767:C767"/>
    <mergeCell ref="A768:C768"/>
    <mergeCell ref="A770:C770"/>
    <mergeCell ref="D770:G770"/>
    <mergeCell ref="A774:C774"/>
    <mergeCell ref="A775:C775"/>
    <mergeCell ref="A1608:B1608"/>
    <mergeCell ref="A1609:F1609"/>
    <mergeCell ref="A1611:F1611"/>
    <mergeCell ref="A1614:C1615"/>
    <mergeCell ref="A1617:C1617"/>
    <mergeCell ref="D1617:G1617"/>
    <mergeCell ref="A1621:C1621"/>
    <mergeCell ref="A1622:C1622"/>
    <mergeCell ref="A1623:C1623"/>
    <mergeCell ref="A1562:B1562"/>
    <mergeCell ref="A1570:B1570"/>
    <mergeCell ref="A1573:B1573"/>
    <mergeCell ref="A1574:B1574"/>
    <mergeCell ref="A1575:B1575"/>
    <mergeCell ref="A1563:B1563"/>
    <mergeCell ref="A1564:B1564"/>
    <mergeCell ref="A1565:B1565"/>
    <mergeCell ref="A1566:F1566"/>
    <mergeCell ref="A1568:B1568"/>
    <mergeCell ref="A1569:B1569"/>
    <mergeCell ref="A1571:F1571"/>
    <mergeCell ref="A1576:F1576"/>
    <mergeCell ref="A1578:F1578"/>
    <mergeCell ref="A1581:C1582"/>
    <mergeCell ref="A742:C742"/>
    <mergeCell ref="A743:C743"/>
    <mergeCell ref="A744:C744"/>
    <mergeCell ref="A745:F745"/>
    <mergeCell ref="A747:B747"/>
    <mergeCell ref="A748:B748"/>
    <mergeCell ref="A749:B749"/>
    <mergeCell ref="A750:B750"/>
    <mergeCell ref="A751:B751"/>
    <mergeCell ref="A752:F752"/>
    <mergeCell ref="A754:B754"/>
    <mergeCell ref="A755:B755"/>
    <mergeCell ref="A756:B756"/>
    <mergeCell ref="A757:F757"/>
    <mergeCell ref="A759:B759"/>
    <mergeCell ref="A760:B760"/>
    <mergeCell ref="A761:B761"/>
    <mergeCell ref="A793:B793"/>
    <mergeCell ref="A794:F794"/>
    <mergeCell ref="A796:B796"/>
    <mergeCell ref="A797:B797"/>
    <mergeCell ref="A798:B798"/>
    <mergeCell ref="A799:F799"/>
    <mergeCell ref="A801:F801"/>
    <mergeCell ref="A804:C805"/>
    <mergeCell ref="D804:G805"/>
    <mergeCell ref="A807:C807"/>
    <mergeCell ref="D807:G807"/>
    <mergeCell ref="A811:C811"/>
    <mergeCell ref="A812:C812"/>
    <mergeCell ref="A813:C813"/>
    <mergeCell ref="A814:F814"/>
    <mergeCell ref="A816:B816"/>
    <mergeCell ref="A817:B817"/>
    <mergeCell ref="A818:B818"/>
    <mergeCell ref="A819:B819"/>
    <mergeCell ref="A820:B820"/>
    <mergeCell ref="A821:F821"/>
    <mergeCell ref="A823:B823"/>
    <mergeCell ref="A824:B824"/>
    <mergeCell ref="A825:B825"/>
    <mergeCell ref="A826:F826"/>
    <mergeCell ref="A828:B828"/>
    <mergeCell ref="A829:B829"/>
    <mergeCell ref="A830:B830"/>
    <mergeCell ref="A831:F831"/>
    <mergeCell ref="A833:F833"/>
    <mergeCell ref="A836:C836"/>
    <mergeCell ref="A837:C837"/>
    <mergeCell ref="D839:G839"/>
    <mergeCell ref="A839:C839"/>
    <mergeCell ref="A843:C843"/>
    <mergeCell ref="A844:C844"/>
    <mergeCell ref="A845:C845"/>
    <mergeCell ref="A846:F846"/>
    <mergeCell ref="A848:B848"/>
    <mergeCell ref="A849:B849"/>
    <mergeCell ref="A850:B850"/>
    <mergeCell ref="A851:B851"/>
    <mergeCell ref="A852:B852"/>
    <mergeCell ref="A853:B853"/>
    <mergeCell ref="A854:B854"/>
    <mergeCell ref="A855:F855"/>
    <mergeCell ref="A857:B857"/>
    <mergeCell ref="A858:B858"/>
    <mergeCell ref="A859:B859"/>
    <mergeCell ref="A860:F860"/>
    <mergeCell ref="A862:B862"/>
    <mergeCell ref="A863:B863"/>
    <mergeCell ref="A864:B864"/>
    <mergeCell ref="A865:F865"/>
    <mergeCell ref="A867:F867"/>
    <mergeCell ref="A870:C870"/>
    <mergeCell ref="A871:C871"/>
    <mergeCell ref="A873:C873"/>
    <mergeCell ref="D873:G873"/>
    <mergeCell ref="A877:C877"/>
    <mergeCell ref="A878:C878"/>
    <mergeCell ref="A886:B886"/>
    <mergeCell ref="A889:B889"/>
    <mergeCell ref="A890:B890"/>
    <mergeCell ref="A891:B891"/>
    <mergeCell ref="A894:B894"/>
    <mergeCell ref="A895:B895"/>
    <mergeCell ref="A896:B896"/>
    <mergeCell ref="A879:C879"/>
    <mergeCell ref="A880:F880"/>
    <mergeCell ref="A882:B882"/>
    <mergeCell ref="A883:B883"/>
    <mergeCell ref="A884:B884"/>
    <mergeCell ref="A885:B885"/>
    <mergeCell ref="A887:F887"/>
    <mergeCell ref="A892:F892"/>
    <mergeCell ref="A897:F897"/>
    <mergeCell ref="A899:F899"/>
    <mergeCell ref="A902:C902"/>
    <mergeCell ref="A903:C903"/>
    <mergeCell ref="A905:C905"/>
    <mergeCell ref="D905:G905"/>
    <mergeCell ref="A909:C909"/>
    <mergeCell ref="A910:C910"/>
    <mergeCell ref="A911:C911"/>
    <mergeCell ref="A912:C912"/>
    <mergeCell ref="A913:F913"/>
    <mergeCell ref="A915:B915"/>
    <mergeCell ref="A916:B916"/>
    <mergeCell ref="A924:B924"/>
    <mergeCell ref="A927:B927"/>
    <mergeCell ref="A928:B928"/>
    <mergeCell ref="A929:B929"/>
    <mergeCell ref="A917:B917"/>
    <mergeCell ref="A918:B918"/>
    <mergeCell ref="A919:B919"/>
    <mergeCell ref="A920:F920"/>
    <mergeCell ref="A922:B922"/>
    <mergeCell ref="A923:B923"/>
    <mergeCell ref="A925:F925"/>
    <mergeCell ref="A930:F930"/>
    <mergeCell ref="A932:F932"/>
    <mergeCell ref="A935:C935"/>
    <mergeCell ref="A936:C936"/>
    <mergeCell ref="A938:C938"/>
    <mergeCell ref="D938:G938"/>
    <mergeCell ref="A942:C942"/>
    <mergeCell ref="A943:C943"/>
    <mergeCell ref="A944:C944"/>
    <mergeCell ref="A945:C945"/>
    <mergeCell ref="A946:F946"/>
    <mergeCell ref="A948:B948"/>
    <mergeCell ref="A949:B949"/>
    <mergeCell ref="A950:B950"/>
    <mergeCell ref="A951:B951"/>
    <mergeCell ref="A952:B952"/>
    <mergeCell ref="A953:F953"/>
    <mergeCell ref="A955:B955"/>
    <mergeCell ref="A956:B956"/>
    <mergeCell ref="A957:B957"/>
    <mergeCell ref="A958:F958"/>
    <mergeCell ref="A960:B960"/>
    <mergeCell ref="A961:B961"/>
    <mergeCell ref="A962:B962"/>
    <mergeCell ref="A963:F963"/>
    <mergeCell ref="A965:F965"/>
    <mergeCell ref="A968:C968"/>
    <mergeCell ref="A969:C969"/>
    <mergeCell ref="A971:C971"/>
    <mergeCell ref="D971:G971"/>
    <mergeCell ref="A975:C975"/>
    <mergeCell ref="A976:C976"/>
    <mergeCell ref="A977:C977"/>
    <mergeCell ref="A978:F978"/>
    <mergeCell ref="A980:B980"/>
    <mergeCell ref="A981:B981"/>
    <mergeCell ref="A982:B982"/>
    <mergeCell ref="A983:B983"/>
    <mergeCell ref="A984:B984"/>
    <mergeCell ref="A985:F985"/>
    <mergeCell ref="A987:B987"/>
    <mergeCell ref="A988:B988"/>
    <mergeCell ref="A989:B989"/>
    <mergeCell ref="A990:F990"/>
    <mergeCell ref="A992:B992"/>
    <mergeCell ref="A993:B993"/>
    <mergeCell ref="A994:B994"/>
    <mergeCell ref="A995:F995"/>
    <mergeCell ref="A997:F997"/>
    <mergeCell ref="A1000:C1000"/>
    <mergeCell ref="A1001:C1001"/>
    <mergeCell ref="A1003:C1003"/>
    <mergeCell ref="D1003:G1003"/>
    <mergeCell ref="A1007:C1007"/>
    <mergeCell ref="A1008:C1008"/>
    <mergeCell ref="A1010:F1010"/>
    <mergeCell ref="A1009:C1009"/>
    <mergeCell ref="A1012:B1012"/>
    <mergeCell ref="A1013:B1013"/>
    <mergeCell ref="A1014:B1014"/>
    <mergeCell ref="A1015:B1015"/>
    <mergeCell ref="A1016:B1016"/>
    <mergeCell ref="A1017:F1017"/>
    <mergeCell ref="A1019:B1019"/>
    <mergeCell ref="A1020:B1020"/>
    <mergeCell ref="A1021:B1021"/>
    <mergeCell ref="A1022:F1022"/>
    <mergeCell ref="A1024:B1024"/>
    <mergeCell ref="A1025:B1025"/>
    <mergeCell ref="A1026:B1026"/>
    <mergeCell ref="A1027:F1027"/>
    <mergeCell ref="A1029:F1029"/>
    <mergeCell ref="A1032:C1032"/>
    <mergeCell ref="A1033:C1033"/>
    <mergeCell ref="A1035:C1035"/>
    <mergeCell ref="D1035:G1035"/>
    <mergeCell ref="A1039:C1039"/>
    <mergeCell ref="A1047:B1047"/>
    <mergeCell ref="A1050:B1050"/>
    <mergeCell ref="A1051:B1051"/>
    <mergeCell ref="A1052:B1052"/>
    <mergeCell ref="A1055:B1055"/>
    <mergeCell ref="A1056:B1056"/>
    <mergeCell ref="A1057:B1057"/>
    <mergeCell ref="A1040:C1040"/>
    <mergeCell ref="A1041:C1041"/>
    <mergeCell ref="A1042:F1042"/>
    <mergeCell ref="A1044:B1044"/>
    <mergeCell ref="A1045:B1045"/>
    <mergeCell ref="A1046:B1046"/>
    <mergeCell ref="A1048:F1048"/>
    <mergeCell ref="A1053:F1053"/>
    <mergeCell ref="A1058:F1058"/>
    <mergeCell ref="A1060:F1060"/>
    <mergeCell ref="A1063:C1063"/>
    <mergeCell ref="A1064:C1064"/>
    <mergeCell ref="A1066:C1066"/>
    <mergeCell ref="D1066:G1066"/>
    <mergeCell ref="A1070:C1070"/>
    <mergeCell ref="A1071:C1071"/>
    <mergeCell ref="A1072:C1072"/>
    <mergeCell ref="A1073:F1073"/>
    <mergeCell ref="A1075:B1075"/>
    <mergeCell ref="A1076:B1076"/>
    <mergeCell ref="A1077:B1077"/>
    <mergeCell ref="A1078:B1078"/>
    <mergeCell ref="A1079:F1079"/>
    <mergeCell ref="A1081:B1081"/>
    <mergeCell ref="A1082:B1082"/>
    <mergeCell ref="A1083:B1083"/>
    <mergeCell ref="A1084:F1084"/>
    <mergeCell ref="A1086:B1086"/>
    <mergeCell ref="A1087:B1087"/>
    <mergeCell ref="A1088:B1088"/>
    <mergeCell ref="A1089:F1089"/>
    <mergeCell ref="A1091:F1091"/>
    <mergeCell ref="A1094:C1095"/>
    <mergeCell ref="D1094:G1095"/>
    <mergeCell ref="D1097:G1097"/>
    <mergeCell ref="A1097:C1097"/>
    <mergeCell ref="A1101:C1101"/>
    <mergeCell ref="A1102:C1102"/>
    <mergeCell ref="A1103:C1103"/>
    <mergeCell ref="A1104:F1104"/>
    <mergeCell ref="A1106:B1106"/>
    <mergeCell ref="A1107:B1107"/>
    <mergeCell ref="A1108:B1108"/>
    <mergeCell ref="A1109:B1109"/>
    <mergeCell ref="A1110:B1110"/>
    <mergeCell ref="A1111:B1111"/>
    <mergeCell ref="A1112:B1112"/>
    <mergeCell ref="A1113:F1113"/>
    <mergeCell ref="A1115:B1115"/>
    <mergeCell ref="A1116:B1116"/>
    <mergeCell ref="A1117:B1117"/>
    <mergeCell ref="A1118:F1118"/>
    <mergeCell ref="A1120:B1120"/>
    <mergeCell ref="A1121:B1121"/>
    <mergeCell ref="A1123:F1123"/>
    <mergeCell ref="A1125:F1125"/>
    <mergeCell ref="A1122:B1122"/>
    <mergeCell ref="A1128:C1129"/>
    <mergeCell ref="D1128:G1129"/>
    <mergeCell ref="A1705:B1705"/>
    <mergeCell ref="A1131:C1131"/>
    <mergeCell ref="D1131:G1131"/>
    <mergeCell ref="A1135:C1135"/>
    <mergeCell ref="A1136:C1136"/>
    <mergeCell ref="A1656:C1656"/>
    <mergeCell ref="A1657:F1657"/>
    <mergeCell ref="A1659:B1659"/>
    <mergeCell ref="A1660:B1660"/>
    <mergeCell ref="A1661:B1661"/>
    <mergeCell ref="A1662:B1662"/>
    <mergeCell ref="A1663:B1663"/>
    <mergeCell ref="A1664:B1664"/>
    <mergeCell ref="A1665:F1665"/>
    <mergeCell ref="A1667:B1667"/>
    <mergeCell ref="A1668:B1668"/>
    <mergeCell ref="A1669:B1669"/>
    <mergeCell ref="A1670:F1670"/>
    <mergeCell ref="A1642:F1642"/>
    <mergeCell ref="A1644:F1644"/>
    <mergeCell ref="A1647:C1648"/>
    <mergeCell ref="A1650:C1650"/>
    <mergeCell ref="D1650:G1650"/>
    <mergeCell ref="A1654:C1654"/>
    <mergeCell ref="A1655:C1655"/>
    <mergeCell ref="A1624:F1624"/>
    <mergeCell ref="A1626:B1626"/>
    <mergeCell ref="A1627:B1627"/>
    <mergeCell ref="A1628:B1628"/>
    <mergeCell ref="A1636:B1636"/>
    <mergeCell ref="A1639:B1639"/>
    <mergeCell ref="A1640:B1640"/>
    <mergeCell ref="A1706:B1706"/>
    <mergeCell ref="A1707:B1707"/>
    <mergeCell ref="A1695:B1695"/>
    <mergeCell ref="A1696:B1696"/>
    <mergeCell ref="A1697:B1697"/>
    <mergeCell ref="A1698:F1698"/>
    <mergeCell ref="A1700:B1700"/>
    <mergeCell ref="A1701:B1701"/>
    <mergeCell ref="A1703:F1703"/>
    <mergeCell ref="A1708:F1708"/>
    <mergeCell ref="A1710:F1710"/>
    <mergeCell ref="A1714:C1715"/>
    <mergeCell ref="A1717:C1717"/>
    <mergeCell ref="D1717:G1717"/>
    <mergeCell ref="A1721:C1721"/>
    <mergeCell ref="A1722:C1722"/>
    <mergeCell ref="A1672:B1672"/>
    <mergeCell ref="A1673:B1673"/>
    <mergeCell ref="A1674:B1674"/>
    <mergeCell ref="A1675:F1675"/>
    <mergeCell ref="A1677:F1677"/>
    <mergeCell ref="A1680:C1681"/>
    <mergeCell ref="A1683:C1683"/>
    <mergeCell ref="D1683:G1683"/>
    <mergeCell ref="A1687:C1687"/>
    <mergeCell ref="A1688:C1688"/>
    <mergeCell ref="A1689:C1689"/>
    <mergeCell ref="A1690:F1690"/>
    <mergeCell ref="A1692:B1692"/>
    <mergeCell ref="A1693:B1693"/>
    <mergeCell ref="A1694:B1694"/>
    <mergeCell ref="A1702:B1702"/>
  </mergeCells>
  <printOptions horizontalCentered="1"/>
  <pageMargins left="0.6692913385826772" right="0.55118110236220474" top="0.74803149606299213" bottom="1.5354330708661419" header="0" footer="0"/>
  <pageSetup fitToWidth="0" orientation="portrait"/>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8:I693"/>
  <sheetViews>
    <sheetView workbookViewId="0">
      <pane ySplit="6" topLeftCell="A126" activePane="bottomLeft" state="frozen"/>
      <selection pane="bottomLeft" activeCell="A116" sqref="A116:XFD139"/>
    </sheetView>
  </sheetViews>
  <sheetFormatPr baseColWidth="10" defaultColWidth="14.44140625" defaultRowHeight="15" customHeight="1"/>
  <cols>
    <col min="1" max="1" width="20.6640625" customWidth="1"/>
    <col min="2" max="2" width="11.33203125" customWidth="1"/>
    <col min="3" max="3" width="11.88671875" customWidth="1"/>
    <col min="4" max="4" width="12.109375" customWidth="1"/>
    <col min="5" max="5" width="12.5546875" customWidth="1"/>
    <col min="6" max="6" width="10.109375" customWidth="1"/>
    <col min="7" max="7" width="11.6640625" customWidth="1"/>
    <col min="8" max="9" width="11.44140625" customWidth="1"/>
    <col min="10" max="26" width="8.88671875" customWidth="1"/>
  </cols>
  <sheetData>
    <row r="8" spans="1:7" ht="13.5" customHeight="1">
      <c r="A8" s="1989" t="e">
        <f>+'ANALISIS BASICOS'!$A$7</f>
        <v>#REF!</v>
      </c>
      <c r="B8" s="1616"/>
      <c r="C8" s="1624"/>
      <c r="D8" s="1990" t="s">
        <v>1195</v>
      </c>
      <c r="E8" s="1616"/>
      <c r="F8" s="1616"/>
      <c r="G8" s="1624"/>
    </row>
    <row r="9" spans="1:7" ht="38.25" customHeight="1">
      <c r="A9" s="1971"/>
      <c r="B9" s="1817"/>
      <c r="C9" s="1972"/>
      <c r="D9" s="1971"/>
      <c r="E9" s="1817"/>
      <c r="F9" s="1817"/>
      <c r="G9" s="1972"/>
    </row>
    <row r="10" spans="1:7" ht="14.25" customHeight="1">
      <c r="A10" s="416"/>
      <c r="B10" s="416"/>
      <c r="C10" s="416"/>
      <c r="D10" s="416"/>
      <c r="E10" s="416"/>
      <c r="F10" s="416"/>
      <c r="G10" s="416"/>
    </row>
    <row r="11" spans="1:7" ht="48.75" customHeight="1">
      <c r="A11" s="1991" t="e">
        <f ca="1">+'8 - PISOS - CONCRETO-ENCHAPES'!A10:C10</f>
        <v>#NAME?</v>
      </c>
      <c r="B11" s="1601"/>
      <c r="C11" s="1602"/>
      <c r="D11" s="1975" t="s">
        <v>2501</v>
      </c>
      <c r="E11" s="1601"/>
      <c r="F11" s="1601"/>
      <c r="G11" s="1602"/>
    </row>
    <row r="12" spans="1:7" ht="14.25" customHeight="1">
      <c r="A12" s="418"/>
      <c r="B12" s="418"/>
      <c r="C12" s="418"/>
      <c r="D12" s="418"/>
      <c r="E12" s="418"/>
      <c r="F12" s="418"/>
      <c r="G12" s="418"/>
    </row>
    <row r="13" spans="1:7" ht="12.75" customHeight="1">
      <c r="A13" s="419"/>
      <c r="B13" s="416"/>
      <c r="C13" s="420"/>
      <c r="D13" s="421" t="s">
        <v>1553</v>
      </c>
      <c r="E13" s="422" t="s">
        <v>228</v>
      </c>
      <c r="F13" s="421" t="s">
        <v>1554</v>
      </c>
      <c r="G13" s="422" t="s">
        <v>51</v>
      </c>
    </row>
    <row r="14" spans="1:7" ht="14.25" customHeight="1">
      <c r="A14" s="423" t="s">
        <v>1555</v>
      </c>
      <c r="B14" s="416"/>
      <c r="C14" s="416"/>
      <c r="D14" s="416"/>
      <c r="E14" s="416"/>
      <c r="F14" s="416"/>
      <c r="G14" s="416"/>
    </row>
    <row r="15" spans="1:7" ht="13.5" customHeight="1">
      <c r="A15" s="1975" t="s">
        <v>1556</v>
      </c>
      <c r="B15" s="1601"/>
      <c r="C15" s="1801"/>
      <c r="D15" s="424" t="s">
        <v>208</v>
      </c>
      <c r="E15" s="424" t="s">
        <v>1558</v>
      </c>
      <c r="F15" s="424" t="s">
        <v>1559</v>
      </c>
      <c r="G15" s="425"/>
    </row>
    <row r="16" spans="1:7" ht="14.25" customHeight="1">
      <c r="A16" s="1981" t="str">
        <f>+'LISTADO EQUIPOS'!$C$22</f>
        <v>HERRAMIENTA MENOR.</v>
      </c>
      <c r="B16" s="1811"/>
      <c r="C16" s="1967"/>
      <c r="D16" s="449">
        <f>+'LISTADO EQUIPOS'!$E$22/8</f>
        <v>2850</v>
      </c>
      <c r="E16" s="427">
        <f>+E33</f>
        <v>1.6386780383563844</v>
      </c>
      <c r="F16" s="428">
        <f>+D16/E16</f>
        <v>1739.2068077378931</v>
      </c>
      <c r="G16" s="429"/>
    </row>
    <row r="17" spans="1:7" ht="14.25" customHeight="1">
      <c r="A17" s="1982" t="str">
        <f>+'LISTADO EQUIPOS'!$C$47</f>
        <v>ANDAMIO TUBULAR. 1.5 x 1.5 SECCIÓN</v>
      </c>
      <c r="B17" s="1807"/>
      <c r="C17" s="1819"/>
      <c r="D17" s="451">
        <f>+'LISTADO EQUIPOS'!$E$47</f>
        <v>1750</v>
      </c>
      <c r="E17" s="671">
        <f>+E16</f>
        <v>1.6386780383563844</v>
      </c>
      <c r="F17" s="698">
        <f>+E17*D17</f>
        <v>2867.6865671236728</v>
      </c>
      <c r="G17" s="672"/>
    </row>
    <row r="18" spans="1:7" ht="14.25" customHeight="1">
      <c r="A18" s="2003" t="s">
        <v>1560</v>
      </c>
      <c r="B18" s="1601"/>
      <c r="C18" s="1601"/>
      <c r="D18" s="1601"/>
      <c r="E18" s="1601"/>
      <c r="F18" s="1801"/>
      <c r="G18" s="436">
        <f>SUM(F16:F17)</f>
        <v>4606.8933748615655</v>
      </c>
    </row>
    <row r="19" spans="1:7" ht="14.25" customHeight="1">
      <c r="A19" s="423" t="s">
        <v>1561</v>
      </c>
      <c r="B19" s="416"/>
      <c r="C19" s="416"/>
      <c r="D19" s="416"/>
      <c r="E19" s="416"/>
      <c r="F19" s="416"/>
      <c r="G19" s="437"/>
    </row>
    <row r="20" spans="1:7" ht="14.25" customHeight="1">
      <c r="A20" s="1975" t="s">
        <v>1556</v>
      </c>
      <c r="B20" s="1801"/>
      <c r="C20" s="424" t="s">
        <v>6</v>
      </c>
      <c r="D20" s="424" t="s">
        <v>1562</v>
      </c>
      <c r="E20" s="424" t="s">
        <v>7</v>
      </c>
      <c r="F20" s="424" t="s">
        <v>1559</v>
      </c>
      <c r="G20" s="673"/>
    </row>
    <row r="21" spans="1:7" ht="15.75" customHeight="1">
      <c r="A21" s="1987" t="str">
        <f>+'ANALISIS BASICOS'!$A$228</f>
        <v>MORTERO 1:4</v>
      </c>
      <c r="B21" s="1967"/>
      <c r="C21" s="674" t="str">
        <f>+'ANALISIS BASICOS'!$E$204</f>
        <v>M3</v>
      </c>
      <c r="D21" s="675">
        <f>+INSUMOS!H45</f>
        <v>622354.79999999993</v>
      </c>
      <c r="E21" s="1066">
        <v>2.5000000000000001E-2</v>
      </c>
      <c r="F21" s="442">
        <f t="shared" ref="F21:F22" si="0">+E21*D21</f>
        <v>15558.869999999999</v>
      </c>
      <c r="G21" s="676"/>
    </row>
    <row r="22" spans="1:7" ht="14.25" customHeight="1">
      <c r="A22" s="1988" t="str">
        <f>+'LISTADO MATERIALES'!$C$723</f>
        <v>AGUA</v>
      </c>
      <c r="B22" s="1611"/>
      <c r="C22" s="677" t="str">
        <f>+'LISTADO MATERIALES'!$D$723</f>
        <v>LT</v>
      </c>
      <c r="D22" s="431">
        <f>+INSUMOS!H7</f>
        <v>30</v>
      </c>
      <c r="E22" s="430">
        <v>15</v>
      </c>
      <c r="F22" s="689">
        <f t="shared" si="0"/>
        <v>450</v>
      </c>
      <c r="G22" s="445"/>
    </row>
    <row r="23" spans="1:7" ht="14.25" customHeight="1">
      <c r="A23" s="1988"/>
      <c r="B23" s="1611"/>
      <c r="C23" s="677"/>
      <c r="D23" s="431"/>
      <c r="E23" s="430"/>
      <c r="F23" s="431"/>
      <c r="G23" s="445"/>
    </row>
    <row r="24" spans="1:7" ht="14.25" customHeight="1">
      <c r="A24" s="1982"/>
      <c r="B24" s="1819"/>
      <c r="C24" s="678"/>
      <c r="D24" s="451"/>
      <c r="E24" s="671"/>
      <c r="F24" s="451"/>
      <c r="G24" s="456"/>
    </row>
    <row r="25" spans="1:7" ht="14.25" customHeight="1">
      <c r="A25" s="2003" t="s">
        <v>1560</v>
      </c>
      <c r="B25" s="1601"/>
      <c r="C25" s="1601"/>
      <c r="D25" s="1601"/>
      <c r="E25" s="1601"/>
      <c r="F25" s="1801"/>
      <c r="G25" s="436">
        <f>SUM(F21:F24)</f>
        <v>16008.869999999999</v>
      </c>
    </row>
    <row r="26" spans="1:7" ht="14.25" customHeight="1">
      <c r="A26" s="423" t="s">
        <v>1563</v>
      </c>
      <c r="B26" s="416"/>
      <c r="C26" s="416"/>
      <c r="D26" s="416"/>
      <c r="E26" s="416"/>
      <c r="F26" s="416"/>
      <c r="G26" s="437"/>
    </row>
    <row r="27" spans="1:7" ht="14.25" customHeight="1">
      <c r="A27" s="1975" t="s">
        <v>1556</v>
      </c>
      <c r="B27" s="1801"/>
      <c r="C27" s="424" t="s">
        <v>6</v>
      </c>
      <c r="D27" s="424" t="s">
        <v>1562</v>
      </c>
      <c r="E27" s="424" t="s">
        <v>7</v>
      </c>
      <c r="F27" s="424" t="s">
        <v>1559</v>
      </c>
      <c r="G27" s="438"/>
    </row>
    <row r="28" spans="1:7" ht="14.25" customHeight="1">
      <c r="A28" s="1981"/>
      <c r="B28" s="1967"/>
      <c r="C28" s="448"/>
      <c r="D28" s="449"/>
      <c r="E28" s="450"/>
      <c r="F28" s="431"/>
      <c r="G28" s="443"/>
    </row>
    <row r="29" spans="1:7" ht="14.25" customHeight="1">
      <c r="A29" s="1982"/>
      <c r="B29" s="1819"/>
      <c r="C29" s="448"/>
      <c r="D29" s="451"/>
      <c r="E29" s="452"/>
      <c r="F29" s="451"/>
      <c r="G29" s="447"/>
    </row>
    <row r="30" spans="1:7" ht="14.25" customHeight="1">
      <c r="A30" s="2003" t="s">
        <v>1560</v>
      </c>
      <c r="B30" s="1601"/>
      <c r="C30" s="1601"/>
      <c r="D30" s="1601"/>
      <c r="E30" s="1601"/>
      <c r="F30" s="1801"/>
      <c r="G30" s="436"/>
    </row>
    <row r="31" spans="1:7" ht="14.25" customHeight="1">
      <c r="A31" s="423" t="s">
        <v>1564</v>
      </c>
      <c r="B31" s="416"/>
      <c r="C31" s="416"/>
      <c r="D31" s="416"/>
      <c r="E31" s="416"/>
      <c r="F31" s="416"/>
      <c r="G31" s="437"/>
    </row>
    <row r="32" spans="1:7" ht="14.25" customHeight="1">
      <c r="A32" s="1975" t="s">
        <v>1565</v>
      </c>
      <c r="B32" s="1801"/>
      <c r="C32" s="424" t="s">
        <v>1566</v>
      </c>
      <c r="D32" s="424" t="s">
        <v>6</v>
      </c>
      <c r="E32" s="424" t="s">
        <v>7</v>
      </c>
      <c r="F32" s="424" t="s">
        <v>1559</v>
      </c>
      <c r="G32" s="462"/>
    </row>
    <row r="33" spans="1:7" ht="14.25" customHeight="1">
      <c r="A33" s="2004" t="str">
        <f>+'MANO DE OBRA'!$A$64</f>
        <v>Oficial (Incl. Prestaciones)</v>
      </c>
      <c r="B33" s="1888"/>
      <c r="C33" s="679">
        <f>+'MANO DE OBRA'!$E$64</f>
        <v>15031.25</v>
      </c>
      <c r="D33" s="680">
        <v>1</v>
      </c>
      <c r="E33" s="680">
        <v>1.6386780383563844</v>
      </c>
      <c r="F33" s="454">
        <f t="shared" ref="F33:F34" si="1">+(C33*D33)/E33</f>
        <v>9172.7902908105989</v>
      </c>
      <c r="G33" s="443"/>
    </row>
    <row r="34" spans="1:7" ht="14.25" customHeight="1">
      <c r="A34" s="1968" t="str">
        <f>+'MANO DE OBRA'!$A$65</f>
        <v>Ayudante (Incl. Prestaciones)</v>
      </c>
      <c r="B34" s="1819"/>
      <c r="C34" s="681">
        <f>+'MANO DE OBRA'!$E$65</f>
        <v>10972.8125</v>
      </c>
      <c r="D34" s="562">
        <v>1</v>
      </c>
      <c r="E34" s="562">
        <f>+E33</f>
        <v>1.6386780383563844</v>
      </c>
      <c r="F34" s="455">
        <f t="shared" si="1"/>
        <v>6696.1369122917367</v>
      </c>
      <c r="G34" s="456"/>
    </row>
    <row r="35" spans="1:7" ht="14.25" customHeight="1">
      <c r="A35" s="2003" t="str">
        <f>+A30</f>
        <v>SUB-TOTAL</v>
      </c>
      <c r="B35" s="1601"/>
      <c r="C35" s="1601"/>
      <c r="D35" s="1601"/>
      <c r="E35" s="1601"/>
      <c r="F35" s="1801"/>
      <c r="G35" s="436">
        <f>SUM(F33:F34)</f>
        <v>15868.927203102336</v>
      </c>
    </row>
    <row r="36" spans="1:7" ht="11.25" customHeight="1">
      <c r="A36" s="416"/>
      <c r="B36" s="416"/>
      <c r="C36" s="416"/>
      <c r="D36" s="416"/>
      <c r="E36" s="416"/>
      <c r="F36" s="458"/>
      <c r="G36" s="437"/>
    </row>
    <row r="37" spans="1:7" ht="14.25" customHeight="1">
      <c r="A37" s="2003" t="s">
        <v>1567</v>
      </c>
      <c r="B37" s="1601"/>
      <c r="C37" s="1601"/>
      <c r="D37" s="1601"/>
      <c r="E37" s="1601"/>
      <c r="F37" s="1801"/>
      <c r="G37" s="682">
        <f>ROUND(G18+G25+G30+G35,0)</f>
        <v>36485</v>
      </c>
    </row>
    <row r="38" spans="1:7" ht="14.25" customHeight="1">
      <c r="A38" s="465"/>
      <c r="B38" s="465"/>
      <c r="C38" s="465"/>
      <c r="D38" s="465"/>
      <c r="E38" s="465"/>
      <c r="F38" s="465"/>
      <c r="G38" s="1067"/>
    </row>
    <row r="39" spans="1:7" ht="14.25" hidden="1" customHeight="1">
      <c r="A39" s="420"/>
      <c r="B39" s="420"/>
      <c r="C39" s="420"/>
      <c r="D39" s="420"/>
      <c r="E39" s="420"/>
      <c r="F39" s="420"/>
      <c r="G39" s="420"/>
    </row>
    <row r="40" spans="1:7" ht="27" hidden="1" customHeight="1">
      <c r="A40" s="1994" t="e">
        <f>+'ANALISIS BASICOS'!$A$7</f>
        <v>#REF!</v>
      </c>
      <c r="B40" s="1616"/>
      <c r="C40" s="1624"/>
      <c r="D40" s="567"/>
      <c r="E40" s="567"/>
      <c r="F40" s="567"/>
      <c r="G40" s="668"/>
    </row>
    <row r="41" spans="1:7" ht="24" hidden="1" customHeight="1">
      <c r="A41" s="1971"/>
      <c r="B41" s="1817"/>
      <c r="C41" s="1972"/>
      <c r="D41" s="669"/>
      <c r="E41" s="669"/>
      <c r="F41" s="669"/>
      <c r="G41" s="670"/>
    </row>
    <row r="42" spans="1:7" ht="14.25" hidden="1" customHeight="1">
      <c r="A42" s="416"/>
      <c r="B42" s="416"/>
      <c r="C42" s="416"/>
      <c r="D42" s="416"/>
      <c r="E42" s="416"/>
      <c r="F42" s="416"/>
      <c r="G42" s="416"/>
    </row>
    <row r="43" spans="1:7" ht="47.25" hidden="1" customHeight="1">
      <c r="A43" s="1991" t="e">
        <f ca="1">+'8 - PISOS - CONCRETO-ENCHAPES'!A42:C42</f>
        <v>#NAME?</v>
      </c>
      <c r="B43" s="1601"/>
      <c r="C43" s="1602"/>
      <c r="D43" s="1974" t="s">
        <v>2502</v>
      </c>
      <c r="E43" s="1601"/>
      <c r="F43" s="1601"/>
      <c r="G43" s="1602"/>
    </row>
    <row r="44" spans="1:7" ht="14.25" hidden="1" customHeight="1">
      <c r="A44" s="418"/>
      <c r="B44" s="418"/>
      <c r="C44" s="418"/>
      <c r="D44" s="418"/>
      <c r="E44" s="418"/>
      <c r="F44" s="418"/>
      <c r="G44" s="418"/>
    </row>
    <row r="45" spans="1:7" ht="12.75" hidden="1" customHeight="1">
      <c r="A45" s="419"/>
      <c r="B45" s="416"/>
      <c r="C45" s="420"/>
      <c r="D45" s="421" t="s">
        <v>1553</v>
      </c>
      <c r="E45" s="422" t="s">
        <v>228</v>
      </c>
      <c r="F45" s="421" t="s">
        <v>1554</v>
      </c>
      <c r="G45" s="422" t="s">
        <v>421</v>
      </c>
    </row>
    <row r="46" spans="1:7" ht="14.25" hidden="1" customHeight="1">
      <c r="A46" s="423" t="s">
        <v>1555</v>
      </c>
      <c r="B46" s="416"/>
      <c r="C46" s="416"/>
      <c r="D46" s="416"/>
      <c r="E46" s="416"/>
      <c r="F46" s="416"/>
      <c r="G46" s="416"/>
    </row>
    <row r="47" spans="1:7" ht="13.5" hidden="1" customHeight="1">
      <c r="A47" s="1975" t="s">
        <v>1556</v>
      </c>
      <c r="B47" s="1601"/>
      <c r="C47" s="1801"/>
      <c r="D47" s="424" t="s">
        <v>208</v>
      </c>
      <c r="E47" s="424" t="s">
        <v>1558</v>
      </c>
      <c r="F47" s="424" t="s">
        <v>1559</v>
      </c>
      <c r="G47" s="425"/>
    </row>
    <row r="48" spans="1:7" ht="14.25" hidden="1" customHeight="1">
      <c r="A48" s="1981" t="str">
        <f>+'LISTADO EQUIPOS'!$C$22</f>
        <v>HERRAMIENTA MENOR.</v>
      </c>
      <c r="B48" s="1811"/>
      <c r="C48" s="1967"/>
      <c r="D48" s="449">
        <f>+'LISTADO EQUIPOS'!$E$22/8</f>
        <v>2850</v>
      </c>
      <c r="E48" s="427">
        <f>+E65</f>
        <v>0.5</v>
      </c>
      <c r="F48" s="428">
        <f>+D48/E48</f>
        <v>5700</v>
      </c>
      <c r="G48" s="429"/>
    </row>
    <row r="49" spans="1:7" ht="14.25" hidden="1" customHeight="1">
      <c r="A49" s="1982" t="str">
        <f>+'LISTADO EQUIPOS'!$C$47</f>
        <v>ANDAMIO TUBULAR. 1.5 x 1.5 SECCIÓN</v>
      </c>
      <c r="B49" s="1807"/>
      <c r="C49" s="1819"/>
      <c r="D49" s="451">
        <f>+'LISTADO EQUIPOS'!$E$47</f>
        <v>1750</v>
      </c>
      <c r="E49" s="671">
        <v>0.6</v>
      </c>
      <c r="F49" s="698">
        <f>+E49*D49</f>
        <v>1050</v>
      </c>
      <c r="G49" s="672"/>
    </row>
    <row r="50" spans="1:7" ht="14.25" hidden="1" customHeight="1">
      <c r="A50" s="2003" t="s">
        <v>1560</v>
      </c>
      <c r="B50" s="1601"/>
      <c r="C50" s="1601"/>
      <c r="D50" s="1601"/>
      <c r="E50" s="1601"/>
      <c r="F50" s="1801"/>
      <c r="G50" s="436">
        <f>SUM(F48:F49)</f>
        <v>6750</v>
      </c>
    </row>
    <row r="51" spans="1:7" ht="14.25" hidden="1" customHeight="1">
      <c r="A51" s="423" t="s">
        <v>1561</v>
      </c>
      <c r="B51" s="416"/>
      <c r="C51" s="416"/>
      <c r="D51" s="416"/>
      <c r="E51" s="416"/>
      <c r="F51" s="416"/>
      <c r="G51" s="437"/>
    </row>
    <row r="52" spans="1:7" ht="14.25" hidden="1" customHeight="1">
      <c r="A52" s="1975" t="s">
        <v>1556</v>
      </c>
      <c r="B52" s="1801"/>
      <c r="C52" s="424" t="s">
        <v>6</v>
      </c>
      <c r="D52" s="424" t="s">
        <v>1562</v>
      </c>
      <c r="E52" s="424" t="s">
        <v>7</v>
      </c>
      <c r="F52" s="424" t="s">
        <v>1559</v>
      </c>
      <c r="G52" s="673"/>
    </row>
    <row r="53" spans="1:7" ht="14.25" hidden="1" customHeight="1">
      <c r="A53" s="1987" t="str">
        <f>+'ANALISIS BASICOS'!$A$228</f>
        <v>MORTERO 1:4</v>
      </c>
      <c r="B53" s="1967"/>
      <c r="C53" s="674" t="str">
        <f>+'ANALISIS BASICOS'!$E$204</f>
        <v>M3</v>
      </c>
      <c r="D53" s="675">
        <f>+'ANALISIS BASICOS'!$G$228</f>
        <v>384656</v>
      </c>
      <c r="E53" s="687">
        <v>0.02</v>
      </c>
      <c r="F53" s="442">
        <f t="shared" ref="F53:F54" si="2">+E53*D53</f>
        <v>7693.12</v>
      </c>
      <c r="G53" s="676"/>
    </row>
    <row r="54" spans="1:7" ht="14.25" hidden="1" customHeight="1">
      <c r="A54" s="1988" t="str">
        <f>+'LISTADO MATERIALES'!$C$723</f>
        <v>AGUA</v>
      </c>
      <c r="B54" s="1611"/>
      <c r="C54" s="677" t="str">
        <f>+'LISTADO MATERIALES'!$D$723</f>
        <v>LT</v>
      </c>
      <c r="D54" s="431">
        <f>+'LISTADO MATERIALES'!$E$723</f>
        <v>21</v>
      </c>
      <c r="E54" s="430">
        <v>15</v>
      </c>
      <c r="F54" s="689">
        <f t="shared" si="2"/>
        <v>315</v>
      </c>
      <c r="G54" s="445"/>
    </row>
    <row r="55" spans="1:7" ht="14.25" hidden="1" customHeight="1">
      <c r="A55" s="1988"/>
      <c r="B55" s="1611"/>
      <c r="C55" s="677"/>
      <c r="D55" s="431"/>
      <c r="E55" s="430"/>
      <c r="F55" s="431"/>
      <c r="G55" s="445"/>
    </row>
    <row r="56" spans="1:7" ht="14.25" hidden="1" customHeight="1">
      <c r="A56" s="1982"/>
      <c r="B56" s="1819"/>
      <c r="C56" s="678"/>
      <c r="D56" s="451"/>
      <c r="E56" s="671"/>
      <c r="F56" s="451"/>
      <c r="G56" s="456"/>
    </row>
    <row r="57" spans="1:7" ht="14.25" hidden="1" customHeight="1">
      <c r="A57" s="2003" t="s">
        <v>1560</v>
      </c>
      <c r="B57" s="1601"/>
      <c r="C57" s="1601"/>
      <c r="D57" s="1601"/>
      <c r="E57" s="1601"/>
      <c r="F57" s="1801"/>
      <c r="G57" s="436">
        <f>SUM(F53:F56)</f>
        <v>8008.12</v>
      </c>
    </row>
    <row r="58" spans="1:7" ht="14.25" hidden="1" customHeight="1">
      <c r="A58" s="423" t="s">
        <v>1563</v>
      </c>
      <c r="B58" s="416"/>
      <c r="C58" s="416"/>
      <c r="D58" s="416"/>
      <c r="E58" s="416"/>
      <c r="F58" s="416"/>
      <c r="G58" s="437"/>
    </row>
    <row r="59" spans="1:7" ht="14.25" hidden="1" customHeight="1">
      <c r="A59" s="1975" t="s">
        <v>1556</v>
      </c>
      <c r="B59" s="1801"/>
      <c r="C59" s="424" t="s">
        <v>6</v>
      </c>
      <c r="D59" s="424" t="s">
        <v>1562</v>
      </c>
      <c r="E59" s="424" t="s">
        <v>7</v>
      </c>
      <c r="F59" s="424" t="s">
        <v>1559</v>
      </c>
      <c r="G59" s="438"/>
    </row>
    <row r="60" spans="1:7" ht="14.25" hidden="1" customHeight="1">
      <c r="A60" s="1981"/>
      <c r="B60" s="1967"/>
      <c r="C60" s="448"/>
      <c r="D60" s="449"/>
      <c r="E60" s="450"/>
      <c r="F60" s="431"/>
      <c r="G60" s="443"/>
    </row>
    <row r="61" spans="1:7" ht="14.25" hidden="1" customHeight="1">
      <c r="A61" s="1982"/>
      <c r="B61" s="1819"/>
      <c r="C61" s="448"/>
      <c r="D61" s="451"/>
      <c r="E61" s="452"/>
      <c r="F61" s="451"/>
      <c r="G61" s="447"/>
    </row>
    <row r="62" spans="1:7" ht="14.25" hidden="1" customHeight="1">
      <c r="A62" s="2003" t="s">
        <v>1560</v>
      </c>
      <c r="B62" s="1601"/>
      <c r="C62" s="1601"/>
      <c r="D62" s="1601"/>
      <c r="E62" s="1601"/>
      <c r="F62" s="1801"/>
      <c r="G62" s="436"/>
    </row>
    <row r="63" spans="1:7" ht="14.25" hidden="1" customHeight="1">
      <c r="A63" s="423" t="s">
        <v>1564</v>
      </c>
      <c r="B63" s="416"/>
      <c r="C63" s="416"/>
      <c r="D63" s="416"/>
      <c r="E63" s="416"/>
      <c r="F63" s="416"/>
      <c r="G63" s="437"/>
    </row>
    <row r="64" spans="1:7" ht="14.25" hidden="1" customHeight="1">
      <c r="A64" s="1975" t="s">
        <v>1565</v>
      </c>
      <c r="B64" s="1801"/>
      <c r="C64" s="424" t="s">
        <v>1566</v>
      </c>
      <c r="D64" s="424" t="s">
        <v>6</v>
      </c>
      <c r="E64" s="424" t="s">
        <v>7</v>
      </c>
      <c r="F64" s="424" t="s">
        <v>1559</v>
      </c>
      <c r="G64" s="462"/>
    </row>
    <row r="65" spans="1:7" ht="14.25" hidden="1" customHeight="1">
      <c r="A65" s="2004" t="str">
        <f>+'MANO DE OBRA'!$A$64</f>
        <v>Oficial (Incl. Prestaciones)</v>
      </c>
      <c r="B65" s="1888"/>
      <c r="C65" s="679">
        <f>+'MANO DE OBRA'!$E$64</f>
        <v>15031.25</v>
      </c>
      <c r="D65" s="680">
        <v>1</v>
      </c>
      <c r="E65" s="680">
        <v>0.5</v>
      </c>
      <c r="F65" s="694">
        <f t="shared" ref="F65:F66" si="3">+(C65*D65)*E65</f>
        <v>7515.625</v>
      </c>
      <c r="G65" s="443"/>
    </row>
    <row r="66" spans="1:7" ht="14.25" hidden="1" customHeight="1">
      <c r="A66" s="1968" t="str">
        <f>+'MANO DE OBRA'!$A$65</f>
        <v>Ayudante (Incl. Prestaciones)</v>
      </c>
      <c r="B66" s="1819"/>
      <c r="C66" s="681">
        <f>+'MANO DE OBRA'!$E$65</f>
        <v>10972.8125</v>
      </c>
      <c r="D66" s="562">
        <v>1</v>
      </c>
      <c r="E66" s="562">
        <f>+E65</f>
        <v>0.5</v>
      </c>
      <c r="F66" s="695">
        <f t="shared" si="3"/>
        <v>5486.40625</v>
      </c>
      <c r="G66" s="456"/>
    </row>
    <row r="67" spans="1:7" ht="14.25" hidden="1" customHeight="1">
      <c r="A67" s="2003" t="str">
        <f>+A62</f>
        <v>SUB-TOTAL</v>
      </c>
      <c r="B67" s="1601"/>
      <c r="C67" s="1601"/>
      <c r="D67" s="1601"/>
      <c r="E67" s="1601"/>
      <c r="F67" s="1801"/>
      <c r="G67" s="436">
        <f>SUM(F65:F66)</f>
        <v>13002.03125</v>
      </c>
    </row>
    <row r="68" spans="1:7" ht="11.25" hidden="1" customHeight="1">
      <c r="A68" s="416"/>
      <c r="B68" s="416"/>
      <c r="C68" s="416"/>
      <c r="D68" s="416"/>
      <c r="E68" s="416"/>
      <c r="F68" s="458"/>
      <c r="G68" s="437"/>
    </row>
    <row r="69" spans="1:7" ht="14.25" hidden="1" customHeight="1">
      <c r="A69" s="2003" t="s">
        <v>1567</v>
      </c>
      <c r="B69" s="1601"/>
      <c r="C69" s="1601"/>
      <c r="D69" s="1601"/>
      <c r="E69" s="1601"/>
      <c r="F69" s="1801"/>
      <c r="G69" s="682">
        <f>ROUND(G50+G57+G62+G67,0)</f>
        <v>27760</v>
      </c>
    </row>
    <row r="70" spans="1:7" ht="14.25" hidden="1" customHeight="1">
      <c r="A70" s="465"/>
      <c r="B70" s="465"/>
      <c r="C70" s="465"/>
      <c r="D70" s="465"/>
      <c r="E70" s="465"/>
      <c r="F70" s="465"/>
      <c r="G70" s="1067"/>
    </row>
    <row r="71" spans="1:7" ht="14.25" customHeight="1">
      <c r="A71" s="420"/>
      <c r="B71" s="420"/>
      <c r="C71" s="420"/>
      <c r="D71" s="420"/>
      <c r="E71" s="420"/>
      <c r="F71" s="420"/>
      <c r="G71" s="420"/>
    </row>
    <row r="72" spans="1:7" ht="13.5" customHeight="1">
      <c r="A72" s="1989" t="e">
        <f>A8</f>
        <v>#REF!</v>
      </c>
      <c r="B72" s="1616"/>
      <c r="C72" s="1624"/>
      <c r="D72" s="1990" t="s">
        <v>1195</v>
      </c>
      <c r="E72" s="1616"/>
      <c r="F72" s="1616"/>
      <c r="G72" s="1624"/>
    </row>
    <row r="73" spans="1:7" ht="38.25" customHeight="1">
      <c r="A73" s="1971"/>
      <c r="B73" s="1817"/>
      <c r="C73" s="1972"/>
      <c r="D73" s="1971"/>
      <c r="E73" s="1817"/>
      <c r="F73" s="1817"/>
      <c r="G73" s="1972"/>
    </row>
    <row r="74" spans="1:7" ht="14.25" customHeight="1">
      <c r="A74" s="416"/>
      <c r="B74" s="416"/>
      <c r="C74" s="416"/>
      <c r="D74" s="416"/>
      <c r="E74" s="416"/>
      <c r="F74" s="416"/>
      <c r="G74" s="416"/>
    </row>
    <row r="75" spans="1:7" ht="48.75" customHeight="1">
      <c r="A75" s="1991" t="e">
        <f ca="1">A11</f>
        <v>#NAME?</v>
      </c>
      <c r="B75" s="1601"/>
      <c r="C75" s="1602"/>
      <c r="D75" s="2011" t="e">
        <f>#REF!</f>
        <v>#REF!</v>
      </c>
      <c r="E75" s="1601"/>
      <c r="F75" s="1601"/>
      <c r="G75" s="1602"/>
    </row>
    <row r="76" spans="1:7" ht="14.25" customHeight="1">
      <c r="A76" s="418"/>
      <c r="B76" s="418"/>
      <c r="C76" s="418"/>
      <c r="D76" s="418"/>
      <c r="E76" s="418"/>
      <c r="F76" s="418"/>
      <c r="G76" s="418"/>
    </row>
    <row r="77" spans="1:7" ht="12.75" customHeight="1">
      <c r="A77" s="419"/>
      <c r="B77" s="416"/>
      <c r="C77" s="420"/>
      <c r="D77" s="421" t="s">
        <v>1553</v>
      </c>
      <c r="E77" s="422" t="e">
        <f>#REF!</f>
        <v>#REF!</v>
      </c>
      <c r="F77" s="421" t="s">
        <v>1554</v>
      </c>
      <c r="G77" s="461" t="e">
        <f>#REF!</f>
        <v>#REF!</v>
      </c>
    </row>
    <row r="78" spans="1:7" ht="14.25" customHeight="1">
      <c r="A78" s="423" t="s">
        <v>1555</v>
      </c>
      <c r="B78" s="416"/>
      <c r="C78" s="416"/>
      <c r="D78" s="416"/>
      <c r="E78" s="416"/>
      <c r="F78" s="416"/>
      <c r="G78" s="416"/>
    </row>
    <row r="79" spans="1:7" ht="13.5" customHeight="1">
      <c r="A79" s="1975" t="s">
        <v>1556</v>
      </c>
      <c r="B79" s="1601"/>
      <c r="C79" s="1801"/>
      <c r="D79" s="424" t="s">
        <v>208</v>
      </c>
      <c r="E79" s="424" t="s">
        <v>1558</v>
      </c>
      <c r="F79" s="424" t="s">
        <v>1559</v>
      </c>
      <c r="G79" s="425"/>
    </row>
    <row r="80" spans="1:7" ht="14.25" customHeight="1">
      <c r="A80" s="1981" t="e">
        <f>#REF!</f>
        <v>#REF!</v>
      </c>
      <c r="B80" s="1811"/>
      <c r="C80" s="1967"/>
      <c r="D80" s="449" t="e">
        <f>#REF!</f>
        <v>#REF!</v>
      </c>
      <c r="E80" s="427">
        <v>2</v>
      </c>
      <c r="F80" s="428" t="e">
        <f>D80/E80</f>
        <v>#REF!</v>
      </c>
      <c r="G80" s="429"/>
    </row>
    <row r="81" spans="1:7" ht="14.25" customHeight="1">
      <c r="A81" s="1982"/>
      <c r="B81" s="1807"/>
      <c r="C81" s="1819"/>
      <c r="D81" s="451"/>
      <c r="E81" s="671"/>
      <c r="F81" s="698"/>
      <c r="G81" s="672"/>
    </row>
    <row r="82" spans="1:7" ht="14.25" customHeight="1">
      <c r="A82" s="2003" t="s">
        <v>1560</v>
      </c>
      <c r="B82" s="1601"/>
      <c r="C82" s="1601"/>
      <c r="D82" s="1601"/>
      <c r="E82" s="1601"/>
      <c r="F82" s="1801"/>
      <c r="G82" s="436" t="e">
        <f>SUM(F80:F81)</f>
        <v>#REF!</v>
      </c>
    </row>
    <row r="83" spans="1:7" ht="14.25" customHeight="1">
      <c r="A83" s="423" t="s">
        <v>1561</v>
      </c>
      <c r="B83" s="416"/>
      <c r="C83" s="416"/>
      <c r="D83" s="416"/>
      <c r="E83" s="416"/>
      <c r="F83" s="416"/>
      <c r="G83" s="437"/>
    </row>
    <row r="84" spans="1:7" ht="14.25" customHeight="1">
      <c r="A84" s="1975" t="s">
        <v>1556</v>
      </c>
      <c r="B84" s="1801"/>
      <c r="C84" s="424" t="s">
        <v>6</v>
      </c>
      <c r="D84" s="424" t="s">
        <v>1562</v>
      </c>
      <c r="E84" s="424" t="s">
        <v>7</v>
      </c>
      <c r="F84" s="424" t="s">
        <v>1559</v>
      </c>
      <c r="G84" s="673"/>
    </row>
    <row r="85" spans="1:7" ht="14.25" customHeight="1">
      <c r="A85" s="1987" t="e">
        <f>#REF!</f>
        <v>#REF!</v>
      </c>
      <c r="B85" s="1967"/>
      <c r="C85" s="674" t="e">
        <f>#REF!</f>
        <v>#REF!</v>
      </c>
      <c r="D85" s="675" t="e">
        <f>#REF!</f>
        <v>#REF!</v>
      </c>
      <c r="E85" s="687">
        <v>0.5</v>
      </c>
      <c r="F85" s="442" t="e">
        <f t="shared" ref="F85:F86" si="4">+E85*D85</f>
        <v>#REF!</v>
      </c>
      <c r="G85" s="676"/>
    </row>
    <row r="86" spans="1:7" ht="14.25" customHeight="1">
      <c r="A86" s="1988" t="e">
        <f>#REF!</f>
        <v>#REF!</v>
      </c>
      <c r="B86" s="1611"/>
      <c r="C86" s="677" t="e">
        <f>#REF!</f>
        <v>#REF!</v>
      </c>
      <c r="D86" s="431" t="e">
        <f>#REF!</f>
        <v>#REF!</v>
      </c>
      <c r="E86" s="430">
        <v>10</v>
      </c>
      <c r="F86" s="689" t="e">
        <f t="shared" si="4"/>
        <v>#REF!</v>
      </c>
      <c r="G86" s="445"/>
    </row>
    <row r="87" spans="1:7" ht="14.25" customHeight="1">
      <c r="A87" s="1988"/>
      <c r="B87" s="1611"/>
      <c r="C87" s="677"/>
      <c r="D87" s="431"/>
      <c r="E87" s="430"/>
      <c r="F87" s="431"/>
      <c r="G87" s="445"/>
    </row>
    <row r="88" spans="1:7" ht="14.25" customHeight="1">
      <c r="A88" s="1982"/>
      <c r="B88" s="1819"/>
      <c r="C88" s="678"/>
      <c r="D88" s="451"/>
      <c r="E88" s="671"/>
      <c r="F88" s="451"/>
      <c r="G88" s="456"/>
    </row>
    <row r="89" spans="1:7" ht="14.25" customHeight="1">
      <c r="A89" s="2003" t="s">
        <v>1560</v>
      </c>
      <c r="B89" s="1601"/>
      <c r="C89" s="1601"/>
      <c r="D89" s="1601"/>
      <c r="E89" s="1601"/>
      <c r="F89" s="1801"/>
      <c r="G89" s="436" t="e">
        <f>SUM(F85:F88)</f>
        <v>#REF!</v>
      </c>
    </row>
    <row r="90" spans="1:7" ht="14.25" customHeight="1">
      <c r="A90" s="423" t="s">
        <v>1563</v>
      </c>
      <c r="B90" s="416"/>
      <c r="C90" s="416"/>
      <c r="D90" s="416"/>
      <c r="E90" s="416"/>
      <c r="F90" s="416"/>
      <c r="G90" s="437"/>
    </row>
    <row r="91" spans="1:7" ht="14.25" customHeight="1">
      <c r="A91" s="1975" t="s">
        <v>1556</v>
      </c>
      <c r="B91" s="1801"/>
      <c r="C91" s="424" t="s">
        <v>6</v>
      </c>
      <c r="D91" s="424" t="s">
        <v>1562</v>
      </c>
      <c r="E91" s="424" t="s">
        <v>7</v>
      </c>
      <c r="F91" s="424" t="s">
        <v>1559</v>
      </c>
      <c r="G91" s="438"/>
    </row>
    <row r="92" spans="1:7" ht="14.25" customHeight="1">
      <c r="A92" s="1981"/>
      <c r="B92" s="1967"/>
      <c r="C92" s="448"/>
      <c r="D92" s="449"/>
      <c r="E92" s="450"/>
      <c r="F92" s="431"/>
      <c r="G92" s="443"/>
    </row>
    <row r="93" spans="1:7" ht="14.25" customHeight="1">
      <c r="A93" s="1982"/>
      <c r="B93" s="1819"/>
      <c r="C93" s="448"/>
      <c r="D93" s="451"/>
      <c r="E93" s="452"/>
      <c r="F93" s="451"/>
      <c r="G93" s="447"/>
    </row>
    <row r="94" spans="1:7" ht="14.25" customHeight="1">
      <c r="A94" s="2003" t="s">
        <v>1560</v>
      </c>
      <c r="B94" s="1601"/>
      <c r="C94" s="1601"/>
      <c r="D94" s="1601"/>
      <c r="E94" s="1601"/>
      <c r="F94" s="1801"/>
      <c r="G94" s="436"/>
    </row>
    <row r="95" spans="1:7" ht="14.25" customHeight="1">
      <c r="A95" s="423" t="s">
        <v>1564</v>
      </c>
      <c r="B95" s="416"/>
      <c r="C95" s="416"/>
      <c r="D95" s="416"/>
      <c r="E95" s="416"/>
      <c r="F95" s="416"/>
      <c r="G95" s="437"/>
    </row>
    <row r="96" spans="1:7" ht="14.25" customHeight="1">
      <c r="A96" s="1975" t="s">
        <v>1565</v>
      </c>
      <c r="B96" s="1801"/>
      <c r="C96" s="424" t="s">
        <v>1566</v>
      </c>
      <c r="D96" s="424" t="s">
        <v>6</v>
      </c>
      <c r="E96" s="424" t="s">
        <v>1558</v>
      </c>
      <c r="F96" s="424" t="s">
        <v>1559</v>
      </c>
      <c r="G96" s="462"/>
    </row>
    <row r="97" spans="1:7" ht="14.25" customHeight="1">
      <c r="A97" s="2004" t="str">
        <f>+'MANO DE OBRA'!$A$64</f>
        <v>Oficial (Incl. Prestaciones)</v>
      </c>
      <c r="B97" s="1888"/>
      <c r="C97" s="679">
        <f>+'MANO DE OBRA'!$E$64</f>
        <v>15031.25</v>
      </c>
      <c r="D97" s="680">
        <v>1</v>
      </c>
      <c r="E97" s="680">
        <v>1</v>
      </c>
      <c r="F97" s="694">
        <f t="shared" ref="F97:F98" si="5">+(C97*D97)/E97</f>
        <v>15031.25</v>
      </c>
      <c r="G97" s="443"/>
    </row>
    <row r="98" spans="1:7" ht="14.25" customHeight="1">
      <c r="A98" s="1968" t="str">
        <f>+'MANO DE OBRA'!$A$65</f>
        <v>Ayudante (Incl. Prestaciones)</v>
      </c>
      <c r="B98" s="1819"/>
      <c r="C98" s="681">
        <f>+'MANO DE OBRA'!$E$65</f>
        <v>10972.8125</v>
      </c>
      <c r="D98" s="562">
        <v>1</v>
      </c>
      <c r="E98" s="562">
        <v>1</v>
      </c>
      <c r="F98" s="694">
        <f t="shared" si="5"/>
        <v>10972.8125</v>
      </c>
      <c r="G98" s="456"/>
    </row>
    <row r="99" spans="1:7" ht="14.25" customHeight="1">
      <c r="A99" s="2003" t="str">
        <f>+A94</f>
        <v>SUB-TOTAL</v>
      </c>
      <c r="B99" s="1601"/>
      <c r="C99" s="1601"/>
      <c r="D99" s="1601"/>
      <c r="E99" s="1601"/>
      <c r="F99" s="1801"/>
      <c r="G99" s="436">
        <f>SUM(F97:F98)</f>
        <v>26004.0625</v>
      </c>
    </row>
    <row r="100" spans="1:7" ht="11.25" customHeight="1">
      <c r="A100" s="416"/>
      <c r="B100" s="416"/>
      <c r="C100" s="416"/>
      <c r="D100" s="416"/>
      <c r="E100" s="416"/>
      <c r="F100" s="458"/>
      <c r="G100" s="437"/>
    </row>
    <row r="101" spans="1:7" ht="14.25" customHeight="1">
      <c r="A101" s="2003" t="s">
        <v>1567</v>
      </c>
      <c r="B101" s="1601"/>
      <c r="C101" s="1601"/>
      <c r="D101" s="1601"/>
      <c r="E101" s="1601"/>
      <c r="F101" s="1801"/>
      <c r="G101" s="682" t="e">
        <f>ROUND(G82+G89+G94+G99,0)</f>
        <v>#REF!</v>
      </c>
    </row>
    <row r="102" spans="1:7" ht="14.25" customHeight="1">
      <c r="A102" s="465"/>
      <c r="B102" s="465"/>
      <c r="C102" s="465"/>
      <c r="D102" s="465"/>
      <c r="E102" s="465"/>
      <c r="F102" s="465"/>
      <c r="G102" s="705"/>
    </row>
    <row r="103" spans="1:7" ht="14.25" customHeight="1">
      <c r="A103" s="72" t="s">
        <v>271</v>
      </c>
      <c r="B103" s="363"/>
      <c r="C103" s="363"/>
      <c r="D103" s="1985" t="s">
        <v>272</v>
      </c>
      <c r="E103" s="1605"/>
      <c r="F103" s="363"/>
      <c r="G103" s="363"/>
    </row>
    <row r="104" spans="1:7" ht="14.25" customHeight="1">
      <c r="A104" s="1986"/>
      <c r="B104" s="1605"/>
      <c r="C104" s="1605"/>
      <c r="D104" s="1605"/>
    </row>
    <row r="105" spans="1:7" ht="14.25" customHeight="1">
      <c r="A105" s="123"/>
      <c r="B105" s="175"/>
      <c r="C105" s="123"/>
      <c r="D105" s="123"/>
    </row>
    <row r="106" spans="1:7" ht="14.25" customHeight="1"/>
    <row r="107" spans="1:7" ht="14.25" customHeight="1">
      <c r="A107" s="1895" t="s">
        <v>273</v>
      </c>
      <c r="B107" s="1605"/>
      <c r="C107" s="1605"/>
      <c r="D107" s="1895" t="s">
        <v>274</v>
      </c>
      <c r="E107" s="1605"/>
      <c r="F107" s="1605"/>
      <c r="G107" s="1605"/>
    </row>
    <row r="108" spans="1:7" ht="14.25" customHeight="1">
      <c r="A108" s="1890" t="s">
        <v>275</v>
      </c>
      <c r="B108" s="1605"/>
      <c r="C108" s="1605"/>
      <c r="D108" s="1890" t="s">
        <v>276</v>
      </c>
      <c r="E108" s="1605"/>
      <c r="F108" s="1605"/>
      <c r="G108" s="74"/>
    </row>
    <row r="109" spans="1:7" ht="14.25" customHeight="1">
      <c r="A109" s="420"/>
      <c r="B109" s="420"/>
      <c r="C109" s="420"/>
      <c r="D109" s="420"/>
      <c r="E109" s="420"/>
      <c r="F109" s="420"/>
      <c r="G109" s="420"/>
    </row>
    <row r="110" spans="1:7" ht="27" customHeight="1">
      <c r="A110" s="2005" t="s">
        <v>1604</v>
      </c>
      <c r="B110" s="1616"/>
      <c r="C110" s="1624"/>
      <c r="D110" s="1990" t="s">
        <v>1195</v>
      </c>
      <c r="E110" s="1616"/>
      <c r="F110" s="1616"/>
      <c r="G110" s="1624"/>
    </row>
    <row r="111" spans="1:7" ht="24" customHeight="1">
      <c r="A111" s="1971"/>
      <c r="B111" s="1817"/>
      <c r="C111" s="1972"/>
      <c r="D111" s="1971"/>
      <c r="E111" s="1817"/>
      <c r="F111" s="1817"/>
      <c r="G111" s="1972"/>
    </row>
    <row r="113" spans="1:7" ht="45" customHeight="1">
      <c r="A113" s="1991" t="e">
        <f ca="1">A11</f>
        <v>#NAME?</v>
      </c>
      <c r="B113" s="1601"/>
      <c r="C113" s="1602"/>
      <c r="D113" s="2062" t="e">
        <f>#REF!</f>
        <v>#REF!</v>
      </c>
      <c r="E113" s="1601"/>
      <c r="F113" s="1601"/>
      <c r="G113" s="1602"/>
    </row>
    <row r="114" spans="1:7" ht="14.25" customHeight="1">
      <c r="A114" s="418"/>
      <c r="B114" s="418"/>
      <c r="C114" s="418"/>
      <c r="D114" s="418"/>
      <c r="E114" s="418"/>
      <c r="F114" s="418"/>
      <c r="G114" s="418"/>
    </row>
    <row r="115" spans="1:7" ht="12.75" customHeight="1">
      <c r="A115" s="419"/>
      <c r="B115" s="416"/>
      <c r="C115" s="420"/>
      <c r="D115" s="421" t="s">
        <v>1553</v>
      </c>
      <c r="E115" s="422" t="e">
        <f>#REF!</f>
        <v>#REF!</v>
      </c>
      <c r="F115" s="421" t="s">
        <v>1554</v>
      </c>
      <c r="G115" s="461" t="e">
        <f>#REF!</f>
        <v>#REF!</v>
      </c>
    </row>
    <row r="116" spans="1:7" ht="14.25" customHeight="1">
      <c r="A116" s="423" t="s">
        <v>1555</v>
      </c>
      <c r="B116" s="416"/>
      <c r="C116" s="416"/>
      <c r="D116" s="416"/>
      <c r="E116" s="416"/>
      <c r="F116" s="416"/>
      <c r="G116" s="416"/>
    </row>
    <row r="117" spans="1:7" ht="13.5" customHeight="1">
      <c r="A117" s="1975" t="s">
        <v>1556</v>
      </c>
      <c r="B117" s="1601"/>
      <c r="C117" s="1801"/>
      <c r="D117" s="424" t="s">
        <v>208</v>
      </c>
      <c r="E117" s="424" t="s">
        <v>1558</v>
      </c>
      <c r="F117" s="424" t="s">
        <v>1559</v>
      </c>
      <c r="G117" s="425"/>
    </row>
    <row r="118" spans="1:7" ht="14.25" customHeight="1">
      <c r="A118" s="1981" t="e">
        <f>#REF!</f>
        <v>#REF!</v>
      </c>
      <c r="B118" s="1811"/>
      <c r="C118" s="1967"/>
      <c r="D118" s="449" t="e">
        <f>#REF!</f>
        <v>#REF!</v>
      </c>
      <c r="E118" s="427">
        <v>1</v>
      </c>
      <c r="F118" s="428" t="e">
        <f>D118/E118</f>
        <v>#REF!</v>
      </c>
      <c r="G118" s="429"/>
    </row>
    <row r="119" spans="1:7" ht="14.25" customHeight="1">
      <c r="A119" s="1982"/>
      <c r="B119" s="1807"/>
      <c r="C119" s="1819"/>
      <c r="D119" s="451"/>
      <c r="E119" s="671"/>
      <c r="F119" s="451"/>
      <c r="G119" s="672"/>
    </row>
    <row r="120" spans="1:7" ht="14.25" customHeight="1">
      <c r="A120" s="2003" t="s">
        <v>1560</v>
      </c>
      <c r="B120" s="1601"/>
      <c r="C120" s="1601"/>
      <c r="D120" s="1601"/>
      <c r="E120" s="1601"/>
      <c r="F120" s="1801"/>
      <c r="G120" s="436" t="e">
        <f>SUM(F118:F119)</f>
        <v>#REF!</v>
      </c>
    </row>
    <row r="121" spans="1:7" ht="14.25" customHeight="1">
      <c r="A121" s="423" t="s">
        <v>1561</v>
      </c>
      <c r="B121" s="416"/>
      <c r="C121" s="416"/>
      <c r="D121" s="416"/>
      <c r="E121" s="416"/>
      <c r="F121" s="416"/>
      <c r="G121" s="437"/>
    </row>
    <row r="122" spans="1:7" ht="14.25" customHeight="1">
      <c r="A122" s="1975" t="s">
        <v>1556</v>
      </c>
      <c r="B122" s="1801"/>
      <c r="C122" s="424" t="s">
        <v>6</v>
      </c>
      <c r="D122" s="424" t="s">
        <v>1562</v>
      </c>
      <c r="E122" s="424" t="s">
        <v>7</v>
      </c>
      <c r="F122" s="424" t="s">
        <v>1559</v>
      </c>
      <c r="G122" s="673"/>
    </row>
    <row r="123" spans="1:7" ht="14.25" customHeight="1">
      <c r="A123" s="1987" t="e">
        <f>#REF!</f>
        <v>#REF!</v>
      </c>
      <c r="B123" s="1967"/>
      <c r="C123" s="674" t="e">
        <f>#REF!</f>
        <v>#REF!</v>
      </c>
      <c r="D123" s="675" t="e">
        <f>#REF!</f>
        <v>#REF!</v>
      </c>
      <c r="E123" s="1066">
        <v>0.05</v>
      </c>
      <c r="F123" s="442" t="e">
        <f t="shared" ref="F123:F124" si="6">+E123*D123</f>
        <v>#REF!</v>
      </c>
      <c r="G123" s="676"/>
    </row>
    <row r="124" spans="1:7" ht="14.25" customHeight="1">
      <c r="A124" s="1988" t="e">
        <f>#REF!</f>
        <v>#REF!</v>
      </c>
      <c r="B124" s="1611"/>
      <c r="C124" s="677" t="e">
        <f>#REF!</f>
        <v>#REF!</v>
      </c>
      <c r="D124" s="431" t="e">
        <f>#REF!</f>
        <v>#REF!</v>
      </c>
      <c r="E124" s="430">
        <v>30</v>
      </c>
      <c r="F124" s="689" t="e">
        <f t="shared" si="6"/>
        <v>#REF!</v>
      </c>
      <c r="G124" s="445"/>
    </row>
    <row r="125" spans="1:7" ht="14.25" customHeight="1">
      <c r="A125" s="1988"/>
      <c r="B125" s="1611"/>
      <c r="C125" s="677"/>
      <c r="D125" s="431"/>
      <c r="E125" s="430"/>
      <c r="F125" s="431"/>
      <c r="G125" s="445"/>
    </row>
    <row r="126" spans="1:7" ht="14.25" customHeight="1">
      <c r="A126" s="1982"/>
      <c r="B126" s="1819"/>
      <c r="C126" s="678"/>
      <c r="D126" s="451"/>
      <c r="E126" s="671"/>
      <c r="F126" s="451"/>
      <c r="G126" s="456"/>
    </row>
    <row r="127" spans="1:7" ht="14.25" customHeight="1">
      <c r="A127" s="2003" t="s">
        <v>1560</v>
      </c>
      <c r="B127" s="1601"/>
      <c r="C127" s="1601"/>
      <c r="D127" s="1601"/>
      <c r="E127" s="1601"/>
      <c r="F127" s="1801"/>
      <c r="G127" s="436" t="e">
        <f>SUM(F123:F126)</f>
        <v>#REF!</v>
      </c>
    </row>
    <row r="128" spans="1:7" ht="14.25" customHeight="1">
      <c r="A128" s="423" t="s">
        <v>1563</v>
      </c>
      <c r="B128" s="416"/>
      <c r="C128" s="416"/>
      <c r="D128" s="416"/>
      <c r="E128" s="416"/>
      <c r="F128" s="416"/>
      <c r="G128" s="437"/>
    </row>
    <row r="129" spans="1:7" ht="14.25" customHeight="1">
      <c r="A129" s="1975" t="s">
        <v>1556</v>
      </c>
      <c r="B129" s="1801"/>
      <c r="C129" s="424" t="s">
        <v>6</v>
      </c>
      <c r="D129" s="424" t="s">
        <v>1562</v>
      </c>
      <c r="E129" s="424" t="s">
        <v>7</v>
      </c>
      <c r="F129" s="424" t="s">
        <v>1559</v>
      </c>
      <c r="G129" s="438"/>
    </row>
    <row r="130" spans="1:7" ht="14.25" customHeight="1">
      <c r="A130" s="1981"/>
      <c r="B130" s="1967"/>
      <c r="C130" s="448"/>
      <c r="D130" s="449"/>
      <c r="E130" s="450"/>
      <c r="F130" s="431"/>
      <c r="G130" s="443"/>
    </row>
    <row r="131" spans="1:7" ht="14.25" customHeight="1">
      <c r="A131" s="1982"/>
      <c r="B131" s="1819"/>
      <c r="C131" s="448"/>
      <c r="D131" s="451"/>
      <c r="E131" s="452"/>
      <c r="F131" s="451"/>
      <c r="G131" s="447"/>
    </row>
    <row r="132" spans="1:7" ht="14.25" customHeight="1">
      <c r="A132" s="2003" t="s">
        <v>1560</v>
      </c>
      <c r="B132" s="1601"/>
      <c r="C132" s="1601"/>
      <c r="D132" s="1601"/>
      <c r="E132" s="1601"/>
      <c r="F132" s="1801"/>
      <c r="G132" s="436"/>
    </row>
    <row r="133" spans="1:7" ht="14.25" customHeight="1">
      <c r="A133" s="423" t="s">
        <v>1564</v>
      </c>
      <c r="B133" s="416"/>
      <c r="C133" s="416"/>
      <c r="D133" s="416"/>
      <c r="E133" s="416"/>
      <c r="F133" s="416"/>
      <c r="G133" s="437"/>
    </row>
    <row r="134" spans="1:7" ht="14.25" customHeight="1">
      <c r="A134" s="1975" t="s">
        <v>1565</v>
      </c>
      <c r="B134" s="1801"/>
      <c r="C134" s="424" t="s">
        <v>1566</v>
      </c>
      <c r="D134" s="424" t="s">
        <v>6</v>
      </c>
      <c r="E134" s="424" t="s">
        <v>7</v>
      </c>
      <c r="F134" s="424" t="s">
        <v>1559</v>
      </c>
      <c r="G134" s="462"/>
    </row>
    <row r="135" spans="1:7" ht="14.25" customHeight="1">
      <c r="A135" s="2004" t="str">
        <f>+'MANO DE OBRA'!$A$64</f>
        <v>Oficial (Incl. Prestaciones)</v>
      </c>
      <c r="B135" s="1888"/>
      <c r="C135" s="679">
        <f>+'MANO DE OBRA'!$E$64</f>
        <v>15031.25</v>
      </c>
      <c r="D135" s="680">
        <v>1</v>
      </c>
      <c r="E135" s="680">
        <v>0.4</v>
      </c>
      <c r="F135" s="694">
        <f t="shared" ref="F135:F136" si="7">+(C135*D135)*E135</f>
        <v>6012.5</v>
      </c>
      <c r="G135" s="443"/>
    </row>
    <row r="136" spans="1:7" ht="14.25" customHeight="1">
      <c r="A136" s="1968" t="str">
        <f>+'MANO DE OBRA'!$A$65</f>
        <v>Ayudante (Incl. Prestaciones)</v>
      </c>
      <c r="B136" s="1819"/>
      <c r="C136" s="681">
        <f>+'MANO DE OBRA'!$E$65</f>
        <v>10972.8125</v>
      </c>
      <c r="D136" s="562">
        <v>1</v>
      </c>
      <c r="E136" s="562">
        <f>+E135</f>
        <v>0.4</v>
      </c>
      <c r="F136" s="695">
        <f t="shared" si="7"/>
        <v>4389.125</v>
      </c>
      <c r="G136" s="456"/>
    </row>
    <row r="137" spans="1:7" ht="14.25" customHeight="1">
      <c r="A137" s="2003" t="str">
        <f>+A132</f>
        <v>SUB-TOTAL</v>
      </c>
      <c r="B137" s="1601"/>
      <c r="C137" s="1601"/>
      <c r="D137" s="1601"/>
      <c r="E137" s="1601"/>
      <c r="F137" s="1801"/>
      <c r="G137" s="436">
        <f>SUM(F135:F136)</f>
        <v>10401.625</v>
      </c>
    </row>
    <row r="138" spans="1:7" ht="11.25" customHeight="1">
      <c r="A138" s="416"/>
      <c r="B138" s="416"/>
      <c r="C138" s="416"/>
      <c r="D138" s="416"/>
      <c r="E138" s="416"/>
      <c r="F138" s="458"/>
      <c r="G138" s="437"/>
    </row>
    <row r="139" spans="1:7" ht="14.25" customHeight="1">
      <c r="A139" s="2003" t="s">
        <v>1567</v>
      </c>
      <c r="B139" s="1601"/>
      <c r="C139" s="1601"/>
      <c r="D139" s="1601"/>
      <c r="E139" s="1601"/>
      <c r="F139" s="1801"/>
      <c r="G139" s="682" t="e">
        <f>ROUND(G120+G127+G132+G137,0)</f>
        <v>#REF!</v>
      </c>
    </row>
    <row r="140" spans="1:7" ht="14.25" customHeight="1">
      <c r="A140" s="465"/>
      <c r="B140" s="465"/>
      <c r="C140" s="465"/>
      <c r="D140" s="465"/>
      <c r="E140" s="465"/>
      <c r="F140" s="465"/>
      <c r="G140" s="705"/>
    </row>
    <row r="141" spans="1:7" ht="14.25" customHeight="1">
      <c r="A141" s="72" t="s">
        <v>271</v>
      </c>
      <c r="B141" s="363"/>
      <c r="C141" s="363"/>
      <c r="D141" s="1985" t="s">
        <v>272</v>
      </c>
      <c r="E141" s="1605"/>
      <c r="F141" s="363"/>
      <c r="G141" s="363"/>
    </row>
    <row r="142" spans="1:7" ht="14.25" customHeight="1">
      <c r="A142" s="1986"/>
      <c r="B142" s="1605"/>
      <c r="C142" s="1605"/>
      <c r="D142" s="1605"/>
    </row>
    <row r="145" spans="1:7" ht="14.25" customHeight="1">
      <c r="A145" s="1895" t="s">
        <v>273</v>
      </c>
      <c r="B145" s="1605"/>
      <c r="C145" s="1605"/>
      <c r="D145" s="1895" t="s">
        <v>274</v>
      </c>
      <c r="E145" s="1605"/>
      <c r="F145" s="1605"/>
      <c r="G145" s="1605"/>
    </row>
    <row r="146" spans="1:7" ht="14.25" customHeight="1">
      <c r="A146" s="1890" t="s">
        <v>275</v>
      </c>
      <c r="B146" s="1605"/>
      <c r="C146" s="1605"/>
      <c r="D146" s="1890" t="s">
        <v>276</v>
      </c>
      <c r="E146" s="1605"/>
      <c r="F146" s="1605"/>
      <c r="G146" s="74"/>
    </row>
    <row r="147" spans="1:7" ht="14.25" customHeight="1">
      <c r="A147" s="420"/>
      <c r="B147" s="420"/>
      <c r="C147" s="420"/>
      <c r="D147" s="420"/>
      <c r="E147" s="420"/>
      <c r="F147" s="420"/>
      <c r="G147" s="420"/>
    </row>
    <row r="148" spans="1:7" ht="27" customHeight="1">
      <c r="A148" s="2005" t="s">
        <v>1604</v>
      </c>
      <c r="B148" s="1616"/>
      <c r="C148" s="1624"/>
      <c r="D148" s="567"/>
      <c r="E148" s="567"/>
      <c r="F148" s="567"/>
      <c r="G148" s="668"/>
    </row>
    <row r="149" spans="1:7" ht="24" customHeight="1">
      <c r="A149" s="1971"/>
      <c r="B149" s="1817"/>
      <c r="C149" s="1972"/>
      <c r="D149" s="669"/>
      <c r="E149" s="669"/>
      <c r="F149" s="669"/>
      <c r="G149" s="670"/>
    </row>
    <row r="150" spans="1:7" ht="14.25" customHeight="1">
      <c r="A150" s="416"/>
      <c r="B150" s="416"/>
      <c r="C150" s="416"/>
      <c r="D150" s="416"/>
      <c r="E150" s="416"/>
      <c r="F150" s="416"/>
      <c r="G150" s="416"/>
    </row>
    <row r="151" spans="1:7" ht="30.75" customHeight="1">
      <c r="A151" s="1973" t="e">
        <f ca="1">A11</f>
        <v>#NAME?</v>
      </c>
      <c r="B151" s="1601"/>
      <c r="C151" s="1602"/>
      <c r="D151" s="1974" t="s">
        <v>2503</v>
      </c>
      <c r="E151" s="1601"/>
      <c r="F151" s="1601"/>
      <c r="G151" s="1602"/>
    </row>
    <row r="152" spans="1:7" ht="14.25" customHeight="1">
      <c r="A152" s="418"/>
      <c r="B152" s="418"/>
      <c r="C152" s="418"/>
      <c r="D152" s="418"/>
      <c r="E152" s="418"/>
      <c r="F152" s="418"/>
      <c r="G152" s="418"/>
    </row>
    <row r="153" spans="1:7" ht="12.75" customHeight="1">
      <c r="A153" s="419"/>
      <c r="B153" s="416"/>
      <c r="C153" s="420"/>
      <c r="D153" s="421" t="s">
        <v>1553</v>
      </c>
      <c r="E153" s="422" t="s">
        <v>228</v>
      </c>
      <c r="F153" s="572"/>
      <c r="G153" s="572"/>
    </row>
    <row r="154" spans="1:7" ht="14.25" customHeight="1">
      <c r="A154" s="423" t="s">
        <v>1555</v>
      </c>
      <c r="B154" s="416"/>
      <c r="C154" s="416"/>
      <c r="D154" s="416"/>
      <c r="E154" s="416"/>
      <c r="F154" s="416"/>
      <c r="G154" s="416"/>
    </row>
    <row r="155" spans="1:7" ht="13.5" customHeight="1">
      <c r="A155" s="1975" t="s">
        <v>1556</v>
      </c>
      <c r="B155" s="1601"/>
      <c r="C155" s="1801"/>
      <c r="D155" s="424" t="s">
        <v>208</v>
      </c>
      <c r="E155" s="424" t="s">
        <v>1558</v>
      </c>
      <c r="F155" s="424" t="s">
        <v>1559</v>
      </c>
      <c r="G155" s="425"/>
    </row>
    <row r="156" spans="1:7" ht="14.25" customHeight="1">
      <c r="A156" s="1981" t="str">
        <f>+'LISTADO EQUIPOS'!$C$22</f>
        <v>HERRAMIENTA MENOR.</v>
      </c>
      <c r="B156" s="1811"/>
      <c r="C156" s="1967"/>
      <c r="D156" s="449">
        <f>+'LISTADO EQUIPOS'!$E$22/8</f>
        <v>2850</v>
      </c>
      <c r="E156" s="427">
        <f>+E173</f>
        <v>0.5</v>
      </c>
      <c r="F156" s="428">
        <f>+E156*D156</f>
        <v>1425</v>
      </c>
      <c r="G156" s="429"/>
    </row>
    <row r="157" spans="1:7" ht="13.5" customHeight="1">
      <c r="A157" s="1982"/>
      <c r="B157" s="1807"/>
      <c r="C157" s="1819"/>
      <c r="D157" s="451"/>
      <c r="E157" s="671"/>
      <c r="F157" s="451"/>
      <c r="G157" s="672"/>
    </row>
    <row r="158" spans="1:7" ht="14.25" customHeight="1">
      <c r="A158" s="2003" t="s">
        <v>1560</v>
      </c>
      <c r="B158" s="1601"/>
      <c r="C158" s="1601"/>
      <c r="D158" s="1601"/>
      <c r="E158" s="1601"/>
      <c r="F158" s="1801"/>
      <c r="G158" s="436">
        <f>SUM(F156:F157)</f>
        <v>1425</v>
      </c>
    </row>
    <row r="159" spans="1:7" ht="14.25" customHeight="1">
      <c r="A159" s="423" t="s">
        <v>1561</v>
      </c>
      <c r="B159" s="416"/>
      <c r="C159" s="416"/>
      <c r="D159" s="416"/>
      <c r="E159" s="416"/>
      <c r="F159" s="416"/>
      <c r="G159" s="437"/>
    </row>
    <row r="160" spans="1:7" ht="14.25" customHeight="1">
      <c r="A160" s="1975" t="s">
        <v>1556</v>
      </c>
      <c r="B160" s="1801"/>
      <c r="C160" s="424" t="s">
        <v>6</v>
      </c>
      <c r="D160" s="424" t="s">
        <v>1562</v>
      </c>
      <c r="E160" s="424" t="s">
        <v>7</v>
      </c>
      <c r="F160" s="424" t="s">
        <v>1559</v>
      </c>
      <c r="G160" s="673"/>
    </row>
    <row r="161" spans="1:7" ht="14.25" customHeight="1">
      <c r="A161" s="1987" t="str">
        <f>+'LISTADO MATERIALES'!$C$758</f>
        <v>POLISEC</v>
      </c>
      <c r="B161" s="1967"/>
      <c r="C161" s="674" t="str">
        <f>+'LISTADO MATERIALES'!$D$758</f>
        <v>M2</v>
      </c>
      <c r="D161" s="675">
        <f>+'LISTADO MATERIALES'!$E$758</f>
        <v>1103</v>
      </c>
      <c r="E161" s="687">
        <v>1.03</v>
      </c>
      <c r="F161" s="442">
        <f>+E161*D161</f>
        <v>1136.0899999999999</v>
      </c>
      <c r="G161" s="676"/>
    </row>
    <row r="162" spans="1:7" ht="14.25" customHeight="1">
      <c r="A162" s="1988"/>
      <c r="B162" s="1611"/>
      <c r="C162" s="677"/>
      <c r="D162" s="431"/>
      <c r="E162" s="430"/>
      <c r="F162" s="431"/>
      <c r="G162" s="445"/>
    </row>
    <row r="163" spans="1:7" ht="14.25" customHeight="1">
      <c r="A163" s="1988"/>
      <c r="B163" s="1611"/>
      <c r="C163" s="677"/>
      <c r="D163" s="431"/>
      <c r="E163" s="430"/>
      <c r="F163" s="431"/>
      <c r="G163" s="445"/>
    </row>
    <row r="164" spans="1:7" ht="14.25" customHeight="1">
      <c r="A164" s="1982"/>
      <c r="B164" s="1819"/>
      <c r="C164" s="678"/>
      <c r="D164" s="451"/>
      <c r="E164" s="678"/>
      <c r="F164" s="451"/>
      <c r="G164" s="456"/>
    </row>
    <row r="165" spans="1:7" ht="14.25" customHeight="1">
      <c r="A165" s="2003" t="s">
        <v>1560</v>
      </c>
      <c r="B165" s="1601"/>
      <c r="C165" s="1601"/>
      <c r="D165" s="1601"/>
      <c r="E165" s="1601"/>
      <c r="F165" s="1801"/>
      <c r="G165" s="436">
        <f>SUM(F161:F164)</f>
        <v>1136.0899999999999</v>
      </c>
    </row>
    <row r="166" spans="1:7" ht="14.25" customHeight="1">
      <c r="A166" s="423" t="s">
        <v>1563</v>
      </c>
      <c r="B166" s="416"/>
      <c r="C166" s="416"/>
      <c r="D166" s="416"/>
      <c r="E166" s="416"/>
      <c r="F166" s="416"/>
      <c r="G166" s="437"/>
    </row>
    <row r="167" spans="1:7" ht="14.25" customHeight="1">
      <c r="A167" s="1975" t="s">
        <v>1556</v>
      </c>
      <c r="B167" s="1801"/>
      <c r="C167" s="424" t="s">
        <v>6</v>
      </c>
      <c r="D167" s="424" t="s">
        <v>1562</v>
      </c>
      <c r="E167" s="424" t="s">
        <v>7</v>
      </c>
      <c r="F167" s="424" t="s">
        <v>1559</v>
      </c>
      <c r="G167" s="438"/>
    </row>
    <row r="168" spans="1:7" ht="12.75" customHeight="1">
      <c r="A168" s="1981"/>
      <c r="B168" s="1967"/>
      <c r="C168" s="448"/>
      <c r="D168" s="449"/>
      <c r="E168" s="450"/>
      <c r="F168" s="431"/>
      <c r="G168" s="443"/>
    </row>
    <row r="169" spans="1:7" ht="14.25" customHeight="1">
      <c r="A169" s="1982"/>
      <c r="B169" s="1819"/>
      <c r="C169" s="448"/>
      <c r="D169" s="451"/>
      <c r="E169" s="452"/>
      <c r="F169" s="451"/>
      <c r="G169" s="447"/>
    </row>
    <row r="170" spans="1:7" ht="14.25" customHeight="1">
      <c r="A170" s="2003" t="s">
        <v>1560</v>
      </c>
      <c r="B170" s="1601"/>
      <c r="C170" s="1601"/>
      <c r="D170" s="1601"/>
      <c r="E170" s="1601"/>
      <c r="F170" s="1801"/>
      <c r="G170" s="436"/>
    </row>
    <row r="171" spans="1:7" ht="26.25" customHeight="1">
      <c r="A171" s="423" t="s">
        <v>1564</v>
      </c>
      <c r="B171" s="416"/>
      <c r="C171" s="416"/>
      <c r="D171" s="416"/>
      <c r="E171" s="416"/>
      <c r="F171" s="416"/>
      <c r="G171" s="437"/>
    </row>
    <row r="172" spans="1:7" ht="14.25" customHeight="1">
      <c r="A172" s="1975" t="s">
        <v>1565</v>
      </c>
      <c r="B172" s="1801"/>
      <c r="C172" s="424" t="s">
        <v>1566</v>
      </c>
      <c r="D172" s="424" t="s">
        <v>6</v>
      </c>
      <c r="E172" s="424" t="s">
        <v>7</v>
      </c>
      <c r="F172" s="424" t="s">
        <v>1559</v>
      </c>
      <c r="G172" s="462"/>
    </row>
    <row r="173" spans="1:7" ht="12.75" customHeight="1">
      <c r="A173" s="2004" t="str">
        <f>+'MANO DE OBRA'!$A$64</f>
        <v>Oficial (Incl. Prestaciones)</v>
      </c>
      <c r="B173" s="1888"/>
      <c r="C173" s="679">
        <f>+'MANO DE OBRA'!$E$64</f>
        <v>15031.25</v>
      </c>
      <c r="D173" s="680">
        <v>1</v>
      </c>
      <c r="E173" s="680">
        <v>0.5</v>
      </c>
      <c r="F173" s="694">
        <f t="shared" ref="F173:F174" si="8">+(C173*D173)*E173</f>
        <v>7515.625</v>
      </c>
      <c r="G173" s="443"/>
    </row>
    <row r="174" spans="1:7" ht="13.5" customHeight="1">
      <c r="A174" s="1968" t="str">
        <f>+'MANO DE OBRA'!$A$65</f>
        <v>Ayudante (Incl. Prestaciones)</v>
      </c>
      <c r="B174" s="1819"/>
      <c r="C174" s="681">
        <f>+'MANO DE OBRA'!$E$65</f>
        <v>10972.8125</v>
      </c>
      <c r="D174" s="562">
        <v>1</v>
      </c>
      <c r="E174" s="562">
        <f>+E173</f>
        <v>0.5</v>
      </c>
      <c r="F174" s="695">
        <f t="shared" si="8"/>
        <v>5486.40625</v>
      </c>
      <c r="G174" s="456"/>
    </row>
    <row r="175" spans="1:7" ht="14.25" customHeight="1">
      <c r="A175" s="2003" t="str">
        <f>+A170</f>
        <v>SUB-TOTAL</v>
      </c>
      <c r="B175" s="1601"/>
      <c r="C175" s="1601"/>
      <c r="D175" s="1601"/>
      <c r="E175" s="1601"/>
      <c r="F175" s="1801"/>
      <c r="G175" s="436">
        <f>SUM(F173:F174)</f>
        <v>13002.03125</v>
      </c>
    </row>
    <row r="177" spans="1:7" ht="14.25" customHeight="1">
      <c r="A177" s="2003" t="s">
        <v>1567</v>
      </c>
      <c r="B177" s="1601"/>
      <c r="C177" s="1601"/>
      <c r="D177" s="1601"/>
      <c r="E177" s="1601"/>
      <c r="F177" s="1801"/>
      <c r="G177" s="682">
        <f>ROUND(G158+G165+G170+G175,0)</f>
        <v>15563</v>
      </c>
    </row>
    <row r="178" spans="1:7" ht="14.25" customHeight="1">
      <c r="A178" s="420"/>
      <c r="B178" s="420"/>
      <c r="C178" s="420"/>
      <c r="D178" s="420"/>
      <c r="E178" s="420"/>
      <c r="F178" s="420"/>
      <c r="G178" s="420"/>
    </row>
    <row r="179" spans="1:7" ht="14.25" customHeight="1">
      <c r="A179" s="420"/>
      <c r="B179" s="420"/>
      <c r="C179" s="420"/>
      <c r="D179" s="420"/>
      <c r="E179" s="420"/>
      <c r="F179" s="420"/>
      <c r="G179" s="420"/>
    </row>
    <row r="180" spans="1:7" ht="27" customHeight="1">
      <c r="A180" s="2005" t="s">
        <v>1604</v>
      </c>
      <c r="B180" s="1616"/>
      <c r="C180" s="1624"/>
      <c r="D180" s="567"/>
      <c r="E180" s="567"/>
      <c r="F180" s="567"/>
      <c r="G180" s="668"/>
    </row>
    <row r="181" spans="1:7" ht="24" customHeight="1">
      <c r="A181" s="1971"/>
      <c r="B181" s="1817"/>
      <c r="C181" s="1972"/>
      <c r="D181" s="669"/>
      <c r="E181" s="669"/>
      <c r="F181" s="669"/>
      <c r="G181" s="670"/>
    </row>
    <row r="182" spans="1:7" ht="14.25" customHeight="1">
      <c r="A182" s="416"/>
      <c r="B182" s="416"/>
      <c r="C182" s="416"/>
      <c r="D182" s="416"/>
      <c r="E182" s="416"/>
      <c r="F182" s="416"/>
      <c r="G182" s="416"/>
    </row>
    <row r="183" spans="1:7" ht="30.75" customHeight="1">
      <c r="A183" s="1973" t="e">
        <f ca="1">A11</f>
        <v>#NAME?</v>
      </c>
      <c r="B183" s="1601"/>
      <c r="C183" s="1602"/>
      <c r="D183" s="1974" t="s">
        <v>2504</v>
      </c>
      <c r="E183" s="1601"/>
      <c r="F183" s="1601"/>
      <c r="G183" s="1602"/>
    </row>
    <row r="184" spans="1:7" ht="14.25" customHeight="1">
      <c r="A184" s="418"/>
      <c r="B184" s="418"/>
      <c r="C184" s="418"/>
      <c r="D184" s="418"/>
      <c r="E184" s="418"/>
      <c r="F184" s="418"/>
      <c r="G184" s="418"/>
    </row>
    <row r="185" spans="1:7" ht="12.75" customHeight="1">
      <c r="A185" s="419"/>
      <c r="B185" s="416"/>
      <c r="C185" s="420"/>
      <c r="D185" s="421" t="s">
        <v>1553</v>
      </c>
      <c r="E185" s="422" t="s">
        <v>228</v>
      </c>
      <c r="F185" s="572"/>
      <c r="G185" s="572"/>
    </row>
    <row r="186" spans="1:7" ht="14.25" customHeight="1">
      <c r="A186" s="423" t="s">
        <v>1555</v>
      </c>
      <c r="B186" s="416"/>
      <c r="C186" s="416"/>
      <c r="D186" s="416"/>
      <c r="E186" s="416"/>
      <c r="F186" s="416"/>
      <c r="G186" s="416"/>
    </row>
    <row r="187" spans="1:7" ht="13.5" customHeight="1">
      <c r="A187" s="1975" t="s">
        <v>1556</v>
      </c>
      <c r="B187" s="1601"/>
      <c r="C187" s="1801"/>
      <c r="D187" s="424" t="s">
        <v>208</v>
      </c>
      <c r="E187" s="424" t="s">
        <v>1558</v>
      </c>
      <c r="F187" s="424" t="s">
        <v>1559</v>
      </c>
      <c r="G187" s="425"/>
    </row>
    <row r="188" spans="1:7" ht="14.25" customHeight="1">
      <c r="A188" s="1981" t="str">
        <f>+'LISTADO EQUIPOS'!$C$22</f>
        <v>HERRAMIENTA MENOR.</v>
      </c>
      <c r="B188" s="1811"/>
      <c r="C188" s="1967"/>
      <c r="D188" s="449">
        <f>+'LISTADO EQUIPOS'!$E$22/8</f>
        <v>2850</v>
      </c>
      <c r="E188" s="427">
        <f t="shared" ref="E188:E189" si="9">+E205</f>
        <v>0.5</v>
      </c>
      <c r="F188" s="428">
        <f t="shared" ref="F188:F189" si="10">+E188*D188</f>
        <v>1425</v>
      </c>
      <c r="G188" s="429"/>
    </row>
    <row r="189" spans="1:7" ht="14.25" customHeight="1">
      <c r="A189" s="1988" t="str">
        <f>+'LISTADO EQUIPOS'!$C$16</f>
        <v>EQUIPO A GAS</v>
      </c>
      <c r="B189" s="1610"/>
      <c r="C189" s="1611"/>
      <c r="D189" s="431">
        <f>+'LISTADO EQUIPOS'!$E$16/8</f>
        <v>10500</v>
      </c>
      <c r="E189" s="430">
        <f t="shared" si="9"/>
        <v>0.5</v>
      </c>
      <c r="F189" s="689">
        <f t="shared" si="10"/>
        <v>5250</v>
      </c>
      <c r="G189" s="432"/>
    </row>
    <row r="190" spans="1:7" ht="14.25" customHeight="1">
      <c r="A190" s="2003" t="s">
        <v>1560</v>
      </c>
      <c r="B190" s="1601"/>
      <c r="C190" s="1601"/>
      <c r="D190" s="1601"/>
      <c r="E190" s="1601"/>
      <c r="F190" s="1801"/>
      <c r="G190" s="436">
        <f>SUM(F188:F189)</f>
        <v>6675</v>
      </c>
    </row>
    <row r="191" spans="1:7" ht="14.25" customHeight="1">
      <c r="A191" s="423" t="s">
        <v>1561</v>
      </c>
      <c r="B191" s="416"/>
      <c r="C191" s="416"/>
      <c r="D191" s="416"/>
      <c r="E191" s="416"/>
      <c r="F191" s="416"/>
      <c r="G191" s="437"/>
    </row>
    <row r="192" spans="1:7" ht="14.25" customHeight="1">
      <c r="A192" s="1975" t="s">
        <v>1556</v>
      </c>
      <c r="B192" s="1801"/>
      <c r="C192" s="424" t="s">
        <v>6</v>
      </c>
      <c r="D192" s="424" t="s">
        <v>1562</v>
      </c>
      <c r="E192" s="424" t="s">
        <v>7</v>
      </c>
      <c r="F192" s="424" t="s">
        <v>1559</v>
      </c>
      <c r="G192" s="673"/>
    </row>
    <row r="193" spans="1:7" ht="14.25" customHeight="1">
      <c r="A193" s="1987" t="str">
        <f>+'LISTADO MATERIALES'!$C$160</f>
        <v>IMPRIMANTE</v>
      </c>
      <c r="B193" s="1967"/>
      <c r="C193" s="674" t="str">
        <f>+'LISTADO MATERIALES'!$D$160</f>
        <v>GAL</v>
      </c>
      <c r="D193" s="675">
        <f>+'LISTADO MATERIALES'!$E$160</f>
        <v>29873</v>
      </c>
      <c r="E193" s="687">
        <v>0.03</v>
      </c>
      <c r="F193" s="442">
        <f t="shared" ref="F193:F194" si="11">+E193*D193</f>
        <v>896.18999999999994</v>
      </c>
      <c r="G193" s="676"/>
    </row>
    <row r="194" spans="1:7" ht="14.25" customHeight="1">
      <c r="A194" s="1988" t="str">
        <f>+'LISTADO MATERIALES'!$C$747</f>
        <v>MANTO ASFALTICO</v>
      </c>
      <c r="B194" s="1611"/>
      <c r="C194" s="677" t="str">
        <f>+'LISTADO MATERIALES'!$D$747</f>
        <v>KG</v>
      </c>
      <c r="D194" s="431">
        <f>+'LISTADO MATERIALES'!$E$747</f>
        <v>4725</v>
      </c>
      <c r="E194" s="430">
        <v>3.23</v>
      </c>
      <c r="F194" s="689">
        <f t="shared" si="11"/>
        <v>15261.75</v>
      </c>
      <c r="G194" s="445"/>
    </row>
    <row r="195" spans="1:7" ht="14.25" customHeight="1">
      <c r="A195" s="1988"/>
      <c r="B195" s="1611"/>
      <c r="C195" s="677"/>
      <c r="D195" s="431"/>
      <c r="E195" s="430"/>
      <c r="F195" s="431"/>
      <c r="G195" s="445"/>
    </row>
    <row r="196" spans="1:7" ht="14.25" customHeight="1">
      <c r="A196" s="1982"/>
      <c r="B196" s="1819"/>
      <c r="C196" s="678"/>
      <c r="D196" s="451"/>
      <c r="E196" s="678"/>
      <c r="F196" s="451"/>
      <c r="G196" s="456"/>
    </row>
    <row r="197" spans="1:7" ht="14.25" customHeight="1">
      <c r="A197" s="2003" t="s">
        <v>1560</v>
      </c>
      <c r="B197" s="1601"/>
      <c r="C197" s="1601"/>
      <c r="D197" s="1601"/>
      <c r="E197" s="1601"/>
      <c r="F197" s="1801"/>
      <c r="G197" s="436">
        <f>SUM(F193:F196)</f>
        <v>16157.94</v>
      </c>
    </row>
    <row r="198" spans="1:7" ht="14.25" customHeight="1">
      <c r="A198" s="423" t="s">
        <v>1563</v>
      </c>
      <c r="B198" s="416"/>
      <c r="C198" s="416"/>
      <c r="D198" s="416"/>
      <c r="E198" s="416"/>
      <c r="F198" s="416"/>
      <c r="G198" s="437"/>
    </row>
    <row r="199" spans="1:7" ht="14.25" customHeight="1">
      <c r="A199" s="1975" t="s">
        <v>1556</v>
      </c>
      <c r="B199" s="1801"/>
      <c r="C199" s="424" t="s">
        <v>6</v>
      </c>
      <c r="D199" s="424" t="s">
        <v>1562</v>
      </c>
      <c r="E199" s="424" t="s">
        <v>7</v>
      </c>
      <c r="F199" s="424" t="s">
        <v>1559</v>
      </c>
      <c r="G199" s="438"/>
    </row>
    <row r="200" spans="1:7" ht="14.25" customHeight="1">
      <c r="A200" s="1981"/>
      <c r="B200" s="1967"/>
      <c r="C200" s="448"/>
      <c r="D200" s="449"/>
      <c r="E200" s="450"/>
      <c r="F200" s="431"/>
      <c r="G200" s="443"/>
    </row>
    <row r="201" spans="1:7" ht="14.25" customHeight="1">
      <c r="A201" s="1982"/>
      <c r="B201" s="1819"/>
      <c r="C201" s="448"/>
      <c r="D201" s="451"/>
      <c r="E201" s="452"/>
      <c r="F201" s="451"/>
      <c r="G201" s="447"/>
    </row>
    <row r="202" spans="1:7" ht="14.25" customHeight="1">
      <c r="A202" s="2003" t="s">
        <v>1560</v>
      </c>
      <c r="B202" s="1601"/>
      <c r="C202" s="1601"/>
      <c r="D202" s="1601"/>
      <c r="E202" s="1601"/>
      <c r="F202" s="1801"/>
      <c r="G202" s="436"/>
    </row>
    <row r="203" spans="1:7" ht="14.25" customHeight="1">
      <c r="A203" s="423" t="s">
        <v>1564</v>
      </c>
      <c r="B203" s="416"/>
      <c r="C203" s="416"/>
      <c r="D203" s="416"/>
      <c r="E203" s="416"/>
      <c r="F203" s="416"/>
      <c r="G203" s="437"/>
    </row>
    <row r="204" spans="1:7" ht="14.25" customHeight="1">
      <c r="A204" s="1975" t="s">
        <v>1565</v>
      </c>
      <c r="B204" s="1801"/>
      <c r="C204" s="424" t="s">
        <v>1566</v>
      </c>
      <c r="D204" s="424" t="s">
        <v>6</v>
      </c>
      <c r="E204" s="424" t="s">
        <v>7</v>
      </c>
      <c r="F204" s="424" t="s">
        <v>1559</v>
      </c>
      <c r="G204" s="462"/>
    </row>
    <row r="205" spans="1:7" ht="14.25" customHeight="1">
      <c r="A205" s="2004" t="str">
        <f>+'MANO DE OBRA'!$A$64</f>
        <v>Oficial (Incl. Prestaciones)</v>
      </c>
      <c r="B205" s="1888"/>
      <c r="C205" s="679">
        <f>+'MANO DE OBRA'!$E$64</f>
        <v>15031.25</v>
      </c>
      <c r="D205" s="680">
        <v>1</v>
      </c>
      <c r="E205" s="680">
        <v>0.5</v>
      </c>
      <c r="F205" s="694">
        <f t="shared" ref="F205:F206" si="12">+(C205*D205)*E205</f>
        <v>7515.625</v>
      </c>
      <c r="G205" s="443"/>
    </row>
    <row r="206" spans="1:7" ht="14.25" customHeight="1">
      <c r="A206" s="1968" t="str">
        <f>+'MANO DE OBRA'!$A$65</f>
        <v>Ayudante (Incl. Prestaciones)</v>
      </c>
      <c r="B206" s="1819"/>
      <c r="C206" s="681">
        <f>+'MANO DE OBRA'!$E$65</f>
        <v>10972.8125</v>
      </c>
      <c r="D206" s="562">
        <v>1</v>
      </c>
      <c r="E206" s="562">
        <f>+E205</f>
        <v>0.5</v>
      </c>
      <c r="F206" s="695">
        <f t="shared" si="12"/>
        <v>5486.40625</v>
      </c>
      <c r="G206" s="456"/>
    </row>
    <row r="207" spans="1:7" ht="14.25" customHeight="1">
      <c r="A207" s="2003" t="str">
        <f>+A202</f>
        <v>SUB-TOTAL</v>
      </c>
      <c r="B207" s="1601"/>
      <c r="C207" s="1601"/>
      <c r="D207" s="1601"/>
      <c r="E207" s="1601"/>
      <c r="F207" s="1801"/>
      <c r="G207" s="436">
        <f>SUM(F205:F206)</f>
        <v>13002.03125</v>
      </c>
    </row>
    <row r="209" spans="1:7" ht="14.25" customHeight="1">
      <c r="A209" s="2003" t="s">
        <v>1567</v>
      </c>
      <c r="B209" s="1601"/>
      <c r="C209" s="1601"/>
      <c r="D209" s="1601"/>
      <c r="E209" s="1601"/>
      <c r="F209" s="1801"/>
      <c r="G209" s="682">
        <f>ROUND(G190+G197+G202+G207,0)</f>
        <v>35835</v>
      </c>
    </row>
    <row r="210" spans="1:7" ht="14.25" customHeight="1">
      <c r="A210" s="420"/>
      <c r="B210" s="420"/>
      <c r="C210" s="420"/>
      <c r="D210" s="420"/>
      <c r="E210" s="420"/>
      <c r="F210" s="420"/>
      <c r="G210" s="420"/>
    </row>
    <row r="211" spans="1:7" ht="14.25" customHeight="1">
      <c r="A211" s="420"/>
      <c r="B211" s="420"/>
      <c r="C211" s="420"/>
      <c r="D211" s="420"/>
      <c r="E211" s="420"/>
      <c r="F211" s="420"/>
      <c r="G211" s="420"/>
    </row>
    <row r="212" spans="1:7" ht="27" customHeight="1">
      <c r="A212" s="2005" t="s">
        <v>1604</v>
      </c>
      <c r="B212" s="1616"/>
      <c r="C212" s="1624"/>
      <c r="D212" s="567"/>
      <c r="E212" s="567"/>
      <c r="F212" s="567"/>
      <c r="G212" s="668"/>
    </row>
    <row r="213" spans="1:7" ht="24" customHeight="1">
      <c r="A213" s="1971"/>
      <c r="B213" s="1817"/>
      <c r="C213" s="1972"/>
      <c r="D213" s="669"/>
      <c r="E213" s="669"/>
      <c r="F213" s="669"/>
      <c r="G213" s="670"/>
    </row>
    <row r="214" spans="1:7" ht="14.25" customHeight="1">
      <c r="A214" s="416"/>
      <c r="B214" s="416"/>
      <c r="C214" s="416"/>
      <c r="D214" s="416"/>
      <c r="E214" s="416"/>
      <c r="F214" s="416"/>
      <c r="G214" s="416"/>
    </row>
    <row r="215" spans="1:7" ht="30.75" customHeight="1">
      <c r="A215" s="1973" t="e">
        <f ca="1">A11</f>
        <v>#NAME?</v>
      </c>
      <c r="B215" s="1601"/>
      <c r="C215" s="1602"/>
      <c r="D215" s="1974" t="s">
        <v>2505</v>
      </c>
      <c r="E215" s="1601"/>
      <c r="F215" s="1601"/>
      <c r="G215" s="1602"/>
    </row>
    <row r="216" spans="1:7" ht="14.25" customHeight="1">
      <c r="A216" s="418"/>
      <c r="B216" s="418"/>
      <c r="C216" s="418"/>
      <c r="D216" s="418"/>
      <c r="E216" s="418"/>
      <c r="F216" s="418"/>
      <c r="G216" s="418"/>
    </row>
    <row r="217" spans="1:7" ht="12.75" customHeight="1">
      <c r="A217" s="419"/>
      <c r="B217" s="416"/>
      <c r="C217" s="420"/>
      <c r="D217" s="421" t="s">
        <v>1553</v>
      </c>
      <c r="E217" s="422" t="s">
        <v>228</v>
      </c>
      <c r="F217" s="572"/>
      <c r="G217" s="572"/>
    </row>
    <row r="218" spans="1:7" ht="14.25" customHeight="1">
      <c r="A218" s="423" t="s">
        <v>1555</v>
      </c>
      <c r="B218" s="416"/>
      <c r="C218" s="416"/>
      <c r="D218" s="416"/>
      <c r="E218" s="416"/>
      <c r="F218" s="416"/>
      <c r="G218" s="416"/>
    </row>
    <row r="219" spans="1:7" ht="13.5" customHeight="1">
      <c r="A219" s="1975" t="s">
        <v>1556</v>
      </c>
      <c r="B219" s="1601"/>
      <c r="C219" s="1801"/>
      <c r="D219" s="424" t="s">
        <v>208</v>
      </c>
      <c r="E219" s="424" t="s">
        <v>1558</v>
      </c>
      <c r="F219" s="424" t="s">
        <v>1559</v>
      </c>
      <c r="G219" s="425"/>
    </row>
    <row r="220" spans="1:7" ht="14.25" customHeight="1">
      <c r="A220" s="1981" t="str">
        <f>+'LISTADO EQUIPOS'!$C$22</f>
        <v>HERRAMIENTA MENOR.</v>
      </c>
      <c r="B220" s="1811"/>
      <c r="C220" s="1967"/>
      <c r="D220" s="449">
        <f>+'LISTADO EQUIPOS'!$E$22/8</f>
        <v>2850</v>
      </c>
      <c r="E220" s="427">
        <f t="shared" ref="E220:E221" si="13">+E237</f>
        <v>0.2</v>
      </c>
      <c r="F220" s="428">
        <f t="shared" ref="F220:F221" si="14">+E220*D220</f>
        <v>570</v>
      </c>
      <c r="G220" s="429"/>
    </row>
    <row r="221" spans="1:7" ht="13.5" customHeight="1">
      <c r="A221" s="1988" t="str">
        <f>+'LISTADO EQUIPOS'!$C$16</f>
        <v>EQUIPO A GAS</v>
      </c>
      <c r="B221" s="1610"/>
      <c r="C221" s="1611"/>
      <c r="D221" s="431">
        <f>+'LISTADO EQUIPOS'!$E$16/8</f>
        <v>10500</v>
      </c>
      <c r="E221" s="430">
        <f t="shared" si="13"/>
        <v>0.2</v>
      </c>
      <c r="F221" s="689">
        <f t="shared" si="14"/>
        <v>2100</v>
      </c>
      <c r="G221" s="672"/>
    </row>
    <row r="222" spans="1:7" ht="14.25" customHeight="1">
      <c r="A222" s="2003" t="s">
        <v>1560</v>
      </c>
      <c r="B222" s="1601"/>
      <c r="C222" s="1601"/>
      <c r="D222" s="1601"/>
      <c r="E222" s="1601"/>
      <c r="F222" s="1801"/>
      <c r="G222" s="436">
        <f>SUM(F220:F221)</f>
        <v>2670</v>
      </c>
    </row>
    <row r="223" spans="1:7" ht="14.25" customHeight="1">
      <c r="A223" s="423" t="s">
        <v>1561</v>
      </c>
      <c r="B223" s="416"/>
      <c r="C223" s="416"/>
      <c r="D223" s="416"/>
      <c r="E223" s="416"/>
      <c r="F223" s="416"/>
      <c r="G223" s="437"/>
    </row>
    <row r="224" spans="1:7" ht="14.25" customHeight="1">
      <c r="A224" s="1975" t="s">
        <v>1556</v>
      </c>
      <c r="B224" s="1801"/>
      <c r="C224" s="424" t="s">
        <v>6</v>
      </c>
      <c r="D224" s="424" t="s">
        <v>1562</v>
      </c>
      <c r="E224" s="424" t="s">
        <v>7</v>
      </c>
      <c r="F224" s="424" t="s">
        <v>1559</v>
      </c>
      <c r="G224" s="673"/>
    </row>
    <row r="225" spans="1:7" ht="14.25" customHeight="1">
      <c r="A225" s="1987" t="str">
        <f>+'LISTADO MATERIALES'!$C$160</f>
        <v>IMPRIMANTE</v>
      </c>
      <c r="B225" s="1967"/>
      <c r="C225" s="674" t="str">
        <f>+'LISTADO MATERIALES'!$D$160</f>
        <v>GAL</v>
      </c>
      <c r="D225" s="675">
        <f>+'LISTADO MATERIALES'!$E$160</f>
        <v>29873</v>
      </c>
      <c r="E225" s="687">
        <v>0.16</v>
      </c>
      <c r="F225" s="442">
        <f t="shared" ref="F225:F226" si="15">+E225*D225</f>
        <v>4779.68</v>
      </c>
      <c r="G225" s="676"/>
    </row>
    <row r="226" spans="1:7" ht="14.25" customHeight="1">
      <c r="A226" s="1988" t="str">
        <f>+'LISTADO MATERIALES'!$C$748</f>
        <v>MANTO FIBERGLASS 600 XT</v>
      </c>
      <c r="B226" s="1611"/>
      <c r="C226" s="677" t="str">
        <f>+'LISTADO MATERIALES'!$D$748</f>
        <v>M2</v>
      </c>
      <c r="D226" s="431">
        <f>+'LISTADO MATERIALES'!$E$748</f>
        <v>19425</v>
      </c>
      <c r="E226" s="430">
        <v>1</v>
      </c>
      <c r="F226" s="689">
        <f t="shared" si="15"/>
        <v>19425</v>
      </c>
      <c r="G226" s="445"/>
    </row>
    <row r="227" spans="1:7" ht="14.25" customHeight="1">
      <c r="A227" s="1988"/>
      <c r="B227" s="1611"/>
      <c r="C227" s="677"/>
      <c r="D227" s="431"/>
      <c r="E227" s="430"/>
      <c r="F227" s="431"/>
      <c r="G227" s="445"/>
    </row>
    <row r="228" spans="1:7" ht="14.25" customHeight="1">
      <c r="A228" s="1982"/>
      <c r="B228" s="1819"/>
      <c r="C228" s="678"/>
      <c r="D228" s="451"/>
      <c r="E228" s="678"/>
      <c r="F228" s="451"/>
      <c r="G228" s="456"/>
    </row>
    <row r="229" spans="1:7" ht="14.25" customHeight="1">
      <c r="A229" s="2003" t="s">
        <v>1560</v>
      </c>
      <c r="B229" s="1601"/>
      <c r="C229" s="1601"/>
      <c r="D229" s="1601"/>
      <c r="E229" s="1601"/>
      <c r="F229" s="1801"/>
      <c r="G229" s="436">
        <f>SUM(F225:F228)</f>
        <v>24204.68</v>
      </c>
    </row>
    <row r="230" spans="1:7" ht="14.25" customHeight="1">
      <c r="A230" s="423" t="s">
        <v>1563</v>
      </c>
      <c r="B230" s="416"/>
      <c r="C230" s="416"/>
      <c r="D230" s="416"/>
      <c r="E230" s="416"/>
      <c r="F230" s="416"/>
      <c r="G230" s="437"/>
    </row>
    <row r="231" spans="1:7" ht="14.25" customHeight="1">
      <c r="A231" s="1975" t="s">
        <v>1556</v>
      </c>
      <c r="B231" s="1801"/>
      <c r="C231" s="424" t="s">
        <v>6</v>
      </c>
      <c r="D231" s="424" t="s">
        <v>1562</v>
      </c>
      <c r="E231" s="424" t="s">
        <v>7</v>
      </c>
      <c r="F231" s="424" t="s">
        <v>1559</v>
      </c>
      <c r="G231" s="438"/>
    </row>
    <row r="232" spans="1:7" ht="14.25" customHeight="1">
      <c r="A232" s="1981"/>
      <c r="B232" s="1967"/>
      <c r="C232" s="448"/>
      <c r="D232" s="449"/>
      <c r="E232" s="450"/>
      <c r="F232" s="431"/>
      <c r="G232" s="443"/>
    </row>
    <row r="233" spans="1:7" ht="14.25" customHeight="1">
      <c r="A233" s="1982"/>
      <c r="B233" s="1819"/>
      <c r="C233" s="448"/>
      <c r="D233" s="451"/>
      <c r="E233" s="452"/>
      <c r="F233" s="451"/>
      <c r="G233" s="447"/>
    </row>
    <row r="234" spans="1:7" ht="14.25" customHeight="1">
      <c r="A234" s="2003" t="s">
        <v>1560</v>
      </c>
      <c r="B234" s="1601"/>
      <c r="C234" s="1601"/>
      <c r="D234" s="1601"/>
      <c r="E234" s="1601"/>
      <c r="F234" s="1801"/>
      <c r="G234" s="436"/>
    </row>
    <row r="235" spans="1:7" ht="14.25" customHeight="1">
      <c r="A235" s="423" t="s">
        <v>1564</v>
      </c>
      <c r="B235" s="416"/>
      <c r="C235" s="416"/>
      <c r="D235" s="416"/>
      <c r="E235" s="416"/>
      <c r="F235" s="416"/>
      <c r="G235" s="437"/>
    </row>
    <row r="236" spans="1:7" ht="14.25" customHeight="1">
      <c r="A236" s="1975" t="s">
        <v>1565</v>
      </c>
      <c r="B236" s="1801"/>
      <c r="C236" s="424" t="s">
        <v>1566</v>
      </c>
      <c r="D236" s="424" t="s">
        <v>6</v>
      </c>
      <c r="E236" s="424" t="s">
        <v>7</v>
      </c>
      <c r="F236" s="424" t="s">
        <v>1559</v>
      </c>
      <c r="G236" s="462"/>
    </row>
    <row r="237" spans="1:7" ht="14.25" customHeight="1">
      <c r="A237" s="2004" t="str">
        <f>+'MANO DE OBRA'!$A$64</f>
        <v>Oficial (Incl. Prestaciones)</v>
      </c>
      <c r="B237" s="1888"/>
      <c r="C237" s="679">
        <f>+'MANO DE OBRA'!$E$64</f>
        <v>15031.25</v>
      </c>
      <c r="D237" s="680">
        <v>1</v>
      </c>
      <c r="E237" s="680">
        <v>0.2</v>
      </c>
      <c r="F237" s="694">
        <f t="shared" ref="F237:F238" si="16">+(C237*D237)*E237</f>
        <v>3006.25</v>
      </c>
      <c r="G237" s="443"/>
    </row>
    <row r="238" spans="1:7" ht="14.25" customHeight="1">
      <c r="A238" s="1968" t="str">
        <f>+'MANO DE OBRA'!$A$65</f>
        <v>Ayudante (Incl. Prestaciones)</v>
      </c>
      <c r="B238" s="1819"/>
      <c r="C238" s="681">
        <f>+'MANO DE OBRA'!$E$65</f>
        <v>10972.8125</v>
      </c>
      <c r="D238" s="562">
        <v>1</v>
      </c>
      <c r="E238" s="562">
        <f>+E237</f>
        <v>0.2</v>
      </c>
      <c r="F238" s="695">
        <f t="shared" si="16"/>
        <v>2194.5625</v>
      </c>
      <c r="G238" s="456"/>
    </row>
    <row r="239" spans="1:7" ht="14.25" customHeight="1">
      <c r="A239" s="2003" t="str">
        <f>+A234</f>
        <v>SUB-TOTAL</v>
      </c>
      <c r="B239" s="1601"/>
      <c r="C239" s="1601"/>
      <c r="D239" s="1601"/>
      <c r="E239" s="1601"/>
      <c r="F239" s="1801"/>
      <c r="G239" s="436">
        <f>SUM(F237:F238)</f>
        <v>5200.8125</v>
      </c>
    </row>
    <row r="241" spans="1:7" ht="14.25" customHeight="1">
      <c r="A241" s="2003" t="s">
        <v>1567</v>
      </c>
      <c r="B241" s="1601"/>
      <c r="C241" s="1601"/>
      <c r="D241" s="1601"/>
      <c r="E241" s="1601"/>
      <c r="F241" s="1801"/>
      <c r="G241" s="682">
        <f>ROUND(G222+G229+G234+G239,0)</f>
        <v>32075</v>
      </c>
    </row>
    <row r="242" spans="1:7" ht="14.25" customHeight="1">
      <c r="A242" s="420"/>
      <c r="B242" s="420"/>
      <c r="C242" s="420"/>
      <c r="D242" s="420"/>
      <c r="E242" s="420"/>
      <c r="F242" s="420"/>
      <c r="G242" s="420"/>
    </row>
    <row r="243" spans="1:7" ht="14.25" customHeight="1">
      <c r="A243" s="420"/>
      <c r="B243" s="420"/>
      <c r="C243" s="420"/>
      <c r="D243" s="420"/>
      <c r="E243" s="420"/>
      <c r="F243" s="420"/>
      <c r="G243" s="420"/>
    </row>
    <row r="244" spans="1:7" ht="27" customHeight="1">
      <c r="A244" s="2005" t="s">
        <v>1604</v>
      </c>
      <c r="B244" s="1616"/>
      <c r="C244" s="1624"/>
      <c r="D244" s="567"/>
      <c r="E244" s="567"/>
      <c r="F244" s="567"/>
      <c r="G244" s="668"/>
    </row>
    <row r="245" spans="1:7" ht="24" customHeight="1">
      <c r="A245" s="1971"/>
      <c r="B245" s="1817"/>
      <c r="C245" s="1972"/>
      <c r="D245" s="669"/>
      <c r="E245" s="669"/>
      <c r="F245" s="669"/>
      <c r="G245" s="670"/>
    </row>
    <row r="246" spans="1:7" ht="14.25" customHeight="1">
      <c r="A246" s="416"/>
      <c r="B246" s="416"/>
      <c r="C246" s="416"/>
      <c r="D246" s="416"/>
      <c r="E246" s="416"/>
      <c r="F246" s="416"/>
      <c r="G246" s="416"/>
    </row>
    <row r="247" spans="1:7" ht="30.75" customHeight="1">
      <c r="A247" s="1973" t="e">
        <f ca="1">A11</f>
        <v>#NAME?</v>
      </c>
      <c r="B247" s="1601"/>
      <c r="C247" s="1602"/>
      <c r="D247" s="1974" t="s">
        <v>2506</v>
      </c>
      <c r="E247" s="1601"/>
      <c r="F247" s="1601"/>
      <c r="G247" s="1602"/>
    </row>
    <row r="248" spans="1:7" ht="14.25" customHeight="1">
      <c r="A248" s="418"/>
      <c r="B248" s="418"/>
      <c r="C248" s="418"/>
      <c r="D248" s="418"/>
      <c r="E248" s="418"/>
      <c r="F248" s="418"/>
      <c r="G248" s="418"/>
    </row>
    <row r="249" spans="1:7" ht="12.75" customHeight="1">
      <c r="A249" s="419"/>
      <c r="B249" s="416"/>
      <c r="C249" s="420"/>
      <c r="D249" s="421" t="s">
        <v>1553</v>
      </c>
      <c r="E249" s="422" t="s">
        <v>228</v>
      </c>
      <c r="F249" s="572"/>
      <c r="G249" s="572"/>
    </row>
    <row r="250" spans="1:7" ht="14.25" customHeight="1">
      <c r="A250" s="423" t="s">
        <v>1555</v>
      </c>
      <c r="B250" s="416"/>
      <c r="C250" s="416"/>
      <c r="D250" s="416"/>
      <c r="E250" s="416"/>
      <c r="F250" s="416"/>
      <c r="G250" s="416"/>
    </row>
    <row r="251" spans="1:7" ht="13.5" customHeight="1">
      <c r="A251" s="1975" t="s">
        <v>1556</v>
      </c>
      <c r="B251" s="1601"/>
      <c r="C251" s="1801"/>
      <c r="D251" s="424" t="s">
        <v>208</v>
      </c>
      <c r="E251" s="424" t="s">
        <v>1558</v>
      </c>
      <c r="F251" s="424" t="s">
        <v>1559</v>
      </c>
      <c r="G251" s="425"/>
    </row>
    <row r="252" spans="1:7" ht="14.25" customHeight="1">
      <c r="A252" s="1981" t="str">
        <f>+'LISTADO EQUIPOS'!$C$22</f>
        <v>HERRAMIENTA MENOR.</v>
      </c>
      <c r="B252" s="1811"/>
      <c r="C252" s="1967"/>
      <c r="D252" s="449">
        <f>+'LISTADO EQUIPOS'!$E$22/8</f>
        <v>2850</v>
      </c>
      <c r="E252" s="427">
        <f>+E269</f>
        <v>0.13</v>
      </c>
      <c r="F252" s="428">
        <f>+E252*D252</f>
        <v>370.5</v>
      </c>
      <c r="G252" s="429"/>
    </row>
    <row r="253" spans="1:7" ht="14.25" customHeight="1">
      <c r="A253" s="1982"/>
      <c r="B253" s="1807"/>
      <c r="C253" s="1819"/>
      <c r="D253" s="451"/>
      <c r="E253" s="671"/>
      <c r="F253" s="451"/>
      <c r="G253" s="672"/>
    </row>
    <row r="254" spans="1:7" ht="14.25" customHeight="1">
      <c r="A254" s="2003" t="s">
        <v>1560</v>
      </c>
      <c r="B254" s="1601"/>
      <c r="C254" s="1601"/>
      <c r="D254" s="1601"/>
      <c r="E254" s="1601"/>
      <c r="F254" s="1801"/>
      <c r="G254" s="436">
        <f>SUM(F252:F253)</f>
        <v>370.5</v>
      </c>
    </row>
    <row r="255" spans="1:7" ht="14.25" customHeight="1">
      <c r="A255" s="423" t="s">
        <v>1561</v>
      </c>
      <c r="B255" s="416"/>
      <c r="C255" s="416"/>
      <c r="D255" s="416"/>
      <c r="E255" s="416"/>
      <c r="F255" s="416"/>
      <c r="G255" s="437"/>
    </row>
    <row r="256" spans="1:7" ht="14.25" customHeight="1">
      <c r="A256" s="1975" t="s">
        <v>1556</v>
      </c>
      <c r="B256" s="1801"/>
      <c r="C256" s="424" t="s">
        <v>6</v>
      </c>
      <c r="D256" s="424" t="s">
        <v>1562</v>
      </c>
      <c r="E256" s="424" t="s">
        <v>7</v>
      </c>
      <c r="F256" s="424" t="s">
        <v>1559</v>
      </c>
      <c r="G256" s="673"/>
    </row>
    <row r="257" spans="1:7" ht="14.25" customHeight="1">
      <c r="A257" s="1987" t="str">
        <f>+'LISTADO MATERIALES'!$C$399</f>
        <v>PINTURA BITUMINOSA DE ALUMINIO</v>
      </c>
      <c r="B257" s="1967"/>
      <c r="C257" s="674" t="str">
        <f>+'LISTADO MATERIALES'!$D$399</f>
        <v>GAL</v>
      </c>
      <c r="D257" s="675">
        <f>+'LISTADO MATERIALES'!$E$399</f>
        <v>71925</v>
      </c>
      <c r="E257" s="687">
        <v>0.03</v>
      </c>
      <c r="F257" s="442">
        <f>+E257*D257</f>
        <v>2157.75</v>
      </c>
      <c r="G257" s="676"/>
    </row>
    <row r="258" spans="1:7" ht="14.25" customHeight="1">
      <c r="A258" s="1988"/>
      <c r="B258" s="1611"/>
      <c r="C258" s="677"/>
      <c r="D258" s="431"/>
      <c r="E258" s="430"/>
      <c r="F258" s="431"/>
      <c r="G258" s="445"/>
    </row>
    <row r="259" spans="1:7" ht="12.75" customHeight="1">
      <c r="A259" s="1988"/>
      <c r="B259" s="1611"/>
      <c r="C259" s="677"/>
      <c r="D259" s="431"/>
      <c r="E259" s="430"/>
      <c r="F259" s="431"/>
      <c r="G259" s="445"/>
    </row>
    <row r="260" spans="1:7" ht="14.25" customHeight="1">
      <c r="A260" s="1982"/>
      <c r="B260" s="1819"/>
      <c r="C260" s="678"/>
      <c r="D260" s="451"/>
      <c r="E260" s="678"/>
      <c r="F260" s="451"/>
      <c r="G260" s="456"/>
    </row>
    <row r="261" spans="1:7" ht="14.25" customHeight="1">
      <c r="A261" s="2003" t="s">
        <v>1560</v>
      </c>
      <c r="B261" s="1601"/>
      <c r="C261" s="1601"/>
      <c r="D261" s="1601"/>
      <c r="E261" s="1601"/>
      <c r="F261" s="1801"/>
      <c r="G261" s="436">
        <f>SUM(F257:F260)</f>
        <v>2157.75</v>
      </c>
    </row>
    <row r="262" spans="1:7" ht="14.25" customHeight="1">
      <c r="A262" s="423" t="s">
        <v>1563</v>
      </c>
      <c r="B262" s="416"/>
      <c r="C262" s="416"/>
      <c r="D262" s="416"/>
      <c r="E262" s="416"/>
      <c r="F262" s="416"/>
      <c r="G262" s="437"/>
    </row>
    <row r="263" spans="1:7" ht="14.25" customHeight="1">
      <c r="A263" s="1975" t="s">
        <v>1556</v>
      </c>
      <c r="B263" s="1801"/>
      <c r="C263" s="424" t="s">
        <v>6</v>
      </c>
      <c r="D263" s="424" t="s">
        <v>1562</v>
      </c>
      <c r="E263" s="424" t="s">
        <v>7</v>
      </c>
      <c r="F263" s="424" t="s">
        <v>1559</v>
      </c>
      <c r="G263" s="438"/>
    </row>
    <row r="264" spans="1:7" ht="14.25" customHeight="1">
      <c r="A264" s="1981"/>
      <c r="B264" s="1967"/>
      <c r="C264" s="448"/>
      <c r="D264" s="449"/>
      <c r="E264" s="450"/>
      <c r="F264" s="431"/>
      <c r="G264" s="443"/>
    </row>
    <row r="265" spans="1:7" ht="14.25" customHeight="1">
      <c r="A265" s="1982"/>
      <c r="B265" s="1819"/>
      <c r="C265" s="448"/>
      <c r="D265" s="451"/>
      <c r="E265" s="452"/>
      <c r="F265" s="451"/>
      <c r="G265" s="447"/>
    </row>
    <row r="266" spans="1:7" ht="14.25" customHeight="1">
      <c r="A266" s="2003" t="s">
        <v>1560</v>
      </c>
      <c r="B266" s="1601"/>
      <c r="C266" s="1601"/>
      <c r="D266" s="1601"/>
      <c r="E266" s="1601"/>
      <c r="F266" s="1801"/>
      <c r="G266" s="436">
        <f>SUM(F265)</f>
        <v>0</v>
      </c>
    </row>
    <row r="267" spans="1:7" ht="14.25" customHeight="1">
      <c r="A267" s="423" t="s">
        <v>1564</v>
      </c>
      <c r="B267" s="416"/>
      <c r="C267" s="416"/>
      <c r="D267" s="416"/>
      <c r="E267" s="416"/>
      <c r="F267" s="416"/>
      <c r="G267" s="437"/>
    </row>
    <row r="268" spans="1:7" ht="14.25" customHeight="1">
      <c r="A268" s="1975" t="s">
        <v>1565</v>
      </c>
      <c r="B268" s="1801"/>
      <c r="C268" s="424" t="s">
        <v>1566</v>
      </c>
      <c r="D268" s="424" t="s">
        <v>6</v>
      </c>
      <c r="E268" s="424" t="s">
        <v>7</v>
      </c>
      <c r="F268" s="424" t="s">
        <v>1559</v>
      </c>
      <c r="G268" s="462"/>
    </row>
    <row r="269" spans="1:7" ht="14.25" customHeight="1">
      <c r="A269" s="2004" t="str">
        <f>+'MANO DE OBRA'!$A$64</f>
        <v>Oficial (Incl. Prestaciones)</v>
      </c>
      <c r="B269" s="1888"/>
      <c r="C269" s="679">
        <f>+'MANO DE OBRA'!$E$64</f>
        <v>15031.25</v>
      </c>
      <c r="D269" s="680">
        <v>1</v>
      </c>
      <c r="E269" s="680">
        <v>0.13</v>
      </c>
      <c r="F269" s="694">
        <f t="shared" ref="F269:F270" si="17">+(C269*D269)*E269</f>
        <v>1954.0625</v>
      </c>
      <c r="G269" s="443"/>
    </row>
    <row r="270" spans="1:7" ht="14.25" customHeight="1">
      <c r="A270" s="1968" t="str">
        <f>+'MANO DE OBRA'!$A$65</f>
        <v>Ayudante (Incl. Prestaciones)</v>
      </c>
      <c r="B270" s="1819"/>
      <c r="C270" s="681">
        <f>+'MANO DE OBRA'!$E$65</f>
        <v>10972.8125</v>
      </c>
      <c r="D270" s="562">
        <v>1</v>
      </c>
      <c r="E270" s="562">
        <f>+E269</f>
        <v>0.13</v>
      </c>
      <c r="F270" s="695">
        <f t="shared" si="17"/>
        <v>1426.465625</v>
      </c>
      <c r="G270" s="456"/>
    </row>
    <row r="271" spans="1:7" ht="14.25" customHeight="1">
      <c r="A271" s="2003" t="str">
        <f>+A266</f>
        <v>SUB-TOTAL</v>
      </c>
      <c r="B271" s="1601"/>
      <c r="C271" s="1601"/>
      <c r="D271" s="1601"/>
      <c r="E271" s="1601"/>
      <c r="F271" s="1801"/>
      <c r="G271" s="436">
        <f>SUM(F269:F270)</f>
        <v>3380.5281249999998</v>
      </c>
    </row>
    <row r="273" spans="1:7" ht="14.25" customHeight="1">
      <c r="A273" s="2003" t="s">
        <v>1567</v>
      </c>
      <c r="B273" s="1601"/>
      <c r="C273" s="1601"/>
      <c r="D273" s="1601"/>
      <c r="E273" s="1601"/>
      <c r="F273" s="1801"/>
      <c r="G273" s="682">
        <f>ROUND(G254+G261+G266+G271,0)</f>
        <v>5909</v>
      </c>
    </row>
    <row r="274" spans="1:7" ht="14.25" customHeight="1">
      <c r="A274" s="420"/>
      <c r="B274" s="420"/>
      <c r="C274" s="420"/>
      <c r="D274" s="420"/>
      <c r="E274" s="420"/>
      <c r="F274" s="420"/>
      <c r="G274" s="420"/>
    </row>
    <row r="275" spans="1:7" ht="15" customHeight="1">
      <c r="A275" s="420"/>
      <c r="B275" s="420"/>
      <c r="C275" s="420"/>
      <c r="D275" s="420"/>
      <c r="E275" s="420"/>
      <c r="F275" s="420"/>
      <c r="G275" s="420"/>
    </row>
    <row r="276" spans="1:7" ht="13.5" customHeight="1">
      <c r="A276" s="1994" t="e">
        <f>+'ANALISIS BASICOS'!$A$7</f>
        <v>#REF!</v>
      </c>
      <c r="B276" s="1616"/>
      <c r="C276" s="1624"/>
      <c r="D276" s="1990"/>
      <c r="E276" s="1616"/>
      <c r="F276" s="1616"/>
      <c r="G276" s="1624"/>
    </row>
    <row r="277" spans="1:7" ht="36" customHeight="1">
      <c r="A277" s="1971"/>
      <c r="B277" s="1817"/>
      <c r="C277" s="1972"/>
      <c r="D277" s="1971"/>
      <c r="E277" s="1817"/>
      <c r="F277" s="1817"/>
      <c r="G277" s="1972"/>
    </row>
    <row r="278" spans="1:7" ht="14.25" customHeight="1">
      <c r="A278" s="416"/>
      <c r="B278" s="416"/>
      <c r="C278" s="416"/>
      <c r="D278" s="416"/>
      <c r="E278" s="416"/>
      <c r="F278" s="416"/>
      <c r="G278" s="416"/>
    </row>
    <row r="279" spans="1:7" ht="43.5" customHeight="1">
      <c r="A279" s="1991" t="e">
        <f ca="1">A11</f>
        <v>#NAME?</v>
      </c>
      <c r="B279" s="1601"/>
      <c r="C279" s="1602"/>
      <c r="D279" s="1974" t="s">
        <v>2507</v>
      </c>
      <c r="E279" s="1601"/>
      <c r="F279" s="1601"/>
      <c r="G279" s="1602"/>
    </row>
    <row r="280" spans="1:7" ht="14.25" customHeight="1">
      <c r="A280" s="418"/>
      <c r="B280" s="418"/>
      <c r="C280" s="418"/>
      <c r="D280" s="418"/>
      <c r="E280" s="418"/>
      <c r="F280" s="418"/>
      <c r="G280" s="418"/>
    </row>
    <row r="281" spans="1:7" ht="12.75" customHeight="1">
      <c r="A281" s="419"/>
      <c r="B281" s="416"/>
      <c r="C281" s="420"/>
      <c r="D281" s="421" t="s">
        <v>1553</v>
      </c>
      <c r="E281" s="422" t="s">
        <v>228</v>
      </c>
      <c r="F281" s="421" t="s">
        <v>1554</v>
      </c>
      <c r="G281" s="422" t="s">
        <v>58</v>
      </c>
    </row>
    <row r="282" spans="1:7" ht="14.25" customHeight="1">
      <c r="A282" s="423" t="s">
        <v>1555</v>
      </c>
      <c r="B282" s="416"/>
      <c r="C282" s="416"/>
      <c r="D282" s="416"/>
      <c r="E282" s="416"/>
      <c r="F282" s="416"/>
      <c r="G282" s="416"/>
    </row>
    <row r="283" spans="1:7" ht="13.5" customHeight="1">
      <c r="A283" s="1975" t="s">
        <v>1556</v>
      </c>
      <c r="B283" s="1601"/>
      <c r="C283" s="1801"/>
      <c r="D283" s="424" t="s">
        <v>208</v>
      </c>
      <c r="E283" s="424" t="s">
        <v>1558</v>
      </c>
      <c r="F283" s="424" t="s">
        <v>1559</v>
      </c>
      <c r="G283" s="425"/>
    </row>
    <row r="284" spans="1:7" ht="14.25" customHeight="1">
      <c r="A284" s="1981" t="str">
        <f>+'LISTADO EQUIPOS'!$C$22</f>
        <v>HERRAMIENTA MENOR.</v>
      </c>
      <c r="B284" s="1811"/>
      <c r="C284" s="1967"/>
      <c r="D284" s="449">
        <f>+'LISTADO EQUIPOS'!$E$22/8</f>
        <v>2850</v>
      </c>
      <c r="E284" s="427">
        <f>+E301</f>
        <v>4.0698039215686279</v>
      </c>
      <c r="F284" s="428">
        <f>+D284/E284</f>
        <v>700.27943727115041</v>
      </c>
      <c r="G284" s="429"/>
    </row>
    <row r="285" spans="1:7" ht="14.25" customHeight="1">
      <c r="A285" s="1982" t="str">
        <f>+'LISTADO EQUIPOS'!$C$47</f>
        <v>ANDAMIO TUBULAR. 1.5 x 1.5 SECCIÓN</v>
      </c>
      <c r="B285" s="1807"/>
      <c r="C285" s="1819"/>
      <c r="D285" s="451">
        <f>+'LISTADO EQUIPOS'!$E$47</f>
        <v>1750</v>
      </c>
      <c r="E285" s="671">
        <v>0.2</v>
      </c>
      <c r="F285" s="698">
        <f>+E285*D285</f>
        <v>350</v>
      </c>
      <c r="G285" s="672"/>
    </row>
    <row r="286" spans="1:7" ht="14.25" customHeight="1">
      <c r="A286" s="2003" t="s">
        <v>1560</v>
      </c>
      <c r="B286" s="1601"/>
      <c r="C286" s="1601"/>
      <c r="D286" s="1601"/>
      <c r="E286" s="1601"/>
      <c r="F286" s="1801"/>
      <c r="G286" s="436">
        <f>SUM(F284:F285)</f>
        <v>1050.2794372711505</v>
      </c>
    </row>
    <row r="287" spans="1:7" ht="14.25" customHeight="1">
      <c r="A287" s="423" t="s">
        <v>1561</v>
      </c>
      <c r="B287" s="416"/>
      <c r="C287" s="416"/>
      <c r="D287" s="416"/>
      <c r="E287" s="416"/>
      <c r="F287" s="416"/>
      <c r="G287" s="437"/>
    </row>
    <row r="288" spans="1:7" ht="14.25" customHeight="1">
      <c r="A288" s="1975" t="s">
        <v>1556</v>
      </c>
      <c r="B288" s="1801"/>
      <c r="C288" s="424" t="s">
        <v>6</v>
      </c>
      <c r="D288" s="424" t="s">
        <v>1562</v>
      </c>
      <c r="E288" s="424" t="s">
        <v>7</v>
      </c>
      <c r="F288" s="424" t="s">
        <v>1559</v>
      </c>
      <c r="G288" s="673"/>
    </row>
    <row r="289" spans="1:9" ht="14.25" customHeight="1">
      <c r="A289" s="1987" t="str">
        <f>+'LISTADO MATERIALES'!$C$148</f>
        <v>ESTUCO</v>
      </c>
      <c r="B289" s="1967"/>
      <c r="C289" s="674" t="str">
        <f>+'LISTADO MATERIALES'!$D$148</f>
        <v>KG</v>
      </c>
      <c r="D289" s="675">
        <v>1500</v>
      </c>
      <c r="E289" s="687">
        <v>3.5</v>
      </c>
      <c r="F289" s="442">
        <f t="shared" ref="F289:F292" si="18">+E289*D289</f>
        <v>5250</v>
      </c>
      <c r="G289" s="676"/>
      <c r="H289" s="616"/>
      <c r="I289" s="616"/>
    </row>
    <row r="290" spans="1:9" ht="14.25" customHeight="1">
      <c r="A290" s="1988" t="str">
        <f>+'LISTADO MATERIALES'!$C$723</f>
        <v>AGUA</v>
      </c>
      <c r="B290" s="1611"/>
      <c r="C290" s="677" t="str">
        <f>+'LISTADO MATERIALES'!$D$723</f>
        <v>LT</v>
      </c>
      <c r="D290" s="431">
        <f>+'LISTADO MATERIALES'!$E$723</f>
        <v>21</v>
      </c>
      <c r="E290" s="430">
        <v>1</v>
      </c>
      <c r="F290" s="689">
        <f t="shared" si="18"/>
        <v>21</v>
      </c>
      <c r="G290" s="445"/>
      <c r="H290" s="420"/>
      <c r="I290" s="420"/>
    </row>
    <row r="291" spans="1:9" ht="14.25" customHeight="1">
      <c r="A291" s="1988" t="str">
        <f>+'LISTADO MATERIALES'!$C$394</f>
        <v>LIJA PLIEGO 9"X11"</v>
      </c>
      <c r="B291" s="1611"/>
      <c r="C291" s="677" t="str">
        <f>+'LISTADO MATERIALES'!$D$394</f>
        <v>UND</v>
      </c>
      <c r="D291" s="431">
        <f>+'LISTADO MATERIALES'!$E$394</f>
        <v>1260</v>
      </c>
      <c r="E291" s="430">
        <v>0.5</v>
      </c>
      <c r="F291" s="689">
        <f t="shared" si="18"/>
        <v>630</v>
      </c>
      <c r="G291" s="445"/>
      <c r="H291" s="420"/>
      <c r="I291" s="420"/>
    </row>
    <row r="292" spans="1:9" ht="14.25" customHeight="1">
      <c r="A292" s="1982" t="str">
        <f>+'LISTADO MATERIALES'!$C$405</f>
        <v>VINILTEX</v>
      </c>
      <c r="B292" s="1819"/>
      <c r="C292" s="678" t="str">
        <f>+'LISTADO MATERIALES'!$D$405</f>
        <v>GAL</v>
      </c>
      <c r="D292" s="451">
        <f>+'LISTADO MATERIALES'!$E$405</f>
        <v>51030</v>
      </c>
      <c r="E292" s="678">
        <v>0.06</v>
      </c>
      <c r="F292" s="698">
        <f t="shared" si="18"/>
        <v>3061.7999999999997</v>
      </c>
      <c r="G292" s="456"/>
      <c r="H292" s="420"/>
      <c r="I292" s="420">
        <f>1/20</f>
        <v>0.05</v>
      </c>
    </row>
    <row r="293" spans="1:9" ht="14.25" customHeight="1">
      <c r="A293" s="2003" t="s">
        <v>1560</v>
      </c>
      <c r="B293" s="1601"/>
      <c r="C293" s="1601"/>
      <c r="D293" s="1601"/>
      <c r="E293" s="1601"/>
      <c r="F293" s="1801"/>
      <c r="G293" s="436">
        <f>SUM(F289:F292)</f>
        <v>8962.7999999999993</v>
      </c>
      <c r="H293" s="420"/>
      <c r="I293" s="420"/>
    </row>
    <row r="294" spans="1:9" ht="14.25" customHeight="1">
      <c r="A294" s="423" t="s">
        <v>1563</v>
      </c>
      <c r="B294" s="416"/>
      <c r="C294" s="416"/>
      <c r="D294" s="416"/>
      <c r="E294" s="416"/>
      <c r="F294" s="416"/>
      <c r="G294" s="437"/>
      <c r="H294" s="420"/>
      <c r="I294" s="420"/>
    </row>
    <row r="295" spans="1:9" ht="14.25" customHeight="1">
      <c r="A295" s="1975" t="s">
        <v>1556</v>
      </c>
      <c r="B295" s="1801"/>
      <c r="C295" s="424" t="s">
        <v>6</v>
      </c>
      <c r="D295" s="424" t="s">
        <v>1562</v>
      </c>
      <c r="E295" s="424" t="s">
        <v>7</v>
      </c>
      <c r="F295" s="424" t="s">
        <v>1559</v>
      </c>
      <c r="G295" s="438"/>
      <c r="H295" s="616"/>
      <c r="I295" s="616"/>
    </row>
    <row r="296" spans="1:9" ht="14.25" customHeight="1">
      <c r="A296" s="1981"/>
      <c r="B296" s="1967"/>
      <c r="C296" s="448"/>
      <c r="D296" s="449"/>
      <c r="E296" s="450"/>
      <c r="F296" s="431"/>
      <c r="G296" s="443"/>
      <c r="H296" s="420"/>
      <c r="I296" s="420"/>
    </row>
    <row r="297" spans="1:9" ht="14.25" customHeight="1">
      <c r="A297" s="1982"/>
      <c r="B297" s="1819"/>
      <c r="C297" s="448"/>
      <c r="D297" s="451"/>
      <c r="E297" s="452"/>
      <c r="F297" s="451"/>
      <c r="G297" s="447"/>
      <c r="H297" s="420"/>
      <c r="I297" s="420"/>
    </row>
    <row r="298" spans="1:9" ht="14.25" customHeight="1">
      <c r="A298" s="2003" t="s">
        <v>1560</v>
      </c>
      <c r="B298" s="1601"/>
      <c r="C298" s="1601"/>
      <c r="D298" s="1601"/>
      <c r="E298" s="1601"/>
      <c r="F298" s="1801"/>
      <c r="G298" s="436"/>
      <c r="H298" s="420"/>
      <c r="I298" s="420"/>
    </row>
    <row r="299" spans="1:9" ht="14.25" customHeight="1">
      <c r="A299" s="423" t="s">
        <v>1564</v>
      </c>
      <c r="B299" s="416"/>
      <c r="C299" s="416"/>
      <c r="D299" s="416"/>
      <c r="E299" s="416"/>
      <c r="F299" s="416"/>
      <c r="G299" s="437"/>
      <c r="H299" s="420"/>
      <c r="I299" s="420"/>
    </row>
    <row r="300" spans="1:9" ht="14.25" customHeight="1">
      <c r="A300" s="1975" t="s">
        <v>1565</v>
      </c>
      <c r="B300" s="1801"/>
      <c r="C300" s="424" t="s">
        <v>1566</v>
      </c>
      <c r="D300" s="424" t="s">
        <v>6</v>
      </c>
      <c r="E300" s="424" t="s">
        <v>7</v>
      </c>
      <c r="F300" s="424" t="s">
        <v>1559</v>
      </c>
      <c r="G300" s="462"/>
      <c r="H300" s="420"/>
      <c r="I300" s="420"/>
    </row>
    <row r="301" spans="1:9" ht="14.25" customHeight="1">
      <c r="A301" s="2004" t="str">
        <f>+'MANO DE OBRA'!$A$76:$E$76</f>
        <v>MANO DE OBRA - PINTURA</v>
      </c>
      <c r="B301" s="1888"/>
      <c r="C301" s="679">
        <f>+'MANO DE OBRA'!$E$81</f>
        <v>29904.671875</v>
      </c>
      <c r="D301" s="680">
        <v>1</v>
      </c>
      <c r="E301" s="680">
        <v>4.0698039215686279</v>
      </c>
      <c r="F301" s="694">
        <f>+(C301*D301)/E301</f>
        <v>7347.9392254047016</v>
      </c>
      <c r="G301" s="443"/>
      <c r="H301" s="420"/>
      <c r="I301" s="420"/>
    </row>
    <row r="302" spans="1:9" ht="14.25" customHeight="1">
      <c r="A302" s="1968"/>
      <c r="B302" s="1819"/>
      <c r="C302" s="681"/>
      <c r="D302" s="562"/>
      <c r="E302" s="562"/>
      <c r="F302" s="711"/>
      <c r="G302" s="456"/>
    </row>
    <row r="303" spans="1:9" ht="14.25" customHeight="1">
      <c r="A303" s="2003" t="str">
        <f>+A298</f>
        <v>SUB-TOTAL</v>
      </c>
      <c r="B303" s="1601"/>
      <c r="C303" s="1601"/>
      <c r="D303" s="1601"/>
      <c r="E303" s="1601"/>
      <c r="F303" s="1801"/>
      <c r="G303" s="436">
        <f>SUM(F301:F302)</f>
        <v>7347.9392254047016</v>
      </c>
    </row>
    <row r="305" spans="1:7" ht="14.25" customHeight="1">
      <c r="A305" s="2003" t="s">
        <v>1567</v>
      </c>
      <c r="B305" s="1601"/>
      <c r="C305" s="1601"/>
      <c r="D305" s="1601"/>
      <c r="E305" s="1601"/>
      <c r="F305" s="1801"/>
      <c r="G305" s="682">
        <f>ROUND(G286+G293+G298+G303,0)</f>
        <v>17361</v>
      </c>
    </row>
    <row r="306" spans="1:7" ht="14.25" customHeight="1">
      <c r="A306" s="420"/>
      <c r="B306" s="420"/>
      <c r="C306" s="420"/>
      <c r="D306" s="420"/>
      <c r="E306" s="420"/>
      <c r="F306" s="420"/>
      <c r="G306" s="420"/>
    </row>
    <row r="307" spans="1:7" ht="14.25" customHeight="1">
      <c r="A307" s="420"/>
      <c r="B307" s="420"/>
      <c r="C307" s="420"/>
      <c r="D307" s="420"/>
      <c r="E307" s="420"/>
      <c r="F307" s="420"/>
      <c r="G307" s="420"/>
    </row>
    <row r="308" spans="1:7" ht="27" customHeight="1">
      <c r="A308" s="2005" t="s">
        <v>1604</v>
      </c>
      <c r="B308" s="1616"/>
      <c r="C308" s="1624"/>
      <c r="D308" s="567"/>
      <c r="E308" s="567"/>
      <c r="F308" s="567"/>
      <c r="G308" s="668"/>
    </row>
    <row r="309" spans="1:7" ht="24" customHeight="1">
      <c r="A309" s="1971"/>
      <c r="B309" s="1817"/>
      <c r="C309" s="1972"/>
      <c r="D309" s="669"/>
      <c r="E309" s="669"/>
      <c r="F309" s="669"/>
      <c r="G309" s="670"/>
    </row>
    <row r="310" spans="1:7" ht="14.25" customHeight="1">
      <c r="A310" s="416"/>
      <c r="B310" s="416"/>
      <c r="C310" s="416"/>
      <c r="D310" s="416"/>
      <c r="E310" s="416"/>
      <c r="F310" s="416"/>
      <c r="G310" s="416"/>
    </row>
    <row r="311" spans="1:7" ht="26.25" customHeight="1">
      <c r="A311" s="1973" t="e">
        <f ca="1">A11</f>
        <v>#NAME?</v>
      </c>
      <c r="B311" s="1601"/>
      <c r="C311" s="1602"/>
      <c r="D311" s="1974" t="s">
        <v>2508</v>
      </c>
      <c r="E311" s="1601"/>
      <c r="F311" s="1601"/>
      <c r="G311" s="1602"/>
    </row>
    <row r="312" spans="1:7" ht="15" customHeight="1">
      <c r="A312" s="418"/>
      <c r="B312" s="418"/>
      <c r="C312" s="418"/>
      <c r="D312" s="418"/>
      <c r="E312" s="418"/>
      <c r="F312" s="418"/>
      <c r="G312" s="418"/>
    </row>
    <row r="313" spans="1:7" ht="15" customHeight="1">
      <c r="A313" s="419"/>
      <c r="B313" s="416"/>
      <c r="C313" s="420"/>
      <c r="D313" s="421" t="s">
        <v>1553</v>
      </c>
      <c r="E313" s="422" t="s">
        <v>228</v>
      </c>
      <c r="F313" s="572"/>
      <c r="G313" s="572"/>
    </row>
    <row r="314" spans="1:7" ht="15" customHeight="1">
      <c r="A314" s="423" t="s">
        <v>1555</v>
      </c>
      <c r="B314" s="416"/>
      <c r="C314" s="416"/>
      <c r="D314" s="416"/>
      <c r="E314" s="416"/>
      <c r="F314" s="416"/>
      <c r="G314" s="416"/>
    </row>
    <row r="315" spans="1:7" ht="15" customHeight="1">
      <c r="A315" s="1975" t="s">
        <v>1556</v>
      </c>
      <c r="B315" s="1601"/>
      <c r="C315" s="1801"/>
      <c r="D315" s="424" t="s">
        <v>208</v>
      </c>
      <c r="E315" s="424" t="s">
        <v>1558</v>
      </c>
      <c r="F315" s="424" t="s">
        <v>1559</v>
      </c>
      <c r="G315" s="425"/>
    </row>
    <row r="316" spans="1:7" ht="15" customHeight="1">
      <c r="A316" s="1981" t="str">
        <f>+'LISTADO EQUIPOS'!$C$22</f>
        <v>HERRAMIENTA MENOR.</v>
      </c>
      <c r="B316" s="1811"/>
      <c r="C316" s="1967"/>
      <c r="D316" s="449">
        <f>+'LISTADO EQUIPOS'!$E$22/8</f>
        <v>2850</v>
      </c>
      <c r="E316" s="427">
        <f>+E333</f>
        <v>0.3</v>
      </c>
      <c r="F316" s="428">
        <f t="shared" ref="F316:F317" si="19">+E316*D316</f>
        <v>855</v>
      </c>
      <c r="G316" s="429"/>
    </row>
    <row r="317" spans="1:7" ht="15" customHeight="1">
      <c r="A317" s="1988" t="str">
        <f>+'LISTADO EQUIPOS'!$C$47</f>
        <v>ANDAMIO TUBULAR. 1.5 x 1.5 SECCIÓN</v>
      </c>
      <c r="B317" s="1610"/>
      <c r="C317" s="1611"/>
      <c r="D317" s="431">
        <f>+'LISTADO EQUIPOS'!$E$47</f>
        <v>1750</v>
      </c>
      <c r="E317" s="430">
        <v>0.15</v>
      </c>
      <c r="F317" s="689">
        <f t="shared" si="19"/>
        <v>262.5</v>
      </c>
      <c r="G317" s="432"/>
    </row>
    <row r="318" spans="1:7" ht="15" customHeight="1">
      <c r="A318" s="2003" t="s">
        <v>1560</v>
      </c>
      <c r="B318" s="1601"/>
      <c r="C318" s="1601"/>
      <c r="D318" s="1601"/>
      <c r="E318" s="1601"/>
      <c r="F318" s="1801"/>
      <c r="G318" s="436">
        <f>SUM(F316:F317)</f>
        <v>1117.5</v>
      </c>
    </row>
    <row r="319" spans="1:7" ht="15" customHeight="1">
      <c r="A319" s="423" t="s">
        <v>1561</v>
      </c>
      <c r="B319" s="416"/>
      <c r="C319" s="416"/>
      <c r="D319" s="416"/>
      <c r="E319" s="416"/>
      <c r="F319" s="416"/>
      <c r="G319" s="437"/>
    </row>
    <row r="320" spans="1:7" ht="15" customHeight="1">
      <c r="A320" s="1975" t="s">
        <v>1556</v>
      </c>
      <c r="B320" s="1801"/>
      <c r="C320" s="424" t="s">
        <v>6</v>
      </c>
      <c r="D320" s="424" t="s">
        <v>1562</v>
      </c>
      <c r="E320" s="424" t="s">
        <v>7</v>
      </c>
      <c r="F320" s="424" t="s">
        <v>1559</v>
      </c>
      <c r="G320" s="673"/>
    </row>
    <row r="321" spans="1:7" ht="14.25" customHeight="1">
      <c r="A321" s="1987" t="str">
        <f>+'LISTADO MATERIALES'!$C$405</f>
        <v>VINILTEX</v>
      </c>
      <c r="B321" s="1967"/>
      <c r="C321" s="674" t="str">
        <f>+'LISTADO MATERIALES'!$D$405</f>
        <v>GAL</v>
      </c>
      <c r="D321" s="675">
        <f>+'LISTADO MATERIALES'!$E$405</f>
        <v>51030</v>
      </c>
      <c r="E321" s="687">
        <v>0.06</v>
      </c>
      <c r="F321" s="442">
        <f>+E321*D321</f>
        <v>3061.7999999999997</v>
      </c>
      <c r="G321" s="676"/>
    </row>
    <row r="322" spans="1:7" ht="15" customHeight="1">
      <c r="A322" s="1995"/>
      <c r="B322" s="1611"/>
      <c r="C322" s="444"/>
      <c r="D322" s="464"/>
      <c r="E322" s="706"/>
      <c r="F322" s="464"/>
      <c r="G322" s="707"/>
    </row>
    <row r="323" spans="1:7" ht="15" customHeight="1">
      <c r="A323" s="1995"/>
      <c r="B323" s="1611"/>
      <c r="C323" s="444"/>
      <c r="D323" s="464"/>
      <c r="E323" s="706"/>
      <c r="F323" s="464"/>
      <c r="G323" s="707"/>
    </row>
    <row r="324" spans="1:7" ht="15" customHeight="1">
      <c r="A324" s="1996"/>
      <c r="B324" s="1819"/>
      <c r="C324" s="708"/>
      <c r="D324" s="434"/>
      <c r="E324" s="708"/>
      <c r="F324" s="434"/>
      <c r="G324" s="709"/>
    </row>
    <row r="325" spans="1:7" ht="15" customHeight="1">
      <c r="A325" s="2003" t="s">
        <v>1560</v>
      </c>
      <c r="B325" s="1601"/>
      <c r="C325" s="1601"/>
      <c r="D325" s="1601"/>
      <c r="E325" s="1601"/>
      <c r="F325" s="1801"/>
      <c r="G325" s="436">
        <f>SUM(F321:F324)</f>
        <v>3061.7999999999997</v>
      </c>
    </row>
    <row r="326" spans="1:7" ht="15" customHeight="1">
      <c r="A326" s="423" t="s">
        <v>1563</v>
      </c>
      <c r="B326" s="416"/>
      <c r="C326" s="416"/>
      <c r="D326" s="416"/>
      <c r="E326" s="416"/>
      <c r="F326" s="416"/>
      <c r="G326" s="437"/>
    </row>
    <row r="327" spans="1:7" ht="15" customHeight="1">
      <c r="A327" s="1975" t="s">
        <v>1556</v>
      </c>
      <c r="B327" s="1801"/>
      <c r="C327" s="424" t="s">
        <v>6</v>
      </c>
      <c r="D327" s="424" t="s">
        <v>1562</v>
      </c>
      <c r="E327" s="424" t="s">
        <v>7</v>
      </c>
      <c r="F327" s="424" t="s">
        <v>1559</v>
      </c>
      <c r="G327" s="438"/>
    </row>
    <row r="328" spans="1:7" ht="15" customHeight="1">
      <c r="A328" s="1981"/>
      <c r="B328" s="1967"/>
      <c r="C328" s="448"/>
      <c r="D328" s="449"/>
      <c r="E328" s="450"/>
      <c r="F328" s="431"/>
      <c r="G328" s="443"/>
    </row>
    <row r="329" spans="1:7" ht="15" customHeight="1">
      <c r="A329" s="1982"/>
      <c r="B329" s="1819"/>
      <c r="C329" s="448"/>
      <c r="D329" s="451"/>
      <c r="E329" s="452"/>
      <c r="F329" s="451"/>
      <c r="G329" s="447"/>
    </row>
    <row r="330" spans="1:7" ht="15" customHeight="1">
      <c r="A330" s="2003" t="s">
        <v>1560</v>
      </c>
      <c r="B330" s="1601"/>
      <c r="C330" s="1601"/>
      <c r="D330" s="1601"/>
      <c r="E330" s="1601"/>
      <c r="F330" s="1801"/>
      <c r="G330" s="436"/>
    </row>
    <row r="331" spans="1:7" ht="15" customHeight="1">
      <c r="A331" s="423" t="s">
        <v>1564</v>
      </c>
      <c r="B331" s="416"/>
      <c r="C331" s="416"/>
      <c r="D331" s="416"/>
      <c r="E331" s="416"/>
      <c r="F331" s="416"/>
      <c r="G331" s="437"/>
    </row>
    <row r="332" spans="1:7" ht="15" customHeight="1">
      <c r="A332" s="1975" t="s">
        <v>1565</v>
      </c>
      <c r="B332" s="1801"/>
      <c r="C332" s="424" t="s">
        <v>1566</v>
      </c>
      <c r="D332" s="424" t="s">
        <v>6</v>
      </c>
      <c r="E332" s="424" t="s">
        <v>7</v>
      </c>
      <c r="F332" s="424" t="s">
        <v>1559</v>
      </c>
      <c r="G332" s="462"/>
    </row>
    <row r="333" spans="1:7" ht="15" customHeight="1">
      <c r="A333" s="2004" t="str">
        <f>+'MANO DE OBRA'!$A$76:$E$76</f>
        <v>MANO DE OBRA - PINTURA</v>
      </c>
      <c r="B333" s="1888"/>
      <c r="C333" s="679">
        <f>+'MANO DE OBRA'!$E$81</f>
        <v>29904.671875</v>
      </c>
      <c r="D333" s="680">
        <v>1</v>
      </c>
      <c r="E333" s="680">
        <v>0.3</v>
      </c>
      <c r="F333" s="694">
        <f>+(C333*D333)*E333</f>
        <v>8971.4015624999993</v>
      </c>
      <c r="G333" s="443"/>
    </row>
    <row r="334" spans="1:7" ht="15" customHeight="1">
      <c r="A334" s="1968"/>
      <c r="B334" s="1819"/>
      <c r="C334" s="681"/>
      <c r="D334" s="562"/>
      <c r="E334" s="562"/>
      <c r="F334" s="711"/>
      <c r="G334" s="456"/>
    </row>
    <row r="335" spans="1:7" ht="15" customHeight="1">
      <c r="A335" s="2003" t="str">
        <f>+A330</f>
        <v>SUB-TOTAL</v>
      </c>
      <c r="B335" s="1601"/>
      <c r="C335" s="1601"/>
      <c r="D335" s="1601"/>
      <c r="E335" s="1601"/>
      <c r="F335" s="1801"/>
      <c r="G335" s="436">
        <f>SUM(F333:F334)</f>
        <v>8971.4015624999993</v>
      </c>
    </row>
    <row r="337" spans="1:7" ht="15" customHeight="1">
      <c r="A337" s="2003" t="s">
        <v>1567</v>
      </c>
      <c r="B337" s="1601"/>
      <c r="C337" s="1601"/>
      <c r="D337" s="1601"/>
      <c r="E337" s="1601"/>
      <c r="F337" s="1801"/>
      <c r="G337" s="682">
        <f>ROUND(G318+G325+G330+G335,0)</f>
        <v>13151</v>
      </c>
    </row>
    <row r="338" spans="1:7" ht="14.25" customHeight="1">
      <c r="A338" s="420"/>
      <c r="B338" s="420"/>
      <c r="C338" s="420"/>
      <c r="D338" s="420"/>
      <c r="E338" s="420"/>
      <c r="F338" s="420"/>
      <c r="G338" s="420"/>
    </row>
    <row r="339" spans="1:7" ht="14.25" customHeight="1">
      <c r="A339" s="420"/>
      <c r="B339" s="420"/>
      <c r="C339" s="420"/>
      <c r="D339" s="420"/>
      <c r="E339" s="420"/>
      <c r="F339" s="420"/>
      <c r="G339" s="420"/>
    </row>
    <row r="340" spans="1:7" ht="27" customHeight="1">
      <c r="A340" s="2005" t="s">
        <v>1604</v>
      </c>
      <c r="B340" s="1616"/>
      <c r="C340" s="1624"/>
      <c r="D340" s="567"/>
      <c r="E340" s="567"/>
      <c r="F340" s="567"/>
      <c r="G340" s="668"/>
    </row>
    <row r="341" spans="1:7" ht="24" customHeight="1">
      <c r="A341" s="1971"/>
      <c r="B341" s="1817"/>
      <c r="C341" s="1972"/>
      <c r="D341" s="669"/>
      <c r="E341" s="669"/>
      <c r="F341" s="669"/>
      <c r="G341" s="670"/>
    </row>
    <row r="342" spans="1:7" ht="14.25" customHeight="1">
      <c r="A342" s="416"/>
      <c r="B342" s="416"/>
      <c r="C342" s="416"/>
      <c r="D342" s="416"/>
      <c r="E342" s="416"/>
      <c r="F342" s="416"/>
      <c r="G342" s="416"/>
    </row>
    <row r="343" spans="1:7" ht="35.25" customHeight="1">
      <c r="A343" s="1973" t="e">
        <f ca="1">A11</f>
        <v>#NAME?</v>
      </c>
      <c r="B343" s="1601"/>
      <c r="C343" s="1602"/>
      <c r="D343" s="1974" t="s">
        <v>2509</v>
      </c>
      <c r="E343" s="1601"/>
      <c r="F343" s="1601"/>
      <c r="G343" s="1602"/>
    </row>
    <row r="344" spans="1:7" ht="14.25" customHeight="1">
      <c r="A344" s="418"/>
      <c r="B344" s="418"/>
      <c r="C344" s="418"/>
      <c r="D344" s="418"/>
      <c r="E344" s="418"/>
      <c r="F344" s="418"/>
      <c r="G344" s="418"/>
    </row>
    <row r="345" spans="1:7" ht="12.75" customHeight="1">
      <c r="A345" s="419"/>
      <c r="B345" s="416"/>
      <c r="C345" s="420"/>
      <c r="D345" s="421" t="s">
        <v>1553</v>
      </c>
      <c r="E345" s="422" t="s">
        <v>228</v>
      </c>
      <c r="F345" s="572"/>
      <c r="G345" s="572"/>
    </row>
    <row r="346" spans="1:7" ht="14.25" customHeight="1">
      <c r="A346" s="423" t="s">
        <v>1555</v>
      </c>
      <c r="B346" s="416"/>
      <c r="C346" s="416"/>
      <c r="D346" s="416"/>
      <c r="E346" s="416"/>
      <c r="F346" s="416"/>
      <c r="G346" s="416"/>
    </row>
    <row r="347" spans="1:7" ht="13.5" customHeight="1">
      <c r="A347" s="1975" t="s">
        <v>1556</v>
      </c>
      <c r="B347" s="1601"/>
      <c r="C347" s="1801"/>
      <c r="D347" s="424" t="s">
        <v>208</v>
      </c>
      <c r="E347" s="424" t="s">
        <v>1558</v>
      </c>
      <c r="F347" s="424" t="s">
        <v>1559</v>
      </c>
      <c r="G347" s="425"/>
    </row>
    <row r="348" spans="1:7" ht="14.25" customHeight="1">
      <c r="A348" s="1981" t="str">
        <f>+'LISTADO EQUIPOS'!$C$22</f>
        <v>HERRAMIENTA MENOR.</v>
      </c>
      <c r="B348" s="1811"/>
      <c r="C348" s="1967"/>
      <c r="D348" s="449">
        <f>+'LISTADO EQUIPOS'!$E$22/8</f>
        <v>2850</v>
      </c>
      <c r="E348" s="427">
        <f>+E365</f>
        <v>0.28000000000000003</v>
      </c>
      <c r="F348" s="428">
        <f t="shared" ref="F348:F349" si="20">+E348*D348</f>
        <v>798.00000000000011</v>
      </c>
      <c r="G348" s="429"/>
    </row>
    <row r="349" spans="1:7" ht="14.25" customHeight="1">
      <c r="A349" s="1988" t="str">
        <f>+'LISTADO EQUIPOS'!$C$47</f>
        <v>ANDAMIO TUBULAR. 1.5 x 1.5 SECCIÓN</v>
      </c>
      <c r="B349" s="1610"/>
      <c r="C349" s="1611"/>
      <c r="D349" s="431">
        <f>+'LISTADO EQUIPOS'!$E$47</f>
        <v>1750</v>
      </c>
      <c r="E349" s="430">
        <v>0.2</v>
      </c>
      <c r="F349" s="689">
        <f t="shared" si="20"/>
        <v>350</v>
      </c>
      <c r="G349" s="432"/>
    </row>
    <row r="350" spans="1:7" ht="14.25" customHeight="1">
      <c r="A350" s="2003" t="s">
        <v>1560</v>
      </c>
      <c r="B350" s="1601"/>
      <c r="C350" s="1601"/>
      <c r="D350" s="1601"/>
      <c r="E350" s="1601"/>
      <c r="F350" s="1801"/>
      <c r="G350" s="436">
        <f>SUM(F348:F349)</f>
        <v>1148</v>
      </c>
    </row>
    <row r="351" spans="1:7" ht="14.25" customHeight="1">
      <c r="A351" s="423" t="s">
        <v>1561</v>
      </c>
      <c r="B351" s="416"/>
      <c r="C351" s="416"/>
      <c r="D351" s="416"/>
      <c r="E351" s="416"/>
      <c r="F351" s="416"/>
      <c r="G351" s="437"/>
    </row>
    <row r="352" spans="1:7" ht="14.25" customHeight="1">
      <c r="A352" s="1975" t="s">
        <v>1556</v>
      </c>
      <c r="B352" s="1801"/>
      <c r="C352" s="424" t="s">
        <v>6</v>
      </c>
      <c r="D352" s="424" t="s">
        <v>1562</v>
      </c>
      <c r="E352" s="424" t="s">
        <v>7</v>
      </c>
      <c r="F352" s="424" t="s">
        <v>1559</v>
      </c>
      <c r="G352" s="673"/>
    </row>
    <row r="353" spans="1:7" ht="14.25" customHeight="1">
      <c r="A353" s="1987" t="str">
        <f>+'LISTADO MATERIALES'!$C$394</f>
        <v>LIJA PLIEGO 9"X11"</v>
      </c>
      <c r="B353" s="1967"/>
      <c r="C353" s="674" t="str">
        <f>+'LISTADO MATERIALES'!$D$394</f>
        <v>UND</v>
      </c>
      <c r="D353" s="675">
        <f>+'LISTADO MATERIALES'!$E$394</f>
        <v>1260</v>
      </c>
      <c r="E353" s="687">
        <v>0.01</v>
      </c>
      <c r="F353" s="442">
        <f t="shared" ref="F353:F354" si="21">+E353*D353</f>
        <v>12.6</v>
      </c>
      <c r="G353" s="676"/>
    </row>
    <row r="354" spans="1:7" ht="14.25" customHeight="1">
      <c r="A354" s="1995" t="str">
        <f>+'LISTADO MATERIALES'!$C$405</f>
        <v>VINILTEX</v>
      </c>
      <c r="B354" s="1611"/>
      <c r="C354" s="444" t="str">
        <f>+'LISTADO MATERIALES'!$D$405</f>
        <v>GAL</v>
      </c>
      <c r="D354" s="464">
        <f>+'LISTADO MATERIALES'!$E$405</f>
        <v>51030</v>
      </c>
      <c r="E354" s="706">
        <v>0.03</v>
      </c>
      <c r="F354" s="440">
        <f t="shared" si="21"/>
        <v>1530.8999999999999</v>
      </c>
      <c r="G354" s="707"/>
    </row>
    <row r="355" spans="1:7" ht="14.25" customHeight="1">
      <c r="A355" s="1995"/>
      <c r="B355" s="1611"/>
      <c r="C355" s="444"/>
      <c r="D355" s="464"/>
      <c r="E355" s="706"/>
      <c r="F355" s="464"/>
      <c r="G355" s="707"/>
    </row>
    <row r="356" spans="1:7" ht="14.25" customHeight="1">
      <c r="A356" s="1996"/>
      <c r="B356" s="1819"/>
      <c r="C356" s="708"/>
      <c r="D356" s="434"/>
      <c r="E356" s="708"/>
      <c r="F356" s="434"/>
      <c r="G356" s="709"/>
    </row>
    <row r="357" spans="1:7" ht="14.25" customHeight="1">
      <c r="A357" s="2003" t="s">
        <v>1560</v>
      </c>
      <c r="B357" s="1601"/>
      <c r="C357" s="1601"/>
      <c r="D357" s="1601"/>
      <c r="E357" s="1601"/>
      <c r="F357" s="1801"/>
      <c r="G357" s="436">
        <f>SUM(F353:F356)</f>
        <v>1543.4999999999998</v>
      </c>
    </row>
    <row r="358" spans="1:7" ht="14.25" customHeight="1">
      <c r="A358" s="423" t="s">
        <v>1563</v>
      </c>
      <c r="B358" s="416"/>
      <c r="C358" s="416"/>
      <c r="D358" s="416"/>
      <c r="E358" s="416"/>
      <c r="F358" s="416"/>
      <c r="G358" s="437"/>
    </row>
    <row r="359" spans="1:7" ht="14.25" customHeight="1">
      <c r="A359" s="1975" t="s">
        <v>1556</v>
      </c>
      <c r="B359" s="1801"/>
      <c r="C359" s="424" t="s">
        <v>6</v>
      </c>
      <c r="D359" s="424" t="s">
        <v>1562</v>
      </c>
      <c r="E359" s="424" t="s">
        <v>7</v>
      </c>
      <c r="F359" s="424" t="s">
        <v>1559</v>
      </c>
      <c r="G359" s="438"/>
    </row>
    <row r="360" spans="1:7" ht="14.25" customHeight="1">
      <c r="A360" s="1981"/>
      <c r="B360" s="1967"/>
      <c r="C360" s="448"/>
      <c r="D360" s="449"/>
      <c r="E360" s="450"/>
      <c r="F360" s="431"/>
      <c r="G360" s="443"/>
    </row>
    <row r="361" spans="1:7" ht="14.25" customHeight="1">
      <c r="A361" s="1982"/>
      <c r="B361" s="1819"/>
      <c r="C361" s="448"/>
      <c r="D361" s="451"/>
      <c r="E361" s="452"/>
      <c r="F361" s="451"/>
      <c r="G361" s="447"/>
    </row>
    <row r="362" spans="1:7" ht="14.25" customHeight="1">
      <c r="A362" s="2003" t="s">
        <v>1560</v>
      </c>
      <c r="B362" s="1601"/>
      <c r="C362" s="1601"/>
      <c r="D362" s="1601"/>
      <c r="E362" s="1601"/>
      <c r="F362" s="1801"/>
      <c r="G362" s="436"/>
    </row>
    <row r="363" spans="1:7" ht="14.25" customHeight="1">
      <c r="A363" s="423" t="s">
        <v>1564</v>
      </c>
      <c r="B363" s="416"/>
      <c r="C363" s="416"/>
      <c r="D363" s="416"/>
      <c r="E363" s="416"/>
      <c r="F363" s="416"/>
      <c r="G363" s="437"/>
    </row>
    <row r="364" spans="1:7" ht="14.25" customHeight="1">
      <c r="A364" s="1975" t="s">
        <v>1565</v>
      </c>
      <c r="B364" s="1801"/>
      <c r="C364" s="424" t="s">
        <v>1566</v>
      </c>
      <c r="D364" s="424" t="s">
        <v>6</v>
      </c>
      <c r="E364" s="424" t="s">
        <v>7</v>
      </c>
      <c r="F364" s="424" t="s">
        <v>1559</v>
      </c>
      <c r="G364" s="462"/>
    </row>
    <row r="365" spans="1:7" ht="14.25" customHeight="1">
      <c r="A365" s="2004" t="str">
        <f>+'MANO DE OBRA'!$A$76:$E$76</f>
        <v>MANO DE OBRA - PINTURA</v>
      </c>
      <c r="B365" s="1888"/>
      <c r="C365" s="679">
        <f>+'MANO DE OBRA'!$E$81</f>
        <v>29904.671875</v>
      </c>
      <c r="D365" s="680">
        <v>1</v>
      </c>
      <c r="E365" s="680">
        <v>0.28000000000000003</v>
      </c>
      <c r="F365" s="694">
        <f t="shared" ref="F365:F366" si="22">+(C365*D365)*E365</f>
        <v>8373.3081250000014</v>
      </c>
      <c r="G365" s="443"/>
    </row>
    <row r="366" spans="1:7" ht="14.25" customHeight="1">
      <c r="A366" s="1968" t="str">
        <f>+'MANO DE OBRA'!$A$65</f>
        <v>Ayudante (Incl. Prestaciones)</v>
      </c>
      <c r="B366" s="1819"/>
      <c r="C366" s="681">
        <f>+'MANO DE OBRA'!$E$65</f>
        <v>10972.8125</v>
      </c>
      <c r="D366" s="562">
        <v>1</v>
      </c>
      <c r="E366" s="562">
        <f>+E365</f>
        <v>0.28000000000000003</v>
      </c>
      <c r="F366" s="695">
        <f t="shared" si="22"/>
        <v>3072.3875000000003</v>
      </c>
      <c r="G366" s="456"/>
    </row>
    <row r="367" spans="1:7" ht="14.25" customHeight="1">
      <c r="A367" s="2003" t="str">
        <f>+A362</f>
        <v>SUB-TOTAL</v>
      </c>
      <c r="B367" s="1601"/>
      <c r="C367" s="1601"/>
      <c r="D367" s="1601"/>
      <c r="E367" s="1601"/>
      <c r="F367" s="1801"/>
      <c r="G367" s="436">
        <f>SUM(F365:F366)</f>
        <v>11445.695625000002</v>
      </c>
    </row>
    <row r="369" spans="1:7" ht="14.25" customHeight="1">
      <c r="A369" s="2003" t="s">
        <v>1567</v>
      </c>
      <c r="B369" s="1601"/>
      <c r="C369" s="1601"/>
      <c r="D369" s="1601"/>
      <c r="E369" s="1601"/>
      <c r="F369" s="1801"/>
      <c r="G369" s="682">
        <f>ROUND(G350+G357+G362+G367,0)</f>
        <v>14137</v>
      </c>
    </row>
    <row r="370" spans="1:7" ht="14.25" customHeight="1">
      <c r="A370" s="420"/>
      <c r="B370" s="420"/>
      <c r="C370" s="420"/>
      <c r="D370" s="420"/>
      <c r="E370" s="420"/>
      <c r="F370" s="420"/>
      <c r="G370" s="420"/>
    </row>
    <row r="371" spans="1:7" ht="14.25" customHeight="1">
      <c r="A371" s="420"/>
      <c r="B371" s="420"/>
      <c r="C371" s="420"/>
      <c r="D371" s="420"/>
      <c r="E371" s="420"/>
      <c r="F371" s="420"/>
      <c r="G371" s="420"/>
    </row>
    <row r="372" spans="1:7" ht="27" customHeight="1">
      <c r="A372" s="2005" t="s">
        <v>1604</v>
      </c>
      <c r="B372" s="1616"/>
      <c r="C372" s="1624"/>
      <c r="D372" s="567"/>
      <c r="E372" s="567"/>
      <c r="F372" s="567"/>
      <c r="G372" s="668"/>
    </row>
    <row r="373" spans="1:7" ht="24" customHeight="1">
      <c r="A373" s="1971"/>
      <c r="B373" s="1817"/>
      <c r="C373" s="1972"/>
      <c r="D373" s="669"/>
      <c r="E373" s="669"/>
      <c r="F373" s="669"/>
      <c r="G373" s="670"/>
    </row>
    <row r="374" spans="1:7" ht="14.25" customHeight="1">
      <c r="A374" s="416"/>
      <c r="B374" s="416"/>
      <c r="C374" s="416"/>
      <c r="D374" s="416"/>
      <c r="E374" s="416"/>
      <c r="F374" s="416"/>
      <c r="G374" s="416"/>
    </row>
    <row r="375" spans="1:7" ht="35.25" customHeight="1">
      <c r="A375" s="1973" t="e">
        <f ca="1">A11</f>
        <v>#NAME?</v>
      </c>
      <c r="B375" s="1601"/>
      <c r="C375" s="1602"/>
      <c r="D375" s="1974" t="s">
        <v>2510</v>
      </c>
      <c r="E375" s="1601"/>
      <c r="F375" s="1601"/>
      <c r="G375" s="1602"/>
    </row>
    <row r="376" spans="1:7" ht="14.25" customHeight="1">
      <c r="A376" s="418"/>
      <c r="B376" s="418"/>
      <c r="C376" s="418"/>
      <c r="D376" s="418"/>
      <c r="E376" s="418"/>
      <c r="F376" s="418"/>
      <c r="G376" s="418"/>
    </row>
    <row r="377" spans="1:7" ht="12.75" customHeight="1">
      <c r="A377" s="419"/>
      <c r="B377" s="416"/>
      <c r="C377" s="420"/>
      <c r="D377" s="421" t="s">
        <v>1553</v>
      </c>
      <c r="E377" s="422" t="s">
        <v>228</v>
      </c>
      <c r="F377" s="572"/>
      <c r="G377" s="572"/>
    </row>
    <row r="378" spans="1:7" ht="14.25" customHeight="1">
      <c r="A378" s="423" t="s">
        <v>1555</v>
      </c>
      <c r="B378" s="416"/>
      <c r="C378" s="416"/>
      <c r="D378" s="416"/>
      <c r="E378" s="416"/>
      <c r="F378" s="416"/>
      <c r="G378" s="416"/>
    </row>
    <row r="379" spans="1:7" ht="13.5" customHeight="1">
      <c r="A379" s="1975" t="s">
        <v>1556</v>
      </c>
      <c r="B379" s="1601"/>
      <c r="C379" s="1801"/>
      <c r="D379" s="424" t="s">
        <v>208</v>
      </c>
      <c r="E379" s="424" t="s">
        <v>1558</v>
      </c>
      <c r="F379" s="424" t="s">
        <v>1559</v>
      </c>
      <c r="G379" s="425"/>
    </row>
    <row r="380" spans="1:7" ht="14.25" customHeight="1">
      <c r="A380" s="1981" t="str">
        <f>+'LISTADO EQUIPOS'!$C$22</f>
        <v>HERRAMIENTA MENOR.</v>
      </c>
      <c r="B380" s="1811"/>
      <c r="C380" s="1967"/>
      <c r="D380" s="449">
        <f>+'LISTADO EQUIPOS'!$E$22/8</f>
        <v>2850</v>
      </c>
      <c r="E380" s="427">
        <f>+E397</f>
        <v>0.38</v>
      </c>
      <c r="F380" s="428">
        <f t="shared" ref="F380:F381" si="23">+E380*D380</f>
        <v>1083</v>
      </c>
      <c r="G380" s="429"/>
    </row>
    <row r="381" spans="1:7" ht="14.25" customHeight="1">
      <c r="A381" s="1988" t="str">
        <f>+'LISTADO EQUIPOS'!$C$47</f>
        <v>ANDAMIO TUBULAR. 1.5 x 1.5 SECCIÓN</v>
      </c>
      <c r="B381" s="1610"/>
      <c r="C381" s="1611"/>
      <c r="D381" s="431">
        <f>+'LISTADO EQUIPOS'!$E$47</f>
        <v>1750</v>
      </c>
      <c r="E381" s="430">
        <v>0.2</v>
      </c>
      <c r="F381" s="689">
        <f t="shared" si="23"/>
        <v>350</v>
      </c>
      <c r="G381" s="432"/>
    </row>
    <row r="382" spans="1:7" ht="14.25" customHeight="1">
      <c r="A382" s="2003" t="s">
        <v>1560</v>
      </c>
      <c r="B382" s="1601"/>
      <c r="C382" s="1601"/>
      <c r="D382" s="1601"/>
      <c r="E382" s="1601"/>
      <c r="F382" s="1801"/>
      <c r="G382" s="436">
        <f>SUM(F380:F381)</f>
        <v>1433</v>
      </c>
    </row>
    <row r="383" spans="1:7" ht="14.25" customHeight="1">
      <c r="A383" s="423" t="s">
        <v>1561</v>
      </c>
      <c r="B383" s="416"/>
      <c r="C383" s="416"/>
      <c r="D383" s="416"/>
      <c r="E383" s="416"/>
      <c r="F383" s="416"/>
      <c r="G383" s="437"/>
    </row>
    <row r="384" spans="1:7" ht="14.25" customHeight="1">
      <c r="A384" s="1975" t="s">
        <v>1556</v>
      </c>
      <c r="B384" s="1801"/>
      <c r="C384" s="424" t="s">
        <v>6</v>
      </c>
      <c r="D384" s="424" t="s">
        <v>1562</v>
      </c>
      <c r="E384" s="424" t="s">
        <v>7</v>
      </c>
      <c r="F384" s="424" t="s">
        <v>1559</v>
      </c>
      <c r="G384" s="673"/>
    </row>
    <row r="385" spans="1:7" ht="14.25" customHeight="1">
      <c r="A385" s="1988" t="str">
        <f>+'LISTADO MATERIALES'!$C$148</f>
        <v>ESTUCO</v>
      </c>
      <c r="B385" s="1611"/>
      <c r="C385" s="677" t="str">
        <f>+'LISTADO MATERIALES'!$D$148</f>
        <v>KG</v>
      </c>
      <c r="D385" s="431">
        <f>+'LISTADO MATERIALES'!$E$148</f>
        <v>2100</v>
      </c>
      <c r="E385" s="430">
        <v>3</v>
      </c>
      <c r="F385" s="689">
        <f t="shared" ref="F385:F387" si="24">+E385*D385</f>
        <v>6300</v>
      </c>
      <c r="G385" s="445"/>
    </row>
    <row r="386" spans="1:7" ht="14.25" customHeight="1">
      <c r="A386" s="1988" t="str">
        <f>+'LISTADO MATERIALES'!$C$723</f>
        <v>AGUA</v>
      </c>
      <c r="B386" s="1611"/>
      <c r="C386" s="677" t="str">
        <f>+'LISTADO MATERIALES'!$D$723</f>
        <v>LT</v>
      </c>
      <c r="D386" s="431">
        <f>+'LISTADO MATERIALES'!$E$723</f>
        <v>21</v>
      </c>
      <c r="E386" s="430">
        <v>1</v>
      </c>
      <c r="F386" s="689">
        <f t="shared" si="24"/>
        <v>21</v>
      </c>
      <c r="G386" s="445"/>
    </row>
    <row r="387" spans="1:7" ht="14.25" customHeight="1">
      <c r="A387" s="1988" t="str">
        <f>+'LISTADO MATERIALES'!$C$405</f>
        <v>VINILTEX</v>
      </c>
      <c r="B387" s="1611"/>
      <c r="C387" s="677" t="str">
        <f>+'LISTADO MATERIALES'!$D$405</f>
        <v>GAL</v>
      </c>
      <c r="D387" s="431">
        <f>+'LISTADO MATERIALES'!$E$405</f>
        <v>51030</v>
      </c>
      <c r="E387" s="430">
        <v>0.06</v>
      </c>
      <c r="F387" s="689">
        <f t="shared" si="24"/>
        <v>3061.7999999999997</v>
      </c>
      <c r="G387" s="445"/>
    </row>
    <row r="388" spans="1:7" ht="14.25" customHeight="1">
      <c r="A388" s="1982"/>
      <c r="B388" s="1819"/>
      <c r="C388" s="678"/>
      <c r="D388" s="451"/>
      <c r="E388" s="678"/>
      <c r="F388" s="451"/>
      <c r="G388" s="456"/>
    </row>
    <row r="389" spans="1:7" ht="14.25" customHeight="1">
      <c r="A389" s="2003" t="s">
        <v>1560</v>
      </c>
      <c r="B389" s="1601"/>
      <c r="C389" s="1601"/>
      <c r="D389" s="1601"/>
      <c r="E389" s="1601"/>
      <c r="F389" s="1801"/>
      <c r="G389" s="436">
        <f>SUM(F385:F388)</f>
        <v>9382.7999999999993</v>
      </c>
    </row>
    <row r="390" spans="1:7" ht="14.25" customHeight="1">
      <c r="A390" s="423" t="s">
        <v>1563</v>
      </c>
      <c r="B390" s="416"/>
      <c r="C390" s="416"/>
      <c r="D390" s="416"/>
      <c r="E390" s="416"/>
      <c r="F390" s="416"/>
      <c r="G390" s="437"/>
    </row>
    <row r="391" spans="1:7" ht="14.25" customHeight="1">
      <c r="A391" s="1975" t="s">
        <v>1556</v>
      </c>
      <c r="B391" s="1801"/>
      <c r="C391" s="424" t="s">
        <v>6</v>
      </c>
      <c r="D391" s="424" t="s">
        <v>1562</v>
      </c>
      <c r="E391" s="424" t="s">
        <v>7</v>
      </c>
      <c r="F391" s="424" t="s">
        <v>1559</v>
      </c>
      <c r="G391" s="438"/>
    </row>
    <row r="392" spans="1:7" ht="14.25" customHeight="1">
      <c r="A392" s="1981"/>
      <c r="B392" s="1967"/>
      <c r="C392" s="448"/>
      <c r="D392" s="449"/>
      <c r="E392" s="450"/>
      <c r="F392" s="431"/>
      <c r="G392" s="443"/>
    </row>
    <row r="393" spans="1:7" ht="14.25" customHeight="1">
      <c r="A393" s="1982"/>
      <c r="B393" s="1819"/>
      <c r="C393" s="448"/>
      <c r="D393" s="451"/>
      <c r="E393" s="452"/>
      <c r="F393" s="451"/>
      <c r="G393" s="447"/>
    </row>
    <row r="394" spans="1:7" ht="14.25" customHeight="1">
      <c r="A394" s="2003" t="s">
        <v>1560</v>
      </c>
      <c r="B394" s="1601"/>
      <c r="C394" s="1601"/>
      <c r="D394" s="1601"/>
      <c r="E394" s="1601"/>
      <c r="F394" s="1801"/>
      <c r="G394" s="436"/>
    </row>
    <row r="395" spans="1:7" ht="14.25" customHeight="1">
      <c r="A395" s="423" t="s">
        <v>1564</v>
      </c>
      <c r="B395" s="416"/>
      <c r="C395" s="416"/>
      <c r="D395" s="416"/>
      <c r="E395" s="416"/>
      <c r="F395" s="416"/>
      <c r="G395" s="437"/>
    </row>
    <row r="396" spans="1:7" ht="14.25" customHeight="1">
      <c r="A396" s="1975" t="s">
        <v>1565</v>
      </c>
      <c r="B396" s="1801"/>
      <c r="C396" s="424" t="s">
        <v>1566</v>
      </c>
      <c r="D396" s="424" t="s">
        <v>6</v>
      </c>
      <c r="E396" s="424" t="s">
        <v>7</v>
      </c>
      <c r="F396" s="424" t="s">
        <v>1559</v>
      </c>
      <c r="G396" s="462"/>
    </row>
    <row r="397" spans="1:7" ht="14.25" customHeight="1">
      <c r="A397" s="2004" t="str">
        <f>+'MANO DE OBRA'!$A$76:$E$76</f>
        <v>MANO DE OBRA - PINTURA</v>
      </c>
      <c r="B397" s="1888"/>
      <c r="C397" s="679">
        <f>+'MANO DE OBRA'!$E$81</f>
        <v>29904.671875</v>
      </c>
      <c r="D397" s="680">
        <v>1</v>
      </c>
      <c r="E397" s="680">
        <v>0.38</v>
      </c>
      <c r="F397" s="694">
        <f>+(C397*D397)*E397</f>
        <v>11363.7753125</v>
      </c>
      <c r="G397" s="443"/>
    </row>
    <row r="398" spans="1:7" ht="14.25" customHeight="1">
      <c r="A398" s="1968"/>
      <c r="B398" s="1819"/>
      <c r="C398" s="681"/>
      <c r="D398" s="562"/>
      <c r="E398" s="562"/>
      <c r="F398" s="711"/>
      <c r="G398" s="456"/>
    </row>
    <row r="399" spans="1:7" ht="14.25" customHeight="1">
      <c r="A399" s="2003" t="str">
        <f>+A394</f>
        <v>SUB-TOTAL</v>
      </c>
      <c r="B399" s="1601"/>
      <c r="C399" s="1601"/>
      <c r="D399" s="1601"/>
      <c r="E399" s="1601"/>
      <c r="F399" s="1801"/>
      <c r="G399" s="436">
        <f>SUM(F397:F398)</f>
        <v>11363.7753125</v>
      </c>
    </row>
    <row r="401" spans="1:9" ht="14.25" customHeight="1">
      <c r="A401" s="2003" t="s">
        <v>1567</v>
      </c>
      <c r="B401" s="1601"/>
      <c r="C401" s="1601"/>
      <c r="D401" s="1601"/>
      <c r="E401" s="1601"/>
      <c r="F401" s="1801"/>
      <c r="G401" s="682">
        <f>ROUND(G382+G389+G394+G399,0)</f>
        <v>22180</v>
      </c>
    </row>
    <row r="402" spans="1:9" ht="14.25" customHeight="1">
      <c r="A402" s="420"/>
      <c r="B402" s="420"/>
      <c r="C402" s="420"/>
      <c r="D402" s="420"/>
      <c r="E402" s="420"/>
      <c r="F402" s="420"/>
      <c r="G402" s="420"/>
    </row>
    <row r="403" spans="1:9" ht="14.25" customHeight="1">
      <c r="A403" s="420"/>
      <c r="B403" s="420"/>
      <c r="C403" s="420"/>
      <c r="D403" s="420"/>
      <c r="E403" s="420"/>
      <c r="F403" s="420"/>
      <c r="G403" s="420"/>
    </row>
    <row r="404" spans="1:9" ht="23.25" customHeight="1">
      <c r="A404" s="1989" t="e">
        <f>+'ANALISIS BASICOS'!$A$7</f>
        <v>#REF!</v>
      </c>
      <c r="B404" s="1616"/>
      <c r="C404" s="1624"/>
      <c r="D404" s="1990" t="s">
        <v>1195</v>
      </c>
      <c r="E404" s="1616"/>
      <c r="F404" s="1616"/>
      <c r="G404" s="1624"/>
    </row>
    <row r="405" spans="1:9" ht="21.75" customHeight="1">
      <c r="A405" s="1971"/>
      <c r="B405" s="1817"/>
      <c r="C405" s="1972"/>
      <c r="D405" s="1971"/>
      <c r="E405" s="1817"/>
      <c r="F405" s="1817"/>
      <c r="G405" s="1972"/>
    </row>
    <row r="406" spans="1:9" ht="14.25" customHeight="1">
      <c r="A406" s="416"/>
      <c r="B406" s="416"/>
      <c r="C406" s="416"/>
      <c r="D406" s="416"/>
      <c r="E406" s="416"/>
      <c r="F406" s="416"/>
      <c r="G406" s="416"/>
    </row>
    <row r="407" spans="1:9" ht="50.25" customHeight="1">
      <c r="A407" s="1991" t="e">
        <f ca="1">A11</f>
        <v>#NAME?</v>
      </c>
      <c r="B407" s="1601"/>
      <c r="C407" s="1602"/>
      <c r="D407" s="1975" t="s">
        <v>2511</v>
      </c>
      <c r="E407" s="1601"/>
      <c r="F407" s="1601"/>
      <c r="G407" s="1602"/>
      <c r="I407" s="50" t="s">
        <v>2512</v>
      </c>
    </row>
    <row r="408" spans="1:9" ht="14.25" customHeight="1">
      <c r="A408" s="418"/>
      <c r="B408" s="418"/>
      <c r="C408" s="418"/>
      <c r="D408" s="418"/>
      <c r="E408" s="418"/>
      <c r="F408" s="418"/>
      <c r="G408" s="418"/>
    </row>
    <row r="409" spans="1:9" ht="12.75" customHeight="1">
      <c r="A409" s="419"/>
      <c r="B409" s="416"/>
      <c r="C409" s="420"/>
      <c r="D409" s="421" t="s">
        <v>1553</v>
      </c>
      <c r="E409" s="422" t="s">
        <v>228</v>
      </c>
      <c r="F409" s="421" t="s">
        <v>1554</v>
      </c>
      <c r="G409" s="422" t="s">
        <v>156</v>
      </c>
    </row>
    <row r="410" spans="1:9" ht="14.25" customHeight="1">
      <c r="A410" s="423" t="s">
        <v>1555</v>
      </c>
      <c r="B410" s="416"/>
      <c r="C410" s="416"/>
      <c r="D410" s="416"/>
      <c r="E410" s="416"/>
      <c r="F410" s="416"/>
      <c r="G410" s="416"/>
    </row>
    <row r="411" spans="1:9" ht="13.5" customHeight="1">
      <c r="A411" s="1975" t="s">
        <v>1556</v>
      </c>
      <c r="B411" s="1601"/>
      <c r="C411" s="1801"/>
      <c r="D411" s="424" t="s">
        <v>208</v>
      </c>
      <c r="E411" s="424" t="s">
        <v>1558</v>
      </c>
      <c r="F411" s="424" t="s">
        <v>1559</v>
      </c>
      <c r="G411" s="425"/>
      <c r="H411" s="616"/>
      <c r="I411" s="616"/>
    </row>
    <row r="412" spans="1:9" ht="14.25" customHeight="1">
      <c r="A412" s="1981" t="str">
        <f>+'LISTADO EQUIPOS'!$C$22</f>
        <v>HERRAMIENTA MENOR.</v>
      </c>
      <c r="B412" s="1811"/>
      <c r="C412" s="1967"/>
      <c r="D412" s="449">
        <f>+'LISTADO EQUIPOS'!$E$22/8</f>
        <v>2850</v>
      </c>
      <c r="E412" s="427">
        <v>0.3</v>
      </c>
      <c r="F412" s="449">
        <f t="shared" ref="F412:F413" si="25">+E412*D412</f>
        <v>855</v>
      </c>
      <c r="G412" s="429"/>
    </row>
    <row r="413" spans="1:9" ht="14.25" customHeight="1">
      <c r="A413" s="1988" t="str">
        <f>+'LISTADO EQUIPOS'!$C$47</f>
        <v>ANDAMIO TUBULAR. 1.5 x 1.5 SECCIÓN</v>
      </c>
      <c r="B413" s="1610"/>
      <c r="C413" s="1611"/>
      <c r="D413" s="431">
        <f>+INSUMOS!H46</f>
        <v>3420</v>
      </c>
      <c r="E413" s="430">
        <v>1.5</v>
      </c>
      <c r="F413" s="431">
        <f t="shared" si="25"/>
        <v>5130</v>
      </c>
      <c r="G413" s="432"/>
    </row>
    <row r="414" spans="1:9" ht="14.25" customHeight="1">
      <c r="A414" s="2003" t="s">
        <v>1560</v>
      </c>
      <c r="B414" s="1601"/>
      <c r="C414" s="1601"/>
      <c r="D414" s="1601"/>
      <c r="E414" s="1601"/>
      <c r="F414" s="1801"/>
      <c r="G414" s="692">
        <f>SUM(F412:F413)</f>
        <v>5985</v>
      </c>
    </row>
    <row r="415" spans="1:9" ht="14.25" customHeight="1">
      <c r="A415" s="423" t="s">
        <v>1561</v>
      </c>
      <c r="B415" s="416"/>
      <c r="C415" s="416"/>
      <c r="D415" s="416"/>
      <c r="E415" s="416"/>
      <c r="F415" s="416"/>
      <c r="G415" s="416"/>
    </row>
    <row r="416" spans="1:9" ht="14.25" customHeight="1">
      <c r="A416" s="1975" t="s">
        <v>1556</v>
      </c>
      <c r="B416" s="1801"/>
      <c r="C416" s="424" t="s">
        <v>6</v>
      </c>
      <c r="D416" s="424" t="s">
        <v>1562</v>
      </c>
      <c r="E416" s="424" t="s">
        <v>7</v>
      </c>
      <c r="F416" s="424" t="s">
        <v>1559</v>
      </c>
      <c r="G416" s="425"/>
      <c r="H416" s="616"/>
      <c r="I416" s="616"/>
    </row>
    <row r="417" spans="1:7" ht="14.25" customHeight="1">
      <c r="A417" s="1981" t="str">
        <f>+'LISTADO MATERIALES'!$C$383</f>
        <v>GRANIPLAST</v>
      </c>
      <c r="B417" s="1967"/>
      <c r="C417" s="699" t="str">
        <f>+'LISTADO MATERIALES'!$D$383</f>
        <v>CÑ</v>
      </c>
      <c r="D417" s="449">
        <f>+INSUMOS!H47</f>
        <v>156900</v>
      </c>
      <c r="E417" s="427">
        <v>0.12</v>
      </c>
      <c r="F417" s="449">
        <f t="shared" ref="F417:F418" si="26">+E417*D417</f>
        <v>18828</v>
      </c>
      <c r="G417" s="429"/>
    </row>
    <row r="418" spans="1:7" ht="14.25" customHeight="1">
      <c r="A418" s="1988" t="str">
        <f>+'LISTADO MATERIALES'!$C$723</f>
        <v>AGUA</v>
      </c>
      <c r="B418" s="1611"/>
      <c r="C418" s="677" t="str">
        <f>+'LISTADO MATERIALES'!$D$723</f>
        <v>LT</v>
      </c>
      <c r="D418" s="431">
        <f>+INSUMOS!H7</f>
        <v>30</v>
      </c>
      <c r="E418" s="430">
        <v>1</v>
      </c>
      <c r="F418" s="431">
        <f t="shared" si="26"/>
        <v>30</v>
      </c>
      <c r="G418" s="432"/>
    </row>
    <row r="419" spans="1:7" ht="14.25" customHeight="1">
      <c r="A419" s="1988"/>
      <c r="B419" s="1611"/>
      <c r="C419" s="677"/>
      <c r="D419" s="431"/>
      <c r="E419" s="677"/>
      <c r="F419" s="431"/>
      <c r="G419" s="432"/>
    </row>
    <row r="420" spans="1:7" ht="14.25" customHeight="1">
      <c r="A420" s="1982"/>
      <c r="B420" s="1819"/>
      <c r="C420" s="678"/>
      <c r="D420" s="451"/>
      <c r="E420" s="678"/>
      <c r="F420" s="451"/>
      <c r="G420" s="672"/>
    </row>
    <row r="421" spans="1:7" ht="14.25" customHeight="1">
      <c r="A421" s="2003" t="s">
        <v>1560</v>
      </c>
      <c r="B421" s="1601"/>
      <c r="C421" s="1601"/>
      <c r="D421" s="1601"/>
      <c r="E421" s="1601"/>
      <c r="F421" s="1801"/>
      <c r="G421" s="692">
        <f>SUM(F417:F420)</f>
        <v>18858</v>
      </c>
    </row>
    <row r="422" spans="1:7" ht="14.25" customHeight="1">
      <c r="A422" s="423" t="s">
        <v>1563</v>
      </c>
      <c r="B422" s="416"/>
      <c r="C422" s="416"/>
      <c r="D422" s="416"/>
      <c r="E422" s="416"/>
      <c r="F422" s="416"/>
      <c r="G422" s="416"/>
    </row>
    <row r="423" spans="1:7" ht="14.25" customHeight="1">
      <c r="A423" s="1975" t="s">
        <v>1556</v>
      </c>
      <c r="B423" s="1801"/>
      <c r="C423" s="424" t="s">
        <v>6</v>
      </c>
      <c r="D423" s="424" t="s">
        <v>1562</v>
      </c>
      <c r="E423" s="424" t="s">
        <v>7</v>
      </c>
      <c r="F423" s="424" t="s">
        <v>1559</v>
      </c>
      <c r="G423" s="690"/>
    </row>
    <row r="424" spans="1:7" ht="14.25" customHeight="1">
      <c r="A424" s="1981"/>
      <c r="B424" s="1967"/>
      <c r="C424" s="448"/>
      <c r="D424" s="449"/>
      <c r="E424" s="450"/>
      <c r="F424" s="431"/>
      <c r="G424" s="429"/>
    </row>
    <row r="425" spans="1:7" ht="14.25" customHeight="1">
      <c r="A425" s="1982"/>
      <c r="B425" s="1819"/>
      <c r="C425" s="448"/>
      <c r="D425" s="451"/>
      <c r="E425" s="452"/>
      <c r="F425" s="451"/>
      <c r="G425" s="691"/>
    </row>
    <row r="426" spans="1:7" ht="14.25" customHeight="1">
      <c r="A426" s="2003" t="s">
        <v>1560</v>
      </c>
      <c r="B426" s="1601"/>
      <c r="C426" s="1601"/>
      <c r="D426" s="1601"/>
      <c r="E426" s="1601"/>
      <c r="F426" s="1801"/>
      <c r="G426" s="692"/>
    </row>
    <row r="427" spans="1:7" ht="14.25" customHeight="1">
      <c r="A427" s="423" t="s">
        <v>1564</v>
      </c>
      <c r="B427" s="416"/>
      <c r="C427" s="416"/>
      <c r="D427" s="416"/>
      <c r="E427" s="416"/>
      <c r="F427" s="416"/>
      <c r="G427" s="416"/>
    </row>
    <row r="428" spans="1:7" ht="14.25" customHeight="1">
      <c r="A428" s="1975" t="s">
        <v>1565</v>
      </c>
      <c r="B428" s="1801"/>
      <c r="C428" s="424" t="s">
        <v>1566</v>
      </c>
      <c r="D428" s="424" t="s">
        <v>6</v>
      </c>
      <c r="E428" s="424" t="s">
        <v>7</v>
      </c>
      <c r="F428" s="424" t="s">
        <v>1559</v>
      </c>
      <c r="G428" s="693"/>
    </row>
    <row r="429" spans="1:7" ht="14.25" customHeight="1">
      <c r="A429" s="2004" t="str">
        <f>+'MANO DE OBRA'!$A$76:$E$76</f>
        <v>MANO DE OBRA - PINTURA</v>
      </c>
      <c r="B429" s="1888"/>
      <c r="C429" s="679">
        <f>+'MANO DE OBRA'!$E$81</f>
        <v>29904.671875</v>
      </c>
      <c r="D429" s="680">
        <v>1</v>
      </c>
      <c r="E429" s="680">
        <v>0.45</v>
      </c>
      <c r="F429" s="710">
        <f>+(C429*D429)*E429</f>
        <v>13457.102343750001</v>
      </c>
      <c r="G429" s="429"/>
    </row>
    <row r="430" spans="1:7" ht="14.25" customHeight="1">
      <c r="A430" s="1968"/>
      <c r="B430" s="1819"/>
      <c r="C430" s="681"/>
      <c r="D430" s="562"/>
      <c r="E430" s="562"/>
      <c r="F430" s="711"/>
      <c r="G430" s="672"/>
    </row>
    <row r="431" spans="1:7" ht="14.25" customHeight="1">
      <c r="A431" s="2003" t="str">
        <f>+A426</f>
        <v>SUB-TOTAL</v>
      </c>
      <c r="B431" s="1601"/>
      <c r="C431" s="1601"/>
      <c r="D431" s="1601"/>
      <c r="E431" s="1601"/>
      <c r="F431" s="1801"/>
      <c r="G431" s="692">
        <f>SUM(F429:F430)</f>
        <v>13457.102343750001</v>
      </c>
    </row>
    <row r="433" spans="1:7" ht="14.25" customHeight="1">
      <c r="A433" s="2003" t="s">
        <v>1567</v>
      </c>
      <c r="B433" s="1601"/>
      <c r="C433" s="1601"/>
      <c r="D433" s="1601"/>
      <c r="E433" s="1601"/>
      <c r="F433" s="1801"/>
      <c r="G433" s="712">
        <f>ROUND(G414+G421+G426+G431,0)</f>
        <v>38300</v>
      </c>
    </row>
    <row r="434" spans="1:7" ht="14.25" hidden="1" customHeight="1"/>
    <row r="435" spans="1:7" ht="14.25" hidden="1" customHeight="1">
      <c r="A435" s="420"/>
      <c r="B435" s="420"/>
      <c r="C435" s="420"/>
      <c r="D435" s="420"/>
      <c r="E435" s="420"/>
      <c r="F435" s="420"/>
      <c r="G435" s="420"/>
    </row>
    <row r="436" spans="1:7" ht="27" hidden="1" customHeight="1">
      <c r="A436" s="2005" t="s">
        <v>1604</v>
      </c>
      <c r="B436" s="1616"/>
      <c r="C436" s="1624"/>
      <c r="D436" s="567"/>
      <c r="E436" s="567"/>
      <c r="F436" s="567"/>
      <c r="G436" s="668"/>
    </row>
    <row r="437" spans="1:7" ht="24" hidden="1" customHeight="1">
      <c r="A437" s="1971"/>
      <c r="B437" s="1817"/>
      <c r="C437" s="1972"/>
      <c r="D437" s="669"/>
      <c r="E437" s="669"/>
      <c r="F437" s="669"/>
      <c r="G437" s="670"/>
    </row>
    <row r="438" spans="1:7" ht="14.25" hidden="1" customHeight="1">
      <c r="A438" s="416"/>
      <c r="B438" s="416"/>
      <c r="C438" s="416"/>
      <c r="D438" s="416"/>
      <c r="E438" s="416"/>
      <c r="F438" s="416"/>
      <c r="G438" s="416"/>
    </row>
    <row r="439" spans="1:7" ht="35.25" hidden="1" customHeight="1">
      <c r="A439" s="1973" t="e">
        <f ca="1">A11</f>
        <v>#NAME?</v>
      </c>
      <c r="B439" s="1601"/>
      <c r="C439" s="1602"/>
      <c r="D439" s="1974" t="s">
        <v>2513</v>
      </c>
      <c r="E439" s="1601"/>
      <c r="F439" s="1601"/>
      <c r="G439" s="1602"/>
    </row>
    <row r="440" spans="1:7" ht="14.25" hidden="1" customHeight="1">
      <c r="A440" s="418"/>
      <c r="B440" s="418"/>
      <c r="C440" s="418"/>
      <c r="D440" s="418"/>
      <c r="E440" s="418"/>
      <c r="F440" s="418"/>
      <c r="G440" s="418"/>
    </row>
    <row r="441" spans="1:7" ht="12.75" hidden="1" customHeight="1">
      <c r="A441" s="419"/>
      <c r="B441" s="416"/>
      <c r="C441" s="420"/>
      <c r="D441" s="421" t="s">
        <v>1553</v>
      </c>
      <c r="E441" s="422" t="s">
        <v>228</v>
      </c>
      <c r="F441" s="572"/>
      <c r="G441" s="572"/>
    </row>
    <row r="442" spans="1:7" ht="14.25" hidden="1" customHeight="1">
      <c r="A442" s="423" t="s">
        <v>1555</v>
      </c>
      <c r="B442" s="416"/>
      <c r="C442" s="416"/>
      <c r="D442" s="416"/>
      <c r="E442" s="416"/>
      <c r="F442" s="416"/>
      <c r="G442" s="416"/>
    </row>
    <row r="443" spans="1:7" ht="13.5" hidden="1" customHeight="1">
      <c r="A443" s="1975" t="s">
        <v>1556</v>
      </c>
      <c r="B443" s="1601"/>
      <c r="C443" s="1801"/>
      <c r="D443" s="424" t="s">
        <v>208</v>
      </c>
      <c r="E443" s="424" t="s">
        <v>1558</v>
      </c>
      <c r="F443" s="424" t="s">
        <v>1559</v>
      </c>
      <c r="G443" s="425"/>
    </row>
    <row r="444" spans="1:7" ht="14.25" hidden="1" customHeight="1">
      <c r="A444" s="1981" t="str">
        <f>+'LISTADO EQUIPOS'!$C$22</f>
        <v>HERRAMIENTA MENOR.</v>
      </c>
      <c r="B444" s="1811"/>
      <c r="C444" s="1967"/>
      <c r="D444" s="449">
        <f>+'LISTADO EQUIPOS'!$E$22/8</f>
        <v>2850</v>
      </c>
      <c r="E444" s="427">
        <f>+E461</f>
        <v>0.44</v>
      </c>
      <c r="F444" s="449">
        <f t="shared" ref="F444:F445" si="27">+E444*D444</f>
        <v>1254</v>
      </c>
      <c r="G444" s="429"/>
    </row>
    <row r="445" spans="1:7" ht="14.25" hidden="1" customHeight="1">
      <c r="A445" s="1988" t="str">
        <f>+'LISTADO EQUIPOS'!$C$47</f>
        <v>ANDAMIO TUBULAR. 1.5 x 1.5 SECCIÓN</v>
      </c>
      <c r="B445" s="1610"/>
      <c r="C445" s="1611"/>
      <c r="D445" s="431">
        <f>+'LISTADO EQUIPOS'!$E$47</f>
        <v>1750</v>
      </c>
      <c r="E445" s="430">
        <v>0.5</v>
      </c>
      <c r="F445" s="431">
        <f t="shared" si="27"/>
        <v>875</v>
      </c>
      <c r="G445" s="432"/>
    </row>
    <row r="446" spans="1:7" ht="14.25" hidden="1" customHeight="1">
      <c r="A446" s="2003" t="s">
        <v>1560</v>
      </c>
      <c r="B446" s="1601"/>
      <c r="C446" s="1601"/>
      <c r="D446" s="1601"/>
      <c r="E446" s="1601"/>
      <c r="F446" s="1801"/>
      <c r="G446" s="692">
        <f>SUM(F444:F445)</f>
        <v>2129</v>
      </c>
    </row>
    <row r="447" spans="1:7" ht="14.25" hidden="1" customHeight="1">
      <c r="A447" s="423" t="s">
        <v>1561</v>
      </c>
      <c r="B447" s="416"/>
      <c r="C447" s="416"/>
      <c r="D447" s="416"/>
      <c r="E447" s="416"/>
      <c r="F447" s="416"/>
      <c r="G447" s="416"/>
    </row>
    <row r="448" spans="1:7" ht="14.25" hidden="1" customHeight="1">
      <c r="A448" s="1975" t="s">
        <v>1556</v>
      </c>
      <c r="B448" s="1801"/>
      <c r="C448" s="424" t="s">
        <v>6</v>
      </c>
      <c r="D448" s="424" t="s">
        <v>1562</v>
      </c>
      <c r="E448" s="424" t="s">
        <v>7</v>
      </c>
      <c r="F448" s="424" t="s">
        <v>1559</v>
      </c>
      <c r="G448" s="425"/>
    </row>
    <row r="449" spans="1:7" ht="14.25" hidden="1" customHeight="1">
      <c r="A449" s="1981" t="str">
        <f>+'LISTADO MATERIALES'!$C$377</f>
        <v>CORAZA DE PINTUCO</v>
      </c>
      <c r="B449" s="1967"/>
      <c r="C449" s="699" t="str">
        <f>+'LISTADO MATERIALES'!$D$377</f>
        <v>GAL</v>
      </c>
      <c r="D449" s="449">
        <f>+'LISTADO MATERIALES'!$E$377</f>
        <v>64050</v>
      </c>
      <c r="E449" s="427">
        <v>0.12</v>
      </c>
      <c r="F449" s="449">
        <f t="shared" ref="F449:F450" si="28">+E449*D449</f>
        <v>7686</v>
      </c>
      <c r="G449" s="429"/>
    </row>
    <row r="450" spans="1:7" ht="14.25" hidden="1" customHeight="1">
      <c r="A450" s="1988" t="str">
        <f>+'LISTADO MATERIALES'!$C$723</f>
        <v>AGUA</v>
      </c>
      <c r="B450" s="1611"/>
      <c r="C450" s="677" t="str">
        <f>+'LISTADO MATERIALES'!$D$723</f>
        <v>LT</v>
      </c>
      <c r="D450" s="431">
        <f>+'LISTADO MATERIALES'!$E$723</f>
        <v>21</v>
      </c>
      <c r="E450" s="430">
        <v>1</v>
      </c>
      <c r="F450" s="431">
        <f t="shared" si="28"/>
        <v>21</v>
      </c>
      <c r="G450" s="432"/>
    </row>
    <row r="451" spans="1:7" ht="14.25" hidden="1" customHeight="1">
      <c r="A451" s="1988"/>
      <c r="B451" s="1611"/>
      <c r="C451" s="677"/>
      <c r="D451" s="431"/>
      <c r="E451" s="677"/>
      <c r="F451" s="431"/>
      <c r="G451" s="432"/>
    </row>
    <row r="452" spans="1:7" ht="14.25" hidden="1" customHeight="1">
      <c r="A452" s="1982"/>
      <c r="B452" s="1819"/>
      <c r="C452" s="678"/>
      <c r="D452" s="451"/>
      <c r="E452" s="678"/>
      <c r="F452" s="451"/>
      <c r="G452" s="672"/>
    </row>
    <row r="453" spans="1:7" ht="14.25" hidden="1" customHeight="1">
      <c r="A453" s="2003" t="s">
        <v>1560</v>
      </c>
      <c r="B453" s="1601"/>
      <c r="C453" s="1601"/>
      <c r="D453" s="1601"/>
      <c r="E453" s="1601"/>
      <c r="F453" s="1801"/>
      <c r="G453" s="692">
        <f>SUM(F449:F452)</f>
        <v>7707</v>
      </c>
    </row>
    <row r="454" spans="1:7" ht="14.25" hidden="1" customHeight="1">
      <c r="A454" s="423" t="s">
        <v>1563</v>
      </c>
      <c r="B454" s="416"/>
      <c r="C454" s="416"/>
      <c r="D454" s="416"/>
      <c r="E454" s="416"/>
      <c r="F454" s="416"/>
      <c r="G454" s="416"/>
    </row>
    <row r="455" spans="1:7" ht="14.25" hidden="1" customHeight="1">
      <c r="A455" s="1975" t="s">
        <v>1556</v>
      </c>
      <c r="B455" s="1801"/>
      <c r="C455" s="424" t="s">
        <v>6</v>
      </c>
      <c r="D455" s="424" t="s">
        <v>1562</v>
      </c>
      <c r="E455" s="424" t="s">
        <v>7</v>
      </c>
      <c r="F455" s="424" t="s">
        <v>1559</v>
      </c>
      <c r="G455" s="690"/>
    </row>
    <row r="456" spans="1:7" ht="14.25" hidden="1" customHeight="1">
      <c r="A456" s="1981"/>
      <c r="B456" s="1967"/>
      <c r="C456" s="448"/>
      <c r="D456" s="449"/>
      <c r="E456" s="450"/>
      <c r="F456" s="431"/>
      <c r="G456" s="429"/>
    </row>
    <row r="457" spans="1:7" ht="14.25" hidden="1" customHeight="1">
      <c r="A457" s="1982"/>
      <c r="B457" s="1819"/>
      <c r="C457" s="448"/>
      <c r="D457" s="451"/>
      <c r="E457" s="452"/>
      <c r="F457" s="451"/>
      <c r="G457" s="691"/>
    </row>
    <row r="458" spans="1:7" ht="14.25" hidden="1" customHeight="1">
      <c r="A458" s="2003" t="s">
        <v>1560</v>
      </c>
      <c r="B458" s="1601"/>
      <c r="C458" s="1601"/>
      <c r="D458" s="1601"/>
      <c r="E458" s="1601"/>
      <c r="F458" s="1801"/>
      <c r="G458" s="692"/>
    </row>
    <row r="459" spans="1:7" ht="14.25" hidden="1" customHeight="1">
      <c r="A459" s="423" t="s">
        <v>1564</v>
      </c>
      <c r="B459" s="416"/>
      <c r="C459" s="416"/>
      <c r="D459" s="416"/>
      <c r="E459" s="416"/>
      <c r="F459" s="416"/>
      <c r="G459" s="416"/>
    </row>
    <row r="460" spans="1:7" ht="14.25" hidden="1" customHeight="1">
      <c r="A460" s="1975" t="s">
        <v>1565</v>
      </c>
      <c r="B460" s="1801"/>
      <c r="C460" s="424" t="s">
        <v>1566</v>
      </c>
      <c r="D460" s="424" t="s">
        <v>6</v>
      </c>
      <c r="E460" s="424" t="s">
        <v>7</v>
      </c>
      <c r="F460" s="424" t="s">
        <v>1559</v>
      </c>
      <c r="G460" s="693"/>
    </row>
    <row r="461" spans="1:7" ht="14.25" hidden="1" customHeight="1">
      <c r="A461" s="2004" t="str">
        <f>+'MANO DE OBRA'!$A$76:$E$76</f>
        <v>MANO DE OBRA - PINTURA</v>
      </c>
      <c r="B461" s="1888"/>
      <c r="C461" s="679">
        <f>+'MANO DE OBRA'!$E$81</f>
        <v>29904.671875</v>
      </c>
      <c r="D461" s="680">
        <v>1</v>
      </c>
      <c r="E461" s="680">
        <v>0.44</v>
      </c>
      <c r="F461" s="710">
        <f>+(C461*D461)*E461</f>
        <v>13158.055625000001</v>
      </c>
      <c r="G461" s="429"/>
    </row>
    <row r="462" spans="1:7" ht="14.25" hidden="1" customHeight="1">
      <c r="A462" s="1968"/>
      <c r="B462" s="1819"/>
      <c r="C462" s="681"/>
      <c r="D462" s="562"/>
      <c r="E462" s="562"/>
      <c r="F462" s="711"/>
      <c r="G462" s="672"/>
    </row>
    <row r="463" spans="1:7" ht="14.25" hidden="1" customHeight="1">
      <c r="A463" s="2003" t="str">
        <f>+A458</f>
        <v>SUB-TOTAL</v>
      </c>
      <c r="B463" s="1601"/>
      <c r="C463" s="1601"/>
      <c r="D463" s="1601"/>
      <c r="E463" s="1601"/>
      <c r="F463" s="1801"/>
      <c r="G463" s="692">
        <f>SUM(F461:F462)</f>
        <v>13158.055625000001</v>
      </c>
    </row>
    <row r="465" spans="1:7" ht="14.25" hidden="1" customHeight="1">
      <c r="A465" s="2003" t="s">
        <v>1567</v>
      </c>
      <c r="B465" s="1601"/>
      <c r="C465" s="1601"/>
      <c r="D465" s="1601"/>
      <c r="E465" s="1601"/>
      <c r="F465" s="1801"/>
      <c r="G465" s="712">
        <f>ROUND(G446+G453+G458+G463,0)</f>
        <v>22994</v>
      </c>
    </row>
    <row r="466" spans="1:7" ht="14.25" hidden="1" customHeight="1">
      <c r="A466" s="420"/>
      <c r="B466" s="420"/>
      <c r="C466" s="420"/>
      <c r="D466" s="420"/>
      <c r="E466" s="420"/>
      <c r="F466" s="420"/>
      <c r="G466" s="420"/>
    </row>
    <row r="467" spans="1:7" ht="14.25" hidden="1" customHeight="1">
      <c r="A467" s="420"/>
      <c r="B467" s="420"/>
      <c r="C467" s="420"/>
      <c r="D467" s="420"/>
      <c r="E467" s="420"/>
      <c r="F467" s="420"/>
      <c r="G467" s="420"/>
    </row>
    <row r="468" spans="1:7" ht="27" hidden="1" customHeight="1">
      <c r="A468" s="2005" t="s">
        <v>1604</v>
      </c>
      <c r="B468" s="1616"/>
      <c r="C468" s="1624"/>
      <c r="D468" s="567"/>
      <c r="E468" s="567"/>
      <c r="F468" s="567"/>
      <c r="G468" s="668"/>
    </row>
    <row r="469" spans="1:7" ht="24" hidden="1" customHeight="1">
      <c r="A469" s="1971"/>
      <c r="B469" s="1817"/>
      <c r="C469" s="1972"/>
      <c r="D469" s="669"/>
      <c r="E469" s="669"/>
      <c r="F469" s="669"/>
      <c r="G469" s="670"/>
    </row>
    <row r="470" spans="1:7" ht="14.25" hidden="1" customHeight="1">
      <c r="A470" s="416"/>
      <c r="B470" s="416"/>
      <c r="C470" s="416"/>
      <c r="D470" s="416"/>
      <c r="E470" s="416"/>
      <c r="F470" s="416"/>
      <c r="G470" s="416"/>
    </row>
    <row r="471" spans="1:7" ht="35.25" hidden="1" customHeight="1">
      <c r="A471" s="1973" t="e">
        <f ca="1">A11</f>
        <v>#NAME?</v>
      </c>
      <c r="B471" s="1601"/>
      <c r="C471" s="1602"/>
      <c r="D471" s="1974" t="s">
        <v>2514</v>
      </c>
      <c r="E471" s="1601"/>
      <c r="F471" s="1601"/>
      <c r="G471" s="1602"/>
    </row>
    <row r="472" spans="1:7" ht="14.25" hidden="1" customHeight="1">
      <c r="A472" s="418"/>
      <c r="B472" s="418"/>
      <c r="C472" s="418"/>
      <c r="D472" s="418"/>
      <c r="E472" s="418"/>
      <c r="F472" s="418"/>
      <c r="G472" s="418"/>
    </row>
    <row r="473" spans="1:7" ht="12.75" hidden="1" customHeight="1">
      <c r="A473" s="419"/>
      <c r="B473" s="416"/>
      <c r="C473" s="420"/>
      <c r="D473" s="421" t="s">
        <v>1553</v>
      </c>
      <c r="E473" s="422" t="s">
        <v>228</v>
      </c>
      <c r="F473" s="572"/>
      <c r="G473" s="572"/>
    </row>
    <row r="474" spans="1:7" ht="14.25" hidden="1" customHeight="1">
      <c r="A474" s="423" t="s">
        <v>1555</v>
      </c>
      <c r="B474" s="416"/>
      <c r="C474" s="416"/>
      <c r="D474" s="416"/>
      <c r="E474" s="416"/>
      <c r="F474" s="416"/>
      <c r="G474" s="416"/>
    </row>
    <row r="475" spans="1:7" ht="13.5" hidden="1" customHeight="1">
      <c r="A475" s="1975" t="s">
        <v>1556</v>
      </c>
      <c r="B475" s="1601"/>
      <c r="C475" s="1801"/>
      <c r="D475" s="424" t="s">
        <v>208</v>
      </c>
      <c r="E475" s="424" t="s">
        <v>1558</v>
      </c>
      <c r="F475" s="424" t="s">
        <v>1559</v>
      </c>
      <c r="G475" s="425"/>
    </row>
    <row r="476" spans="1:7" ht="14.25" hidden="1" customHeight="1">
      <c r="A476" s="1981" t="str">
        <f>+'LISTADO EQUIPOS'!$C$22</f>
        <v>HERRAMIENTA MENOR.</v>
      </c>
      <c r="B476" s="1811"/>
      <c r="C476" s="1967"/>
      <c r="D476" s="449">
        <f>+'LISTADO EQUIPOS'!$E$22/8</f>
        <v>2850</v>
      </c>
      <c r="E476" s="427">
        <f>+E493</f>
        <v>0.2</v>
      </c>
      <c r="F476" s="449">
        <f t="shared" ref="F476:F477" si="29">+E476*D476</f>
        <v>570</v>
      </c>
      <c r="G476" s="429"/>
    </row>
    <row r="477" spans="1:7" ht="14.25" hidden="1" customHeight="1">
      <c r="A477" s="1988" t="str">
        <f>+'LISTADO EQUIPOS'!$C$47</f>
        <v>ANDAMIO TUBULAR. 1.5 x 1.5 SECCIÓN</v>
      </c>
      <c r="B477" s="1610"/>
      <c r="C477" s="1611"/>
      <c r="D477" s="431">
        <f>+'LISTADO EQUIPOS'!$E$47</f>
        <v>1750</v>
      </c>
      <c r="E477" s="430">
        <v>0.25</v>
      </c>
      <c r="F477" s="431">
        <f t="shared" si="29"/>
        <v>437.5</v>
      </c>
      <c r="G477" s="432"/>
    </row>
    <row r="478" spans="1:7" ht="14.25" hidden="1" customHeight="1">
      <c r="A478" s="2003" t="s">
        <v>1560</v>
      </c>
      <c r="B478" s="1601"/>
      <c r="C478" s="1601"/>
      <c r="D478" s="1601"/>
      <c r="E478" s="1601"/>
      <c r="F478" s="1801"/>
      <c r="G478" s="692">
        <f>SUM(F476:F477)</f>
        <v>1007.5</v>
      </c>
    </row>
    <row r="479" spans="1:7" ht="14.25" hidden="1" customHeight="1">
      <c r="A479" s="423" t="s">
        <v>1561</v>
      </c>
      <c r="B479" s="416"/>
      <c r="C479" s="416"/>
      <c r="D479" s="416"/>
      <c r="E479" s="416"/>
      <c r="F479" s="416"/>
      <c r="G479" s="416"/>
    </row>
    <row r="480" spans="1:7" ht="14.25" hidden="1" customHeight="1">
      <c r="A480" s="1975" t="s">
        <v>1556</v>
      </c>
      <c r="B480" s="1801"/>
      <c r="C480" s="424" t="s">
        <v>6</v>
      </c>
      <c r="D480" s="424" t="s">
        <v>1562</v>
      </c>
      <c r="E480" s="424" t="s">
        <v>7</v>
      </c>
      <c r="F480" s="424" t="s">
        <v>1559</v>
      </c>
      <c r="G480" s="425"/>
    </row>
    <row r="481" spans="1:7" ht="14.25" hidden="1" customHeight="1">
      <c r="A481" s="1981" t="str">
        <f>+'LISTADO MATERIALES'!$C$139</f>
        <v>CARBURO</v>
      </c>
      <c r="B481" s="1967"/>
      <c r="C481" s="699" t="str">
        <f>+'LISTADO MATERIALES'!$D$139</f>
        <v>KG</v>
      </c>
      <c r="D481" s="449">
        <f>+'LISTADO MATERIALES'!$E$139</f>
        <v>1575</v>
      </c>
      <c r="E481" s="427">
        <v>2</v>
      </c>
      <c r="F481" s="449">
        <f t="shared" ref="F481:F482" si="30">+E481*D481</f>
        <v>3150</v>
      </c>
      <c r="G481" s="429"/>
    </row>
    <row r="482" spans="1:7" ht="14.25" hidden="1" customHeight="1">
      <c r="A482" s="1988" t="str">
        <f>+'LISTADO MATERIALES'!$C$723</f>
        <v>AGUA</v>
      </c>
      <c r="B482" s="1611"/>
      <c r="C482" s="677" t="str">
        <f>+'LISTADO MATERIALES'!$D$723</f>
        <v>LT</v>
      </c>
      <c r="D482" s="431">
        <f>+'LISTADO MATERIALES'!$E$723</f>
        <v>21</v>
      </c>
      <c r="E482" s="430">
        <v>5</v>
      </c>
      <c r="F482" s="431">
        <f t="shared" si="30"/>
        <v>105</v>
      </c>
      <c r="G482" s="432"/>
    </row>
    <row r="483" spans="1:7" ht="14.25" hidden="1" customHeight="1">
      <c r="A483" s="1988"/>
      <c r="B483" s="1611"/>
      <c r="C483" s="677"/>
      <c r="D483" s="431"/>
      <c r="E483" s="677"/>
      <c r="F483" s="431"/>
      <c r="G483" s="432"/>
    </row>
    <row r="484" spans="1:7" ht="14.25" hidden="1" customHeight="1">
      <c r="A484" s="1982"/>
      <c r="B484" s="1819"/>
      <c r="C484" s="678"/>
      <c r="D484" s="451"/>
      <c r="E484" s="678"/>
      <c r="F484" s="451"/>
      <c r="G484" s="672"/>
    </row>
    <row r="485" spans="1:7" ht="14.25" hidden="1" customHeight="1">
      <c r="A485" s="2003" t="s">
        <v>1560</v>
      </c>
      <c r="B485" s="1601"/>
      <c r="C485" s="1601"/>
      <c r="D485" s="1601"/>
      <c r="E485" s="1601"/>
      <c r="F485" s="1801"/>
      <c r="G485" s="692">
        <f>SUM(F481:F484)</f>
        <v>3255</v>
      </c>
    </row>
    <row r="486" spans="1:7" ht="14.25" hidden="1" customHeight="1">
      <c r="A486" s="423" t="s">
        <v>1563</v>
      </c>
      <c r="B486" s="416"/>
      <c r="C486" s="416"/>
      <c r="D486" s="416"/>
      <c r="E486" s="416"/>
      <c r="F486" s="416"/>
      <c r="G486" s="416"/>
    </row>
    <row r="487" spans="1:7" ht="14.25" hidden="1" customHeight="1">
      <c r="A487" s="1975" t="s">
        <v>1556</v>
      </c>
      <c r="B487" s="1801"/>
      <c r="C487" s="424" t="s">
        <v>6</v>
      </c>
      <c r="D487" s="424" t="s">
        <v>1562</v>
      </c>
      <c r="E487" s="424" t="s">
        <v>7</v>
      </c>
      <c r="F487" s="424" t="s">
        <v>1559</v>
      </c>
      <c r="G487" s="690"/>
    </row>
    <row r="488" spans="1:7" ht="14.25" hidden="1" customHeight="1">
      <c r="A488" s="1981"/>
      <c r="B488" s="1967"/>
      <c r="C488" s="448"/>
      <c r="D488" s="449"/>
      <c r="E488" s="450"/>
      <c r="F488" s="431"/>
      <c r="G488" s="429"/>
    </row>
    <row r="489" spans="1:7" ht="14.25" hidden="1" customHeight="1">
      <c r="A489" s="1982"/>
      <c r="B489" s="1819"/>
      <c r="C489" s="448"/>
      <c r="D489" s="451"/>
      <c r="E489" s="452"/>
      <c r="F489" s="451"/>
      <c r="G489" s="691"/>
    </row>
    <row r="490" spans="1:7" ht="14.25" hidden="1" customHeight="1">
      <c r="A490" s="2003" t="s">
        <v>1560</v>
      </c>
      <c r="B490" s="1601"/>
      <c r="C490" s="1601"/>
      <c r="D490" s="1601"/>
      <c r="E490" s="1601"/>
      <c r="F490" s="1801"/>
      <c r="G490" s="692"/>
    </row>
    <row r="491" spans="1:7" ht="14.25" hidden="1" customHeight="1">
      <c r="A491" s="423" t="s">
        <v>1564</v>
      </c>
      <c r="B491" s="416"/>
      <c r="C491" s="416"/>
      <c r="D491" s="416"/>
      <c r="E491" s="416"/>
      <c r="F491" s="416"/>
      <c r="G491" s="416"/>
    </row>
    <row r="492" spans="1:7" ht="14.25" hidden="1" customHeight="1">
      <c r="A492" s="1975" t="s">
        <v>1565</v>
      </c>
      <c r="B492" s="1801"/>
      <c r="C492" s="424" t="s">
        <v>1566</v>
      </c>
      <c r="D492" s="424" t="s">
        <v>6</v>
      </c>
      <c r="E492" s="424" t="s">
        <v>7</v>
      </c>
      <c r="F492" s="424" t="s">
        <v>1559</v>
      </c>
      <c r="G492" s="693"/>
    </row>
    <row r="493" spans="1:7" ht="14.25" hidden="1" customHeight="1">
      <c r="A493" s="2004" t="str">
        <f>+'MANO DE OBRA'!$A$76:$E$76</f>
        <v>MANO DE OBRA - PINTURA</v>
      </c>
      <c r="B493" s="1888"/>
      <c r="C493" s="679">
        <f>+'MANO DE OBRA'!$E$81</f>
        <v>29904.671875</v>
      </c>
      <c r="D493" s="680">
        <v>1</v>
      </c>
      <c r="E493" s="680">
        <v>0.2</v>
      </c>
      <c r="F493" s="710">
        <f>+(C493*D493)*E493</f>
        <v>5980.9343750000007</v>
      </c>
      <c r="G493" s="429"/>
    </row>
    <row r="494" spans="1:7" ht="14.25" hidden="1" customHeight="1">
      <c r="A494" s="1968"/>
      <c r="B494" s="1819"/>
      <c r="C494" s="681"/>
      <c r="D494" s="562"/>
      <c r="E494" s="562"/>
      <c r="F494" s="711"/>
      <c r="G494" s="672"/>
    </row>
    <row r="495" spans="1:7" ht="14.25" hidden="1" customHeight="1">
      <c r="A495" s="2003" t="str">
        <f>+A490</f>
        <v>SUB-TOTAL</v>
      </c>
      <c r="B495" s="1601"/>
      <c r="C495" s="1601"/>
      <c r="D495" s="1601"/>
      <c r="E495" s="1601"/>
      <c r="F495" s="1801"/>
      <c r="G495" s="692">
        <f>SUM(F493:F494)</f>
        <v>5980.9343750000007</v>
      </c>
    </row>
    <row r="497" spans="1:7" ht="14.25" hidden="1" customHeight="1">
      <c r="A497" s="2003" t="s">
        <v>1567</v>
      </c>
      <c r="B497" s="1601"/>
      <c r="C497" s="1601"/>
      <c r="D497" s="1601"/>
      <c r="E497" s="1601"/>
      <c r="F497" s="1801"/>
      <c r="G497" s="712">
        <f>ROUND(G478+G485+G490+G495,0)</f>
        <v>10243</v>
      </c>
    </row>
    <row r="498" spans="1:7" ht="14.25" hidden="1" customHeight="1">
      <c r="A498" s="420"/>
      <c r="B498" s="420"/>
      <c r="C498" s="420"/>
      <c r="D498" s="420"/>
      <c r="E498" s="420"/>
      <c r="F498" s="420"/>
      <c r="G498" s="420"/>
    </row>
    <row r="499" spans="1:7" ht="14.25" hidden="1" customHeight="1">
      <c r="A499" s="420"/>
      <c r="B499" s="420"/>
      <c r="C499" s="420"/>
      <c r="D499" s="420"/>
      <c r="E499" s="420"/>
      <c r="F499" s="420"/>
      <c r="G499" s="420"/>
    </row>
    <row r="500" spans="1:7" ht="27" hidden="1" customHeight="1">
      <c r="A500" s="2005" t="s">
        <v>1604</v>
      </c>
      <c r="B500" s="1616"/>
      <c r="C500" s="1624"/>
      <c r="D500" s="567"/>
      <c r="E500" s="567"/>
      <c r="F500" s="567"/>
      <c r="G500" s="668"/>
    </row>
    <row r="501" spans="1:7" ht="24" hidden="1" customHeight="1">
      <c r="A501" s="1971"/>
      <c r="B501" s="1817"/>
      <c r="C501" s="1972"/>
      <c r="D501" s="669"/>
      <c r="E501" s="669"/>
      <c r="F501" s="669"/>
      <c r="G501" s="670"/>
    </row>
    <row r="502" spans="1:7" ht="14.25" hidden="1" customHeight="1">
      <c r="A502" s="416"/>
      <c r="B502" s="416"/>
      <c r="C502" s="416"/>
      <c r="D502" s="416"/>
      <c r="E502" s="416"/>
      <c r="F502" s="416"/>
      <c r="G502" s="416"/>
    </row>
    <row r="503" spans="1:7" ht="35.25" hidden="1" customHeight="1">
      <c r="A503" s="1973" t="e">
        <f ca="1">A11</f>
        <v>#NAME?</v>
      </c>
      <c r="B503" s="1601"/>
      <c r="C503" s="1602"/>
      <c r="D503" s="1974" t="s">
        <v>2515</v>
      </c>
      <c r="E503" s="1601"/>
      <c r="F503" s="1601"/>
      <c r="G503" s="1602"/>
    </row>
    <row r="504" spans="1:7" ht="14.25" hidden="1" customHeight="1">
      <c r="A504" s="418"/>
      <c r="B504" s="418"/>
      <c r="C504" s="418"/>
      <c r="D504" s="418"/>
      <c r="E504" s="418"/>
      <c r="F504" s="418"/>
      <c r="G504" s="418"/>
    </row>
    <row r="505" spans="1:7" ht="12.75" hidden="1" customHeight="1">
      <c r="A505" s="419"/>
      <c r="B505" s="416"/>
      <c r="C505" s="420"/>
      <c r="D505" s="421" t="s">
        <v>1553</v>
      </c>
      <c r="E505" s="422" t="s">
        <v>228</v>
      </c>
      <c r="F505" s="572"/>
      <c r="G505" s="572"/>
    </row>
    <row r="506" spans="1:7" ht="14.25" hidden="1" customHeight="1">
      <c r="A506" s="423" t="s">
        <v>1555</v>
      </c>
      <c r="B506" s="416"/>
      <c r="C506" s="416"/>
      <c r="D506" s="416"/>
      <c r="E506" s="416"/>
      <c r="F506" s="416"/>
      <c r="G506" s="416"/>
    </row>
    <row r="507" spans="1:7" ht="13.5" hidden="1" customHeight="1">
      <c r="A507" s="1975" t="s">
        <v>1556</v>
      </c>
      <c r="B507" s="1601"/>
      <c r="C507" s="1801"/>
      <c r="D507" s="424" t="s">
        <v>208</v>
      </c>
      <c r="E507" s="424" t="s">
        <v>1558</v>
      </c>
      <c r="F507" s="424" t="s">
        <v>1559</v>
      </c>
      <c r="G507" s="425"/>
    </row>
    <row r="508" spans="1:7" ht="14.25" hidden="1" customHeight="1">
      <c r="A508" s="1981" t="str">
        <f>+'LISTADO EQUIPOS'!$C$22</f>
        <v>HERRAMIENTA MENOR.</v>
      </c>
      <c r="B508" s="1811"/>
      <c r="C508" s="1967"/>
      <c r="D508" s="449">
        <f>+'LISTADO EQUIPOS'!$E$22/8</f>
        <v>2850</v>
      </c>
      <c r="E508" s="427">
        <f>+E525</f>
        <v>0.2</v>
      </c>
      <c r="F508" s="449">
        <f t="shared" ref="F508:F509" si="31">+E508*D508</f>
        <v>570</v>
      </c>
      <c r="G508" s="429"/>
    </row>
    <row r="509" spans="1:7" ht="14.25" hidden="1" customHeight="1">
      <c r="A509" s="1988" t="str">
        <f>+'LISTADO EQUIPOS'!$C$47</f>
        <v>ANDAMIO TUBULAR. 1.5 x 1.5 SECCIÓN</v>
      </c>
      <c r="B509" s="1610"/>
      <c r="C509" s="1611"/>
      <c r="D509" s="431">
        <f>+'LISTADO EQUIPOS'!$E$47</f>
        <v>1750</v>
      </c>
      <c r="E509" s="430">
        <v>0.25</v>
      </c>
      <c r="F509" s="431">
        <f t="shared" si="31"/>
        <v>437.5</v>
      </c>
      <c r="G509" s="432"/>
    </row>
    <row r="510" spans="1:7" ht="14.25" hidden="1" customHeight="1">
      <c r="A510" s="2003" t="s">
        <v>1560</v>
      </c>
      <c r="B510" s="1601"/>
      <c r="C510" s="1601"/>
      <c r="D510" s="1601"/>
      <c r="E510" s="1601"/>
      <c r="F510" s="1801"/>
      <c r="G510" s="692">
        <f>SUM(F508:F509)</f>
        <v>1007.5</v>
      </c>
    </row>
    <row r="511" spans="1:7" ht="14.25" hidden="1" customHeight="1">
      <c r="A511" s="423" t="s">
        <v>1561</v>
      </c>
      <c r="B511" s="416"/>
      <c r="C511" s="416"/>
      <c r="D511" s="416"/>
      <c r="E511" s="416"/>
      <c r="F511" s="416"/>
      <c r="G511" s="416"/>
    </row>
    <row r="512" spans="1:7" ht="14.25" hidden="1" customHeight="1">
      <c r="A512" s="1975" t="s">
        <v>1556</v>
      </c>
      <c r="B512" s="1801"/>
      <c r="C512" s="424" t="s">
        <v>6</v>
      </c>
      <c r="D512" s="424" t="s">
        <v>1562</v>
      </c>
      <c r="E512" s="424" t="s">
        <v>7</v>
      </c>
      <c r="F512" s="424" t="s">
        <v>1559</v>
      </c>
      <c r="G512" s="425"/>
    </row>
    <row r="513" spans="1:7" ht="14.25" hidden="1" customHeight="1">
      <c r="A513" s="1988" t="str">
        <f>+'LISTADO MATERIALES'!$C$139</f>
        <v>CARBURO</v>
      </c>
      <c r="B513" s="1611"/>
      <c r="C513" s="677" t="str">
        <f>+'LISTADO MATERIALES'!$D$139</f>
        <v>KG</v>
      </c>
      <c r="D513" s="431">
        <f>+'LISTADO MATERIALES'!$E$139</f>
        <v>1575</v>
      </c>
      <c r="E513" s="430">
        <v>6</v>
      </c>
      <c r="F513" s="431">
        <f t="shared" ref="F513:F516" si="32">+E513*D513</f>
        <v>9450</v>
      </c>
      <c r="G513" s="432"/>
    </row>
    <row r="514" spans="1:7" ht="14.25" hidden="1" customHeight="1">
      <c r="A514" s="1988" t="str">
        <f>+'LISTADO MATERIALES'!$C$161</f>
        <v>MARMOLINA</v>
      </c>
      <c r="B514" s="1611"/>
      <c r="C514" s="677" t="str">
        <f>+'LISTADO MATERIALES'!$D$161</f>
        <v>KG</v>
      </c>
      <c r="D514" s="431">
        <f>+'LISTADO MATERIALES'!$E$161</f>
        <v>683</v>
      </c>
      <c r="E514" s="430">
        <v>0.5</v>
      </c>
      <c r="F514" s="431">
        <f t="shared" si="32"/>
        <v>341.5</v>
      </c>
      <c r="G514" s="432"/>
    </row>
    <row r="515" spans="1:7" ht="14.25" hidden="1" customHeight="1">
      <c r="A515" s="1988" t="str">
        <f>+'LISTADO MATERIALES'!$C$140</f>
        <v>CEMENTO BLANCO</v>
      </c>
      <c r="B515" s="1611"/>
      <c r="C515" s="677" t="str">
        <f>+'LISTADO MATERIALES'!$D$140</f>
        <v>KG</v>
      </c>
      <c r="D515" s="431">
        <f>+'LISTADO MATERIALES'!$E$140</f>
        <v>1103</v>
      </c>
      <c r="E515" s="430">
        <v>1</v>
      </c>
      <c r="F515" s="431">
        <f t="shared" si="32"/>
        <v>1103</v>
      </c>
      <c r="G515" s="432"/>
    </row>
    <row r="516" spans="1:7" ht="14.25" hidden="1" customHeight="1">
      <c r="A516" s="1982" t="str">
        <f>+'LISTADO MATERIALES'!$C$723</f>
        <v>AGUA</v>
      </c>
      <c r="B516" s="1819"/>
      <c r="C516" s="678" t="str">
        <f>+'LISTADO MATERIALES'!$D$723</f>
        <v>LT</v>
      </c>
      <c r="D516" s="451">
        <f>+'LISTADO MATERIALES'!$E$723</f>
        <v>21</v>
      </c>
      <c r="E516" s="671">
        <v>5</v>
      </c>
      <c r="F516" s="451">
        <f t="shared" si="32"/>
        <v>105</v>
      </c>
      <c r="G516" s="672"/>
    </row>
    <row r="517" spans="1:7" ht="14.25" hidden="1" customHeight="1">
      <c r="A517" s="2003" t="s">
        <v>1560</v>
      </c>
      <c r="B517" s="1601"/>
      <c r="C517" s="1601"/>
      <c r="D517" s="1601"/>
      <c r="E517" s="1601"/>
      <c r="F517" s="1801"/>
      <c r="G517" s="692">
        <f>SUM(F513:F516)</f>
        <v>10999.5</v>
      </c>
    </row>
    <row r="518" spans="1:7" ht="14.25" hidden="1" customHeight="1">
      <c r="A518" s="423" t="s">
        <v>1563</v>
      </c>
      <c r="B518" s="416"/>
      <c r="C518" s="416"/>
      <c r="D518" s="416"/>
      <c r="E518" s="416"/>
      <c r="F518" s="416"/>
      <c r="G518" s="416"/>
    </row>
    <row r="519" spans="1:7" ht="14.25" hidden="1" customHeight="1">
      <c r="A519" s="1975" t="s">
        <v>1556</v>
      </c>
      <c r="B519" s="1801"/>
      <c r="C519" s="424" t="s">
        <v>6</v>
      </c>
      <c r="D519" s="424" t="s">
        <v>1562</v>
      </c>
      <c r="E519" s="424" t="s">
        <v>7</v>
      </c>
      <c r="F519" s="424" t="s">
        <v>1559</v>
      </c>
      <c r="G519" s="690"/>
    </row>
    <row r="520" spans="1:7" ht="14.25" hidden="1" customHeight="1">
      <c r="A520" s="1981"/>
      <c r="B520" s="1967"/>
      <c r="C520" s="448"/>
      <c r="D520" s="449"/>
      <c r="E520" s="450"/>
      <c r="F520" s="431"/>
      <c r="G520" s="429"/>
    </row>
    <row r="521" spans="1:7" ht="14.25" hidden="1" customHeight="1">
      <c r="A521" s="1982"/>
      <c r="B521" s="1819"/>
      <c r="C521" s="448"/>
      <c r="D521" s="451"/>
      <c r="E521" s="452"/>
      <c r="F521" s="451"/>
      <c r="G521" s="691"/>
    </row>
    <row r="522" spans="1:7" ht="14.25" hidden="1" customHeight="1">
      <c r="A522" s="2003" t="s">
        <v>1560</v>
      </c>
      <c r="B522" s="1601"/>
      <c r="C522" s="1601"/>
      <c r="D522" s="1601"/>
      <c r="E522" s="1601"/>
      <c r="F522" s="1801"/>
      <c r="G522" s="692"/>
    </row>
    <row r="523" spans="1:7" ht="14.25" hidden="1" customHeight="1">
      <c r="A523" s="423" t="s">
        <v>1564</v>
      </c>
      <c r="B523" s="416"/>
      <c r="C523" s="416"/>
      <c r="D523" s="416"/>
      <c r="E523" s="416"/>
      <c r="F523" s="416"/>
      <c r="G523" s="416"/>
    </row>
    <row r="524" spans="1:7" ht="14.25" hidden="1" customHeight="1">
      <c r="A524" s="1975" t="s">
        <v>1565</v>
      </c>
      <c r="B524" s="1801"/>
      <c r="C524" s="424" t="s">
        <v>1566</v>
      </c>
      <c r="D524" s="424" t="s">
        <v>6</v>
      </c>
      <c r="E524" s="424" t="s">
        <v>7</v>
      </c>
      <c r="F524" s="424" t="s">
        <v>1559</v>
      </c>
      <c r="G524" s="693"/>
    </row>
    <row r="525" spans="1:7" ht="14.25" hidden="1" customHeight="1">
      <c r="A525" s="2004" t="str">
        <f>+'MANO DE OBRA'!$A$76:$E$76</f>
        <v>MANO DE OBRA - PINTURA</v>
      </c>
      <c r="B525" s="1888"/>
      <c r="C525" s="679">
        <f>+'MANO DE OBRA'!$E$81</f>
        <v>29904.671875</v>
      </c>
      <c r="D525" s="680">
        <v>1</v>
      </c>
      <c r="E525" s="680">
        <v>0.2</v>
      </c>
      <c r="F525" s="710">
        <f>+(C525*D525)*E525</f>
        <v>5980.9343750000007</v>
      </c>
      <c r="G525" s="429"/>
    </row>
    <row r="526" spans="1:7" ht="14.25" hidden="1" customHeight="1">
      <c r="A526" s="1968"/>
      <c r="B526" s="1819"/>
      <c r="C526" s="681"/>
      <c r="D526" s="562"/>
      <c r="E526" s="562"/>
      <c r="F526" s="711"/>
      <c r="G526" s="672"/>
    </row>
    <row r="527" spans="1:7" ht="14.25" hidden="1" customHeight="1">
      <c r="A527" s="2003" t="str">
        <f>+A522</f>
        <v>SUB-TOTAL</v>
      </c>
      <c r="B527" s="1601"/>
      <c r="C527" s="1601"/>
      <c r="D527" s="1601"/>
      <c r="E527" s="1601"/>
      <c r="F527" s="1801"/>
      <c r="G527" s="692">
        <f>SUM(F525:F526)</f>
        <v>5980.9343750000007</v>
      </c>
    </row>
    <row r="529" spans="1:7" ht="14.25" hidden="1" customHeight="1">
      <c r="A529" s="2003" t="s">
        <v>1567</v>
      </c>
      <c r="B529" s="1601"/>
      <c r="C529" s="1601"/>
      <c r="D529" s="1601"/>
      <c r="E529" s="1601"/>
      <c r="F529" s="1801"/>
      <c r="G529" s="712">
        <f>ROUND(G510+G517+G522+G527,0)</f>
        <v>17988</v>
      </c>
    </row>
    <row r="530" spans="1:7" ht="14.25" hidden="1" customHeight="1">
      <c r="A530" s="420"/>
      <c r="B530" s="420"/>
      <c r="C530" s="420"/>
      <c r="D530" s="420"/>
      <c r="E530" s="420"/>
      <c r="F530" s="420"/>
      <c r="G530" s="420"/>
    </row>
    <row r="531" spans="1:7" ht="14.25" customHeight="1">
      <c r="A531" s="420"/>
      <c r="B531" s="420"/>
      <c r="C531" s="420"/>
      <c r="D531" s="420"/>
      <c r="E531" s="420"/>
      <c r="F531" s="420"/>
      <c r="G531" s="420"/>
    </row>
    <row r="532" spans="1:7" ht="23.25" customHeight="1">
      <c r="A532" s="1989" t="e">
        <f>A404</f>
        <v>#REF!</v>
      </c>
      <c r="B532" s="1616"/>
      <c r="C532" s="1624"/>
      <c r="D532" s="1990" t="s">
        <v>1195</v>
      </c>
      <c r="E532" s="1616"/>
      <c r="F532" s="1616"/>
      <c r="G532" s="1624"/>
    </row>
    <row r="533" spans="1:7" ht="21.75" customHeight="1">
      <c r="A533" s="1971"/>
      <c r="B533" s="1817"/>
      <c r="C533" s="1972"/>
      <c r="D533" s="1971"/>
      <c r="E533" s="1817"/>
      <c r="F533" s="1817"/>
      <c r="G533" s="1972"/>
    </row>
    <row r="534" spans="1:7" ht="14.25" customHeight="1">
      <c r="A534" s="416"/>
      <c r="B534" s="416"/>
      <c r="C534" s="416"/>
      <c r="D534" s="416"/>
      <c r="E534" s="416"/>
      <c r="F534" s="416"/>
      <c r="G534" s="416"/>
    </row>
    <row r="535" spans="1:7" ht="50.25" customHeight="1">
      <c r="A535" s="1991" t="e">
        <f ca="1">A11</f>
        <v>#NAME?</v>
      </c>
      <c r="B535" s="1601"/>
      <c r="C535" s="1602"/>
      <c r="D535" s="1974" t="s">
        <v>2516</v>
      </c>
      <c r="E535" s="1601"/>
      <c r="F535" s="1601"/>
      <c r="G535" s="1602"/>
    </row>
    <row r="536" spans="1:7" ht="14.25" customHeight="1">
      <c r="A536" s="418"/>
      <c r="B536" s="418"/>
      <c r="C536" s="418"/>
      <c r="D536" s="418"/>
      <c r="E536" s="418"/>
      <c r="F536" s="418"/>
      <c r="G536" s="418"/>
    </row>
    <row r="537" spans="1:7" ht="12.75" customHeight="1">
      <c r="A537" s="419"/>
      <c r="B537" s="416"/>
      <c r="C537" s="420"/>
      <c r="D537" s="421" t="s">
        <v>1553</v>
      </c>
      <c r="E537" s="422" t="s">
        <v>120</v>
      </c>
      <c r="F537" s="421" t="s">
        <v>1554</v>
      </c>
      <c r="G537" s="422" t="s">
        <v>159</v>
      </c>
    </row>
    <row r="538" spans="1:7" ht="14.25" customHeight="1">
      <c r="A538" s="423" t="s">
        <v>1555</v>
      </c>
      <c r="B538" s="416"/>
      <c r="C538" s="416"/>
      <c r="D538" s="416"/>
      <c r="E538" s="416"/>
      <c r="F538" s="416"/>
      <c r="G538" s="416"/>
    </row>
    <row r="539" spans="1:7" ht="13.5" customHeight="1">
      <c r="A539" s="1975" t="s">
        <v>1556</v>
      </c>
      <c r="B539" s="1601"/>
      <c r="C539" s="1801"/>
      <c r="D539" s="424" t="s">
        <v>208</v>
      </c>
      <c r="E539" s="424" t="s">
        <v>1558</v>
      </c>
      <c r="F539" s="424" t="s">
        <v>1559</v>
      </c>
      <c r="G539" s="425"/>
    </row>
    <row r="540" spans="1:7" ht="14.25" customHeight="1">
      <c r="A540" s="1981" t="str">
        <f>+'LISTADO EQUIPOS'!$C$22</f>
        <v>HERRAMIENTA MENOR.</v>
      </c>
      <c r="B540" s="1811"/>
      <c r="C540" s="1967"/>
      <c r="D540" s="449">
        <f>+'LISTADO EQUIPOS'!$E$22/8</f>
        <v>2850</v>
      </c>
      <c r="E540" s="427">
        <f>+E557</f>
        <v>0.1</v>
      </c>
      <c r="F540" s="449">
        <f>+E540*D540</f>
        <v>285</v>
      </c>
      <c r="G540" s="429"/>
    </row>
    <row r="541" spans="1:7" ht="14.25" customHeight="1">
      <c r="A541" s="1996"/>
      <c r="B541" s="1807"/>
      <c r="C541" s="1819"/>
      <c r="D541" s="434"/>
      <c r="E541" s="433"/>
      <c r="F541" s="434"/>
      <c r="G541" s="435"/>
    </row>
    <row r="542" spans="1:7" ht="14.25" customHeight="1">
      <c r="A542" s="2003" t="s">
        <v>1560</v>
      </c>
      <c r="B542" s="1601"/>
      <c r="C542" s="1601"/>
      <c r="D542" s="1601"/>
      <c r="E542" s="1601"/>
      <c r="F542" s="1801"/>
      <c r="G542" s="692">
        <f>SUM(F540:F541)</f>
        <v>285</v>
      </c>
    </row>
    <row r="543" spans="1:7" ht="14.25" customHeight="1">
      <c r="A543" s="423" t="s">
        <v>1561</v>
      </c>
      <c r="B543" s="416"/>
      <c r="C543" s="416"/>
      <c r="D543" s="416"/>
      <c r="E543" s="416"/>
      <c r="F543" s="416"/>
      <c r="G543" s="416"/>
    </row>
    <row r="544" spans="1:7" ht="14.25" customHeight="1">
      <c r="A544" s="1975" t="s">
        <v>1556</v>
      </c>
      <c r="B544" s="1801"/>
      <c r="C544" s="424" t="s">
        <v>6</v>
      </c>
      <c r="D544" s="424" t="s">
        <v>1562</v>
      </c>
      <c r="E544" s="424" t="s">
        <v>7</v>
      </c>
      <c r="F544" s="424" t="s">
        <v>1559</v>
      </c>
      <c r="G544" s="425"/>
    </row>
    <row r="545" spans="1:7" ht="14.25" customHeight="1">
      <c r="A545" s="1981" t="str">
        <f>+'LISTADO MATERIALES'!$C$379</f>
        <v>DISOLVENTE THINER</v>
      </c>
      <c r="B545" s="1967"/>
      <c r="C545" s="699" t="str">
        <f>+'LISTADO MATERIALES'!$D$379</f>
        <v>GAL</v>
      </c>
      <c r="D545" s="449">
        <f>+INSUMOS!H48</f>
        <v>36900</v>
      </c>
      <c r="E545" s="699">
        <v>0.06</v>
      </c>
      <c r="F545" s="449">
        <f t="shared" ref="F545:F546" si="33">+E545*D545</f>
        <v>2214</v>
      </c>
      <c r="G545" s="429"/>
    </row>
    <row r="546" spans="1:7" ht="14.25" customHeight="1">
      <c r="A546" s="1988" t="str">
        <f>+'LISTADO MATERIALES'!$C$384</f>
        <v>PINTURA DE ALTO TRÁFICO</v>
      </c>
      <c r="B546" s="1611"/>
      <c r="C546" s="677" t="str">
        <f>+'LISTADO MATERIALES'!$D$384</f>
        <v>GAL</v>
      </c>
      <c r="D546" s="431">
        <f>+INSUMOS!H49</f>
        <v>181900</v>
      </c>
      <c r="E546" s="677">
        <v>0.06</v>
      </c>
      <c r="F546" s="431">
        <f t="shared" si="33"/>
        <v>10914</v>
      </c>
      <c r="G546" s="432"/>
    </row>
    <row r="547" spans="1:7" ht="14.25" customHeight="1">
      <c r="A547" s="1988"/>
      <c r="B547" s="1611"/>
      <c r="C547" s="677"/>
      <c r="D547" s="431"/>
      <c r="E547" s="677"/>
      <c r="F547" s="431"/>
      <c r="G547" s="432"/>
    </row>
    <row r="548" spans="1:7" ht="14.25" customHeight="1">
      <c r="A548" s="1988"/>
      <c r="B548" s="1611"/>
      <c r="C548" s="677"/>
      <c r="D548" s="431"/>
      <c r="E548" s="677"/>
      <c r="F548" s="431"/>
      <c r="G548" s="432"/>
    </row>
    <row r="549" spans="1:7" ht="14.25" customHeight="1">
      <c r="A549" s="2003" t="s">
        <v>1560</v>
      </c>
      <c r="B549" s="1601"/>
      <c r="C549" s="1601"/>
      <c r="D549" s="1601"/>
      <c r="E549" s="1601"/>
      <c r="F549" s="1801"/>
      <c r="G549" s="692">
        <f>SUM(F545:F548)</f>
        <v>13128</v>
      </c>
    </row>
    <row r="550" spans="1:7" ht="14.25" customHeight="1">
      <c r="A550" s="423" t="s">
        <v>1563</v>
      </c>
      <c r="B550" s="416"/>
      <c r="C550" s="416"/>
      <c r="D550" s="416"/>
      <c r="E550" s="416"/>
      <c r="F550" s="416"/>
      <c r="G550" s="416"/>
    </row>
    <row r="551" spans="1:7" ht="14.25" customHeight="1">
      <c r="A551" s="1975" t="s">
        <v>1556</v>
      </c>
      <c r="B551" s="1801"/>
      <c r="C551" s="424" t="s">
        <v>6</v>
      </c>
      <c r="D551" s="424" t="s">
        <v>1562</v>
      </c>
      <c r="E551" s="424" t="s">
        <v>7</v>
      </c>
      <c r="F551" s="424" t="s">
        <v>1559</v>
      </c>
      <c r="G551" s="690"/>
    </row>
    <row r="552" spans="1:7" ht="14.25" customHeight="1">
      <c r="A552" s="1981"/>
      <c r="B552" s="1967"/>
      <c r="C552" s="448"/>
      <c r="D552" s="449"/>
      <c r="E552" s="450">
        <v>0</v>
      </c>
      <c r="F552" s="431"/>
      <c r="G552" s="429"/>
    </row>
    <row r="553" spans="1:7" ht="14.25" customHeight="1">
      <c r="A553" s="1982"/>
      <c r="B553" s="1819"/>
      <c r="C553" s="448"/>
      <c r="D553" s="451"/>
      <c r="E553" s="452"/>
      <c r="F553" s="451"/>
      <c r="G553" s="691"/>
    </row>
    <row r="554" spans="1:7" ht="14.25" customHeight="1">
      <c r="A554" s="2003" t="s">
        <v>1560</v>
      </c>
      <c r="B554" s="1601"/>
      <c r="C554" s="1601"/>
      <c r="D554" s="1601"/>
      <c r="E554" s="1601"/>
      <c r="F554" s="1801"/>
      <c r="G554" s="692"/>
    </row>
    <row r="555" spans="1:7" ht="14.25" customHeight="1">
      <c r="A555" s="423" t="s">
        <v>1564</v>
      </c>
      <c r="B555" s="416"/>
      <c r="C555" s="416"/>
      <c r="D555" s="416"/>
      <c r="E555" s="416"/>
      <c r="F555" s="416"/>
      <c r="G555" s="416"/>
    </row>
    <row r="556" spans="1:7" ht="14.25" customHeight="1">
      <c r="A556" s="1975" t="s">
        <v>1565</v>
      </c>
      <c r="B556" s="1801"/>
      <c r="C556" s="424" t="s">
        <v>1566</v>
      </c>
      <c r="D556" s="424" t="s">
        <v>6</v>
      </c>
      <c r="E556" s="424" t="s">
        <v>7</v>
      </c>
      <c r="F556" s="424" t="s">
        <v>1559</v>
      </c>
      <c r="G556" s="693"/>
    </row>
    <row r="557" spans="1:7" ht="14.25" customHeight="1">
      <c r="A557" s="2004" t="str">
        <f>+'MANO DE OBRA'!$A$76:$E$76</f>
        <v>MANO DE OBRA - PINTURA</v>
      </c>
      <c r="B557" s="1888"/>
      <c r="C557" s="679">
        <f>+'MANO DE OBRA'!$E$81</f>
        <v>29904.671875</v>
      </c>
      <c r="D557" s="680">
        <v>1</v>
      </c>
      <c r="E557" s="680">
        <v>0.1</v>
      </c>
      <c r="F557" s="710">
        <f>+(C557*D557)*E557</f>
        <v>2990.4671875000004</v>
      </c>
      <c r="G557" s="429"/>
    </row>
    <row r="558" spans="1:7" ht="14.25" customHeight="1">
      <c r="A558" s="1968"/>
      <c r="B558" s="1819"/>
      <c r="C558" s="681"/>
      <c r="D558" s="562"/>
      <c r="E558" s="562"/>
      <c r="F558" s="711"/>
      <c r="G558" s="672"/>
    </row>
    <row r="559" spans="1:7" ht="14.25" customHeight="1">
      <c r="A559" s="2003" t="str">
        <f>+A554</f>
        <v>SUB-TOTAL</v>
      </c>
      <c r="B559" s="1601"/>
      <c r="C559" s="1601"/>
      <c r="D559" s="1601"/>
      <c r="E559" s="1601"/>
      <c r="F559" s="1801"/>
      <c r="G559" s="692">
        <f>SUM(F557:F558)</f>
        <v>2990.4671875000004</v>
      </c>
    </row>
    <row r="561" spans="1:7" ht="14.25" customHeight="1">
      <c r="A561" s="2003" t="s">
        <v>1567</v>
      </c>
      <c r="B561" s="1601"/>
      <c r="C561" s="1601"/>
      <c r="D561" s="1601"/>
      <c r="E561" s="1601"/>
      <c r="F561" s="1801"/>
      <c r="G561" s="712">
        <f>ROUND(G542+G549+G554+G559,0)</f>
        <v>16403</v>
      </c>
    </row>
    <row r="562" spans="1:7" ht="14.25" customHeight="1">
      <c r="A562" s="420"/>
      <c r="B562" s="420"/>
      <c r="C562" s="420"/>
      <c r="D562" s="420"/>
      <c r="E562" s="420"/>
      <c r="F562" s="420"/>
      <c r="G562" s="420"/>
    </row>
    <row r="563" spans="1:7" ht="14.25" hidden="1" customHeight="1">
      <c r="A563" s="420"/>
      <c r="B563" s="420"/>
      <c r="C563" s="420"/>
      <c r="D563" s="420"/>
      <c r="E563" s="420"/>
      <c r="F563" s="420"/>
      <c r="G563" s="420"/>
    </row>
    <row r="564" spans="1:7" ht="27" hidden="1" customHeight="1">
      <c r="A564" s="2005" t="s">
        <v>1604</v>
      </c>
      <c r="B564" s="1616"/>
      <c r="C564" s="1624"/>
      <c r="D564" s="567"/>
      <c r="E564" s="567"/>
      <c r="F564" s="567"/>
      <c r="G564" s="668"/>
    </row>
    <row r="565" spans="1:7" ht="24" hidden="1" customHeight="1">
      <c r="A565" s="1971"/>
      <c r="B565" s="1817"/>
      <c r="C565" s="1972"/>
      <c r="D565" s="669"/>
      <c r="E565" s="669"/>
      <c r="F565" s="669"/>
      <c r="G565" s="670"/>
    </row>
    <row r="566" spans="1:7" ht="14.25" hidden="1" customHeight="1">
      <c r="A566" s="416"/>
      <c r="B566" s="416"/>
      <c r="C566" s="416"/>
      <c r="D566" s="416"/>
      <c r="E566" s="416"/>
      <c r="F566" s="416"/>
      <c r="G566" s="416"/>
    </row>
    <row r="567" spans="1:7" ht="30.75" hidden="1" customHeight="1">
      <c r="A567" s="1973" t="e">
        <f ca="1">A11</f>
        <v>#NAME?</v>
      </c>
      <c r="B567" s="1601"/>
      <c r="C567" s="1602"/>
      <c r="D567" s="1974" t="s">
        <v>2517</v>
      </c>
      <c r="E567" s="1601"/>
      <c r="F567" s="1601"/>
      <c r="G567" s="1602"/>
    </row>
    <row r="568" spans="1:7" ht="14.25" hidden="1" customHeight="1">
      <c r="A568" s="418"/>
      <c r="B568" s="418"/>
      <c r="C568" s="418"/>
      <c r="D568" s="418"/>
      <c r="E568" s="418"/>
      <c r="F568" s="418"/>
      <c r="G568" s="418"/>
    </row>
    <row r="569" spans="1:7" ht="12.75" hidden="1" customHeight="1">
      <c r="A569" s="419"/>
      <c r="B569" s="416"/>
      <c r="C569" s="420"/>
      <c r="D569" s="421" t="s">
        <v>1553</v>
      </c>
      <c r="E569" s="422" t="s">
        <v>228</v>
      </c>
      <c r="F569" s="572"/>
      <c r="G569" s="572"/>
    </row>
    <row r="570" spans="1:7" ht="14.25" hidden="1" customHeight="1">
      <c r="A570" s="423" t="s">
        <v>1555</v>
      </c>
      <c r="B570" s="416"/>
      <c r="C570" s="416"/>
      <c r="D570" s="416"/>
      <c r="E570" s="416"/>
      <c r="F570" s="416"/>
      <c r="G570" s="416"/>
    </row>
    <row r="571" spans="1:7" ht="13.5" hidden="1" customHeight="1">
      <c r="A571" s="1975" t="s">
        <v>1556</v>
      </c>
      <c r="B571" s="1601"/>
      <c r="C571" s="1801"/>
      <c r="D571" s="424" t="s">
        <v>208</v>
      </c>
      <c r="E571" s="424" t="s">
        <v>1558</v>
      </c>
      <c r="F571" s="424" t="s">
        <v>1559</v>
      </c>
      <c r="G571" s="425"/>
    </row>
    <row r="572" spans="1:7" ht="14.25" hidden="1" customHeight="1">
      <c r="A572" s="1981" t="str">
        <f>+'LISTADO EQUIPOS'!$C$22</f>
        <v>HERRAMIENTA MENOR.</v>
      </c>
      <c r="B572" s="1811"/>
      <c r="C572" s="1967"/>
      <c r="D572" s="449">
        <f>+'LISTADO EQUIPOS'!$E$22/8</f>
        <v>2850</v>
      </c>
      <c r="E572" s="427">
        <f>+E589</f>
        <v>0.5</v>
      </c>
      <c r="F572" s="449">
        <f>+E572*D572</f>
        <v>1425</v>
      </c>
      <c r="G572" s="429"/>
    </row>
    <row r="573" spans="1:7" ht="14.25" hidden="1" customHeight="1">
      <c r="A573" s="1982"/>
      <c r="B573" s="1807"/>
      <c r="C573" s="1819"/>
      <c r="D573" s="451"/>
      <c r="E573" s="671"/>
      <c r="F573" s="451"/>
      <c r="G573" s="672"/>
    </row>
    <row r="574" spans="1:7" ht="14.25" hidden="1" customHeight="1">
      <c r="A574" s="2003" t="s">
        <v>1560</v>
      </c>
      <c r="B574" s="1601"/>
      <c r="C574" s="1601"/>
      <c r="D574" s="1601"/>
      <c r="E574" s="1601"/>
      <c r="F574" s="1801"/>
      <c r="G574" s="692">
        <f>SUM(F572:F573)</f>
        <v>1425</v>
      </c>
    </row>
    <row r="575" spans="1:7" ht="14.25" hidden="1" customHeight="1">
      <c r="A575" s="423" t="s">
        <v>1561</v>
      </c>
      <c r="B575" s="416"/>
      <c r="C575" s="416"/>
      <c r="D575" s="416"/>
      <c r="E575" s="416"/>
      <c r="F575" s="416"/>
      <c r="G575" s="416"/>
    </row>
    <row r="576" spans="1:7" ht="14.25" hidden="1" customHeight="1">
      <c r="A576" s="1975" t="s">
        <v>1556</v>
      </c>
      <c r="B576" s="1801"/>
      <c r="C576" s="424" t="s">
        <v>6</v>
      </c>
      <c r="D576" s="424" t="s">
        <v>1562</v>
      </c>
      <c r="E576" s="424" t="s">
        <v>7</v>
      </c>
      <c r="F576" s="424" t="s">
        <v>1559</v>
      </c>
      <c r="G576" s="425"/>
    </row>
    <row r="577" spans="1:7" ht="14.25" hidden="1" customHeight="1">
      <c r="A577" s="1987" t="str">
        <f>+'LISTADO MATERIALES'!$C$379</f>
        <v>DISOLVENTE THINER</v>
      </c>
      <c r="B577" s="1967"/>
      <c r="C577" s="674" t="str">
        <f>+'LISTADO MATERIALES'!$D$379</f>
        <v>GAL</v>
      </c>
      <c r="D577" s="675">
        <f>+'LISTADO MATERIALES'!$E$379</f>
        <v>16275</v>
      </c>
      <c r="E577" s="674">
        <v>0.04</v>
      </c>
      <c r="F577" s="675">
        <f t="shared" ref="F577:F580" si="34">+E577*D577</f>
        <v>651</v>
      </c>
      <c r="G577" s="688"/>
    </row>
    <row r="578" spans="1:7" ht="14.25" hidden="1" customHeight="1">
      <c r="A578" s="1988" t="str">
        <f>+'LISTADO MATERIALES'!$C$380</f>
        <v>ESMALTE</v>
      </c>
      <c r="B578" s="1611"/>
      <c r="C578" s="677" t="str">
        <f>+'LISTADO MATERIALES'!$D$380</f>
        <v>GAL</v>
      </c>
      <c r="D578" s="431">
        <f>+'LISTADO MATERIALES'!$E$380</f>
        <v>51450</v>
      </c>
      <c r="E578" s="677">
        <v>0.04</v>
      </c>
      <c r="F578" s="431">
        <f t="shared" si="34"/>
        <v>2058</v>
      </c>
      <c r="G578" s="432"/>
    </row>
    <row r="579" spans="1:7" ht="14.25" hidden="1" customHeight="1">
      <c r="A579" s="1988" t="str">
        <f>+'LISTADO MATERIALES'!$C$394</f>
        <v>LIJA PLIEGO 9"X11"</v>
      </c>
      <c r="B579" s="1611"/>
      <c r="C579" s="677" t="str">
        <f>+'LISTADO MATERIALES'!$D$394</f>
        <v>UND</v>
      </c>
      <c r="D579" s="431">
        <f>+'LISTADO MATERIALES'!$E$394</f>
        <v>1260</v>
      </c>
      <c r="E579" s="677">
        <v>0.2</v>
      </c>
      <c r="F579" s="431">
        <f t="shared" si="34"/>
        <v>252</v>
      </c>
      <c r="G579" s="432"/>
    </row>
    <row r="580" spans="1:7" ht="14.25" hidden="1" customHeight="1">
      <c r="A580" s="1982" t="str">
        <f>+'LISTADO MATERIALES'!$C$406</f>
        <v>WASH PRIMER (1/4 Gal.)</v>
      </c>
      <c r="B580" s="1819"/>
      <c r="C580" s="678" t="str">
        <f>+'LISTADO MATERIALES'!$D$406</f>
        <v>GL</v>
      </c>
      <c r="D580" s="451">
        <f>+'LISTADO MATERIALES'!$E$406</f>
        <v>24675</v>
      </c>
      <c r="E580" s="678">
        <v>0.1</v>
      </c>
      <c r="F580" s="451">
        <f t="shared" si="34"/>
        <v>2467.5</v>
      </c>
      <c r="G580" s="672"/>
    </row>
    <row r="581" spans="1:7" ht="14.25" hidden="1" customHeight="1">
      <c r="A581" s="2003" t="s">
        <v>1560</v>
      </c>
      <c r="B581" s="1601"/>
      <c r="C581" s="1601"/>
      <c r="D581" s="1601"/>
      <c r="E581" s="1601"/>
      <c r="F581" s="1801"/>
      <c r="G581" s="692">
        <f>SUM(F577:F580)</f>
        <v>5428.5</v>
      </c>
    </row>
    <row r="582" spans="1:7" ht="14.25" hidden="1" customHeight="1">
      <c r="A582" s="423" t="s">
        <v>1563</v>
      </c>
      <c r="B582" s="416"/>
      <c r="C582" s="416"/>
      <c r="D582" s="416"/>
      <c r="E582" s="416"/>
      <c r="F582" s="416"/>
      <c r="G582" s="416"/>
    </row>
    <row r="583" spans="1:7" ht="14.25" hidden="1" customHeight="1">
      <c r="A583" s="1975" t="s">
        <v>1556</v>
      </c>
      <c r="B583" s="1801"/>
      <c r="C583" s="424" t="s">
        <v>6</v>
      </c>
      <c r="D583" s="424" t="s">
        <v>1562</v>
      </c>
      <c r="E583" s="424" t="s">
        <v>7</v>
      </c>
      <c r="F583" s="424" t="s">
        <v>1559</v>
      </c>
      <c r="G583" s="690"/>
    </row>
    <row r="584" spans="1:7" ht="14.25" hidden="1" customHeight="1">
      <c r="A584" s="1981"/>
      <c r="B584" s="1967"/>
      <c r="C584" s="448"/>
      <c r="D584" s="449"/>
      <c r="E584" s="450"/>
      <c r="F584" s="431"/>
      <c r="G584" s="429"/>
    </row>
    <row r="585" spans="1:7" ht="14.25" hidden="1" customHeight="1">
      <c r="A585" s="1982"/>
      <c r="B585" s="1819"/>
      <c r="C585" s="448"/>
      <c r="D585" s="451"/>
      <c r="E585" s="452"/>
      <c r="F585" s="451"/>
      <c r="G585" s="691"/>
    </row>
    <row r="586" spans="1:7" ht="14.25" hidden="1" customHeight="1">
      <c r="A586" s="2003" t="s">
        <v>1560</v>
      </c>
      <c r="B586" s="1601"/>
      <c r="C586" s="1601"/>
      <c r="D586" s="1601"/>
      <c r="E586" s="1601"/>
      <c r="F586" s="1801"/>
      <c r="G586" s="692"/>
    </row>
    <row r="587" spans="1:7" ht="14.25" hidden="1" customHeight="1">
      <c r="A587" s="423" t="s">
        <v>1564</v>
      </c>
      <c r="B587" s="416"/>
      <c r="C587" s="416"/>
      <c r="D587" s="416"/>
      <c r="E587" s="416"/>
      <c r="F587" s="416"/>
      <c r="G587" s="416"/>
    </row>
    <row r="588" spans="1:7" ht="14.25" hidden="1" customHeight="1">
      <c r="A588" s="1975" t="s">
        <v>1565</v>
      </c>
      <c r="B588" s="1801"/>
      <c r="C588" s="424" t="s">
        <v>1566</v>
      </c>
      <c r="D588" s="424" t="s">
        <v>6</v>
      </c>
      <c r="E588" s="424" t="s">
        <v>7</v>
      </c>
      <c r="F588" s="424" t="s">
        <v>1559</v>
      </c>
      <c r="G588" s="693"/>
    </row>
    <row r="589" spans="1:7" ht="14.25" hidden="1" customHeight="1">
      <c r="A589" s="2004" t="str">
        <f>+'MANO DE OBRA'!$A$76:$E$76</f>
        <v>MANO DE OBRA - PINTURA</v>
      </c>
      <c r="B589" s="1888"/>
      <c r="C589" s="679">
        <f>+'MANO DE OBRA'!$E$81</f>
        <v>29904.671875</v>
      </c>
      <c r="D589" s="680">
        <v>1</v>
      </c>
      <c r="E589" s="680">
        <v>0.5</v>
      </c>
      <c r="F589" s="710">
        <f>+(C589*D589)*E589</f>
        <v>14952.3359375</v>
      </c>
      <c r="G589" s="429"/>
    </row>
    <row r="590" spans="1:7" ht="14.25" hidden="1" customHeight="1">
      <c r="A590" s="1968"/>
      <c r="B590" s="1819"/>
      <c r="C590" s="681"/>
      <c r="D590" s="562"/>
      <c r="E590" s="562"/>
      <c r="F590" s="711"/>
      <c r="G590" s="672"/>
    </row>
    <row r="591" spans="1:7" ht="14.25" hidden="1" customHeight="1">
      <c r="A591" s="2003" t="str">
        <f>+A586</f>
        <v>SUB-TOTAL</v>
      </c>
      <c r="B591" s="1601"/>
      <c r="C591" s="1601"/>
      <c r="D591" s="1601"/>
      <c r="E591" s="1601"/>
      <c r="F591" s="1801"/>
      <c r="G591" s="692">
        <f>SUM(F589:F590)</f>
        <v>14952.3359375</v>
      </c>
    </row>
    <row r="593" spans="1:7" ht="14.25" hidden="1" customHeight="1">
      <c r="A593" s="2003" t="s">
        <v>1567</v>
      </c>
      <c r="B593" s="1601"/>
      <c r="C593" s="1601"/>
      <c r="D593" s="1601"/>
      <c r="E593" s="1601"/>
      <c r="F593" s="1801"/>
      <c r="G593" s="712">
        <f>ROUND(G574+G581+G586+G591,0)</f>
        <v>21806</v>
      </c>
    </row>
    <row r="594" spans="1:7" ht="14.25" hidden="1" customHeight="1">
      <c r="A594" s="420"/>
      <c r="B594" s="420"/>
      <c r="C594" s="420"/>
      <c r="D594" s="420"/>
      <c r="E594" s="420"/>
      <c r="F594" s="420"/>
      <c r="G594" s="420"/>
    </row>
    <row r="595" spans="1:7" ht="14.25" hidden="1" customHeight="1">
      <c r="A595" s="420"/>
      <c r="B595" s="420"/>
      <c r="C595" s="420"/>
      <c r="D595" s="420"/>
      <c r="E595" s="420"/>
      <c r="F595" s="420"/>
      <c r="G595" s="420"/>
    </row>
    <row r="596" spans="1:7" ht="27" hidden="1" customHeight="1">
      <c r="A596" s="2005" t="s">
        <v>1604</v>
      </c>
      <c r="B596" s="1616"/>
      <c r="C596" s="1624"/>
      <c r="D596" s="567"/>
      <c r="E596" s="567"/>
      <c r="F596" s="567"/>
      <c r="G596" s="668"/>
    </row>
    <row r="597" spans="1:7" ht="24" hidden="1" customHeight="1">
      <c r="A597" s="1971"/>
      <c r="B597" s="1817"/>
      <c r="C597" s="1972"/>
      <c r="D597" s="669"/>
      <c r="E597" s="669"/>
      <c r="F597" s="669"/>
      <c r="G597" s="670"/>
    </row>
    <row r="598" spans="1:7" ht="14.25" hidden="1" customHeight="1">
      <c r="A598" s="416"/>
      <c r="B598" s="416"/>
      <c r="C598" s="416"/>
      <c r="D598" s="416"/>
      <c r="E598" s="416"/>
      <c r="F598" s="416"/>
      <c r="G598" s="416"/>
    </row>
    <row r="599" spans="1:7" ht="35.25" hidden="1" customHeight="1">
      <c r="A599" s="1973" t="e">
        <f ca="1">A11</f>
        <v>#NAME?</v>
      </c>
      <c r="B599" s="1601"/>
      <c r="C599" s="1602"/>
      <c r="D599" s="1974" t="s">
        <v>2518</v>
      </c>
      <c r="E599" s="1601"/>
      <c r="F599" s="1601"/>
      <c r="G599" s="1602"/>
    </row>
    <row r="600" spans="1:7" ht="14.25" hidden="1" customHeight="1">
      <c r="A600" s="418"/>
      <c r="B600" s="418"/>
      <c r="C600" s="418"/>
      <c r="D600" s="418"/>
      <c r="E600" s="418"/>
      <c r="F600" s="418"/>
      <c r="G600" s="418"/>
    </row>
    <row r="601" spans="1:7" ht="12.75" hidden="1" customHeight="1">
      <c r="A601" s="419"/>
      <c r="B601" s="416"/>
      <c r="C601" s="420"/>
      <c r="D601" s="421" t="s">
        <v>1553</v>
      </c>
      <c r="E601" s="422" t="s">
        <v>120</v>
      </c>
      <c r="F601" s="572"/>
      <c r="G601" s="572"/>
    </row>
    <row r="602" spans="1:7" ht="14.25" hidden="1" customHeight="1">
      <c r="A602" s="423" t="s">
        <v>1555</v>
      </c>
      <c r="B602" s="416"/>
      <c r="C602" s="416"/>
      <c r="D602" s="416"/>
      <c r="E602" s="416"/>
      <c r="F602" s="416"/>
      <c r="G602" s="416"/>
    </row>
    <row r="603" spans="1:7" ht="13.5" hidden="1" customHeight="1">
      <c r="A603" s="1975" t="s">
        <v>1556</v>
      </c>
      <c r="B603" s="1601"/>
      <c r="C603" s="1801"/>
      <c r="D603" s="424" t="s">
        <v>208</v>
      </c>
      <c r="E603" s="424" t="s">
        <v>1558</v>
      </c>
      <c r="F603" s="424" t="s">
        <v>1559</v>
      </c>
      <c r="G603" s="425"/>
    </row>
    <row r="604" spans="1:7" ht="14.25" hidden="1" customHeight="1">
      <c r="A604" s="1981" t="str">
        <f>+'LISTADO EQUIPOS'!$C$22</f>
        <v>HERRAMIENTA MENOR.</v>
      </c>
      <c r="B604" s="1811"/>
      <c r="C604" s="1967"/>
      <c r="D604" s="449">
        <f>+'LISTADO EQUIPOS'!$E$22/8</f>
        <v>2850</v>
      </c>
      <c r="E604" s="427">
        <f>+E621</f>
        <v>0.15</v>
      </c>
      <c r="F604" s="449">
        <f>+E604*D604</f>
        <v>427.5</v>
      </c>
      <c r="G604" s="429"/>
    </row>
    <row r="605" spans="1:7" ht="14.25" hidden="1" customHeight="1">
      <c r="A605" s="1996"/>
      <c r="B605" s="1807"/>
      <c r="C605" s="1819"/>
      <c r="D605" s="434"/>
      <c r="E605" s="758"/>
      <c r="F605" s="434"/>
      <c r="G605" s="435"/>
    </row>
    <row r="606" spans="1:7" ht="14.25" hidden="1" customHeight="1">
      <c r="A606" s="2003" t="s">
        <v>1560</v>
      </c>
      <c r="B606" s="1601"/>
      <c r="C606" s="1601"/>
      <c r="D606" s="1601"/>
      <c r="E606" s="1601"/>
      <c r="F606" s="1801"/>
      <c r="G606" s="692">
        <f>SUM(F604:F605)</f>
        <v>427.5</v>
      </c>
    </row>
    <row r="607" spans="1:7" ht="14.25" hidden="1" customHeight="1">
      <c r="A607" s="423" t="s">
        <v>1561</v>
      </c>
      <c r="B607" s="416"/>
      <c r="C607" s="416"/>
      <c r="D607" s="416"/>
      <c r="E607" s="416"/>
      <c r="F607" s="416"/>
      <c r="G607" s="416"/>
    </row>
    <row r="608" spans="1:7" ht="14.25" hidden="1" customHeight="1">
      <c r="A608" s="1975" t="s">
        <v>1556</v>
      </c>
      <c r="B608" s="1801"/>
      <c r="C608" s="424" t="s">
        <v>6</v>
      </c>
      <c r="D608" s="424" t="s">
        <v>1562</v>
      </c>
      <c r="E608" s="424" t="s">
        <v>7</v>
      </c>
      <c r="F608" s="424" t="s">
        <v>1559</v>
      </c>
      <c r="G608" s="425"/>
    </row>
    <row r="609" spans="1:7" ht="14.25" hidden="1" customHeight="1">
      <c r="A609" s="1981" t="str">
        <f>+'LISTADO MATERIALES'!$C$379</f>
        <v>DISOLVENTE THINER</v>
      </c>
      <c r="B609" s="1967"/>
      <c r="C609" s="699" t="str">
        <f>+'LISTADO MATERIALES'!$D$379</f>
        <v>GAL</v>
      </c>
      <c r="D609" s="449">
        <f>+'LISTADO MATERIALES'!$E$379</f>
        <v>16275</v>
      </c>
      <c r="E609" s="699">
        <v>1.4999999999999999E-2</v>
      </c>
      <c r="F609" s="449">
        <f t="shared" ref="F609:F611" si="35">+E609*D609</f>
        <v>244.125</v>
      </c>
      <c r="G609" s="429"/>
    </row>
    <row r="610" spans="1:7" ht="14.25" hidden="1" customHeight="1">
      <c r="A610" s="1988" t="str">
        <f>+'LISTADO MATERIALES'!$C$380</f>
        <v>ESMALTE</v>
      </c>
      <c r="B610" s="1611"/>
      <c r="C610" s="677" t="str">
        <f>+'LISTADO MATERIALES'!$D$380</f>
        <v>GAL</v>
      </c>
      <c r="D610" s="431">
        <f>+'LISTADO MATERIALES'!$E$380</f>
        <v>51450</v>
      </c>
      <c r="E610" s="677">
        <v>1.4999999999999999E-2</v>
      </c>
      <c r="F610" s="431">
        <f t="shared" si="35"/>
        <v>771.75</v>
      </c>
      <c r="G610" s="432"/>
    </row>
    <row r="611" spans="1:7" ht="14.25" hidden="1" customHeight="1">
      <c r="A611" s="1988" t="str">
        <f>+'LISTADO MATERIALES'!$C$394</f>
        <v>LIJA PLIEGO 9"X11"</v>
      </c>
      <c r="B611" s="1611"/>
      <c r="C611" s="677" t="str">
        <f>+'LISTADO MATERIALES'!$D$394</f>
        <v>UND</v>
      </c>
      <c r="D611" s="431">
        <f>+'LISTADO MATERIALES'!$E$394</f>
        <v>1260</v>
      </c>
      <c r="E611" s="677">
        <v>0.12</v>
      </c>
      <c r="F611" s="431">
        <f t="shared" si="35"/>
        <v>151.19999999999999</v>
      </c>
      <c r="G611" s="432"/>
    </row>
    <row r="612" spans="1:7" ht="14.25" hidden="1" customHeight="1">
      <c r="A612" s="1988"/>
      <c r="B612" s="1611"/>
      <c r="C612" s="677"/>
      <c r="D612" s="431"/>
      <c r="E612" s="677"/>
      <c r="F612" s="431"/>
      <c r="G612" s="432"/>
    </row>
    <row r="613" spans="1:7" ht="14.25" hidden="1" customHeight="1">
      <c r="A613" s="2003" t="s">
        <v>1560</v>
      </c>
      <c r="B613" s="1601"/>
      <c r="C613" s="1601"/>
      <c r="D613" s="1601"/>
      <c r="E613" s="1601"/>
      <c r="F613" s="1801"/>
      <c r="G613" s="692">
        <f>SUM(F609:F612)</f>
        <v>1167.075</v>
      </c>
    </row>
    <row r="614" spans="1:7" ht="14.25" hidden="1" customHeight="1">
      <c r="A614" s="423" t="s">
        <v>1563</v>
      </c>
      <c r="B614" s="416"/>
      <c r="C614" s="416"/>
      <c r="D614" s="416"/>
      <c r="E614" s="416"/>
      <c r="F614" s="416"/>
      <c r="G614" s="416"/>
    </row>
    <row r="615" spans="1:7" ht="14.25" hidden="1" customHeight="1">
      <c r="A615" s="1975" t="s">
        <v>1556</v>
      </c>
      <c r="B615" s="1801"/>
      <c r="C615" s="424" t="s">
        <v>6</v>
      </c>
      <c r="D615" s="424" t="s">
        <v>1562</v>
      </c>
      <c r="E615" s="424" t="s">
        <v>7</v>
      </c>
      <c r="F615" s="424" t="s">
        <v>1559</v>
      </c>
      <c r="G615" s="690"/>
    </row>
    <row r="616" spans="1:7" ht="14.25" hidden="1" customHeight="1">
      <c r="A616" s="1981"/>
      <c r="B616" s="1967"/>
      <c r="C616" s="448"/>
      <c r="D616" s="449"/>
      <c r="E616" s="450"/>
      <c r="F616" s="431"/>
      <c r="G616" s="429"/>
    </row>
    <row r="617" spans="1:7" ht="14.25" hidden="1" customHeight="1">
      <c r="A617" s="1982"/>
      <c r="B617" s="1819"/>
      <c r="C617" s="448"/>
      <c r="D617" s="451"/>
      <c r="E617" s="452"/>
      <c r="F617" s="451"/>
      <c r="G617" s="691"/>
    </row>
    <row r="618" spans="1:7" ht="14.25" hidden="1" customHeight="1">
      <c r="A618" s="2003" t="s">
        <v>1560</v>
      </c>
      <c r="B618" s="1601"/>
      <c r="C618" s="1601"/>
      <c r="D618" s="1601"/>
      <c r="E618" s="1601"/>
      <c r="F618" s="1801"/>
      <c r="G618" s="692"/>
    </row>
    <row r="619" spans="1:7" ht="14.25" hidden="1" customHeight="1">
      <c r="A619" s="423" t="s">
        <v>1564</v>
      </c>
      <c r="B619" s="416"/>
      <c r="C619" s="416"/>
      <c r="D619" s="416"/>
      <c r="E619" s="416"/>
      <c r="F619" s="416"/>
      <c r="G619" s="416"/>
    </row>
    <row r="620" spans="1:7" ht="14.25" hidden="1" customHeight="1">
      <c r="A620" s="1975" t="s">
        <v>1565</v>
      </c>
      <c r="B620" s="1801"/>
      <c r="C620" s="424" t="s">
        <v>1566</v>
      </c>
      <c r="D620" s="424" t="s">
        <v>6</v>
      </c>
      <c r="E620" s="424" t="s">
        <v>7</v>
      </c>
      <c r="F620" s="424" t="s">
        <v>1559</v>
      </c>
      <c r="G620" s="693"/>
    </row>
    <row r="621" spans="1:7" ht="14.25" hidden="1" customHeight="1">
      <c r="A621" s="2004" t="str">
        <f>+'MANO DE OBRA'!$A$76:$E$76</f>
        <v>MANO DE OBRA - PINTURA</v>
      </c>
      <c r="B621" s="1888"/>
      <c r="C621" s="679">
        <f>+'MANO DE OBRA'!$E$81</f>
        <v>29904.671875</v>
      </c>
      <c r="D621" s="680">
        <v>1</v>
      </c>
      <c r="E621" s="680">
        <v>0.15</v>
      </c>
      <c r="F621" s="710">
        <f>+(C621*D621)*E621</f>
        <v>4485.7007812499996</v>
      </c>
      <c r="G621" s="429"/>
    </row>
    <row r="622" spans="1:7" ht="14.25" hidden="1" customHeight="1">
      <c r="A622" s="1968"/>
      <c r="B622" s="1819"/>
      <c r="C622" s="681"/>
      <c r="D622" s="562"/>
      <c r="E622" s="562"/>
      <c r="F622" s="711"/>
      <c r="G622" s="672"/>
    </row>
    <row r="623" spans="1:7" ht="14.25" hidden="1" customHeight="1">
      <c r="A623" s="2003" t="str">
        <f>+A618</f>
        <v>SUB-TOTAL</v>
      </c>
      <c r="B623" s="1601"/>
      <c r="C623" s="1601"/>
      <c r="D623" s="1601"/>
      <c r="E623" s="1601"/>
      <c r="F623" s="1801"/>
      <c r="G623" s="692">
        <f>SUM(F621:F622)</f>
        <v>4485.7007812499996</v>
      </c>
    </row>
    <row r="625" spans="1:7" ht="14.25" hidden="1" customHeight="1">
      <c r="A625" s="2003" t="s">
        <v>1567</v>
      </c>
      <c r="B625" s="1601"/>
      <c r="C625" s="1601"/>
      <c r="D625" s="1601"/>
      <c r="E625" s="1601"/>
      <c r="F625" s="1801"/>
      <c r="G625" s="712">
        <f>ROUND(G606+G613+G618+G623,0)</f>
        <v>6080</v>
      </c>
    </row>
    <row r="626" spans="1:7" ht="14.25" hidden="1" customHeight="1">
      <c r="A626" s="420"/>
      <c r="B626" s="420"/>
      <c r="C626" s="420"/>
      <c r="D626" s="420"/>
      <c r="E626" s="420"/>
      <c r="F626" s="420"/>
      <c r="G626" s="420"/>
    </row>
    <row r="627" spans="1:7" ht="14.25" hidden="1" customHeight="1">
      <c r="A627" s="420"/>
      <c r="B627" s="420"/>
      <c r="C627" s="420"/>
      <c r="D627" s="420"/>
      <c r="E627" s="420"/>
      <c r="F627" s="420"/>
      <c r="G627" s="420"/>
    </row>
    <row r="628" spans="1:7" ht="20.25" hidden="1" customHeight="1">
      <c r="A628" s="2005" t="s">
        <v>1604</v>
      </c>
      <c r="B628" s="1616"/>
      <c r="C628" s="1624"/>
      <c r="D628" s="567"/>
      <c r="E628" s="567"/>
      <c r="F628" s="567"/>
      <c r="G628" s="668"/>
    </row>
    <row r="629" spans="1:7" ht="27" hidden="1" customHeight="1">
      <c r="A629" s="1971"/>
      <c r="B629" s="1817"/>
      <c r="C629" s="1972"/>
      <c r="D629" s="669"/>
      <c r="E629" s="669"/>
      <c r="F629" s="669"/>
      <c r="G629" s="670"/>
    </row>
    <row r="630" spans="1:7" ht="14.25" hidden="1" customHeight="1">
      <c r="A630" s="416"/>
      <c r="B630" s="416"/>
      <c r="C630" s="416"/>
      <c r="D630" s="416"/>
      <c r="E630" s="416"/>
      <c r="F630" s="416"/>
      <c r="G630" s="416"/>
    </row>
    <row r="631" spans="1:7" ht="35.25" hidden="1" customHeight="1">
      <c r="A631" s="1973" t="e">
        <f ca="1">A11</f>
        <v>#NAME?</v>
      </c>
      <c r="B631" s="1601"/>
      <c r="C631" s="1602"/>
      <c r="D631" s="1974" t="s">
        <v>2519</v>
      </c>
      <c r="E631" s="1601"/>
      <c r="F631" s="1601"/>
      <c r="G631" s="1602"/>
    </row>
    <row r="632" spans="1:7" ht="14.25" hidden="1" customHeight="1">
      <c r="A632" s="418"/>
      <c r="B632" s="418"/>
      <c r="C632" s="418"/>
      <c r="D632" s="418"/>
      <c r="E632" s="418"/>
      <c r="F632" s="418"/>
      <c r="G632" s="418"/>
    </row>
    <row r="633" spans="1:7" ht="14.25" hidden="1" customHeight="1">
      <c r="A633" s="419"/>
      <c r="B633" s="416"/>
      <c r="C633" s="420"/>
      <c r="D633" s="421" t="s">
        <v>1553</v>
      </c>
      <c r="E633" s="422" t="s">
        <v>228</v>
      </c>
      <c r="F633" s="572"/>
      <c r="G633" s="572"/>
    </row>
    <row r="634" spans="1:7" ht="14.25" hidden="1" customHeight="1">
      <c r="A634" s="423" t="s">
        <v>1555</v>
      </c>
      <c r="B634" s="416"/>
      <c r="C634" s="416"/>
      <c r="D634" s="416"/>
      <c r="E634" s="416"/>
      <c r="F634" s="416"/>
      <c r="G634" s="416"/>
    </row>
    <row r="635" spans="1:7" ht="14.25" hidden="1" customHeight="1">
      <c r="A635" s="1975" t="s">
        <v>1556</v>
      </c>
      <c r="B635" s="1601"/>
      <c r="C635" s="1801"/>
      <c r="D635" s="424" t="s">
        <v>208</v>
      </c>
      <c r="E635" s="424" t="s">
        <v>1558</v>
      </c>
      <c r="F635" s="424" t="s">
        <v>1559</v>
      </c>
      <c r="G635" s="425"/>
    </row>
    <row r="636" spans="1:7" ht="14.25" hidden="1" customHeight="1">
      <c r="A636" s="1981" t="str">
        <f>+'LISTADO EQUIPOS'!$C$22</f>
        <v>HERRAMIENTA MENOR.</v>
      </c>
      <c r="B636" s="1811"/>
      <c r="C636" s="1967"/>
      <c r="D636" s="449">
        <f>+'LISTADO EQUIPOS'!$E$22/8</f>
        <v>2850</v>
      </c>
      <c r="E636" s="427">
        <v>0.1</v>
      </c>
      <c r="F636" s="449">
        <f t="shared" ref="F636:F637" si="36">+E636*D636</f>
        <v>285</v>
      </c>
      <c r="G636" s="429"/>
    </row>
    <row r="637" spans="1:7" ht="14.25" hidden="1" customHeight="1">
      <c r="A637" s="1988" t="str">
        <f>+'LISTADO EQUIPOS'!$C$47</f>
        <v>ANDAMIO TUBULAR. 1.5 x 1.5 SECCIÓN</v>
      </c>
      <c r="B637" s="1610"/>
      <c r="C637" s="1611"/>
      <c r="D637" s="431">
        <f>+'LISTADO EQUIPOS'!$E$47</f>
        <v>1750</v>
      </c>
      <c r="E637" s="430">
        <v>0.1</v>
      </c>
      <c r="F637" s="431">
        <f t="shared" si="36"/>
        <v>175</v>
      </c>
      <c r="G637" s="432"/>
    </row>
    <row r="638" spans="1:7" ht="14.25" hidden="1" customHeight="1">
      <c r="A638" s="2003" t="s">
        <v>1560</v>
      </c>
      <c r="B638" s="1601"/>
      <c r="C638" s="1601"/>
      <c r="D638" s="1601"/>
      <c r="E638" s="1601"/>
      <c r="F638" s="1801"/>
      <c r="G638" s="692">
        <f>SUM(F636:F637)</f>
        <v>460</v>
      </c>
    </row>
    <row r="639" spans="1:7" ht="14.25" hidden="1" customHeight="1">
      <c r="A639" s="423" t="s">
        <v>1561</v>
      </c>
      <c r="B639" s="416"/>
      <c r="C639" s="416"/>
      <c r="D639" s="416"/>
      <c r="E639" s="416"/>
      <c r="F639" s="416"/>
      <c r="G639" s="416"/>
    </row>
    <row r="640" spans="1:7" ht="14.25" hidden="1" customHeight="1">
      <c r="A640" s="1975" t="s">
        <v>1556</v>
      </c>
      <c r="B640" s="1801"/>
      <c r="C640" s="424" t="s">
        <v>6</v>
      </c>
      <c r="D640" s="424" t="s">
        <v>1562</v>
      </c>
      <c r="E640" s="424" t="s">
        <v>7</v>
      </c>
      <c r="F640" s="424" t="s">
        <v>1559</v>
      </c>
      <c r="G640" s="425"/>
    </row>
    <row r="641" spans="1:7" ht="14.25" hidden="1" customHeight="1">
      <c r="A641" s="1981" t="str">
        <f>+'LISTADO MATERIALES'!$C$377</f>
        <v>CORAZA DE PINTUCO</v>
      </c>
      <c r="B641" s="1967"/>
      <c r="C641" s="699" t="str">
        <f>+'LISTADO MATERIALES'!$D$377</f>
        <v>GAL</v>
      </c>
      <c r="D641" s="449">
        <f>+'LISTADO MATERIALES'!$E$377</f>
        <v>64050</v>
      </c>
      <c r="E641" s="427">
        <v>0.08</v>
      </c>
      <c r="F641" s="449">
        <f t="shared" ref="F641:F643" si="37">+E641*D641</f>
        <v>5124</v>
      </c>
      <c r="G641" s="429"/>
    </row>
    <row r="642" spans="1:7" ht="14.25" hidden="1" customHeight="1">
      <c r="A642" s="1988" t="str">
        <f>+'LISTADO MATERIALES'!$C$723</f>
        <v>AGUA</v>
      </c>
      <c r="B642" s="1611"/>
      <c r="C642" s="677" t="str">
        <f>+'LISTADO MATERIALES'!$D$723</f>
        <v>LT</v>
      </c>
      <c r="D642" s="431">
        <f>+'LISTADO MATERIALES'!$E$723</f>
        <v>21</v>
      </c>
      <c r="E642" s="430">
        <v>1</v>
      </c>
      <c r="F642" s="431">
        <f t="shared" si="37"/>
        <v>21</v>
      </c>
      <c r="G642" s="432"/>
    </row>
    <row r="643" spans="1:7" ht="14.25" hidden="1" customHeight="1">
      <c r="A643" s="1988" t="s">
        <v>2520</v>
      </c>
      <c r="B643" s="1611"/>
      <c r="C643" s="677" t="s">
        <v>171</v>
      </c>
      <c r="D643" s="431">
        <v>1500</v>
      </c>
      <c r="E643" s="677">
        <v>3.5</v>
      </c>
      <c r="F643" s="431">
        <f t="shared" si="37"/>
        <v>5250</v>
      </c>
      <c r="G643" s="432"/>
    </row>
    <row r="644" spans="1:7" ht="14.25" hidden="1" customHeight="1">
      <c r="A644" s="1982"/>
      <c r="B644" s="1819"/>
      <c r="C644" s="678"/>
      <c r="D644" s="451"/>
      <c r="E644" s="678"/>
      <c r="F644" s="451"/>
      <c r="G644" s="672"/>
    </row>
    <row r="645" spans="1:7" ht="14.25" hidden="1" customHeight="1">
      <c r="A645" s="2003" t="s">
        <v>1560</v>
      </c>
      <c r="B645" s="1601"/>
      <c r="C645" s="1601"/>
      <c r="D645" s="1601"/>
      <c r="E645" s="1601"/>
      <c r="F645" s="1801"/>
      <c r="G645" s="692">
        <f>SUM(F641:F644)</f>
        <v>10395</v>
      </c>
    </row>
    <row r="646" spans="1:7" ht="14.25" hidden="1" customHeight="1">
      <c r="A646" s="423" t="s">
        <v>1563</v>
      </c>
      <c r="B646" s="416"/>
      <c r="C646" s="416"/>
      <c r="D646" s="416"/>
      <c r="E646" s="416"/>
      <c r="F646" s="416"/>
      <c r="G646" s="416"/>
    </row>
    <row r="647" spans="1:7" ht="14.25" hidden="1" customHeight="1">
      <c r="A647" s="1975" t="s">
        <v>1556</v>
      </c>
      <c r="B647" s="1801"/>
      <c r="C647" s="424" t="s">
        <v>6</v>
      </c>
      <c r="D647" s="424" t="s">
        <v>1562</v>
      </c>
      <c r="E647" s="424" t="s">
        <v>7</v>
      </c>
      <c r="F647" s="424" t="s">
        <v>1559</v>
      </c>
      <c r="G647" s="690"/>
    </row>
    <row r="648" spans="1:7" ht="14.25" hidden="1" customHeight="1">
      <c r="A648" s="1981"/>
      <c r="B648" s="1967"/>
      <c r="C648" s="448"/>
      <c r="D648" s="449"/>
      <c r="E648" s="450"/>
      <c r="F648" s="431"/>
      <c r="G648" s="429"/>
    </row>
    <row r="649" spans="1:7" ht="14.25" hidden="1" customHeight="1">
      <c r="A649" s="1982"/>
      <c r="B649" s="1819"/>
      <c r="C649" s="448"/>
      <c r="D649" s="451"/>
      <c r="E649" s="452"/>
      <c r="F649" s="451"/>
      <c r="G649" s="691"/>
    </row>
    <row r="650" spans="1:7" ht="14.25" hidden="1" customHeight="1">
      <c r="A650" s="2003" t="s">
        <v>1560</v>
      </c>
      <c r="B650" s="1601"/>
      <c r="C650" s="1601"/>
      <c r="D650" s="1601"/>
      <c r="E650" s="1601"/>
      <c r="F650" s="1801"/>
      <c r="G650" s="692"/>
    </row>
    <row r="651" spans="1:7" ht="14.25" hidden="1" customHeight="1">
      <c r="A651" s="423" t="s">
        <v>1564</v>
      </c>
      <c r="B651" s="416"/>
      <c r="C651" s="416"/>
      <c r="D651" s="416"/>
      <c r="E651" s="416"/>
      <c r="F651" s="416"/>
      <c r="G651" s="416"/>
    </row>
    <row r="652" spans="1:7" ht="14.25" hidden="1" customHeight="1">
      <c r="A652" s="1975" t="s">
        <v>1565</v>
      </c>
      <c r="B652" s="1801"/>
      <c r="C652" s="424" t="s">
        <v>1566</v>
      </c>
      <c r="D652" s="424" t="s">
        <v>6</v>
      </c>
      <c r="E652" s="424" t="s">
        <v>7</v>
      </c>
      <c r="F652" s="424" t="s">
        <v>1559</v>
      </c>
      <c r="G652" s="693"/>
    </row>
    <row r="653" spans="1:7" ht="14.25" hidden="1" customHeight="1">
      <c r="A653" s="2004" t="str">
        <f>+'MANO DE OBRA'!$A$76:$E$76</f>
        <v>MANO DE OBRA - PINTURA</v>
      </c>
      <c r="B653" s="1888"/>
      <c r="C653" s="679">
        <f>+'MANO DE OBRA'!$E$81</f>
        <v>29904.671875</v>
      </c>
      <c r="D653" s="680">
        <v>1</v>
      </c>
      <c r="E653" s="680">
        <v>0.35</v>
      </c>
      <c r="F653" s="710">
        <f>+(C653*D653)*E653</f>
        <v>10466.635156249999</v>
      </c>
      <c r="G653" s="429"/>
    </row>
    <row r="654" spans="1:7" ht="14.25" hidden="1" customHeight="1">
      <c r="A654" s="1968"/>
      <c r="B654" s="1819"/>
      <c r="C654" s="681"/>
      <c r="D654" s="562"/>
      <c r="E654" s="562"/>
      <c r="F654" s="711"/>
      <c r="G654" s="672"/>
    </row>
    <row r="655" spans="1:7" ht="14.25" hidden="1" customHeight="1">
      <c r="A655" s="2003" t="str">
        <f>+A650</f>
        <v>SUB-TOTAL</v>
      </c>
      <c r="B655" s="1601"/>
      <c r="C655" s="1601"/>
      <c r="D655" s="1601"/>
      <c r="E655" s="1601"/>
      <c r="F655" s="1801"/>
      <c r="G655" s="692">
        <f>SUM(F653:F654)</f>
        <v>10466.635156249999</v>
      </c>
    </row>
    <row r="657" spans="1:7" ht="14.25" hidden="1" customHeight="1">
      <c r="A657" s="2003" t="s">
        <v>1567</v>
      </c>
      <c r="B657" s="1601"/>
      <c r="C657" s="1601"/>
      <c r="D657" s="1601"/>
      <c r="E657" s="1601"/>
      <c r="F657" s="1801"/>
      <c r="G657" s="712">
        <f>ROUND(G638+G645+G650+G655,0)</f>
        <v>21322</v>
      </c>
    </row>
    <row r="658" spans="1:7" ht="14.25" hidden="1" customHeight="1">
      <c r="A658" s="420"/>
      <c r="B658" s="420"/>
      <c r="C658" s="420"/>
      <c r="D658" s="420"/>
      <c r="E658" s="420"/>
      <c r="F658" s="420"/>
      <c r="G658" s="420"/>
    </row>
    <row r="659" spans="1:7" ht="14.25" hidden="1" customHeight="1">
      <c r="A659" s="420"/>
      <c r="B659" s="420"/>
      <c r="C659" s="420"/>
      <c r="D659" s="420"/>
      <c r="E659" s="420"/>
      <c r="F659" s="420"/>
      <c r="G659" s="420"/>
    </row>
    <row r="660" spans="1:7" ht="24.75" hidden="1" customHeight="1">
      <c r="A660" s="2005" t="s">
        <v>1604</v>
      </c>
      <c r="B660" s="1616"/>
      <c r="C660" s="1624"/>
      <c r="D660" s="567"/>
      <c r="E660" s="567"/>
      <c r="F660" s="567"/>
      <c r="G660" s="668"/>
    </row>
    <row r="661" spans="1:7" ht="27" hidden="1" customHeight="1">
      <c r="A661" s="1971"/>
      <c r="B661" s="1817"/>
      <c r="C661" s="1972"/>
      <c r="D661" s="669"/>
      <c r="E661" s="669"/>
      <c r="F661" s="669"/>
      <c r="G661" s="670"/>
    </row>
    <row r="662" spans="1:7" ht="14.25" hidden="1" customHeight="1">
      <c r="A662" s="416"/>
      <c r="B662" s="416"/>
      <c r="C662" s="416"/>
      <c r="D662" s="416"/>
      <c r="E662" s="416"/>
      <c r="F662" s="416"/>
      <c r="G662" s="416"/>
    </row>
    <row r="663" spans="1:7" ht="29.25" hidden="1" customHeight="1">
      <c r="A663" s="1973" t="e">
        <f ca="1">A11</f>
        <v>#NAME?</v>
      </c>
      <c r="B663" s="1601"/>
      <c r="C663" s="1602"/>
      <c r="D663" s="1974" t="s">
        <v>2521</v>
      </c>
      <c r="E663" s="1601"/>
      <c r="F663" s="1601"/>
      <c r="G663" s="1602"/>
    </row>
    <row r="664" spans="1:7" ht="14.25" hidden="1" customHeight="1">
      <c r="A664" s="418"/>
      <c r="B664" s="418"/>
      <c r="C664" s="418"/>
      <c r="D664" s="418"/>
      <c r="E664" s="418"/>
      <c r="F664" s="418"/>
      <c r="G664" s="418"/>
    </row>
    <row r="665" spans="1:7" ht="14.25" hidden="1" customHeight="1">
      <c r="A665" s="419"/>
      <c r="B665" s="416"/>
      <c r="C665" s="420"/>
      <c r="D665" s="421" t="s">
        <v>1553</v>
      </c>
      <c r="E665" s="422" t="s">
        <v>228</v>
      </c>
      <c r="F665" s="572"/>
      <c r="G665" s="572"/>
    </row>
    <row r="666" spans="1:7" ht="14.25" hidden="1" customHeight="1">
      <c r="A666" s="423" t="s">
        <v>1555</v>
      </c>
      <c r="B666" s="416"/>
      <c r="C666" s="416"/>
      <c r="D666" s="416"/>
      <c r="E666" s="416"/>
      <c r="F666" s="416"/>
      <c r="G666" s="416"/>
    </row>
    <row r="667" spans="1:7" ht="14.25" hidden="1" customHeight="1">
      <c r="A667" s="1975" t="s">
        <v>1556</v>
      </c>
      <c r="B667" s="1601"/>
      <c r="C667" s="1801"/>
      <c r="D667" s="424" t="s">
        <v>208</v>
      </c>
      <c r="E667" s="424" t="s">
        <v>1558</v>
      </c>
      <c r="F667" s="424" t="s">
        <v>1559</v>
      </c>
      <c r="G667" s="425"/>
    </row>
    <row r="668" spans="1:7" ht="14.25" hidden="1" customHeight="1">
      <c r="A668" s="1981" t="str">
        <f>+'LISTADO EQUIPOS'!$C$22</f>
        <v>HERRAMIENTA MENOR.</v>
      </c>
      <c r="B668" s="1811"/>
      <c r="C668" s="1967"/>
      <c r="D668" s="426" t="s">
        <v>1569</v>
      </c>
      <c r="E668" s="427"/>
      <c r="F668" s="428">
        <v>300</v>
      </c>
      <c r="G668" s="429"/>
    </row>
    <row r="669" spans="1:7" ht="15" hidden="1" customHeight="1">
      <c r="A669" s="1996" t="str">
        <f>+'LISTADO EQUIPOS'!$C$47</f>
        <v>ANDAMIO TUBULAR. 1.5 x 1.5 SECCIÓN</v>
      </c>
      <c r="B669" s="1807"/>
      <c r="C669" s="1819"/>
      <c r="D669" s="451">
        <f>+'LISTADO EQUIPOS'!$E$47</f>
        <v>1750</v>
      </c>
      <c r="E669" s="671">
        <v>0.1</v>
      </c>
      <c r="F669" s="698">
        <f>+E669*D669</f>
        <v>175</v>
      </c>
      <c r="G669" s="672"/>
    </row>
    <row r="670" spans="1:7" ht="14.25" hidden="1" customHeight="1">
      <c r="A670" s="2003" t="s">
        <v>1560</v>
      </c>
      <c r="B670" s="1601"/>
      <c r="C670" s="1601"/>
      <c r="D670" s="1601"/>
      <c r="E670" s="1601"/>
      <c r="F670" s="1801"/>
      <c r="G670" s="436">
        <f>SUM(F668:F669)</f>
        <v>475</v>
      </c>
    </row>
    <row r="671" spans="1:7" ht="14.25" hidden="1" customHeight="1">
      <c r="A671" s="423" t="s">
        <v>1561</v>
      </c>
      <c r="B671" s="416"/>
      <c r="C671" s="416"/>
      <c r="D671" s="416"/>
      <c r="E671" s="416"/>
      <c r="F671" s="416"/>
      <c r="G671" s="437"/>
    </row>
    <row r="672" spans="1:7" ht="14.25" hidden="1" customHeight="1">
      <c r="A672" s="1975" t="s">
        <v>1556</v>
      </c>
      <c r="B672" s="1801"/>
      <c r="C672" s="424" t="s">
        <v>6</v>
      </c>
      <c r="D672" s="424" t="s">
        <v>1562</v>
      </c>
      <c r="E672" s="424" t="s">
        <v>7</v>
      </c>
      <c r="F672" s="424" t="s">
        <v>1559</v>
      </c>
      <c r="G672" s="673"/>
    </row>
    <row r="673" spans="1:7" ht="14.25" hidden="1" customHeight="1">
      <c r="A673" s="1987" t="str">
        <f>+'ANALISIS BASICOS'!$A$164</f>
        <v xml:space="preserve">MORTERO 1:3 </v>
      </c>
      <c r="B673" s="1967"/>
      <c r="C673" s="674" t="str">
        <f>+'ANALISIS BASICOS'!$E$140</f>
        <v>M3</v>
      </c>
      <c r="D673" s="442">
        <f>+'ANALISIS BASICOS'!$G$164</f>
        <v>434608</v>
      </c>
      <c r="E673" s="687">
        <v>2.5000000000000001E-2</v>
      </c>
      <c r="F673" s="442">
        <f t="shared" ref="F673:F676" si="38">+E673*D673</f>
        <v>10865.2</v>
      </c>
      <c r="G673" s="676"/>
    </row>
    <row r="674" spans="1:7" ht="14.25" hidden="1" customHeight="1">
      <c r="A674" s="1988" t="str">
        <f>+'LISTADO MATERIALES'!$C$723</f>
        <v>AGUA</v>
      </c>
      <c r="B674" s="1611"/>
      <c r="C674" s="677" t="str">
        <f>+'LISTADO MATERIALES'!$D$723</f>
        <v>LT</v>
      </c>
      <c r="D674" s="689">
        <f>+'LISTADO MATERIALES'!$E$723</f>
        <v>21</v>
      </c>
      <c r="E674" s="430">
        <v>15</v>
      </c>
      <c r="F674" s="689">
        <f t="shared" si="38"/>
        <v>315</v>
      </c>
      <c r="G674" s="445"/>
    </row>
    <row r="675" spans="1:7" ht="14.25" hidden="1" customHeight="1">
      <c r="A675" s="1988" t="str">
        <f>'LISTADO MATERIALES'!$C$48</f>
        <v>MALLA DE GALLINERO 1"</v>
      </c>
      <c r="B675" s="1611"/>
      <c r="C675" s="677" t="str">
        <f>'LISTADO MATERIALES'!$D$48</f>
        <v>M2</v>
      </c>
      <c r="D675" s="689">
        <f>'LISTADO MATERIALES'!$E$48</f>
        <v>2625</v>
      </c>
      <c r="E675" s="430">
        <v>1.03</v>
      </c>
      <c r="F675" s="689">
        <f t="shared" si="38"/>
        <v>2703.75</v>
      </c>
      <c r="G675" s="445"/>
    </row>
    <row r="676" spans="1:7" ht="14.25" hidden="1" customHeight="1">
      <c r="A676" s="1988" t="str">
        <f>'LISTADO MATERIALES'!$C$83</f>
        <v>PUNTILLA 1 1/2" a 3" DE ACERO</v>
      </c>
      <c r="B676" s="1611"/>
      <c r="C676" s="677" t="str">
        <f>'LISTADO MATERIALES'!$D$83</f>
        <v>LB</v>
      </c>
      <c r="D676" s="689">
        <f>'LISTADO MATERIALES'!$E$83</f>
        <v>4200</v>
      </c>
      <c r="E676" s="430">
        <v>7.0000000000000007E-2</v>
      </c>
      <c r="F676" s="689">
        <f t="shared" si="38"/>
        <v>294</v>
      </c>
      <c r="G676" s="445"/>
    </row>
    <row r="677" spans="1:7" ht="14.25" hidden="1" customHeight="1">
      <c r="A677" s="1982"/>
      <c r="B677" s="1819"/>
      <c r="C677" s="678"/>
      <c r="D677" s="451"/>
      <c r="E677" s="671"/>
      <c r="F677" s="451"/>
      <c r="G677" s="456"/>
    </row>
    <row r="678" spans="1:7" ht="14.25" hidden="1" customHeight="1">
      <c r="A678" s="2003" t="s">
        <v>1560</v>
      </c>
      <c r="B678" s="1601"/>
      <c r="C678" s="1601"/>
      <c r="D678" s="1601"/>
      <c r="E678" s="1601"/>
      <c r="F678" s="1801"/>
      <c r="G678" s="436">
        <f>SUM(F673:F677)</f>
        <v>14177.95</v>
      </c>
    </row>
    <row r="679" spans="1:7" ht="14.25" hidden="1" customHeight="1">
      <c r="A679" s="423" t="s">
        <v>1563</v>
      </c>
      <c r="B679" s="416"/>
      <c r="C679" s="416"/>
      <c r="D679" s="416"/>
      <c r="E679" s="416"/>
      <c r="F679" s="416"/>
      <c r="G679" s="437"/>
    </row>
    <row r="680" spans="1:7" ht="14.25" hidden="1" customHeight="1">
      <c r="A680" s="1975" t="s">
        <v>1556</v>
      </c>
      <c r="B680" s="1801"/>
      <c r="C680" s="424" t="s">
        <v>6</v>
      </c>
      <c r="D680" s="424" t="s">
        <v>1562</v>
      </c>
      <c r="E680" s="424" t="s">
        <v>7</v>
      </c>
      <c r="F680" s="424" t="s">
        <v>1559</v>
      </c>
      <c r="G680" s="438"/>
    </row>
    <row r="681" spans="1:7" ht="14.25" hidden="1" customHeight="1">
      <c r="A681" s="1981"/>
      <c r="B681" s="1967"/>
      <c r="C681" s="448"/>
      <c r="D681" s="449"/>
      <c r="E681" s="450"/>
      <c r="F681" s="431"/>
      <c r="G681" s="443"/>
    </row>
    <row r="682" spans="1:7" ht="14.25" hidden="1" customHeight="1">
      <c r="A682" s="1982"/>
      <c r="B682" s="1819"/>
      <c r="C682" s="448"/>
      <c r="D682" s="451"/>
      <c r="E682" s="452"/>
      <c r="F682" s="451"/>
      <c r="G682" s="447"/>
    </row>
    <row r="683" spans="1:7" ht="14.25" hidden="1" customHeight="1">
      <c r="A683" s="2003" t="s">
        <v>1560</v>
      </c>
      <c r="B683" s="1601"/>
      <c r="C683" s="1601"/>
      <c r="D683" s="1601"/>
      <c r="E683" s="1601"/>
      <c r="F683" s="1801"/>
      <c r="G683" s="436"/>
    </row>
    <row r="684" spans="1:7" ht="14.25" hidden="1" customHeight="1">
      <c r="A684" s="423" t="s">
        <v>1564</v>
      </c>
      <c r="B684" s="416"/>
      <c r="C684" s="416"/>
      <c r="D684" s="416"/>
      <c r="E684" s="416"/>
      <c r="F684" s="416"/>
      <c r="G684" s="437"/>
    </row>
    <row r="685" spans="1:7" ht="14.25" hidden="1" customHeight="1">
      <c r="A685" s="1975" t="s">
        <v>1565</v>
      </c>
      <c r="B685" s="1801"/>
      <c r="C685" s="424" t="s">
        <v>1566</v>
      </c>
      <c r="D685" s="424" t="s">
        <v>6</v>
      </c>
      <c r="E685" s="424" t="s">
        <v>7</v>
      </c>
      <c r="F685" s="424" t="s">
        <v>1559</v>
      </c>
      <c r="G685" s="462"/>
    </row>
    <row r="686" spans="1:7" ht="14.25" hidden="1" customHeight="1">
      <c r="A686" s="2004" t="str">
        <f>+'MANO DE OBRA'!$A$64</f>
        <v>Oficial (Incl. Prestaciones)</v>
      </c>
      <c r="B686" s="1888"/>
      <c r="C686" s="679">
        <f>+'MANO DE OBRA'!$E$64</f>
        <v>15031.25</v>
      </c>
      <c r="D686" s="680">
        <v>1</v>
      </c>
      <c r="E686" s="680">
        <v>2.5</v>
      </c>
      <c r="F686" s="454">
        <f t="shared" ref="F686:F687" si="39">+(C686*D686)/E686</f>
        <v>6012.5</v>
      </c>
      <c r="G686" s="443"/>
    </row>
    <row r="687" spans="1:7" ht="14.25" hidden="1" customHeight="1">
      <c r="A687" s="1968" t="str">
        <f>+'MANO DE OBRA'!$A$65</f>
        <v>Ayudante (Incl. Prestaciones)</v>
      </c>
      <c r="B687" s="1819"/>
      <c r="C687" s="681">
        <f>+'MANO DE OBRA'!$E$65</f>
        <v>10972.8125</v>
      </c>
      <c r="D687" s="562">
        <v>2</v>
      </c>
      <c r="E687" s="562">
        <f>+E686</f>
        <v>2.5</v>
      </c>
      <c r="F687" s="455">
        <f t="shared" si="39"/>
        <v>8778.25</v>
      </c>
      <c r="G687" s="456"/>
    </row>
    <row r="688" spans="1:7" ht="14.25" hidden="1" customHeight="1">
      <c r="A688" s="2003" t="str">
        <f>+A683</f>
        <v>SUB-TOTAL</v>
      </c>
      <c r="B688" s="1601"/>
      <c r="C688" s="1601"/>
      <c r="D688" s="1601"/>
      <c r="E688" s="1601"/>
      <c r="F688" s="1801"/>
      <c r="G688" s="436">
        <f>SUM(F686:F687)</f>
        <v>14790.75</v>
      </c>
    </row>
    <row r="690" spans="1:7" ht="14.25" hidden="1" customHeight="1">
      <c r="A690" s="2003" t="s">
        <v>1567</v>
      </c>
      <c r="B690" s="1601"/>
      <c r="C690" s="1601"/>
      <c r="D690" s="1601"/>
      <c r="E690" s="1601"/>
      <c r="F690" s="1801"/>
      <c r="G690" s="682">
        <f>ROUND(G670+G678+G683+G688,0)</f>
        <v>29444</v>
      </c>
    </row>
    <row r="691" spans="1:7" ht="14.25" hidden="1" customHeight="1">
      <c r="A691" s="420"/>
      <c r="B691" s="420"/>
      <c r="C691" s="420"/>
      <c r="D691" s="420"/>
      <c r="E691" s="420"/>
      <c r="F691" s="420"/>
      <c r="G691" s="420"/>
    </row>
    <row r="692" spans="1:7" ht="14.25" customHeight="1">
      <c r="A692" s="420"/>
      <c r="B692" s="420"/>
      <c r="C692" s="420"/>
      <c r="D692" s="420"/>
      <c r="E692" s="420"/>
      <c r="F692" s="420"/>
      <c r="G692" s="420"/>
    </row>
    <row r="693" spans="1:7" ht="14.25" customHeight="1">
      <c r="A693" s="1986"/>
      <c r="B693" s="1605"/>
      <c r="C693" s="1605"/>
      <c r="D693" s="1605"/>
    </row>
  </sheetData>
  <mergeCells count="482">
    <mergeCell ref="A379:C379"/>
    <mergeCell ref="A380:C380"/>
    <mergeCell ref="A381:C381"/>
    <mergeCell ref="A348:C348"/>
    <mergeCell ref="A350:F350"/>
    <mergeCell ref="A349:C349"/>
    <mergeCell ref="A352:B352"/>
    <mergeCell ref="A353:B353"/>
    <mergeCell ref="A354:B354"/>
    <mergeCell ref="A355:B355"/>
    <mergeCell ref="A356:B356"/>
    <mergeCell ref="A357:F357"/>
    <mergeCell ref="A361:B361"/>
    <mergeCell ref="A362:F362"/>
    <mergeCell ref="A364:B364"/>
    <mergeCell ref="A365:B365"/>
    <mergeCell ref="A366:B366"/>
    <mergeCell ref="A340:C341"/>
    <mergeCell ref="A343:C343"/>
    <mergeCell ref="D343:G343"/>
    <mergeCell ref="A347:C347"/>
    <mergeCell ref="A367:F367"/>
    <mergeCell ref="A369:F369"/>
    <mergeCell ref="A372:C373"/>
    <mergeCell ref="A375:C375"/>
    <mergeCell ref="D375:G375"/>
    <mergeCell ref="A327:B327"/>
    <mergeCell ref="A328:B328"/>
    <mergeCell ref="A329:B329"/>
    <mergeCell ref="A330:F330"/>
    <mergeCell ref="A332:B332"/>
    <mergeCell ref="A333:B333"/>
    <mergeCell ref="A335:F335"/>
    <mergeCell ref="A337:F337"/>
    <mergeCell ref="A334:B334"/>
    <mergeCell ref="A514:B514"/>
    <mergeCell ref="A392:B392"/>
    <mergeCell ref="A393:B393"/>
    <mergeCell ref="A396:B396"/>
    <mergeCell ref="A397:B397"/>
    <mergeCell ref="A413:C413"/>
    <mergeCell ref="A414:F414"/>
    <mergeCell ref="A416:B416"/>
    <mergeCell ref="A417:B417"/>
    <mergeCell ref="A418:B418"/>
    <mergeCell ref="A419:B419"/>
    <mergeCell ref="A420:B420"/>
    <mergeCell ref="A421:F421"/>
    <mergeCell ref="A423:B423"/>
    <mergeCell ref="A424:B424"/>
    <mergeCell ref="A425:B425"/>
    <mergeCell ref="A426:F426"/>
    <mergeCell ref="A428:B428"/>
    <mergeCell ref="A429:B429"/>
    <mergeCell ref="A430:B430"/>
    <mergeCell ref="A431:F431"/>
    <mergeCell ref="A433:F433"/>
    <mergeCell ref="A450:B450"/>
    <mergeCell ref="A451:B451"/>
    <mergeCell ref="A515:B515"/>
    <mergeCell ref="A516:B516"/>
    <mergeCell ref="A517:F517"/>
    <mergeCell ref="A519:B519"/>
    <mergeCell ref="A520:B520"/>
    <mergeCell ref="A521:B521"/>
    <mergeCell ref="A522:F522"/>
    <mergeCell ref="A398:B398"/>
    <mergeCell ref="A399:F399"/>
    <mergeCell ref="A401:F401"/>
    <mergeCell ref="A404:C405"/>
    <mergeCell ref="D404:G405"/>
    <mergeCell ref="A477:C477"/>
    <mergeCell ref="A478:F478"/>
    <mergeCell ref="A480:B480"/>
    <mergeCell ref="A481:B481"/>
    <mergeCell ref="A482:B482"/>
    <mergeCell ref="A483:B483"/>
    <mergeCell ref="A510:F510"/>
    <mergeCell ref="A512:B512"/>
    <mergeCell ref="A513:B513"/>
    <mergeCell ref="A407:C407"/>
    <mergeCell ref="D407:G407"/>
    <mergeCell ref="A412:C412"/>
    <mergeCell ref="A554:F554"/>
    <mergeCell ref="A484:B484"/>
    <mergeCell ref="A487:B487"/>
    <mergeCell ref="A488:B488"/>
    <mergeCell ref="A489:B489"/>
    <mergeCell ref="A492:B492"/>
    <mergeCell ref="A493:B493"/>
    <mergeCell ref="A494:B494"/>
    <mergeCell ref="A485:F485"/>
    <mergeCell ref="A490:F490"/>
    <mergeCell ref="A495:F495"/>
    <mergeCell ref="A497:F497"/>
    <mergeCell ref="A500:C501"/>
    <mergeCell ref="A503:C503"/>
    <mergeCell ref="D503:G503"/>
    <mergeCell ref="A507:C507"/>
    <mergeCell ref="A508:C508"/>
    <mergeCell ref="A509:C509"/>
    <mergeCell ref="A535:C535"/>
    <mergeCell ref="A539:C539"/>
    <mergeCell ref="A540:C540"/>
    <mergeCell ref="A541:C541"/>
    <mergeCell ref="A542:F542"/>
    <mergeCell ref="A544:B544"/>
    <mergeCell ref="A524:B524"/>
    <mergeCell ref="A525:B525"/>
    <mergeCell ref="A526:B526"/>
    <mergeCell ref="A527:F527"/>
    <mergeCell ref="A529:F529"/>
    <mergeCell ref="A532:C533"/>
    <mergeCell ref="D532:G533"/>
    <mergeCell ref="D535:G535"/>
    <mergeCell ref="A553:B553"/>
    <mergeCell ref="A546:B546"/>
    <mergeCell ref="A547:B547"/>
    <mergeCell ref="A548:B548"/>
    <mergeCell ref="A549:F549"/>
    <mergeCell ref="A551:B551"/>
    <mergeCell ref="A552:B552"/>
    <mergeCell ref="A545:B545"/>
    <mergeCell ref="A556:B556"/>
    <mergeCell ref="A557:B557"/>
    <mergeCell ref="A558:B558"/>
    <mergeCell ref="A559:F559"/>
    <mergeCell ref="A561:F561"/>
    <mergeCell ref="A564:C565"/>
    <mergeCell ref="A622:B622"/>
    <mergeCell ref="A567:C567"/>
    <mergeCell ref="D567:G567"/>
    <mergeCell ref="A571:C571"/>
    <mergeCell ref="A572:C572"/>
    <mergeCell ref="A573:C573"/>
    <mergeCell ref="A574:F574"/>
    <mergeCell ref="A576:B576"/>
    <mergeCell ref="A577:B577"/>
    <mergeCell ref="A578:B578"/>
    <mergeCell ref="A579:B579"/>
    <mergeCell ref="A580:B580"/>
    <mergeCell ref="A581:F581"/>
    <mergeCell ref="A583:B583"/>
    <mergeCell ref="A584:B584"/>
    <mergeCell ref="A585:B585"/>
    <mergeCell ref="A586:F586"/>
    <mergeCell ref="A588:B588"/>
    <mergeCell ref="A628:C629"/>
    <mergeCell ref="A631:C631"/>
    <mergeCell ref="D631:G631"/>
    <mergeCell ref="A635:C635"/>
    <mergeCell ref="A636:C636"/>
    <mergeCell ref="A638:F638"/>
    <mergeCell ref="A637:C637"/>
    <mergeCell ref="A640:B640"/>
    <mergeCell ref="A641:B641"/>
    <mergeCell ref="A642:B642"/>
    <mergeCell ref="A643:B643"/>
    <mergeCell ref="A644:B644"/>
    <mergeCell ref="A645:F645"/>
    <mergeCell ref="A655:F655"/>
    <mergeCell ref="A657:F657"/>
    <mergeCell ref="A660:C661"/>
    <mergeCell ref="A663:C663"/>
    <mergeCell ref="D663:G663"/>
    <mergeCell ref="A647:B647"/>
    <mergeCell ref="A648:B648"/>
    <mergeCell ref="A649:B649"/>
    <mergeCell ref="A650:F650"/>
    <mergeCell ref="A652:B652"/>
    <mergeCell ref="A653:B653"/>
    <mergeCell ref="A654:B654"/>
    <mergeCell ref="A667:C667"/>
    <mergeCell ref="A668:C668"/>
    <mergeCell ref="A669:C669"/>
    <mergeCell ref="A670:F670"/>
    <mergeCell ref="A672:B672"/>
    <mergeCell ref="A673:B673"/>
    <mergeCell ref="A674:B674"/>
    <mergeCell ref="A675:B675"/>
    <mergeCell ref="A676:B676"/>
    <mergeCell ref="A686:B686"/>
    <mergeCell ref="A687:B687"/>
    <mergeCell ref="A688:F688"/>
    <mergeCell ref="A690:F690"/>
    <mergeCell ref="A693:D693"/>
    <mergeCell ref="A677:B677"/>
    <mergeCell ref="A678:F678"/>
    <mergeCell ref="A680:B680"/>
    <mergeCell ref="A681:B681"/>
    <mergeCell ref="A682:B682"/>
    <mergeCell ref="A683:F683"/>
    <mergeCell ref="A685:B685"/>
    <mergeCell ref="A589:B589"/>
    <mergeCell ref="A590:B590"/>
    <mergeCell ref="A591:F591"/>
    <mergeCell ref="A593:F593"/>
    <mergeCell ref="A596:C597"/>
    <mergeCell ref="A599:C599"/>
    <mergeCell ref="D599:G599"/>
    <mergeCell ref="A603:C603"/>
    <mergeCell ref="A604:C604"/>
    <mergeCell ref="A605:C605"/>
    <mergeCell ref="A606:F606"/>
    <mergeCell ref="A608:B608"/>
    <mergeCell ref="A609:B609"/>
    <mergeCell ref="A610:B610"/>
    <mergeCell ref="A611:B611"/>
    <mergeCell ref="A612:B612"/>
    <mergeCell ref="A613:F613"/>
    <mergeCell ref="A615:B615"/>
    <mergeCell ref="A616:B616"/>
    <mergeCell ref="A617:B617"/>
    <mergeCell ref="A618:F618"/>
    <mergeCell ref="A620:B620"/>
    <mergeCell ref="A621:B621"/>
    <mergeCell ref="A623:F623"/>
    <mergeCell ref="A625:F625"/>
    <mergeCell ref="A8:C9"/>
    <mergeCell ref="D8:G9"/>
    <mergeCell ref="A11:C11"/>
    <mergeCell ref="D11:G11"/>
    <mergeCell ref="A15:C15"/>
    <mergeCell ref="A16:C16"/>
    <mergeCell ref="A18:F18"/>
    <mergeCell ref="A17:C17"/>
    <mergeCell ref="A20:B20"/>
    <mergeCell ref="A21:B21"/>
    <mergeCell ref="A22:B22"/>
    <mergeCell ref="A23:B23"/>
    <mergeCell ref="A24:B24"/>
    <mergeCell ref="A25:F25"/>
    <mergeCell ref="A27:B27"/>
    <mergeCell ref="A28:B28"/>
    <mergeCell ref="A29:B29"/>
    <mergeCell ref="A30:F30"/>
    <mergeCell ref="A32:B32"/>
    <mergeCell ref="A33:B33"/>
    <mergeCell ref="A34:B34"/>
    <mergeCell ref="A35:F35"/>
    <mergeCell ref="A37:F37"/>
    <mergeCell ref="A40:C41"/>
    <mergeCell ref="A43:C43"/>
    <mergeCell ref="D43:G43"/>
    <mergeCell ref="A47:C47"/>
    <mergeCell ref="A48:C48"/>
    <mergeCell ref="A56:B56"/>
    <mergeCell ref="A59:B59"/>
    <mergeCell ref="A60:B60"/>
    <mergeCell ref="A61:B61"/>
    <mergeCell ref="A64:B64"/>
    <mergeCell ref="A65:B65"/>
    <mergeCell ref="A66:B66"/>
    <mergeCell ref="A49:C49"/>
    <mergeCell ref="A50:F50"/>
    <mergeCell ref="A52:B52"/>
    <mergeCell ref="A53:B53"/>
    <mergeCell ref="A54:B54"/>
    <mergeCell ref="A55:B55"/>
    <mergeCell ref="A57:F57"/>
    <mergeCell ref="A62:F62"/>
    <mergeCell ref="A67:F67"/>
    <mergeCell ref="A69:F69"/>
    <mergeCell ref="A72:C73"/>
    <mergeCell ref="D72:G73"/>
    <mergeCell ref="A75:C75"/>
    <mergeCell ref="D75:G75"/>
    <mergeCell ref="A79:C79"/>
    <mergeCell ref="A80:C80"/>
    <mergeCell ref="A81:C81"/>
    <mergeCell ref="A82:F82"/>
    <mergeCell ref="A84:B84"/>
    <mergeCell ref="A85:B85"/>
    <mergeCell ref="A86:B86"/>
    <mergeCell ref="A87:B87"/>
    <mergeCell ref="A88:B88"/>
    <mergeCell ref="A89:F89"/>
    <mergeCell ref="A91:B91"/>
    <mergeCell ref="A92:B92"/>
    <mergeCell ref="A93:B93"/>
    <mergeCell ref="A94:F94"/>
    <mergeCell ref="A96:B96"/>
    <mergeCell ref="A97:B97"/>
    <mergeCell ref="A98:B98"/>
    <mergeCell ref="A99:F99"/>
    <mergeCell ref="A101:F101"/>
    <mergeCell ref="D103:E103"/>
    <mergeCell ref="A104:D104"/>
    <mergeCell ref="A107:C107"/>
    <mergeCell ref="D107:G107"/>
    <mergeCell ref="A108:C108"/>
    <mergeCell ref="D108:F108"/>
    <mergeCell ref="A110:C111"/>
    <mergeCell ref="D110:G111"/>
    <mergeCell ref="D113:G113"/>
    <mergeCell ref="A113:C113"/>
    <mergeCell ref="A117:C117"/>
    <mergeCell ref="A118:C118"/>
    <mergeCell ref="A119:C119"/>
    <mergeCell ref="A120:F120"/>
    <mergeCell ref="A122:B122"/>
    <mergeCell ref="A123:B123"/>
    <mergeCell ref="A131:B131"/>
    <mergeCell ref="A134:B134"/>
    <mergeCell ref="A135:B135"/>
    <mergeCell ref="A136:B136"/>
    <mergeCell ref="A124:B124"/>
    <mergeCell ref="A125:B125"/>
    <mergeCell ref="A126:B126"/>
    <mergeCell ref="A127:F127"/>
    <mergeCell ref="A129:B129"/>
    <mergeCell ref="A130:B130"/>
    <mergeCell ref="A132:F132"/>
    <mergeCell ref="A137:F137"/>
    <mergeCell ref="A139:F139"/>
    <mergeCell ref="D141:E141"/>
    <mergeCell ref="A142:D142"/>
    <mergeCell ref="A145:C145"/>
    <mergeCell ref="D145:G145"/>
    <mergeCell ref="D146:F146"/>
    <mergeCell ref="A146:C146"/>
    <mergeCell ref="A148:C149"/>
    <mergeCell ref="A151:C151"/>
    <mergeCell ref="D151:G151"/>
    <mergeCell ref="A155:C155"/>
    <mergeCell ref="A156:C156"/>
    <mergeCell ref="A158:F158"/>
    <mergeCell ref="A157:C157"/>
    <mergeCell ref="A160:B160"/>
    <mergeCell ref="A161:B161"/>
    <mergeCell ref="A162:B162"/>
    <mergeCell ref="A163:B163"/>
    <mergeCell ref="A164:B164"/>
    <mergeCell ref="A165:F165"/>
    <mergeCell ref="A167:B167"/>
    <mergeCell ref="A168:B168"/>
    <mergeCell ref="A169:B169"/>
    <mergeCell ref="A170:F170"/>
    <mergeCell ref="A172:B172"/>
    <mergeCell ref="A173:B173"/>
    <mergeCell ref="A189:C189"/>
    <mergeCell ref="A190:F190"/>
    <mergeCell ref="A192:B192"/>
    <mergeCell ref="A193:B193"/>
    <mergeCell ref="A194:B194"/>
    <mergeCell ref="A195:B195"/>
    <mergeCell ref="A197:F197"/>
    <mergeCell ref="A202:F202"/>
    <mergeCell ref="A174:B174"/>
    <mergeCell ref="A175:F175"/>
    <mergeCell ref="A177:F177"/>
    <mergeCell ref="A180:C181"/>
    <mergeCell ref="A183:C183"/>
    <mergeCell ref="D183:G183"/>
    <mergeCell ref="A187:C187"/>
    <mergeCell ref="A188:C188"/>
    <mergeCell ref="A196:B196"/>
    <mergeCell ref="A268:B268"/>
    <mergeCell ref="A269:B269"/>
    <mergeCell ref="A270:B270"/>
    <mergeCell ref="A271:F271"/>
    <mergeCell ref="A273:F273"/>
    <mergeCell ref="A276:C277"/>
    <mergeCell ref="A199:B199"/>
    <mergeCell ref="A200:B200"/>
    <mergeCell ref="A201:B201"/>
    <mergeCell ref="A204:B204"/>
    <mergeCell ref="A205:B205"/>
    <mergeCell ref="A206:B206"/>
    <mergeCell ref="A207:F207"/>
    <mergeCell ref="A209:F209"/>
    <mergeCell ref="A212:C213"/>
    <mergeCell ref="A215:C215"/>
    <mergeCell ref="D215:G215"/>
    <mergeCell ref="A219:C219"/>
    <mergeCell ref="A220:C220"/>
    <mergeCell ref="A221:C221"/>
    <mergeCell ref="A239:F239"/>
    <mergeCell ref="A222:F222"/>
    <mergeCell ref="A224:B224"/>
    <mergeCell ref="A225:B225"/>
    <mergeCell ref="A226:B226"/>
    <mergeCell ref="A227:B227"/>
    <mergeCell ref="A228:B228"/>
    <mergeCell ref="A229:F229"/>
    <mergeCell ref="A231:B231"/>
    <mergeCell ref="A232:B232"/>
    <mergeCell ref="A233:B233"/>
    <mergeCell ref="A234:F234"/>
    <mergeCell ref="A236:B236"/>
    <mergeCell ref="A237:B237"/>
    <mergeCell ref="A238:B238"/>
    <mergeCell ref="A241:F241"/>
    <mergeCell ref="A244:C245"/>
    <mergeCell ref="A247:C247"/>
    <mergeCell ref="D247:G247"/>
    <mergeCell ref="A251:C251"/>
    <mergeCell ref="A252:C252"/>
    <mergeCell ref="A253:C253"/>
    <mergeCell ref="A254:F254"/>
    <mergeCell ref="A256:B256"/>
    <mergeCell ref="A411:C411"/>
    <mergeCell ref="A305:F305"/>
    <mergeCell ref="A257:B257"/>
    <mergeCell ref="A258:B258"/>
    <mergeCell ref="A259:B259"/>
    <mergeCell ref="A260:B260"/>
    <mergeCell ref="A261:F261"/>
    <mergeCell ref="A263:B263"/>
    <mergeCell ref="A264:B264"/>
    <mergeCell ref="A265:B265"/>
    <mergeCell ref="A266:F266"/>
    <mergeCell ref="A293:F293"/>
    <mergeCell ref="A295:B295"/>
    <mergeCell ref="A296:B296"/>
    <mergeCell ref="A297:B297"/>
    <mergeCell ref="A283:C283"/>
    <mergeCell ref="A284:C284"/>
    <mergeCell ref="A285:C285"/>
    <mergeCell ref="A286:F286"/>
    <mergeCell ref="A288:B288"/>
    <mergeCell ref="A289:B289"/>
    <mergeCell ref="A290:B290"/>
    <mergeCell ref="A291:B291"/>
    <mergeCell ref="A292:B292"/>
    <mergeCell ref="A298:F298"/>
    <mergeCell ref="A300:B300"/>
    <mergeCell ref="A301:B301"/>
    <mergeCell ref="A302:B302"/>
    <mergeCell ref="A303:F303"/>
    <mergeCell ref="D276:G277"/>
    <mergeCell ref="A279:C279"/>
    <mergeCell ref="D279:G279"/>
    <mergeCell ref="A308:C309"/>
    <mergeCell ref="A311:C311"/>
    <mergeCell ref="D311:G311"/>
    <mergeCell ref="A315:C315"/>
    <mergeCell ref="A316:C316"/>
    <mergeCell ref="A317:C317"/>
    <mergeCell ref="A318:F318"/>
    <mergeCell ref="A394:F394"/>
    <mergeCell ref="A359:B359"/>
    <mergeCell ref="A360:B360"/>
    <mergeCell ref="A388:B388"/>
    <mergeCell ref="A391:B391"/>
    <mergeCell ref="A384:B384"/>
    <mergeCell ref="A385:B385"/>
    <mergeCell ref="A386:B386"/>
    <mergeCell ref="A387:B387"/>
    <mergeCell ref="A389:F389"/>
    <mergeCell ref="A382:F382"/>
    <mergeCell ref="A320:B320"/>
    <mergeCell ref="A321:B321"/>
    <mergeCell ref="A322:B322"/>
    <mergeCell ref="A323:B323"/>
    <mergeCell ref="A324:B324"/>
    <mergeCell ref="A325:F325"/>
    <mergeCell ref="A452:B452"/>
    <mergeCell ref="A453:F453"/>
    <mergeCell ref="A455:B455"/>
    <mergeCell ref="A456:B456"/>
    <mergeCell ref="A458:F458"/>
    <mergeCell ref="A436:C437"/>
    <mergeCell ref="D439:G439"/>
    <mergeCell ref="A439:C439"/>
    <mergeCell ref="A443:C443"/>
    <mergeCell ref="A444:C444"/>
    <mergeCell ref="A445:C445"/>
    <mergeCell ref="A446:F446"/>
    <mergeCell ref="A448:B448"/>
    <mergeCell ref="A449:B449"/>
    <mergeCell ref="A463:F463"/>
    <mergeCell ref="A465:F465"/>
    <mergeCell ref="A468:C469"/>
    <mergeCell ref="A471:C471"/>
    <mergeCell ref="D471:G471"/>
    <mergeCell ref="A475:C475"/>
    <mergeCell ref="A476:C476"/>
    <mergeCell ref="A457:B457"/>
    <mergeCell ref="A460:B460"/>
    <mergeCell ref="A461:B461"/>
    <mergeCell ref="A462:B462"/>
  </mergeCells>
  <printOptions horizontalCentered="1"/>
  <pageMargins left="0.6692913385826772" right="0.55118110236220474" top="0.74803149606299213" bottom="1.5354330708661419" header="0" footer="0"/>
  <pageSetup orientation="portrait"/>
  <rowBreaks count="4" manualBreakCount="4">
    <brk id="402" man="1"/>
    <brk id="530" man="1"/>
    <brk id="38" man="1"/>
    <brk id="108" man="1"/>
  </rowBreaks>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G611"/>
  <sheetViews>
    <sheetView workbookViewId="0">
      <selection sqref="A1:G1"/>
    </sheetView>
  </sheetViews>
  <sheetFormatPr baseColWidth="10" defaultColWidth="14.44140625" defaultRowHeight="15" customHeight="1"/>
  <cols>
    <col min="1" max="1" width="19.33203125" customWidth="1"/>
    <col min="2" max="2" width="9.6640625" customWidth="1"/>
    <col min="3" max="4" width="11.44140625" customWidth="1"/>
    <col min="5" max="5" width="13.33203125" customWidth="1"/>
    <col min="6" max="6" width="11.44140625" customWidth="1"/>
    <col min="7" max="7" width="14.109375" customWidth="1"/>
    <col min="8" max="26" width="11.44140625" customWidth="1"/>
  </cols>
  <sheetData>
    <row r="1" spans="1:7" ht="14.25" customHeight="1">
      <c r="A1" s="2105" t="s">
        <v>2522</v>
      </c>
      <c r="B1" s="2036"/>
      <c r="C1" s="2036"/>
      <c r="D1" s="2036"/>
      <c r="E1" s="2036"/>
      <c r="F1" s="2036"/>
      <c r="G1" s="2078"/>
    </row>
    <row r="2" spans="1:7" ht="14.25" customHeight="1">
      <c r="A2" s="2106" t="s">
        <v>2523</v>
      </c>
      <c r="B2" s="1605"/>
      <c r="C2" s="1605"/>
      <c r="D2" s="1605"/>
      <c r="E2" s="1605"/>
      <c r="F2" s="1605"/>
      <c r="G2" s="1887"/>
    </row>
    <row r="3" spans="1:7" ht="14.25" customHeight="1">
      <c r="A3" s="2099" t="s">
        <v>2524</v>
      </c>
      <c r="B3" s="1608"/>
      <c r="C3" s="1608"/>
      <c r="D3" s="1608"/>
      <c r="E3" s="1608"/>
      <c r="F3" s="1608"/>
      <c r="G3" s="1888"/>
    </row>
    <row r="4" spans="1:7" ht="14.25" customHeight="1">
      <c r="A4" s="1"/>
      <c r="B4" s="1"/>
      <c r="C4" s="1"/>
      <c r="D4" s="1"/>
      <c r="E4" s="1"/>
      <c r="F4" s="19" t="s">
        <v>375</v>
      </c>
      <c r="G4" s="19" t="s">
        <v>58</v>
      </c>
    </row>
    <row r="5" spans="1:7" ht="14.25" customHeight="1">
      <c r="A5" s="1" t="s">
        <v>2525</v>
      </c>
      <c r="B5" s="1"/>
      <c r="C5" s="1"/>
      <c r="D5" s="1"/>
      <c r="E5" s="1"/>
      <c r="F5" s="1"/>
      <c r="G5" s="1"/>
    </row>
    <row r="6" spans="1:7" ht="14.25" customHeight="1">
      <c r="A6" s="2107" t="s">
        <v>1218</v>
      </c>
      <c r="B6" s="1610"/>
      <c r="C6" s="1611"/>
      <c r="D6" s="19" t="s">
        <v>2526</v>
      </c>
      <c r="E6" s="19" t="s">
        <v>2527</v>
      </c>
      <c r="F6" s="19" t="s">
        <v>673</v>
      </c>
      <c r="G6" s="1068" t="s">
        <v>2528</v>
      </c>
    </row>
    <row r="7" spans="1:7" ht="26.25" customHeight="1">
      <c r="A7" s="2111" t="s">
        <v>2529</v>
      </c>
      <c r="B7" s="2036"/>
      <c r="C7" s="2078"/>
      <c r="D7" s="1069" t="s">
        <v>910</v>
      </c>
      <c r="E7" s="1070">
        <f>+'insumos ELÉCTRICOS '!J84</f>
        <v>125850</v>
      </c>
      <c r="F7" s="1069">
        <v>1</v>
      </c>
      <c r="G7" s="1071">
        <f t="shared" ref="G7:G23" si="0">E7*F7</f>
        <v>125850</v>
      </c>
    </row>
    <row r="8" spans="1:7" ht="14.25" customHeight="1">
      <c r="A8" s="2098" t="s">
        <v>2530</v>
      </c>
      <c r="B8" s="1605"/>
      <c r="C8" s="1887"/>
      <c r="D8" s="1069" t="s">
        <v>910</v>
      </c>
      <c r="E8" s="1070">
        <f>+'insumos ELÉCTRICOS '!J85</f>
        <v>74360</v>
      </c>
      <c r="F8" s="1069">
        <v>1</v>
      </c>
      <c r="G8" s="1071">
        <f t="shared" si="0"/>
        <v>74360</v>
      </c>
    </row>
    <row r="9" spans="1:7" ht="14.25" customHeight="1">
      <c r="A9" s="2098" t="s">
        <v>2531</v>
      </c>
      <c r="B9" s="1605"/>
      <c r="C9" s="1887"/>
      <c r="D9" s="1069" t="s">
        <v>910</v>
      </c>
      <c r="E9" s="1070">
        <f>+'insumos ELÉCTRICOS '!J86</f>
        <v>46500</v>
      </c>
      <c r="F9" s="1069">
        <v>1</v>
      </c>
      <c r="G9" s="1071">
        <f t="shared" si="0"/>
        <v>46500</v>
      </c>
    </row>
    <row r="10" spans="1:7" ht="14.25" customHeight="1">
      <c r="A10" s="2098" t="s">
        <v>2532</v>
      </c>
      <c r="B10" s="1605"/>
      <c r="C10" s="1887"/>
      <c r="D10" s="1069" t="s">
        <v>120</v>
      </c>
      <c r="E10" s="1070">
        <f>+'insumos ELÉCTRICOS '!J87</f>
        <v>6200</v>
      </c>
      <c r="F10" s="1069">
        <v>2</v>
      </c>
      <c r="G10" s="1071">
        <f t="shared" si="0"/>
        <v>12400</v>
      </c>
    </row>
    <row r="11" spans="1:7" ht="14.25" customHeight="1">
      <c r="A11" s="2098" t="s">
        <v>2533</v>
      </c>
      <c r="B11" s="1605"/>
      <c r="C11" s="1887"/>
      <c r="D11" s="1069" t="s">
        <v>910</v>
      </c>
      <c r="E11" s="1070">
        <f>+'insumos ELÉCTRICOS '!J88</f>
        <v>295058.40000000002</v>
      </c>
      <c r="F11" s="1069">
        <v>1</v>
      </c>
      <c r="G11" s="1071">
        <f t="shared" si="0"/>
        <v>295058.40000000002</v>
      </c>
    </row>
    <row r="12" spans="1:7" ht="14.25" customHeight="1">
      <c r="A12" s="2098" t="s">
        <v>2534</v>
      </c>
      <c r="B12" s="1605"/>
      <c r="C12" s="1887"/>
      <c r="D12" s="1069" t="s">
        <v>910</v>
      </c>
      <c r="E12" s="1070">
        <f>+'insumos ELÉCTRICOS '!J89</f>
        <v>387000</v>
      </c>
      <c r="F12" s="1069">
        <v>1</v>
      </c>
      <c r="G12" s="1071">
        <f t="shared" si="0"/>
        <v>387000</v>
      </c>
    </row>
    <row r="13" spans="1:7" ht="14.25" customHeight="1">
      <c r="A13" s="2098" t="s">
        <v>2535</v>
      </c>
      <c r="B13" s="1605"/>
      <c r="C13" s="1887"/>
      <c r="D13" s="1069" t="s">
        <v>120</v>
      </c>
      <c r="E13" s="1070">
        <f>+'insumos ELÉCTRICOS '!J90</f>
        <v>22700</v>
      </c>
      <c r="F13" s="1069">
        <v>18</v>
      </c>
      <c r="G13" s="1071">
        <f t="shared" si="0"/>
        <v>408600</v>
      </c>
    </row>
    <row r="14" spans="1:7" ht="14.25" customHeight="1">
      <c r="A14" s="2098" t="s">
        <v>2536</v>
      </c>
      <c r="B14" s="1605"/>
      <c r="C14" s="1887"/>
      <c r="D14" s="1069" t="s">
        <v>120</v>
      </c>
      <c r="E14" s="1070">
        <f>+'insumos ELÉCTRICOS '!J91/3</f>
        <v>26516.666666666668</v>
      </c>
      <c r="F14" s="1069">
        <v>6</v>
      </c>
      <c r="G14" s="1071">
        <f t="shared" si="0"/>
        <v>159100</v>
      </c>
    </row>
    <row r="15" spans="1:7" ht="14.25" customHeight="1">
      <c r="A15" s="2098" t="s">
        <v>2537</v>
      </c>
      <c r="B15" s="1605"/>
      <c r="C15" s="1887"/>
      <c r="D15" s="1069" t="s">
        <v>910</v>
      </c>
      <c r="E15" s="1070">
        <f>+'insumos ELÉCTRICOS '!J92</f>
        <v>14900</v>
      </c>
      <c r="F15" s="1069">
        <v>1</v>
      </c>
      <c r="G15" s="1071">
        <f t="shared" si="0"/>
        <v>14900</v>
      </c>
    </row>
    <row r="16" spans="1:7" ht="14.25" customHeight="1">
      <c r="A16" s="2098" t="s">
        <v>2538</v>
      </c>
      <c r="B16" s="1605"/>
      <c r="C16" s="1887"/>
      <c r="D16" s="1069" t="s">
        <v>910</v>
      </c>
      <c r="E16" s="1070">
        <f>+'insumos ELÉCTRICOS '!J93</f>
        <v>18490</v>
      </c>
      <c r="F16" s="1069">
        <v>2</v>
      </c>
      <c r="G16" s="1071">
        <f t="shared" si="0"/>
        <v>36980</v>
      </c>
    </row>
    <row r="17" spans="1:7" ht="14.25" customHeight="1">
      <c r="A17" s="2098" t="s">
        <v>2539</v>
      </c>
      <c r="B17" s="1605"/>
      <c r="C17" s="1887"/>
      <c r="D17" s="1069" t="s">
        <v>120</v>
      </c>
      <c r="E17" s="1070">
        <f>+'insumos ELÉCTRICOS '!J94</f>
        <v>6300</v>
      </c>
      <c r="F17" s="1069">
        <v>5</v>
      </c>
      <c r="G17" s="1071">
        <f t="shared" si="0"/>
        <v>31500</v>
      </c>
    </row>
    <row r="18" spans="1:7" ht="15" customHeight="1">
      <c r="A18" s="2098" t="s">
        <v>2540</v>
      </c>
      <c r="B18" s="1605"/>
      <c r="C18" s="1887"/>
      <c r="D18" s="1069" t="s">
        <v>120</v>
      </c>
      <c r="E18" s="1070">
        <f>+'insumos ELÉCTRICOS '!J95</f>
        <v>1350</v>
      </c>
      <c r="F18" s="1069">
        <v>5</v>
      </c>
      <c r="G18" s="1071">
        <f t="shared" si="0"/>
        <v>6750</v>
      </c>
    </row>
    <row r="19" spans="1:7" ht="15" customHeight="1">
      <c r="A19" s="2098" t="s">
        <v>2541</v>
      </c>
      <c r="B19" s="1605"/>
      <c r="C19" s="1887"/>
      <c r="D19" s="1069" t="s">
        <v>910</v>
      </c>
      <c r="E19" s="1070">
        <f>+'insumos ELÉCTRICOS '!J96</f>
        <v>4250</v>
      </c>
      <c r="F19" s="1069">
        <v>2</v>
      </c>
      <c r="G19" s="1071">
        <f t="shared" si="0"/>
        <v>8500</v>
      </c>
    </row>
    <row r="20" spans="1:7" ht="14.25" customHeight="1">
      <c r="A20" s="2098" t="s">
        <v>2542</v>
      </c>
      <c r="B20" s="1605"/>
      <c r="C20" s="1887"/>
      <c r="D20" s="1069" t="s">
        <v>910</v>
      </c>
      <c r="E20" s="1070">
        <f>+'insumos ELÉCTRICOS '!J97</f>
        <v>5650</v>
      </c>
      <c r="F20" s="1069">
        <v>3</v>
      </c>
      <c r="G20" s="1071">
        <f t="shared" si="0"/>
        <v>16950</v>
      </c>
    </row>
    <row r="21" spans="1:7" ht="14.25" customHeight="1">
      <c r="A21" s="2098" t="s">
        <v>2543</v>
      </c>
      <c r="B21" s="1605"/>
      <c r="C21" s="1887"/>
      <c r="D21" s="1069" t="s">
        <v>910</v>
      </c>
      <c r="E21" s="1070">
        <f>+'insumos ELÉCTRICOS '!J98</f>
        <v>1150</v>
      </c>
      <c r="F21" s="1069">
        <v>6</v>
      </c>
      <c r="G21" s="1071">
        <f t="shared" si="0"/>
        <v>6900</v>
      </c>
    </row>
    <row r="22" spans="1:7" ht="14.25" customHeight="1">
      <c r="A22" s="2098" t="s">
        <v>2544</v>
      </c>
      <c r="B22" s="1605"/>
      <c r="C22" s="1887"/>
      <c r="D22" s="1069" t="s">
        <v>910</v>
      </c>
      <c r="E22" s="1070">
        <f>+'insumos ELÉCTRICOS '!J99</f>
        <v>20600</v>
      </c>
      <c r="F22" s="1069">
        <v>3</v>
      </c>
      <c r="G22" s="1071">
        <f t="shared" si="0"/>
        <v>61800</v>
      </c>
    </row>
    <row r="23" spans="1:7" ht="14.25" customHeight="1">
      <c r="A23" s="2099" t="s">
        <v>2545</v>
      </c>
      <c r="B23" s="1608"/>
      <c r="C23" s="1888"/>
      <c r="D23" s="1072" t="s">
        <v>910</v>
      </c>
      <c r="E23" s="1070">
        <f>+'insumos ELÉCTRICOS '!J100</f>
        <v>3542</v>
      </c>
      <c r="F23" s="1072">
        <v>1</v>
      </c>
      <c r="G23" s="1073">
        <f t="shared" si="0"/>
        <v>3542</v>
      </c>
    </row>
    <row r="24" spans="1:7" ht="14.25" customHeight="1">
      <c r="A24" s="1"/>
      <c r="B24" s="1"/>
      <c r="C24" s="1"/>
      <c r="D24" s="2100" t="s">
        <v>2546</v>
      </c>
      <c r="E24" s="2036"/>
      <c r="F24" s="2036"/>
      <c r="G24" s="4">
        <f>SUM(G7:G23)</f>
        <v>1696690.4</v>
      </c>
    </row>
    <row r="25" spans="1:7" ht="14.25" customHeight="1">
      <c r="A25" s="1" t="s">
        <v>2547</v>
      </c>
      <c r="B25" s="1"/>
      <c r="C25" s="1"/>
      <c r="D25" s="1"/>
      <c r="E25" s="1"/>
      <c r="F25" s="1"/>
      <c r="G25" s="1"/>
    </row>
    <row r="26" spans="1:7" ht="14.25" customHeight="1">
      <c r="A26" s="2101" t="s">
        <v>376</v>
      </c>
      <c r="B26" s="1610"/>
      <c r="C26" s="1611"/>
      <c r="D26" s="19" t="s">
        <v>2526</v>
      </c>
      <c r="E26" s="19" t="s">
        <v>2548</v>
      </c>
      <c r="F26" s="14" t="s">
        <v>2549</v>
      </c>
      <c r="G26" s="14" t="s">
        <v>2550</v>
      </c>
    </row>
    <row r="27" spans="1:7" ht="14.25" customHeight="1">
      <c r="A27" s="2114" t="s">
        <v>2551</v>
      </c>
      <c r="B27" s="2036"/>
      <c r="C27" s="2078"/>
      <c r="D27" s="1074" t="s">
        <v>2552</v>
      </c>
      <c r="E27" s="1075">
        <v>35000</v>
      </c>
      <c r="F27" s="1074">
        <v>0.5</v>
      </c>
      <c r="G27" s="1076">
        <f t="shared" ref="G27:G28" si="1">E27/F27</f>
        <v>70000</v>
      </c>
    </row>
    <row r="28" spans="1:7" ht="14.25" customHeight="1">
      <c r="A28" s="2115" t="s">
        <v>2553</v>
      </c>
      <c r="B28" s="1608"/>
      <c r="C28" s="1888"/>
      <c r="D28" s="1077" t="s">
        <v>2552</v>
      </c>
      <c r="E28" s="1078">
        <v>25000</v>
      </c>
      <c r="F28" s="1077">
        <v>0.5</v>
      </c>
      <c r="G28" s="1079">
        <f t="shared" si="1"/>
        <v>50000</v>
      </c>
    </row>
    <row r="29" spans="1:7" ht="14.25" customHeight="1">
      <c r="A29" s="1"/>
      <c r="B29" s="1"/>
      <c r="C29" s="1"/>
      <c r="D29" s="2103" t="s">
        <v>2554</v>
      </c>
      <c r="E29" s="1605"/>
      <c r="F29" s="1605"/>
      <c r="G29" s="1080">
        <f>SUM(G27:G28)</f>
        <v>120000</v>
      </c>
    </row>
    <row r="30" spans="1:7" ht="14.25" customHeight="1">
      <c r="A30" s="1" t="s">
        <v>2555</v>
      </c>
      <c r="B30" s="1"/>
      <c r="C30" s="1"/>
      <c r="D30" s="1"/>
      <c r="E30" s="1"/>
      <c r="F30" s="1"/>
      <c r="G30" s="1"/>
    </row>
    <row r="31" spans="1:7" ht="14.25" customHeight="1">
      <c r="A31" s="14" t="s">
        <v>376</v>
      </c>
      <c r="B31" s="14" t="s">
        <v>2526</v>
      </c>
      <c r="C31" s="2107" t="s">
        <v>2556</v>
      </c>
      <c r="D31" s="1610"/>
      <c r="E31" s="1611"/>
      <c r="F31" s="19" t="s">
        <v>2557</v>
      </c>
      <c r="G31" s="14" t="s">
        <v>2550</v>
      </c>
    </row>
    <row r="32" spans="1:7" ht="14.25" customHeight="1">
      <c r="A32" s="14" t="s">
        <v>2558</v>
      </c>
      <c r="B32" s="14" t="s">
        <v>1575</v>
      </c>
      <c r="C32" s="2113">
        <f>+'MANO DE OBRA'!E71</f>
        <v>20292.1875</v>
      </c>
      <c r="D32" s="1610"/>
      <c r="E32" s="1611"/>
      <c r="F32" s="1081">
        <v>8</v>
      </c>
      <c r="G32" s="15">
        <f t="shared" ref="G32:G33" si="2">+C32*F32</f>
        <v>162337.5</v>
      </c>
    </row>
    <row r="33" spans="1:7" ht="14.25" customHeight="1">
      <c r="A33" s="14" t="s">
        <v>2559</v>
      </c>
      <c r="B33" s="14" t="s">
        <v>1575</v>
      </c>
      <c r="C33" s="2113">
        <f>+'MANO DE OBRA'!E72</f>
        <v>14813.296875000002</v>
      </c>
      <c r="D33" s="1610"/>
      <c r="E33" s="1611"/>
      <c r="F33" s="1081">
        <v>8</v>
      </c>
      <c r="G33" s="15">
        <f t="shared" si="2"/>
        <v>118506.37500000001</v>
      </c>
    </row>
    <row r="34" spans="1:7" ht="14.25" customHeight="1">
      <c r="A34" s="1082"/>
      <c r="B34" s="1083"/>
      <c r="C34" s="1083"/>
      <c r="D34" s="2100" t="s">
        <v>2560</v>
      </c>
      <c r="E34" s="2036"/>
      <c r="F34" s="2036"/>
      <c r="G34" s="1084">
        <f>SUM(G32:GG33)</f>
        <v>280843.875</v>
      </c>
    </row>
    <row r="35" spans="1:7" ht="10.5" customHeight="1">
      <c r="A35" s="1085"/>
      <c r="B35" s="1"/>
      <c r="C35" s="1"/>
      <c r="D35" s="1"/>
      <c r="E35" s="1"/>
      <c r="F35" s="1"/>
      <c r="G35" s="1086"/>
    </row>
    <row r="36" spans="1:7" ht="14.25" customHeight="1">
      <c r="A36" s="1087"/>
      <c r="B36" s="386"/>
      <c r="C36" s="386"/>
      <c r="D36" s="2097" t="s">
        <v>2561</v>
      </c>
      <c r="E36" s="1608"/>
      <c r="F36" s="1608"/>
      <c r="G36" s="1088">
        <f>ROUND(G24+G29+G34,0)</f>
        <v>2097534</v>
      </c>
    </row>
    <row r="37" spans="1:7" ht="14.25" hidden="1" customHeight="1">
      <c r="A37" s="1"/>
      <c r="B37" s="1"/>
      <c r="C37" s="1"/>
      <c r="D37" s="1"/>
      <c r="E37" s="1"/>
      <c r="F37" s="1"/>
      <c r="G37" s="1"/>
    </row>
    <row r="38" spans="1:7" ht="14.25" hidden="1" customHeight="1">
      <c r="A38" s="2105" t="s">
        <v>2562</v>
      </c>
      <c r="B38" s="2036"/>
      <c r="C38" s="2036"/>
      <c r="D38" s="2036"/>
      <c r="E38" s="2036"/>
      <c r="F38" s="2036"/>
      <c r="G38" s="2078"/>
    </row>
    <row r="39" spans="1:7" ht="14.25" hidden="1" customHeight="1">
      <c r="A39" s="2106" t="s">
        <v>2523</v>
      </c>
      <c r="B39" s="1605"/>
      <c r="C39" s="1605"/>
      <c r="D39" s="1605"/>
      <c r="E39" s="1605"/>
      <c r="F39" s="1605"/>
      <c r="G39" s="1887"/>
    </row>
    <row r="40" spans="1:7" ht="14.25" hidden="1" customHeight="1">
      <c r="A40" s="2099" t="s">
        <v>2563</v>
      </c>
      <c r="B40" s="1608"/>
      <c r="C40" s="1608"/>
      <c r="D40" s="1608"/>
      <c r="E40" s="1608"/>
      <c r="F40" s="1608"/>
      <c r="G40" s="1888"/>
    </row>
    <row r="41" spans="1:7" ht="14.25" hidden="1" customHeight="1">
      <c r="A41" s="1"/>
      <c r="B41" s="1"/>
      <c r="C41" s="1"/>
      <c r="D41" s="1"/>
      <c r="E41" s="1"/>
      <c r="F41" s="19" t="s">
        <v>375</v>
      </c>
      <c r="G41" s="19" t="s">
        <v>347</v>
      </c>
    </row>
    <row r="42" spans="1:7" ht="14.25" hidden="1" customHeight="1">
      <c r="A42" s="1" t="s">
        <v>2525</v>
      </c>
      <c r="B42" s="1"/>
      <c r="C42" s="1"/>
      <c r="D42" s="1"/>
      <c r="E42" s="1"/>
      <c r="F42" s="1"/>
      <c r="G42" s="1"/>
    </row>
    <row r="43" spans="1:7" ht="14.25" hidden="1" customHeight="1">
      <c r="A43" s="2107" t="s">
        <v>1218</v>
      </c>
      <c r="B43" s="1610"/>
      <c r="C43" s="1611"/>
      <c r="D43" s="19" t="s">
        <v>2526</v>
      </c>
      <c r="E43" s="19" t="s">
        <v>2527</v>
      </c>
      <c r="F43" s="19" t="s">
        <v>673</v>
      </c>
      <c r="G43" s="1068" t="s">
        <v>2528</v>
      </c>
    </row>
    <row r="44" spans="1:7" ht="29.25" hidden="1" customHeight="1">
      <c r="A44" s="2112" t="s">
        <v>2564</v>
      </c>
      <c r="B44" s="1605"/>
      <c r="C44" s="1887"/>
      <c r="D44" s="1069" t="s">
        <v>2565</v>
      </c>
      <c r="E44" s="1070">
        <v>9800000</v>
      </c>
      <c r="F44" s="1069">
        <v>1</v>
      </c>
      <c r="G44" s="1071">
        <f t="shared" ref="G44:G57" si="3">E44*F44</f>
        <v>9800000</v>
      </c>
    </row>
    <row r="45" spans="1:7" ht="14.25" hidden="1" customHeight="1">
      <c r="A45" s="2098" t="s">
        <v>2566</v>
      </c>
      <c r="B45" s="1605"/>
      <c r="C45" s="1887"/>
      <c r="D45" s="1069" t="s">
        <v>910</v>
      </c>
      <c r="E45" s="1070">
        <v>60000</v>
      </c>
      <c r="F45" s="1069">
        <v>3</v>
      </c>
      <c r="G45" s="1071">
        <f t="shared" si="3"/>
        <v>180000</v>
      </c>
    </row>
    <row r="46" spans="1:7" ht="14.25" hidden="1" customHeight="1">
      <c r="A46" s="2098" t="s">
        <v>2567</v>
      </c>
      <c r="B46" s="1605"/>
      <c r="C46" s="1887"/>
      <c r="D46" s="1069" t="s">
        <v>910</v>
      </c>
      <c r="E46" s="1070">
        <v>17000</v>
      </c>
      <c r="F46" s="1069">
        <v>6</v>
      </c>
      <c r="G46" s="1071">
        <f t="shared" si="3"/>
        <v>102000</v>
      </c>
    </row>
    <row r="47" spans="1:7" ht="14.25" hidden="1" customHeight="1">
      <c r="A47" s="2098" t="s">
        <v>2568</v>
      </c>
      <c r="B47" s="1605"/>
      <c r="C47" s="1887"/>
      <c r="D47" s="1069" t="s">
        <v>910</v>
      </c>
      <c r="E47" s="1070">
        <v>6000</v>
      </c>
      <c r="F47" s="1069">
        <v>4</v>
      </c>
      <c r="G47" s="1071">
        <f t="shared" si="3"/>
        <v>24000</v>
      </c>
    </row>
    <row r="48" spans="1:7" ht="14.25" hidden="1" customHeight="1">
      <c r="A48" s="2098" t="s">
        <v>2569</v>
      </c>
      <c r="B48" s="1605"/>
      <c r="C48" s="1887"/>
      <c r="D48" s="1069" t="s">
        <v>910</v>
      </c>
      <c r="E48" s="1070">
        <v>1100</v>
      </c>
      <c r="F48" s="1069">
        <v>6</v>
      </c>
      <c r="G48" s="1071">
        <f t="shared" si="3"/>
        <v>6600</v>
      </c>
    </row>
    <row r="49" spans="1:7" ht="14.25" hidden="1" customHeight="1">
      <c r="A49" s="2098" t="s">
        <v>2570</v>
      </c>
      <c r="B49" s="1605"/>
      <c r="C49" s="1887"/>
      <c r="D49" s="1069" t="s">
        <v>910</v>
      </c>
      <c r="E49" s="1070">
        <v>98000</v>
      </c>
      <c r="F49" s="1069">
        <v>1</v>
      </c>
      <c r="G49" s="1071">
        <f t="shared" si="3"/>
        <v>98000</v>
      </c>
    </row>
    <row r="50" spans="1:7" ht="14.25" hidden="1" customHeight="1">
      <c r="A50" s="2098" t="s">
        <v>2571</v>
      </c>
      <c r="B50" s="1605"/>
      <c r="C50" s="1887"/>
      <c r="D50" s="1069" t="s">
        <v>910</v>
      </c>
      <c r="E50" s="1070">
        <v>95000</v>
      </c>
      <c r="F50" s="1069">
        <v>1</v>
      </c>
      <c r="G50" s="1071">
        <f t="shared" si="3"/>
        <v>95000</v>
      </c>
    </row>
    <row r="51" spans="1:7" ht="14.25" hidden="1" customHeight="1">
      <c r="A51" s="2098" t="s">
        <v>2572</v>
      </c>
      <c r="B51" s="1605"/>
      <c r="C51" s="1887"/>
      <c r="D51" s="1069" t="s">
        <v>910</v>
      </c>
      <c r="E51" s="1070">
        <v>135000</v>
      </c>
      <c r="F51" s="1069">
        <v>3</v>
      </c>
      <c r="G51" s="1071">
        <f t="shared" si="3"/>
        <v>405000</v>
      </c>
    </row>
    <row r="52" spans="1:7" ht="14.25" hidden="1" customHeight="1">
      <c r="A52" s="2098" t="s">
        <v>2573</v>
      </c>
      <c r="B52" s="1605"/>
      <c r="C52" s="1887"/>
      <c r="D52" s="1069" t="s">
        <v>910</v>
      </c>
      <c r="E52" s="1070">
        <v>135000</v>
      </c>
      <c r="F52" s="1069">
        <v>3</v>
      </c>
      <c r="G52" s="1071">
        <f t="shared" si="3"/>
        <v>405000</v>
      </c>
    </row>
    <row r="53" spans="1:7" ht="14.25" hidden="1" customHeight="1">
      <c r="A53" s="2098" t="s">
        <v>2531</v>
      </c>
      <c r="B53" s="1605"/>
      <c r="C53" s="1887"/>
      <c r="D53" s="1069" t="s">
        <v>910</v>
      </c>
      <c r="E53" s="1070">
        <v>19500</v>
      </c>
      <c r="F53" s="1069">
        <v>1</v>
      </c>
      <c r="G53" s="1071">
        <f t="shared" si="3"/>
        <v>19500</v>
      </c>
    </row>
    <row r="54" spans="1:7" ht="14.25" hidden="1" customHeight="1">
      <c r="A54" s="2098" t="s">
        <v>2574</v>
      </c>
      <c r="B54" s="1605"/>
      <c r="C54" s="1887"/>
      <c r="D54" s="1069" t="s">
        <v>899</v>
      </c>
      <c r="E54" s="1070">
        <v>18000</v>
      </c>
      <c r="F54" s="1069">
        <v>1</v>
      </c>
      <c r="G54" s="1071">
        <f t="shared" si="3"/>
        <v>18000</v>
      </c>
    </row>
    <row r="55" spans="1:7" ht="14.25" hidden="1" customHeight="1">
      <c r="A55" s="2098" t="s">
        <v>2575</v>
      </c>
      <c r="B55" s="1605"/>
      <c r="C55" s="1887"/>
      <c r="D55" s="1069" t="s">
        <v>910</v>
      </c>
      <c r="E55" s="1070">
        <v>20000</v>
      </c>
      <c r="F55" s="1069">
        <v>3</v>
      </c>
      <c r="G55" s="1071">
        <f t="shared" si="3"/>
        <v>60000</v>
      </c>
    </row>
    <row r="56" spans="1:7" ht="14.25" hidden="1" customHeight="1">
      <c r="A56" s="2098" t="s">
        <v>2576</v>
      </c>
      <c r="B56" s="1605"/>
      <c r="C56" s="1887"/>
      <c r="D56" s="1069" t="s">
        <v>910</v>
      </c>
      <c r="E56" s="1070">
        <v>190000</v>
      </c>
      <c r="F56" s="1069">
        <v>1</v>
      </c>
      <c r="G56" s="1071">
        <f t="shared" si="3"/>
        <v>190000</v>
      </c>
    </row>
    <row r="57" spans="1:7" ht="14.25" hidden="1" customHeight="1">
      <c r="A57" s="2098" t="s">
        <v>2577</v>
      </c>
      <c r="B57" s="1605"/>
      <c r="C57" s="1887"/>
      <c r="D57" s="1069" t="s">
        <v>120</v>
      </c>
      <c r="E57" s="1070">
        <v>7870</v>
      </c>
      <c r="F57" s="1069">
        <v>12</v>
      </c>
      <c r="G57" s="1071">
        <f t="shared" si="3"/>
        <v>94440</v>
      </c>
    </row>
    <row r="58" spans="1:7" ht="14.25" hidden="1" customHeight="1">
      <c r="A58" s="2098"/>
      <c r="B58" s="1605"/>
      <c r="C58" s="1887"/>
      <c r="D58" s="1069"/>
      <c r="E58" s="1070"/>
      <c r="F58" s="1069"/>
      <c r="G58" s="1071"/>
    </row>
    <row r="59" spans="1:7" ht="14.25" hidden="1" customHeight="1">
      <c r="A59" s="2099"/>
      <c r="B59" s="1608"/>
      <c r="C59" s="1888"/>
      <c r="D59" s="1072"/>
      <c r="E59" s="1089"/>
      <c r="F59" s="1072"/>
      <c r="G59" s="1073"/>
    </row>
    <row r="60" spans="1:7" ht="14.25" hidden="1" customHeight="1">
      <c r="A60" s="1"/>
      <c r="B60" s="1"/>
      <c r="C60" s="1"/>
      <c r="D60" s="2100" t="s">
        <v>2546</v>
      </c>
      <c r="E60" s="2036"/>
      <c r="F60" s="2036"/>
      <c r="G60" s="4">
        <f>SUM(G44:G59)</f>
        <v>11497540</v>
      </c>
    </row>
    <row r="61" spans="1:7" ht="14.25" hidden="1" customHeight="1">
      <c r="A61" s="1" t="s">
        <v>2547</v>
      </c>
      <c r="B61" s="1"/>
      <c r="C61" s="1"/>
      <c r="D61" s="1"/>
      <c r="E61" s="1"/>
      <c r="F61" s="1"/>
      <c r="G61" s="1"/>
    </row>
    <row r="62" spans="1:7" ht="14.25" hidden="1" customHeight="1">
      <c r="A62" s="2101" t="s">
        <v>376</v>
      </c>
      <c r="B62" s="1610"/>
      <c r="C62" s="1611"/>
      <c r="D62" s="19" t="s">
        <v>2526</v>
      </c>
      <c r="E62" s="19" t="s">
        <v>2548</v>
      </c>
      <c r="F62" s="14" t="s">
        <v>2549</v>
      </c>
      <c r="G62" s="14" t="s">
        <v>2550</v>
      </c>
    </row>
    <row r="63" spans="1:7" ht="14.25" hidden="1" customHeight="1">
      <c r="A63" s="2098" t="s">
        <v>2578</v>
      </c>
      <c r="B63" s="1605"/>
      <c r="C63" s="1887"/>
      <c r="D63" s="1090" t="s">
        <v>2552</v>
      </c>
      <c r="E63" s="1070">
        <v>30000</v>
      </c>
      <c r="F63" s="1091">
        <v>0.5</v>
      </c>
      <c r="G63" s="1070">
        <f>E63/F63</f>
        <v>60000</v>
      </c>
    </row>
    <row r="64" spans="1:7" ht="14.25" hidden="1" customHeight="1">
      <c r="A64" s="2099" t="s">
        <v>2579</v>
      </c>
      <c r="B64" s="1608"/>
      <c r="C64" s="1888"/>
      <c r="D64" s="1092" t="s">
        <v>2580</v>
      </c>
      <c r="E64" s="1089">
        <v>120</v>
      </c>
      <c r="F64" s="1092">
        <v>1</v>
      </c>
      <c r="G64" s="1089">
        <f>E64*F64</f>
        <v>120</v>
      </c>
    </row>
    <row r="65" spans="1:7" ht="14.25" hidden="1" customHeight="1">
      <c r="A65" s="1"/>
      <c r="B65" s="1"/>
      <c r="C65" s="1"/>
      <c r="D65" s="2103" t="s">
        <v>2554</v>
      </c>
      <c r="E65" s="1605"/>
      <c r="F65" s="1605"/>
      <c r="G65" s="1080">
        <f>SUM(G63:G64)</f>
        <v>60120</v>
      </c>
    </row>
    <row r="66" spans="1:7" ht="14.25" hidden="1" customHeight="1">
      <c r="A66" s="1" t="s">
        <v>2555</v>
      </c>
      <c r="B66" s="1"/>
      <c r="C66" s="1"/>
      <c r="D66" s="1"/>
      <c r="E66" s="1"/>
      <c r="F66" s="1"/>
      <c r="G66" s="1"/>
    </row>
    <row r="67" spans="1:7" ht="14.25" hidden="1" customHeight="1">
      <c r="A67" s="14" t="s">
        <v>376</v>
      </c>
      <c r="B67" s="14" t="s">
        <v>2526</v>
      </c>
      <c r="C67" s="19" t="s">
        <v>1855</v>
      </c>
      <c r="D67" s="14" t="s">
        <v>2581</v>
      </c>
      <c r="E67" s="14" t="s">
        <v>2582</v>
      </c>
      <c r="F67" s="19" t="s">
        <v>2557</v>
      </c>
      <c r="G67" s="14" t="s">
        <v>2550</v>
      </c>
    </row>
    <row r="68" spans="1:7" ht="14.25" hidden="1" customHeight="1">
      <c r="A68" s="1093" t="s">
        <v>2558</v>
      </c>
      <c r="B68" s="1093" t="s">
        <v>2583</v>
      </c>
      <c r="C68" s="1094">
        <v>40000</v>
      </c>
      <c r="D68" s="1094">
        <v>31618</v>
      </c>
      <c r="E68" s="1094">
        <v>71618</v>
      </c>
      <c r="F68" s="1095">
        <v>0.5</v>
      </c>
      <c r="G68" s="1094">
        <f t="shared" ref="G68:G69" si="4">E68/F68</f>
        <v>143236</v>
      </c>
    </row>
    <row r="69" spans="1:7" ht="14.25" hidden="1" customHeight="1">
      <c r="A69" s="1092" t="s">
        <v>2559</v>
      </c>
      <c r="B69" s="1092" t="s">
        <v>2583</v>
      </c>
      <c r="C69" s="1089">
        <v>22500</v>
      </c>
      <c r="D69" s="1089">
        <v>17785</v>
      </c>
      <c r="E69" s="1089">
        <v>40285</v>
      </c>
      <c r="F69" s="1096">
        <v>0.5</v>
      </c>
      <c r="G69" s="1089">
        <f t="shared" si="4"/>
        <v>80570</v>
      </c>
    </row>
    <row r="70" spans="1:7" ht="14.25" hidden="1" customHeight="1">
      <c r="A70" s="1082"/>
      <c r="B70" s="1083"/>
      <c r="C70" s="1083"/>
      <c r="D70" s="2100" t="s">
        <v>2560</v>
      </c>
      <c r="E70" s="2036"/>
      <c r="F70" s="2036"/>
      <c r="G70" s="1084">
        <f>SUM(G68:GG69)</f>
        <v>223806</v>
      </c>
    </row>
    <row r="71" spans="1:7" ht="10.5" hidden="1" customHeight="1">
      <c r="A71" s="1085"/>
      <c r="B71" s="1"/>
      <c r="C71" s="1"/>
      <c r="D71" s="1"/>
      <c r="E71" s="1"/>
      <c r="F71" s="1"/>
      <c r="G71" s="1086"/>
    </row>
    <row r="72" spans="1:7" ht="14.25" hidden="1" customHeight="1">
      <c r="A72" s="1087"/>
      <c r="B72" s="386"/>
      <c r="C72" s="386"/>
      <c r="D72" s="2097" t="s">
        <v>2561</v>
      </c>
      <c r="E72" s="1608"/>
      <c r="F72" s="1608"/>
      <c r="G72" s="1088">
        <f>ROUND(G60+G65+G70,0)</f>
        <v>11781466</v>
      </c>
    </row>
    <row r="73" spans="1:7" ht="14.25" hidden="1" customHeight="1">
      <c r="A73" s="1"/>
      <c r="B73" s="1"/>
      <c r="C73" s="1"/>
      <c r="D73" s="1"/>
      <c r="E73" s="1"/>
      <c r="F73" s="1"/>
      <c r="G73" s="1"/>
    </row>
    <row r="74" spans="1:7" ht="14.25" hidden="1" customHeight="1">
      <c r="A74" s="2105" t="s">
        <v>2562</v>
      </c>
      <c r="B74" s="2036"/>
      <c r="C74" s="2036"/>
      <c r="D74" s="2036"/>
      <c r="E74" s="2036"/>
      <c r="F74" s="2036"/>
      <c r="G74" s="2078"/>
    </row>
    <row r="75" spans="1:7" ht="14.25" hidden="1" customHeight="1">
      <c r="A75" s="2106" t="s">
        <v>2523</v>
      </c>
      <c r="B75" s="1605"/>
      <c r="C75" s="1605"/>
      <c r="D75" s="1605"/>
      <c r="E75" s="1605"/>
      <c r="F75" s="1605"/>
      <c r="G75" s="1887"/>
    </row>
    <row r="76" spans="1:7" ht="18" hidden="1" customHeight="1">
      <c r="A76" s="2099" t="s">
        <v>2584</v>
      </c>
      <c r="B76" s="1608"/>
      <c r="C76" s="1608"/>
      <c r="D76" s="1608"/>
      <c r="E76" s="1608"/>
      <c r="F76" s="1608"/>
      <c r="G76" s="1888"/>
    </row>
    <row r="77" spans="1:7" ht="14.25" hidden="1" customHeight="1">
      <c r="A77" s="1"/>
      <c r="B77" s="1"/>
      <c r="C77" s="1"/>
      <c r="D77" s="1"/>
      <c r="E77" s="1"/>
      <c r="F77" s="19" t="s">
        <v>375</v>
      </c>
      <c r="G77" s="19" t="s">
        <v>349</v>
      </c>
    </row>
    <row r="78" spans="1:7" ht="14.25" hidden="1" customHeight="1">
      <c r="A78" s="1" t="s">
        <v>2525</v>
      </c>
      <c r="B78" s="1"/>
      <c r="C78" s="1"/>
      <c r="D78" s="1"/>
      <c r="E78" s="1"/>
      <c r="F78" s="1"/>
      <c r="G78" s="1"/>
    </row>
    <row r="79" spans="1:7" ht="14.25" hidden="1" customHeight="1">
      <c r="A79" s="2107" t="s">
        <v>1218</v>
      </c>
      <c r="B79" s="1610"/>
      <c r="C79" s="1611"/>
      <c r="D79" s="19" t="s">
        <v>2526</v>
      </c>
      <c r="E79" s="19" t="s">
        <v>2527</v>
      </c>
      <c r="F79" s="19" t="s">
        <v>673</v>
      </c>
      <c r="G79" s="1068" t="s">
        <v>2528</v>
      </c>
    </row>
    <row r="80" spans="1:7" ht="14.25" hidden="1" customHeight="1">
      <c r="A80" s="2112" t="s">
        <v>2585</v>
      </c>
      <c r="B80" s="1605"/>
      <c r="C80" s="1887"/>
      <c r="D80" s="1069" t="s">
        <v>103</v>
      </c>
      <c r="E80" s="1070">
        <v>53000</v>
      </c>
      <c r="F80" s="1069">
        <v>3</v>
      </c>
      <c r="G80" s="1071">
        <f t="shared" ref="G80:G86" si="5">E80*F80</f>
        <v>159000</v>
      </c>
    </row>
    <row r="81" spans="1:7" ht="14.25" hidden="1" customHeight="1">
      <c r="A81" s="2098" t="s">
        <v>2586</v>
      </c>
      <c r="B81" s="1605"/>
      <c r="C81" s="1887"/>
      <c r="D81" s="1069" t="s">
        <v>88</v>
      </c>
      <c r="E81" s="1070">
        <v>18000</v>
      </c>
      <c r="F81" s="1069">
        <v>2</v>
      </c>
      <c r="G81" s="1071">
        <f t="shared" si="5"/>
        <v>36000</v>
      </c>
    </row>
    <row r="82" spans="1:7" ht="14.25" hidden="1" customHeight="1">
      <c r="A82" s="2098" t="s">
        <v>2587</v>
      </c>
      <c r="B82" s="1605"/>
      <c r="C82" s="1887"/>
      <c r="D82" s="1069" t="s">
        <v>88</v>
      </c>
      <c r="E82" s="1070">
        <v>42300</v>
      </c>
      <c r="F82" s="1069">
        <v>3</v>
      </c>
      <c r="G82" s="1071">
        <f t="shared" si="5"/>
        <v>126900</v>
      </c>
    </row>
    <row r="83" spans="1:7" ht="14.25" hidden="1" customHeight="1">
      <c r="A83" s="2098" t="s">
        <v>2569</v>
      </c>
      <c r="B83" s="1605"/>
      <c r="C83" s="1887"/>
      <c r="D83" s="1069" t="s">
        <v>88</v>
      </c>
      <c r="E83" s="1070">
        <v>1100</v>
      </c>
      <c r="F83" s="1069">
        <v>4</v>
      </c>
      <c r="G83" s="1071">
        <f t="shared" si="5"/>
        <v>4400</v>
      </c>
    </row>
    <row r="84" spans="1:7" ht="14.25" hidden="1" customHeight="1">
      <c r="A84" s="2098" t="s">
        <v>2568</v>
      </c>
      <c r="B84" s="1605"/>
      <c r="C84" s="1887"/>
      <c r="D84" s="1069" t="s">
        <v>88</v>
      </c>
      <c r="E84" s="1070">
        <v>3700</v>
      </c>
      <c r="F84" s="1069">
        <v>2</v>
      </c>
      <c r="G84" s="1071">
        <f t="shared" si="5"/>
        <v>7400</v>
      </c>
    </row>
    <row r="85" spans="1:7" ht="14.25" hidden="1" customHeight="1">
      <c r="A85" s="2098" t="s">
        <v>2588</v>
      </c>
      <c r="B85" s="1605"/>
      <c r="C85" s="1887"/>
      <c r="D85" s="1069" t="s">
        <v>88</v>
      </c>
      <c r="E85" s="1070">
        <v>15700</v>
      </c>
      <c r="F85" s="1069">
        <v>2</v>
      </c>
      <c r="G85" s="1071">
        <f t="shared" si="5"/>
        <v>31400</v>
      </c>
    </row>
    <row r="86" spans="1:7" ht="14.25" hidden="1" customHeight="1">
      <c r="A86" s="2098" t="s">
        <v>2589</v>
      </c>
      <c r="B86" s="1605"/>
      <c r="C86" s="1887"/>
      <c r="D86" s="1069" t="s">
        <v>88</v>
      </c>
      <c r="E86" s="1070">
        <v>5600</v>
      </c>
      <c r="F86" s="1069">
        <v>3</v>
      </c>
      <c r="G86" s="1071">
        <f t="shared" si="5"/>
        <v>16800</v>
      </c>
    </row>
    <row r="87" spans="1:7" ht="14.25" hidden="1" customHeight="1">
      <c r="A87" s="2098"/>
      <c r="B87" s="1605"/>
      <c r="C87" s="1887"/>
      <c r="D87" s="1069"/>
      <c r="E87" s="1070"/>
      <c r="F87" s="1069"/>
      <c r="G87" s="1071"/>
    </row>
    <row r="88" spans="1:7" ht="14.25" hidden="1" customHeight="1">
      <c r="A88" s="2098"/>
      <c r="B88" s="1605"/>
      <c r="C88" s="1887"/>
      <c r="D88" s="1069"/>
      <c r="E88" s="1070"/>
      <c r="F88" s="1069"/>
      <c r="G88" s="1071"/>
    </row>
    <row r="89" spans="1:7" ht="14.25" hidden="1" customHeight="1">
      <c r="A89" s="2098"/>
      <c r="B89" s="1605"/>
      <c r="C89" s="1887"/>
      <c r="D89" s="1069"/>
      <c r="E89" s="1070"/>
      <c r="F89" s="1069"/>
      <c r="G89" s="1071"/>
    </row>
    <row r="90" spans="1:7" ht="14.25" hidden="1" customHeight="1">
      <c r="A90" s="2098"/>
      <c r="B90" s="1605"/>
      <c r="C90" s="1887"/>
      <c r="D90" s="1069"/>
      <c r="E90" s="1070"/>
      <c r="F90" s="1069"/>
      <c r="G90" s="1071"/>
    </row>
    <row r="91" spans="1:7" ht="14.25" hidden="1" customHeight="1">
      <c r="A91" s="2098"/>
      <c r="B91" s="1605"/>
      <c r="C91" s="1887"/>
      <c r="D91" s="1069"/>
      <c r="E91" s="1070"/>
      <c r="F91" s="1069"/>
      <c r="G91" s="1071"/>
    </row>
    <row r="92" spans="1:7" ht="14.25" hidden="1" customHeight="1">
      <c r="A92" s="2098"/>
      <c r="B92" s="1605"/>
      <c r="C92" s="1887"/>
      <c r="D92" s="1069"/>
      <c r="E92" s="1070"/>
      <c r="F92" s="1069"/>
      <c r="G92" s="1071"/>
    </row>
    <row r="93" spans="1:7" ht="14.25" hidden="1" customHeight="1">
      <c r="A93" s="2098"/>
      <c r="B93" s="1605"/>
      <c r="C93" s="1887"/>
      <c r="D93" s="1069"/>
      <c r="E93" s="1070"/>
      <c r="F93" s="1069"/>
      <c r="G93" s="1071"/>
    </row>
    <row r="94" spans="1:7" ht="14.25" hidden="1" customHeight="1">
      <c r="A94" s="2098"/>
      <c r="B94" s="1605"/>
      <c r="C94" s="1887"/>
      <c r="D94" s="1069"/>
      <c r="E94" s="1070"/>
      <c r="F94" s="1069"/>
      <c r="G94" s="1071"/>
    </row>
    <row r="95" spans="1:7" ht="14.25" hidden="1" customHeight="1">
      <c r="A95" s="2099"/>
      <c r="B95" s="1608"/>
      <c r="C95" s="1888"/>
      <c r="D95" s="1072"/>
      <c r="E95" s="1089"/>
      <c r="F95" s="1072"/>
      <c r="G95" s="1073"/>
    </row>
    <row r="96" spans="1:7" ht="14.25" hidden="1" customHeight="1">
      <c r="A96" s="1"/>
      <c r="B96" s="1"/>
      <c r="C96" s="1"/>
      <c r="D96" s="2100" t="s">
        <v>2546</v>
      </c>
      <c r="E96" s="2036"/>
      <c r="F96" s="2036"/>
      <c r="G96" s="4">
        <f>SUM(G80:G95)</f>
        <v>381900</v>
      </c>
    </row>
    <row r="97" spans="1:7" ht="14.25" hidden="1" customHeight="1">
      <c r="A97" s="1" t="s">
        <v>2547</v>
      </c>
      <c r="B97" s="1"/>
      <c r="C97" s="1"/>
      <c r="D97" s="1"/>
      <c r="E97" s="1"/>
      <c r="F97" s="1"/>
      <c r="G97" s="1"/>
    </row>
    <row r="98" spans="1:7" ht="14.25" hidden="1" customHeight="1">
      <c r="A98" s="2101" t="s">
        <v>376</v>
      </c>
      <c r="B98" s="1610"/>
      <c r="C98" s="1611"/>
      <c r="D98" s="19" t="s">
        <v>2526</v>
      </c>
      <c r="E98" s="19" t="s">
        <v>2548</v>
      </c>
      <c r="F98" s="14" t="s">
        <v>2549</v>
      </c>
      <c r="G98" s="14" t="s">
        <v>2550</v>
      </c>
    </row>
    <row r="99" spans="1:7" ht="14.25" hidden="1" customHeight="1">
      <c r="A99" s="2098" t="s">
        <v>2578</v>
      </c>
      <c r="B99" s="1605"/>
      <c r="C99" s="1887"/>
      <c r="D99" s="1090" t="s">
        <v>2552</v>
      </c>
      <c r="E99" s="1070">
        <v>30000</v>
      </c>
      <c r="F99" s="1091">
        <v>1.5</v>
      </c>
      <c r="G99" s="1070">
        <f>E99/F99</f>
        <v>20000</v>
      </c>
    </row>
    <row r="100" spans="1:7" ht="14.25" hidden="1" customHeight="1">
      <c r="A100" s="2099"/>
      <c r="B100" s="1608"/>
      <c r="C100" s="1888"/>
      <c r="D100" s="1092"/>
      <c r="E100" s="1089"/>
      <c r="F100" s="1092"/>
      <c r="G100" s="1089">
        <f>E100*F100</f>
        <v>0</v>
      </c>
    </row>
    <row r="101" spans="1:7" ht="14.25" hidden="1" customHeight="1">
      <c r="A101" s="1"/>
      <c r="B101" s="1"/>
      <c r="C101" s="1"/>
      <c r="D101" s="2103" t="s">
        <v>2554</v>
      </c>
      <c r="E101" s="1605"/>
      <c r="F101" s="1605"/>
      <c r="G101" s="1080">
        <f>SUM(G99:G100)</f>
        <v>20000</v>
      </c>
    </row>
    <row r="102" spans="1:7" ht="14.25" hidden="1" customHeight="1">
      <c r="A102" s="1" t="s">
        <v>2555</v>
      </c>
      <c r="B102" s="1"/>
      <c r="C102" s="1"/>
      <c r="D102" s="1"/>
      <c r="E102" s="1"/>
      <c r="F102" s="1"/>
      <c r="G102" s="1"/>
    </row>
    <row r="103" spans="1:7" ht="14.25" hidden="1" customHeight="1">
      <c r="A103" s="14" t="s">
        <v>376</v>
      </c>
      <c r="B103" s="14" t="s">
        <v>2526</v>
      </c>
      <c r="C103" s="19" t="s">
        <v>1855</v>
      </c>
      <c r="D103" s="14" t="s">
        <v>2581</v>
      </c>
      <c r="E103" s="14" t="s">
        <v>2582</v>
      </c>
      <c r="F103" s="19" t="s">
        <v>2557</v>
      </c>
      <c r="G103" s="14" t="s">
        <v>2550</v>
      </c>
    </row>
    <row r="104" spans="1:7" ht="14.25" hidden="1" customHeight="1">
      <c r="A104" s="1093" t="s">
        <v>2558</v>
      </c>
      <c r="B104" s="1093" t="s">
        <v>2583</v>
      </c>
      <c r="C104" s="1094">
        <v>40000</v>
      </c>
      <c r="D104" s="1094">
        <v>31618</v>
      </c>
      <c r="E104" s="1094">
        <v>71618</v>
      </c>
      <c r="F104" s="1095">
        <v>1.5</v>
      </c>
      <c r="G104" s="1094">
        <f t="shared" ref="G104:G105" si="6">E104/F104</f>
        <v>47745.333333333336</v>
      </c>
    </row>
    <row r="105" spans="1:7" ht="14.25" hidden="1" customHeight="1">
      <c r="A105" s="1092" t="s">
        <v>2559</v>
      </c>
      <c r="B105" s="1092" t="s">
        <v>2583</v>
      </c>
      <c r="C105" s="1089">
        <v>22500</v>
      </c>
      <c r="D105" s="1089">
        <v>17785</v>
      </c>
      <c r="E105" s="1089">
        <v>40285</v>
      </c>
      <c r="F105" s="1096">
        <f>F104</f>
        <v>1.5</v>
      </c>
      <c r="G105" s="1089">
        <f t="shared" si="6"/>
        <v>26856.666666666668</v>
      </c>
    </row>
    <row r="106" spans="1:7" ht="14.25" hidden="1" customHeight="1">
      <c r="A106" s="1082"/>
      <c r="B106" s="1083"/>
      <c r="C106" s="1083"/>
      <c r="D106" s="2100" t="s">
        <v>2560</v>
      </c>
      <c r="E106" s="2036"/>
      <c r="F106" s="2036"/>
      <c r="G106" s="1084">
        <f>SUM(G104:GG105)</f>
        <v>74602</v>
      </c>
    </row>
    <row r="107" spans="1:7" ht="10.5" hidden="1" customHeight="1">
      <c r="A107" s="1085"/>
      <c r="B107" s="1"/>
      <c r="C107" s="1"/>
      <c r="D107" s="1"/>
      <c r="E107" s="1"/>
      <c r="F107" s="1"/>
      <c r="G107" s="1086"/>
    </row>
    <row r="108" spans="1:7" ht="14.25" hidden="1" customHeight="1">
      <c r="A108" s="1087"/>
      <c r="B108" s="386"/>
      <c r="C108" s="386"/>
      <c r="D108" s="2097" t="s">
        <v>2561</v>
      </c>
      <c r="E108" s="1608"/>
      <c r="F108" s="1608"/>
      <c r="G108" s="1088">
        <f>ROUND(G96+G101+G106,0)</f>
        <v>476502</v>
      </c>
    </row>
    <row r="109" spans="1:7" ht="14.25" hidden="1" customHeight="1">
      <c r="A109" s="1"/>
      <c r="B109" s="1"/>
      <c r="C109" s="1"/>
      <c r="D109" s="1"/>
      <c r="E109" s="1"/>
      <c r="F109" s="1"/>
      <c r="G109" s="1"/>
    </row>
    <row r="110" spans="1:7" ht="14.25" hidden="1" customHeight="1">
      <c r="A110" s="2105" t="s">
        <v>2562</v>
      </c>
      <c r="B110" s="2036"/>
      <c r="C110" s="2036"/>
      <c r="D110" s="2036"/>
      <c r="E110" s="2036"/>
      <c r="F110" s="2036"/>
      <c r="G110" s="2078"/>
    </row>
    <row r="111" spans="1:7" ht="14.25" hidden="1" customHeight="1">
      <c r="A111" s="2106" t="s">
        <v>2523</v>
      </c>
      <c r="B111" s="1605"/>
      <c r="C111" s="1605"/>
      <c r="D111" s="1605"/>
      <c r="E111" s="1605"/>
      <c r="F111" s="1605"/>
      <c r="G111" s="1887"/>
    </row>
    <row r="112" spans="1:7" ht="18" hidden="1" customHeight="1">
      <c r="A112" s="2099" t="s">
        <v>2590</v>
      </c>
      <c r="B112" s="1608"/>
      <c r="C112" s="1608"/>
      <c r="D112" s="1608"/>
      <c r="E112" s="1608"/>
      <c r="F112" s="1608"/>
      <c r="G112" s="1888"/>
    </row>
    <row r="113" spans="1:7" ht="14.25" hidden="1" customHeight="1">
      <c r="A113" s="1"/>
      <c r="B113" s="1"/>
      <c r="C113" s="1"/>
      <c r="D113" s="1"/>
      <c r="E113" s="1"/>
      <c r="F113" s="19" t="s">
        <v>375</v>
      </c>
      <c r="G113" s="19" t="s">
        <v>351</v>
      </c>
    </row>
    <row r="114" spans="1:7" ht="14.25" hidden="1" customHeight="1">
      <c r="A114" s="1" t="s">
        <v>2525</v>
      </c>
      <c r="B114" s="1"/>
      <c r="C114" s="1"/>
      <c r="D114" s="1"/>
      <c r="E114" s="1"/>
      <c r="F114" s="1"/>
      <c r="G114" s="1"/>
    </row>
    <row r="115" spans="1:7" ht="14.25" hidden="1" customHeight="1">
      <c r="A115" s="2107" t="s">
        <v>1218</v>
      </c>
      <c r="B115" s="1610"/>
      <c r="C115" s="1611"/>
      <c r="D115" s="19" t="s">
        <v>2526</v>
      </c>
      <c r="E115" s="19" t="s">
        <v>2527</v>
      </c>
      <c r="F115" s="19" t="s">
        <v>673</v>
      </c>
      <c r="G115" s="1068" t="s">
        <v>2528</v>
      </c>
    </row>
    <row r="116" spans="1:7" ht="14.25" hidden="1" customHeight="1">
      <c r="A116" s="2112" t="s">
        <v>2585</v>
      </c>
      <c r="B116" s="1605"/>
      <c r="C116" s="1887"/>
      <c r="D116" s="1069" t="s">
        <v>103</v>
      </c>
      <c r="E116" s="1070">
        <v>53000</v>
      </c>
      <c r="F116" s="1069">
        <v>3</v>
      </c>
      <c r="G116" s="1071">
        <f t="shared" ref="G116:G122" si="7">E116*F116</f>
        <v>159000</v>
      </c>
    </row>
    <row r="117" spans="1:7" ht="14.25" hidden="1" customHeight="1">
      <c r="A117" s="2098" t="s">
        <v>2591</v>
      </c>
      <c r="B117" s="1605"/>
      <c r="C117" s="1887"/>
      <c r="D117" s="1069" t="s">
        <v>88</v>
      </c>
      <c r="E117" s="1070">
        <v>143000</v>
      </c>
      <c r="F117" s="1069">
        <v>2</v>
      </c>
      <c r="G117" s="1071">
        <f t="shared" si="7"/>
        <v>286000</v>
      </c>
    </row>
    <row r="118" spans="1:7" ht="14.25" hidden="1" customHeight="1">
      <c r="A118" s="2098" t="s">
        <v>2587</v>
      </c>
      <c r="B118" s="1605"/>
      <c r="C118" s="1887"/>
      <c r="D118" s="1069" t="s">
        <v>88</v>
      </c>
      <c r="E118" s="1070">
        <v>42300</v>
      </c>
      <c r="F118" s="1069">
        <v>3</v>
      </c>
      <c r="G118" s="1071">
        <f t="shared" si="7"/>
        <v>126900</v>
      </c>
    </row>
    <row r="119" spans="1:7" ht="14.25" hidden="1" customHeight="1">
      <c r="A119" s="2098" t="s">
        <v>2569</v>
      </c>
      <c r="B119" s="1605"/>
      <c r="C119" s="1887"/>
      <c r="D119" s="1069" t="s">
        <v>88</v>
      </c>
      <c r="E119" s="1070">
        <v>1100</v>
      </c>
      <c r="F119" s="1069">
        <v>4</v>
      </c>
      <c r="G119" s="1071">
        <f t="shared" si="7"/>
        <v>4400</v>
      </c>
    </row>
    <row r="120" spans="1:7" ht="14.25" hidden="1" customHeight="1">
      <c r="A120" s="2098" t="s">
        <v>2568</v>
      </c>
      <c r="B120" s="1605"/>
      <c r="C120" s="1887"/>
      <c r="D120" s="1069" t="s">
        <v>88</v>
      </c>
      <c r="E120" s="1070">
        <v>3700</v>
      </c>
      <c r="F120" s="1069">
        <v>2</v>
      </c>
      <c r="G120" s="1071">
        <f t="shared" si="7"/>
        <v>7400</v>
      </c>
    </row>
    <row r="121" spans="1:7" ht="14.25" hidden="1" customHeight="1">
      <c r="A121" s="2098" t="s">
        <v>2588</v>
      </c>
      <c r="B121" s="1605"/>
      <c r="C121" s="1887"/>
      <c r="D121" s="1069" t="s">
        <v>88</v>
      </c>
      <c r="E121" s="1070">
        <v>15700</v>
      </c>
      <c r="F121" s="1069">
        <v>2</v>
      </c>
      <c r="G121" s="1071">
        <f t="shared" si="7"/>
        <v>31400</v>
      </c>
    </row>
    <row r="122" spans="1:7" ht="14.25" hidden="1" customHeight="1">
      <c r="A122" s="2098" t="s">
        <v>2589</v>
      </c>
      <c r="B122" s="1605"/>
      <c r="C122" s="1887"/>
      <c r="D122" s="1069" t="s">
        <v>88</v>
      </c>
      <c r="E122" s="1070">
        <v>5600</v>
      </c>
      <c r="F122" s="1069">
        <v>3</v>
      </c>
      <c r="G122" s="1071">
        <f t="shared" si="7"/>
        <v>16800</v>
      </c>
    </row>
    <row r="123" spans="1:7" ht="14.25" hidden="1" customHeight="1">
      <c r="A123" s="2098"/>
      <c r="B123" s="1605"/>
      <c r="C123" s="1887"/>
      <c r="D123" s="1069"/>
      <c r="E123" s="1070"/>
      <c r="F123" s="1069"/>
      <c r="G123" s="1071"/>
    </row>
    <row r="124" spans="1:7" ht="14.25" hidden="1" customHeight="1">
      <c r="A124" s="2098"/>
      <c r="B124" s="1605"/>
      <c r="C124" s="1887"/>
      <c r="D124" s="1069"/>
      <c r="E124" s="1070"/>
      <c r="F124" s="1069"/>
      <c r="G124" s="1071"/>
    </row>
    <row r="125" spans="1:7" ht="14.25" hidden="1" customHeight="1">
      <c r="A125" s="2098"/>
      <c r="B125" s="1605"/>
      <c r="C125" s="1887"/>
      <c r="D125" s="1069"/>
      <c r="E125" s="1070"/>
      <c r="F125" s="1069"/>
      <c r="G125" s="1071"/>
    </row>
    <row r="126" spans="1:7" ht="14.25" hidden="1" customHeight="1">
      <c r="A126" s="2098"/>
      <c r="B126" s="1605"/>
      <c r="C126" s="1887"/>
      <c r="D126" s="1069"/>
      <c r="E126" s="1070"/>
      <c r="F126" s="1069"/>
      <c r="G126" s="1071"/>
    </row>
    <row r="127" spans="1:7" ht="14.25" hidden="1" customHeight="1">
      <c r="A127" s="2098"/>
      <c r="B127" s="1605"/>
      <c r="C127" s="1887"/>
      <c r="D127" s="1069"/>
      <c r="E127" s="1070"/>
      <c r="F127" s="1069"/>
      <c r="G127" s="1071"/>
    </row>
    <row r="128" spans="1:7" ht="14.25" hidden="1" customHeight="1">
      <c r="A128" s="2098"/>
      <c r="B128" s="1605"/>
      <c r="C128" s="1887"/>
      <c r="D128" s="1069"/>
      <c r="E128" s="1070"/>
      <c r="F128" s="1069"/>
      <c r="G128" s="1071"/>
    </row>
    <row r="129" spans="1:7" ht="14.25" hidden="1" customHeight="1">
      <c r="A129" s="2098"/>
      <c r="B129" s="1605"/>
      <c r="C129" s="1887"/>
      <c r="D129" s="1069"/>
      <c r="E129" s="1070"/>
      <c r="F129" s="1069"/>
      <c r="G129" s="1071"/>
    </row>
    <row r="130" spans="1:7" ht="14.25" hidden="1" customHeight="1">
      <c r="A130" s="2098"/>
      <c r="B130" s="1605"/>
      <c r="C130" s="1887"/>
      <c r="D130" s="1069"/>
      <c r="E130" s="1070"/>
      <c r="F130" s="1069"/>
      <c r="G130" s="1071"/>
    </row>
    <row r="131" spans="1:7" ht="14.25" hidden="1" customHeight="1">
      <c r="A131" s="2099"/>
      <c r="B131" s="1608"/>
      <c r="C131" s="1888"/>
      <c r="D131" s="1072"/>
      <c r="E131" s="1089"/>
      <c r="F131" s="1072"/>
      <c r="G131" s="1073"/>
    </row>
    <row r="132" spans="1:7" ht="14.25" hidden="1" customHeight="1">
      <c r="A132" s="1"/>
      <c r="B132" s="1"/>
      <c r="C132" s="1"/>
      <c r="D132" s="2100" t="s">
        <v>2546</v>
      </c>
      <c r="E132" s="2036"/>
      <c r="F132" s="2036"/>
      <c r="G132" s="4">
        <f>SUM(G116:G131)</f>
        <v>631900</v>
      </c>
    </row>
    <row r="133" spans="1:7" ht="14.25" hidden="1" customHeight="1">
      <c r="A133" s="1" t="s">
        <v>2547</v>
      </c>
      <c r="B133" s="1"/>
      <c r="C133" s="1"/>
      <c r="D133" s="1"/>
      <c r="E133" s="1"/>
      <c r="F133" s="1"/>
      <c r="G133" s="1"/>
    </row>
    <row r="134" spans="1:7" ht="14.25" hidden="1" customHeight="1">
      <c r="A134" s="2101" t="s">
        <v>376</v>
      </c>
      <c r="B134" s="1610"/>
      <c r="C134" s="1611"/>
      <c r="D134" s="19" t="s">
        <v>2526</v>
      </c>
      <c r="E134" s="19" t="s">
        <v>2548</v>
      </c>
      <c r="F134" s="14" t="s">
        <v>2549</v>
      </c>
      <c r="G134" s="14" t="s">
        <v>2550</v>
      </c>
    </row>
    <row r="135" spans="1:7" ht="14.25" hidden="1" customHeight="1">
      <c r="A135" s="2098" t="s">
        <v>2578</v>
      </c>
      <c r="B135" s="1605"/>
      <c r="C135" s="1887"/>
      <c r="D135" s="1090" t="s">
        <v>2552</v>
      </c>
      <c r="E135" s="1070">
        <v>30000</v>
      </c>
      <c r="F135" s="1091">
        <v>1.5</v>
      </c>
      <c r="G135" s="1070">
        <f>E135/F135</f>
        <v>20000</v>
      </c>
    </row>
    <row r="136" spans="1:7" ht="14.25" hidden="1" customHeight="1">
      <c r="A136" s="2099"/>
      <c r="B136" s="1608"/>
      <c r="C136" s="1888"/>
      <c r="D136" s="1092"/>
      <c r="E136" s="1089"/>
      <c r="F136" s="1092"/>
      <c r="G136" s="1089">
        <f>E136*F136</f>
        <v>0</v>
      </c>
    </row>
    <row r="137" spans="1:7" ht="14.25" hidden="1" customHeight="1">
      <c r="A137" s="1"/>
      <c r="B137" s="1"/>
      <c r="C137" s="1"/>
      <c r="D137" s="2103" t="s">
        <v>2554</v>
      </c>
      <c r="E137" s="1605"/>
      <c r="F137" s="1605"/>
      <c r="G137" s="1080">
        <f>SUM(G135:G136)</f>
        <v>20000</v>
      </c>
    </row>
    <row r="138" spans="1:7" ht="14.25" hidden="1" customHeight="1">
      <c r="A138" s="1" t="s">
        <v>2555</v>
      </c>
      <c r="B138" s="1"/>
      <c r="C138" s="1"/>
      <c r="D138" s="1"/>
      <c r="E138" s="1"/>
      <c r="F138" s="1"/>
      <c r="G138" s="1"/>
    </row>
    <row r="139" spans="1:7" ht="14.25" hidden="1" customHeight="1">
      <c r="A139" s="14" t="s">
        <v>376</v>
      </c>
      <c r="B139" s="14" t="s">
        <v>2526</v>
      </c>
      <c r="C139" s="19" t="s">
        <v>1855</v>
      </c>
      <c r="D139" s="14" t="s">
        <v>2581</v>
      </c>
      <c r="E139" s="14" t="s">
        <v>2582</v>
      </c>
      <c r="F139" s="19" t="s">
        <v>2557</v>
      </c>
      <c r="G139" s="14" t="s">
        <v>2550</v>
      </c>
    </row>
    <row r="140" spans="1:7" ht="14.25" hidden="1" customHeight="1">
      <c r="A140" s="1093" t="s">
        <v>2558</v>
      </c>
      <c r="B140" s="1093" t="s">
        <v>2583</v>
      </c>
      <c r="C140" s="1094">
        <v>40000</v>
      </c>
      <c r="D140" s="1094">
        <v>31618</v>
      </c>
      <c r="E140" s="1094">
        <v>71618</v>
      </c>
      <c r="F140" s="1095">
        <v>1.5</v>
      </c>
      <c r="G140" s="1094">
        <f t="shared" ref="G140:G141" si="8">E140/F140</f>
        <v>47745.333333333336</v>
      </c>
    </row>
    <row r="141" spans="1:7" ht="14.25" hidden="1" customHeight="1">
      <c r="A141" s="1092" t="s">
        <v>2559</v>
      </c>
      <c r="B141" s="1092" t="s">
        <v>2583</v>
      </c>
      <c r="C141" s="1089">
        <v>22500</v>
      </c>
      <c r="D141" s="1089">
        <v>17785</v>
      </c>
      <c r="E141" s="1089">
        <v>40285</v>
      </c>
      <c r="F141" s="1096">
        <f>F140</f>
        <v>1.5</v>
      </c>
      <c r="G141" s="1089">
        <f t="shared" si="8"/>
        <v>26856.666666666668</v>
      </c>
    </row>
    <row r="142" spans="1:7" ht="14.25" hidden="1" customHeight="1">
      <c r="A142" s="1082"/>
      <c r="B142" s="1083"/>
      <c r="C142" s="1083"/>
      <c r="D142" s="2100" t="s">
        <v>2560</v>
      </c>
      <c r="E142" s="2036"/>
      <c r="F142" s="2036"/>
      <c r="G142" s="1084">
        <f>SUM(G140:GG141)</f>
        <v>74602</v>
      </c>
    </row>
    <row r="143" spans="1:7" ht="10.5" hidden="1" customHeight="1">
      <c r="A143" s="1085"/>
      <c r="B143" s="1"/>
      <c r="C143" s="1"/>
      <c r="D143" s="1"/>
      <c r="E143" s="1"/>
      <c r="F143" s="1"/>
      <c r="G143" s="1086"/>
    </row>
    <row r="144" spans="1:7" ht="14.25" hidden="1" customHeight="1">
      <c r="A144" s="1087"/>
      <c r="B144" s="386"/>
      <c r="C144" s="386"/>
      <c r="D144" s="2097" t="s">
        <v>2561</v>
      </c>
      <c r="E144" s="1608"/>
      <c r="F144" s="1608"/>
      <c r="G144" s="1088">
        <f>ROUND(G132+G137+G142,0)</f>
        <v>726502</v>
      </c>
    </row>
    <row r="146" spans="1:7" ht="14.25" hidden="1" customHeight="1">
      <c r="A146" s="2105" t="s">
        <v>2562</v>
      </c>
      <c r="B146" s="2036"/>
      <c r="C146" s="2036"/>
      <c r="D146" s="2036"/>
      <c r="E146" s="2036"/>
      <c r="F146" s="2036"/>
      <c r="G146" s="2078"/>
    </row>
    <row r="147" spans="1:7" ht="14.25" hidden="1" customHeight="1">
      <c r="A147" s="2106" t="s">
        <v>2523</v>
      </c>
      <c r="B147" s="1605"/>
      <c r="C147" s="1605"/>
      <c r="D147" s="1605"/>
      <c r="E147" s="1605"/>
      <c r="F147" s="1605"/>
      <c r="G147" s="1887"/>
    </row>
    <row r="148" spans="1:7" ht="18" hidden="1" customHeight="1">
      <c r="A148" s="2099" t="s">
        <v>2592</v>
      </c>
      <c r="B148" s="1608"/>
      <c r="C148" s="1608"/>
      <c r="D148" s="1608"/>
      <c r="E148" s="1608"/>
      <c r="F148" s="1608"/>
      <c r="G148" s="1888"/>
    </row>
    <row r="149" spans="1:7" ht="14.25" hidden="1" customHeight="1">
      <c r="A149" s="1"/>
      <c r="B149" s="1"/>
      <c r="C149" s="1"/>
      <c r="D149" s="1"/>
      <c r="E149" s="1"/>
      <c r="F149" s="19" t="s">
        <v>375</v>
      </c>
      <c r="G149" s="19" t="s">
        <v>353</v>
      </c>
    </row>
    <row r="150" spans="1:7" ht="14.25" hidden="1" customHeight="1">
      <c r="A150" s="1" t="s">
        <v>2525</v>
      </c>
      <c r="B150" s="1"/>
      <c r="C150" s="1"/>
      <c r="D150" s="1"/>
      <c r="E150" s="1"/>
      <c r="F150" s="1"/>
      <c r="G150" s="1"/>
    </row>
    <row r="151" spans="1:7" ht="14.25" hidden="1" customHeight="1">
      <c r="A151" s="2107" t="s">
        <v>1218</v>
      </c>
      <c r="B151" s="1610"/>
      <c r="C151" s="1611"/>
      <c r="D151" s="19" t="s">
        <v>2526</v>
      </c>
      <c r="E151" s="19" t="s">
        <v>2527</v>
      </c>
      <c r="F151" s="19" t="s">
        <v>673</v>
      </c>
      <c r="G151" s="1068" t="s">
        <v>2528</v>
      </c>
    </row>
    <row r="152" spans="1:7" ht="14.25" hidden="1" customHeight="1">
      <c r="A152" s="2112" t="s">
        <v>2591</v>
      </c>
      <c r="B152" s="1605"/>
      <c r="C152" s="1887"/>
      <c r="D152" s="1069" t="s">
        <v>103</v>
      </c>
      <c r="E152" s="1070">
        <v>143000</v>
      </c>
      <c r="F152" s="1069">
        <v>1</v>
      </c>
      <c r="G152" s="1071">
        <f t="shared" ref="G152:G157" si="9">E152*F152</f>
        <v>143000</v>
      </c>
    </row>
    <row r="153" spans="1:7" ht="14.25" hidden="1" customHeight="1">
      <c r="A153" s="2098" t="s">
        <v>2585</v>
      </c>
      <c r="B153" s="1605"/>
      <c r="C153" s="1887"/>
      <c r="D153" s="1069" t="s">
        <v>88</v>
      </c>
      <c r="E153" s="1070">
        <v>53000</v>
      </c>
      <c r="F153" s="1069">
        <v>1</v>
      </c>
      <c r="G153" s="1071">
        <f t="shared" si="9"/>
        <v>53000</v>
      </c>
    </row>
    <row r="154" spans="1:7" ht="14.25" hidden="1" customHeight="1">
      <c r="A154" s="2098" t="s">
        <v>2593</v>
      </c>
      <c r="B154" s="1605"/>
      <c r="C154" s="1887"/>
      <c r="D154" s="1069" t="s">
        <v>88</v>
      </c>
      <c r="E154" s="1070">
        <v>7700</v>
      </c>
      <c r="F154" s="1069">
        <v>3</v>
      </c>
      <c r="G154" s="1071">
        <f t="shared" si="9"/>
        <v>23100</v>
      </c>
    </row>
    <row r="155" spans="1:7" ht="14.25" hidden="1" customHeight="1">
      <c r="A155" s="2098" t="s">
        <v>2569</v>
      </c>
      <c r="B155" s="1605"/>
      <c r="C155" s="1887"/>
      <c r="D155" s="1069" t="s">
        <v>88</v>
      </c>
      <c r="E155" s="1070">
        <v>1100</v>
      </c>
      <c r="F155" s="1069">
        <v>1</v>
      </c>
      <c r="G155" s="1071">
        <f t="shared" si="9"/>
        <v>1100</v>
      </c>
    </row>
    <row r="156" spans="1:7" ht="14.25" hidden="1" customHeight="1">
      <c r="A156" s="2098" t="s">
        <v>2568</v>
      </c>
      <c r="B156" s="1605"/>
      <c r="C156" s="1887"/>
      <c r="D156" s="1069" t="s">
        <v>88</v>
      </c>
      <c r="E156" s="1070">
        <v>3700</v>
      </c>
      <c r="F156" s="1069">
        <v>2</v>
      </c>
      <c r="G156" s="1071">
        <f t="shared" si="9"/>
        <v>7400</v>
      </c>
    </row>
    <row r="157" spans="1:7" ht="14.25" hidden="1" customHeight="1">
      <c r="A157" s="2098" t="s">
        <v>2594</v>
      </c>
      <c r="B157" s="1605"/>
      <c r="C157" s="1887"/>
      <c r="D157" s="1069" t="s">
        <v>88</v>
      </c>
      <c r="E157" s="1070">
        <v>15700</v>
      </c>
      <c r="F157" s="1069">
        <v>3</v>
      </c>
      <c r="G157" s="1071">
        <f t="shared" si="9"/>
        <v>47100</v>
      </c>
    </row>
    <row r="158" spans="1:7" ht="14.25" hidden="1" customHeight="1">
      <c r="A158" s="2098"/>
      <c r="B158" s="1605"/>
      <c r="C158" s="1887"/>
      <c r="D158" s="1069"/>
      <c r="E158" s="1070"/>
      <c r="F158" s="1069"/>
      <c r="G158" s="1071"/>
    </row>
    <row r="159" spans="1:7" ht="14.25" hidden="1" customHeight="1">
      <c r="A159" s="2098"/>
      <c r="B159" s="1605"/>
      <c r="C159" s="1887"/>
      <c r="D159" s="1069"/>
      <c r="E159" s="1070"/>
      <c r="F159" s="1069"/>
      <c r="G159" s="1071"/>
    </row>
    <row r="160" spans="1:7" ht="14.25" hidden="1" customHeight="1">
      <c r="A160" s="2098"/>
      <c r="B160" s="1605"/>
      <c r="C160" s="1887"/>
      <c r="D160" s="1069"/>
      <c r="E160" s="1070"/>
      <c r="F160" s="1069"/>
      <c r="G160" s="1071"/>
    </row>
    <row r="161" spans="1:7" ht="14.25" hidden="1" customHeight="1">
      <c r="A161" s="2098"/>
      <c r="B161" s="1605"/>
      <c r="C161" s="1887"/>
      <c r="D161" s="1069"/>
      <c r="E161" s="1070"/>
      <c r="F161" s="1069"/>
      <c r="G161" s="1071"/>
    </row>
    <row r="162" spans="1:7" ht="14.25" hidden="1" customHeight="1">
      <c r="A162" s="2098"/>
      <c r="B162" s="1605"/>
      <c r="C162" s="1887"/>
      <c r="D162" s="1069"/>
      <c r="E162" s="1070"/>
      <c r="F162" s="1069"/>
      <c r="G162" s="1071"/>
    </row>
    <row r="163" spans="1:7" ht="14.25" hidden="1" customHeight="1">
      <c r="A163" s="2098"/>
      <c r="B163" s="1605"/>
      <c r="C163" s="1887"/>
      <c r="D163" s="1069"/>
      <c r="E163" s="1070"/>
      <c r="F163" s="1069"/>
      <c r="G163" s="1071"/>
    </row>
    <row r="164" spans="1:7" ht="14.25" hidden="1" customHeight="1">
      <c r="A164" s="2098"/>
      <c r="B164" s="1605"/>
      <c r="C164" s="1887"/>
      <c r="D164" s="1069"/>
      <c r="E164" s="1070"/>
      <c r="F164" s="1069"/>
      <c r="G164" s="1071"/>
    </row>
    <row r="165" spans="1:7" ht="14.25" hidden="1" customHeight="1">
      <c r="A165" s="2098"/>
      <c r="B165" s="1605"/>
      <c r="C165" s="1887"/>
      <c r="D165" s="1069"/>
      <c r="E165" s="1070"/>
      <c r="F165" s="1069"/>
      <c r="G165" s="1071"/>
    </row>
    <row r="166" spans="1:7" ht="14.25" hidden="1" customHeight="1">
      <c r="A166" s="2098"/>
      <c r="B166" s="1605"/>
      <c r="C166" s="1887"/>
      <c r="D166" s="1069"/>
      <c r="E166" s="1070"/>
      <c r="F166" s="1069"/>
      <c r="G166" s="1071"/>
    </row>
    <row r="167" spans="1:7" ht="14.25" hidden="1" customHeight="1">
      <c r="A167" s="2099"/>
      <c r="B167" s="1608"/>
      <c r="C167" s="1888"/>
      <c r="D167" s="1072"/>
      <c r="E167" s="1089"/>
      <c r="F167" s="1072"/>
      <c r="G167" s="1073"/>
    </row>
    <row r="168" spans="1:7" ht="14.25" hidden="1" customHeight="1">
      <c r="A168" s="1"/>
      <c r="B168" s="1"/>
      <c r="C168" s="1"/>
      <c r="D168" s="2100" t="s">
        <v>2546</v>
      </c>
      <c r="E168" s="2036"/>
      <c r="F168" s="2036"/>
      <c r="G168" s="4">
        <f>SUM(G152:G167)</f>
        <v>274700</v>
      </c>
    </row>
    <row r="169" spans="1:7" ht="14.25" hidden="1" customHeight="1">
      <c r="A169" s="1" t="s">
        <v>2547</v>
      </c>
      <c r="B169" s="1"/>
      <c r="C169" s="1"/>
      <c r="D169" s="1"/>
      <c r="E169" s="1"/>
      <c r="F169" s="1"/>
      <c r="G169" s="1"/>
    </row>
    <row r="170" spans="1:7" ht="14.25" hidden="1" customHeight="1">
      <c r="A170" s="2101" t="s">
        <v>376</v>
      </c>
      <c r="B170" s="1610"/>
      <c r="C170" s="1611"/>
      <c r="D170" s="19" t="s">
        <v>2526</v>
      </c>
      <c r="E170" s="19" t="s">
        <v>2548</v>
      </c>
      <c r="F170" s="14" t="s">
        <v>2549</v>
      </c>
      <c r="G170" s="14" t="s">
        <v>2550</v>
      </c>
    </row>
    <row r="171" spans="1:7" ht="14.25" hidden="1" customHeight="1">
      <c r="A171" s="2098" t="s">
        <v>2578</v>
      </c>
      <c r="B171" s="1605"/>
      <c r="C171" s="1887"/>
      <c r="D171" s="1090" t="s">
        <v>2552</v>
      </c>
      <c r="E171" s="1070">
        <v>30000</v>
      </c>
      <c r="F171" s="1091">
        <v>1.5</v>
      </c>
      <c r="G171" s="1070">
        <f>E171/F171</f>
        <v>20000</v>
      </c>
    </row>
    <row r="172" spans="1:7" ht="14.25" hidden="1" customHeight="1">
      <c r="A172" s="2099"/>
      <c r="B172" s="1608"/>
      <c r="C172" s="1888"/>
      <c r="D172" s="1092"/>
      <c r="E172" s="1089"/>
      <c r="F172" s="1092"/>
      <c r="G172" s="1089">
        <f>E172*F172</f>
        <v>0</v>
      </c>
    </row>
    <row r="173" spans="1:7" ht="14.25" hidden="1" customHeight="1">
      <c r="A173" s="1"/>
      <c r="B173" s="1"/>
      <c r="C173" s="1"/>
      <c r="D173" s="2103" t="s">
        <v>2554</v>
      </c>
      <c r="E173" s="1605"/>
      <c r="F173" s="1605"/>
      <c r="G173" s="1080">
        <f>SUM(G171:G172)</f>
        <v>20000</v>
      </c>
    </row>
    <row r="174" spans="1:7" ht="14.25" hidden="1" customHeight="1">
      <c r="A174" s="1" t="s">
        <v>2555</v>
      </c>
      <c r="B174" s="1"/>
      <c r="C174" s="1"/>
      <c r="D174" s="1"/>
      <c r="E174" s="1"/>
      <c r="F174" s="1"/>
      <c r="G174" s="1"/>
    </row>
    <row r="175" spans="1:7" ht="14.25" hidden="1" customHeight="1">
      <c r="A175" s="14" t="s">
        <v>376</v>
      </c>
      <c r="B175" s="14" t="s">
        <v>2526</v>
      </c>
      <c r="C175" s="19" t="s">
        <v>1855</v>
      </c>
      <c r="D175" s="14" t="s">
        <v>2581</v>
      </c>
      <c r="E175" s="14" t="s">
        <v>2582</v>
      </c>
      <c r="F175" s="19" t="s">
        <v>2557</v>
      </c>
      <c r="G175" s="14" t="s">
        <v>2550</v>
      </c>
    </row>
    <row r="176" spans="1:7" ht="14.25" hidden="1" customHeight="1">
      <c r="A176" s="1093" t="s">
        <v>2558</v>
      </c>
      <c r="B176" s="1093" t="s">
        <v>2583</v>
      </c>
      <c r="C176" s="1094">
        <v>40000</v>
      </c>
      <c r="D176" s="1094">
        <v>31618</v>
      </c>
      <c r="E176" s="1094">
        <v>71618</v>
      </c>
      <c r="F176" s="1095">
        <v>1.5</v>
      </c>
      <c r="G176" s="1094">
        <f t="shared" ref="G176:G177" si="10">E176/F176</f>
        <v>47745.333333333336</v>
      </c>
    </row>
    <row r="177" spans="1:7" ht="14.25" hidden="1" customHeight="1">
      <c r="A177" s="1092" t="s">
        <v>2559</v>
      </c>
      <c r="B177" s="1092" t="s">
        <v>2583</v>
      </c>
      <c r="C177" s="1089">
        <v>22500</v>
      </c>
      <c r="D177" s="1089">
        <v>17785</v>
      </c>
      <c r="E177" s="1089">
        <v>40285</v>
      </c>
      <c r="F177" s="1096">
        <f>F176</f>
        <v>1.5</v>
      </c>
      <c r="G177" s="1089">
        <f t="shared" si="10"/>
        <v>26856.666666666668</v>
      </c>
    </row>
    <row r="178" spans="1:7" ht="14.25" hidden="1" customHeight="1">
      <c r="A178" s="1082"/>
      <c r="B178" s="1083"/>
      <c r="C178" s="1083"/>
      <c r="D178" s="2100" t="s">
        <v>2560</v>
      </c>
      <c r="E178" s="2036"/>
      <c r="F178" s="2036"/>
      <c r="G178" s="1084">
        <f>SUM(G176:GG177)</f>
        <v>74602</v>
      </c>
    </row>
    <row r="179" spans="1:7" ht="10.5" hidden="1" customHeight="1">
      <c r="A179" s="1085"/>
      <c r="B179" s="1"/>
      <c r="C179" s="1"/>
      <c r="D179" s="1"/>
      <c r="E179" s="1"/>
      <c r="F179" s="1"/>
      <c r="G179" s="1086"/>
    </row>
    <row r="180" spans="1:7" ht="14.25" hidden="1" customHeight="1">
      <c r="A180" s="1087"/>
      <c r="B180" s="386"/>
      <c r="C180" s="386"/>
      <c r="D180" s="2097" t="s">
        <v>2561</v>
      </c>
      <c r="E180" s="1608"/>
      <c r="F180" s="1608"/>
      <c r="G180" s="1088">
        <f>ROUND(G168+G173+G178,0)</f>
        <v>369302</v>
      </c>
    </row>
    <row r="181" spans="1:7" ht="14.25" hidden="1" customHeight="1">
      <c r="A181" s="1"/>
      <c r="B181" s="1"/>
      <c r="C181" s="1"/>
      <c r="D181" s="1"/>
      <c r="E181" s="1"/>
      <c r="F181" s="1"/>
      <c r="G181" s="1"/>
    </row>
    <row r="182" spans="1:7" ht="14.25" hidden="1" customHeight="1">
      <c r="A182" s="2105" t="s">
        <v>2562</v>
      </c>
      <c r="B182" s="2036"/>
      <c r="C182" s="2036"/>
      <c r="D182" s="2036"/>
      <c r="E182" s="2036"/>
      <c r="F182" s="2036"/>
      <c r="G182" s="2078"/>
    </row>
    <row r="183" spans="1:7" ht="14.25" hidden="1" customHeight="1">
      <c r="A183" s="2106" t="s">
        <v>2523</v>
      </c>
      <c r="B183" s="1605"/>
      <c r="C183" s="1605"/>
      <c r="D183" s="1605"/>
      <c r="E183" s="1605"/>
      <c r="F183" s="1605"/>
      <c r="G183" s="1887"/>
    </row>
    <row r="184" spans="1:7" ht="18" hidden="1" customHeight="1">
      <c r="A184" s="2099" t="s">
        <v>2595</v>
      </c>
      <c r="B184" s="1608"/>
      <c r="C184" s="1608"/>
      <c r="D184" s="1608"/>
      <c r="E184" s="1608"/>
      <c r="F184" s="1608"/>
      <c r="G184" s="1888"/>
    </row>
    <row r="185" spans="1:7" ht="14.25" hidden="1" customHeight="1">
      <c r="A185" s="1"/>
      <c r="B185" s="1"/>
      <c r="C185" s="1"/>
      <c r="D185" s="1"/>
      <c r="E185" s="1"/>
      <c r="F185" s="19" t="s">
        <v>375</v>
      </c>
      <c r="G185" s="19" t="s">
        <v>355</v>
      </c>
    </row>
    <row r="186" spans="1:7" ht="14.25" hidden="1" customHeight="1">
      <c r="A186" s="1" t="s">
        <v>2525</v>
      </c>
      <c r="B186" s="1"/>
      <c r="C186" s="1"/>
      <c r="D186" s="1"/>
      <c r="E186" s="1"/>
      <c r="F186" s="1"/>
      <c r="G186" s="1"/>
    </row>
    <row r="187" spans="1:7" ht="14.25" hidden="1" customHeight="1">
      <c r="A187" s="2107" t="s">
        <v>1218</v>
      </c>
      <c r="B187" s="1610"/>
      <c r="C187" s="1611"/>
      <c r="D187" s="19" t="s">
        <v>2526</v>
      </c>
      <c r="E187" s="19" t="s">
        <v>2527</v>
      </c>
      <c r="F187" s="19" t="s">
        <v>673</v>
      </c>
      <c r="G187" s="1068" t="s">
        <v>2528</v>
      </c>
    </row>
    <row r="188" spans="1:7" ht="14.25" hidden="1" customHeight="1">
      <c r="A188" s="2112" t="s">
        <v>1134</v>
      </c>
      <c r="B188" s="1605"/>
      <c r="C188" s="1887"/>
      <c r="D188" s="1069" t="s">
        <v>88</v>
      </c>
      <c r="E188" s="1070">
        <v>930000</v>
      </c>
      <c r="F188" s="1069">
        <v>1</v>
      </c>
      <c r="G188" s="1071">
        <f>E188*F188</f>
        <v>930000</v>
      </c>
    </row>
    <row r="189" spans="1:7" ht="14.25" hidden="1" customHeight="1">
      <c r="A189" s="2098"/>
      <c r="B189" s="1605"/>
      <c r="C189" s="1887"/>
      <c r="D189" s="1069"/>
      <c r="E189" s="1070"/>
      <c r="F189" s="1069"/>
      <c r="G189" s="1071"/>
    </row>
    <row r="190" spans="1:7" ht="14.25" hidden="1" customHeight="1">
      <c r="A190" s="2098"/>
      <c r="B190" s="1605"/>
      <c r="C190" s="1887"/>
      <c r="D190" s="1069"/>
      <c r="E190" s="1070"/>
      <c r="F190" s="1069"/>
      <c r="G190" s="1071"/>
    </row>
    <row r="191" spans="1:7" ht="14.25" hidden="1" customHeight="1">
      <c r="A191" s="2098"/>
      <c r="B191" s="1605"/>
      <c r="C191" s="1887"/>
      <c r="D191" s="1069"/>
      <c r="E191" s="1070"/>
      <c r="F191" s="1069"/>
      <c r="G191" s="1071"/>
    </row>
    <row r="192" spans="1:7" ht="14.25" hidden="1" customHeight="1">
      <c r="A192" s="2098"/>
      <c r="B192" s="1605"/>
      <c r="C192" s="1887"/>
      <c r="D192" s="1069"/>
      <c r="E192" s="1070"/>
      <c r="F192" s="1069"/>
      <c r="G192" s="1071"/>
    </row>
    <row r="193" spans="1:7" ht="14.25" hidden="1" customHeight="1">
      <c r="A193" s="2098"/>
      <c r="B193" s="1605"/>
      <c r="C193" s="1887"/>
      <c r="D193" s="1069"/>
      <c r="E193" s="1070"/>
      <c r="F193" s="1069"/>
      <c r="G193" s="1071"/>
    </row>
    <row r="194" spans="1:7" ht="14.25" hidden="1" customHeight="1">
      <c r="A194" s="2098"/>
      <c r="B194" s="1605"/>
      <c r="C194" s="1887"/>
      <c r="D194" s="1069"/>
      <c r="E194" s="1070"/>
      <c r="F194" s="1069"/>
      <c r="G194" s="1071"/>
    </row>
    <row r="195" spans="1:7" ht="14.25" hidden="1" customHeight="1">
      <c r="A195" s="2098"/>
      <c r="B195" s="1605"/>
      <c r="C195" s="1887"/>
      <c r="D195" s="1069"/>
      <c r="E195" s="1070"/>
      <c r="F195" s="1069"/>
      <c r="G195" s="1071"/>
    </row>
    <row r="196" spans="1:7" ht="14.25" hidden="1" customHeight="1">
      <c r="A196" s="2098"/>
      <c r="B196" s="1605"/>
      <c r="C196" s="1887"/>
      <c r="D196" s="1069"/>
      <c r="E196" s="1070"/>
      <c r="F196" s="1069"/>
      <c r="G196" s="1071"/>
    </row>
    <row r="197" spans="1:7" ht="14.25" hidden="1" customHeight="1">
      <c r="A197" s="2098"/>
      <c r="B197" s="1605"/>
      <c r="C197" s="1887"/>
      <c r="D197" s="1069"/>
      <c r="E197" s="1070"/>
      <c r="F197" s="1069"/>
      <c r="G197" s="1071"/>
    </row>
    <row r="198" spans="1:7" ht="14.25" hidden="1" customHeight="1">
      <c r="A198" s="2098"/>
      <c r="B198" s="1605"/>
      <c r="C198" s="1887"/>
      <c r="D198" s="1069"/>
      <c r="E198" s="1070"/>
      <c r="F198" s="1069"/>
      <c r="G198" s="1071"/>
    </row>
    <row r="199" spans="1:7" ht="14.25" hidden="1" customHeight="1">
      <c r="A199" s="2098"/>
      <c r="B199" s="1605"/>
      <c r="C199" s="1887"/>
      <c r="D199" s="1069"/>
      <c r="E199" s="1070"/>
      <c r="F199" s="1069"/>
      <c r="G199" s="1071"/>
    </row>
    <row r="200" spans="1:7" ht="14.25" hidden="1" customHeight="1">
      <c r="A200" s="2098"/>
      <c r="B200" s="1605"/>
      <c r="C200" s="1887"/>
      <c r="D200" s="1069"/>
      <c r="E200" s="1070"/>
      <c r="F200" s="1069"/>
      <c r="G200" s="1071"/>
    </row>
    <row r="201" spans="1:7" ht="14.25" hidden="1" customHeight="1">
      <c r="A201" s="2098"/>
      <c r="B201" s="1605"/>
      <c r="C201" s="1887"/>
      <c r="D201" s="1069"/>
      <c r="E201" s="1070"/>
      <c r="F201" s="1069"/>
      <c r="G201" s="1071"/>
    </row>
    <row r="202" spans="1:7" ht="14.25" hidden="1" customHeight="1">
      <c r="A202" s="2098"/>
      <c r="B202" s="1605"/>
      <c r="C202" s="1887"/>
      <c r="D202" s="1069"/>
      <c r="E202" s="1070"/>
      <c r="F202" s="1069"/>
      <c r="G202" s="1071"/>
    </row>
    <row r="203" spans="1:7" ht="14.25" hidden="1" customHeight="1">
      <c r="A203" s="2099"/>
      <c r="B203" s="1608"/>
      <c r="C203" s="1888"/>
      <c r="D203" s="1072"/>
      <c r="E203" s="1089"/>
      <c r="F203" s="1072"/>
      <c r="G203" s="1073"/>
    </row>
    <row r="204" spans="1:7" ht="14.25" hidden="1" customHeight="1">
      <c r="A204" s="1"/>
      <c r="B204" s="1"/>
      <c r="C204" s="1"/>
      <c r="D204" s="2100" t="s">
        <v>2546</v>
      </c>
      <c r="E204" s="2036"/>
      <c r="F204" s="2036"/>
      <c r="G204" s="4">
        <f>SUM(G188:G203)</f>
        <v>930000</v>
      </c>
    </row>
    <row r="205" spans="1:7" ht="14.25" hidden="1" customHeight="1">
      <c r="A205" s="1" t="s">
        <v>2547</v>
      </c>
      <c r="B205" s="1"/>
      <c r="C205" s="1"/>
      <c r="D205" s="1"/>
      <c r="E205" s="1"/>
      <c r="F205" s="1"/>
      <c r="G205" s="1"/>
    </row>
    <row r="206" spans="1:7" ht="14.25" hidden="1" customHeight="1">
      <c r="A206" s="2101" t="s">
        <v>376</v>
      </c>
      <c r="B206" s="1610"/>
      <c r="C206" s="1611"/>
      <c r="D206" s="19" t="s">
        <v>2526</v>
      </c>
      <c r="E206" s="19" t="s">
        <v>2548</v>
      </c>
      <c r="F206" s="14" t="s">
        <v>2549</v>
      </c>
      <c r="G206" s="14" t="s">
        <v>2550</v>
      </c>
    </row>
    <row r="207" spans="1:7" ht="14.25" hidden="1" customHeight="1">
      <c r="A207" s="2098" t="s">
        <v>2578</v>
      </c>
      <c r="B207" s="1605"/>
      <c r="C207" s="1887"/>
      <c r="D207" s="1090" t="s">
        <v>2552</v>
      </c>
      <c r="E207" s="1070">
        <v>30000</v>
      </c>
      <c r="F207" s="1091">
        <v>1.5</v>
      </c>
      <c r="G207" s="1070">
        <f>E207/F207</f>
        <v>20000</v>
      </c>
    </row>
    <row r="208" spans="1:7" ht="14.25" hidden="1" customHeight="1">
      <c r="A208" s="2099" t="s">
        <v>2579</v>
      </c>
      <c r="B208" s="1608"/>
      <c r="C208" s="1888"/>
      <c r="D208" s="1092" t="s">
        <v>2596</v>
      </c>
      <c r="E208" s="1089">
        <v>200000</v>
      </c>
      <c r="F208" s="1092">
        <v>1</v>
      </c>
      <c r="G208" s="1089">
        <f>E208*F208</f>
        <v>200000</v>
      </c>
    </row>
    <row r="209" spans="1:7" ht="14.25" hidden="1" customHeight="1">
      <c r="A209" s="1"/>
      <c r="B209" s="1"/>
      <c r="C209" s="1"/>
      <c r="D209" s="2103" t="s">
        <v>2554</v>
      </c>
      <c r="E209" s="1605"/>
      <c r="F209" s="1605"/>
      <c r="G209" s="1080">
        <f>SUM(G207:G208)</f>
        <v>220000</v>
      </c>
    </row>
    <row r="210" spans="1:7" ht="14.25" hidden="1" customHeight="1">
      <c r="A210" s="1" t="s">
        <v>2555</v>
      </c>
      <c r="B210" s="1"/>
      <c r="C210" s="1"/>
      <c r="D210" s="1"/>
      <c r="E210" s="1"/>
      <c r="F210" s="1"/>
      <c r="G210" s="1"/>
    </row>
    <row r="211" spans="1:7" ht="14.25" hidden="1" customHeight="1">
      <c r="A211" s="14" t="s">
        <v>376</v>
      </c>
      <c r="B211" s="14" t="s">
        <v>2526</v>
      </c>
      <c r="C211" s="19" t="s">
        <v>1855</v>
      </c>
      <c r="D211" s="14" t="s">
        <v>2581</v>
      </c>
      <c r="E211" s="14" t="s">
        <v>2582</v>
      </c>
      <c r="F211" s="19" t="s">
        <v>2557</v>
      </c>
      <c r="G211" s="14" t="s">
        <v>2550</v>
      </c>
    </row>
    <row r="212" spans="1:7" ht="14.25" hidden="1" customHeight="1">
      <c r="A212" s="1093" t="s">
        <v>2558</v>
      </c>
      <c r="B212" s="1093" t="s">
        <v>2583</v>
      </c>
      <c r="C212" s="1094">
        <v>40000</v>
      </c>
      <c r="D212" s="1094">
        <v>31618</v>
      </c>
      <c r="E212" s="1094">
        <v>71618</v>
      </c>
      <c r="F212" s="1095">
        <v>1</v>
      </c>
      <c r="G212" s="1094">
        <f t="shared" ref="G212:G213" si="11">E212/F212</f>
        <v>71618</v>
      </c>
    </row>
    <row r="213" spans="1:7" ht="14.25" hidden="1" customHeight="1">
      <c r="A213" s="1092" t="s">
        <v>2559</v>
      </c>
      <c r="B213" s="1092" t="s">
        <v>2583</v>
      </c>
      <c r="C213" s="1089">
        <v>22500</v>
      </c>
      <c r="D213" s="1089">
        <v>17785</v>
      </c>
      <c r="E213" s="1089">
        <v>40285</v>
      </c>
      <c r="F213" s="1096">
        <f>F212</f>
        <v>1</v>
      </c>
      <c r="G213" s="1089">
        <f t="shared" si="11"/>
        <v>40285</v>
      </c>
    </row>
    <row r="214" spans="1:7" ht="14.25" hidden="1" customHeight="1">
      <c r="A214" s="1082"/>
      <c r="B214" s="1083"/>
      <c r="C214" s="1083"/>
      <c r="D214" s="2100" t="s">
        <v>2560</v>
      </c>
      <c r="E214" s="2036"/>
      <c r="F214" s="2036"/>
      <c r="G214" s="1084">
        <f>SUM(G212:GG213)</f>
        <v>111903</v>
      </c>
    </row>
    <row r="215" spans="1:7" ht="10.5" hidden="1" customHeight="1">
      <c r="A215" s="1085"/>
      <c r="B215" s="1"/>
      <c r="C215" s="1"/>
      <c r="D215" s="1"/>
      <c r="E215" s="1"/>
      <c r="F215" s="1"/>
      <c r="G215" s="1086"/>
    </row>
    <row r="216" spans="1:7" ht="14.25" hidden="1" customHeight="1">
      <c r="A216" s="1087"/>
      <c r="B216" s="386"/>
      <c r="C216" s="386"/>
      <c r="D216" s="2097" t="s">
        <v>2561</v>
      </c>
      <c r="E216" s="1608"/>
      <c r="F216" s="1608"/>
      <c r="G216" s="1088">
        <f>ROUND(G204+G209+G214,0)</f>
        <v>1261903</v>
      </c>
    </row>
    <row r="217" spans="1:7" ht="14.25" hidden="1" customHeight="1">
      <c r="A217" s="1"/>
      <c r="B217" s="1"/>
      <c r="C217" s="1"/>
      <c r="D217" s="1"/>
      <c r="E217" s="1"/>
      <c r="F217" s="1"/>
      <c r="G217" s="1"/>
    </row>
    <row r="218" spans="1:7" ht="14.25" hidden="1" customHeight="1">
      <c r="A218" s="2105" t="s">
        <v>2562</v>
      </c>
      <c r="B218" s="2036"/>
      <c r="C218" s="2036"/>
      <c r="D218" s="2036"/>
      <c r="E218" s="2036"/>
      <c r="F218" s="2036"/>
      <c r="G218" s="2078"/>
    </row>
    <row r="219" spans="1:7" ht="14.25" hidden="1" customHeight="1">
      <c r="A219" s="2106" t="s">
        <v>2523</v>
      </c>
      <c r="B219" s="1605"/>
      <c r="C219" s="1605"/>
      <c r="D219" s="1605"/>
      <c r="E219" s="1605"/>
      <c r="F219" s="1605"/>
      <c r="G219" s="1887"/>
    </row>
    <row r="220" spans="1:7" ht="18" hidden="1" customHeight="1">
      <c r="A220" s="2099" t="s">
        <v>2597</v>
      </c>
      <c r="B220" s="1608"/>
      <c r="C220" s="1608"/>
      <c r="D220" s="1608"/>
      <c r="E220" s="1608"/>
      <c r="F220" s="1608"/>
      <c r="G220" s="1888"/>
    </row>
    <row r="221" spans="1:7" ht="14.25" hidden="1" customHeight="1">
      <c r="A221" s="1"/>
      <c r="B221" s="1"/>
      <c r="C221" s="1"/>
      <c r="D221" s="1"/>
      <c r="E221" s="1"/>
      <c r="F221" s="19" t="s">
        <v>375</v>
      </c>
      <c r="G221" s="19" t="s">
        <v>357</v>
      </c>
    </row>
    <row r="222" spans="1:7" ht="14.25" hidden="1" customHeight="1">
      <c r="A222" s="1" t="s">
        <v>2525</v>
      </c>
      <c r="B222" s="1"/>
      <c r="C222" s="1"/>
      <c r="D222" s="1"/>
      <c r="E222" s="1"/>
      <c r="F222" s="1"/>
      <c r="G222" s="1"/>
    </row>
    <row r="223" spans="1:7" ht="14.25" hidden="1" customHeight="1">
      <c r="A223" s="2107" t="s">
        <v>1218</v>
      </c>
      <c r="B223" s="1610"/>
      <c r="C223" s="1611"/>
      <c r="D223" s="19" t="s">
        <v>2526</v>
      </c>
      <c r="E223" s="19" t="s">
        <v>2527</v>
      </c>
      <c r="F223" s="19" t="s">
        <v>673</v>
      </c>
      <c r="G223" s="1068" t="s">
        <v>2528</v>
      </c>
    </row>
    <row r="224" spans="1:7" ht="15" hidden="1" customHeight="1">
      <c r="A224" s="2111" t="s">
        <v>1135</v>
      </c>
      <c r="B224" s="2036"/>
      <c r="C224" s="2078"/>
      <c r="D224" s="1069" t="s">
        <v>88</v>
      </c>
      <c r="E224" s="1070">
        <v>1200000</v>
      </c>
      <c r="F224" s="1069">
        <v>1</v>
      </c>
      <c r="G224" s="1071">
        <f>E224*F224</f>
        <v>1200000</v>
      </c>
    </row>
    <row r="225" spans="1:7" ht="14.25" hidden="1" customHeight="1">
      <c r="A225" s="2098"/>
      <c r="B225" s="1605"/>
      <c r="C225" s="1887"/>
      <c r="D225" s="1069"/>
      <c r="E225" s="1070"/>
      <c r="F225" s="1069"/>
      <c r="G225" s="1071"/>
    </row>
    <row r="226" spans="1:7" ht="14.25" hidden="1" customHeight="1">
      <c r="A226" s="2098"/>
      <c r="B226" s="1605"/>
      <c r="C226" s="1887"/>
      <c r="D226" s="1069"/>
      <c r="E226" s="1070"/>
      <c r="F226" s="1069"/>
      <c r="G226" s="1071"/>
    </row>
    <row r="227" spans="1:7" ht="14.25" hidden="1" customHeight="1">
      <c r="A227" s="2098"/>
      <c r="B227" s="1605"/>
      <c r="C227" s="1887"/>
      <c r="D227" s="1069"/>
      <c r="E227" s="1070"/>
      <c r="F227" s="1069"/>
      <c r="G227" s="1071"/>
    </row>
    <row r="228" spans="1:7" ht="14.25" hidden="1" customHeight="1">
      <c r="A228" s="2098"/>
      <c r="B228" s="1605"/>
      <c r="C228" s="1887"/>
      <c r="D228" s="1069"/>
      <c r="E228" s="1070"/>
      <c r="F228" s="1069"/>
      <c r="G228" s="1071"/>
    </row>
    <row r="229" spans="1:7" ht="14.25" hidden="1" customHeight="1">
      <c r="A229" s="2098"/>
      <c r="B229" s="1605"/>
      <c r="C229" s="1887"/>
      <c r="D229" s="1069"/>
      <c r="E229" s="1070"/>
      <c r="F229" s="1069"/>
      <c r="G229" s="1071"/>
    </row>
    <row r="230" spans="1:7" ht="14.25" hidden="1" customHeight="1">
      <c r="A230" s="2098"/>
      <c r="B230" s="1605"/>
      <c r="C230" s="1887"/>
      <c r="D230" s="1069"/>
      <c r="E230" s="1070"/>
      <c r="F230" s="1069"/>
      <c r="G230" s="1071"/>
    </row>
    <row r="231" spans="1:7" ht="14.25" hidden="1" customHeight="1">
      <c r="A231" s="2098"/>
      <c r="B231" s="1605"/>
      <c r="C231" s="1887"/>
      <c r="D231" s="1069"/>
      <c r="E231" s="1070"/>
      <c r="F231" s="1069"/>
      <c r="G231" s="1071"/>
    </row>
    <row r="232" spans="1:7" ht="14.25" hidden="1" customHeight="1">
      <c r="A232" s="2098"/>
      <c r="B232" s="1605"/>
      <c r="C232" s="1887"/>
      <c r="D232" s="1069"/>
      <c r="E232" s="1070"/>
      <c r="F232" s="1069"/>
      <c r="G232" s="1071"/>
    </row>
    <row r="233" spans="1:7" ht="14.25" hidden="1" customHeight="1">
      <c r="A233" s="2098"/>
      <c r="B233" s="1605"/>
      <c r="C233" s="1887"/>
      <c r="D233" s="1069"/>
      <c r="E233" s="1070"/>
      <c r="F233" s="1069"/>
      <c r="G233" s="1071"/>
    </row>
    <row r="234" spans="1:7" ht="14.25" hidden="1" customHeight="1">
      <c r="A234" s="2098"/>
      <c r="B234" s="1605"/>
      <c r="C234" s="1887"/>
      <c r="D234" s="1069"/>
      <c r="E234" s="1070"/>
      <c r="F234" s="1069"/>
      <c r="G234" s="1071"/>
    </row>
    <row r="235" spans="1:7" ht="14.25" hidden="1" customHeight="1">
      <c r="A235" s="2098"/>
      <c r="B235" s="1605"/>
      <c r="C235" s="1887"/>
      <c r="D235" s="1069"/>
      <c r="E235" s="1070"/>
      <c r="F235" s="1069"/>
      <c r="G235" s="1071"/>
    </row>
    <row r="236" spans="1:7" ht="14.25" hidden="1" customHeight="1">
      <c r="A236" s="2098"/>
      <c r="B236" s="1605"/>
      <c r="C236" s="1887"/>
      <c r="D236" s="1069"/>
      <c r="E236" s="1070"/>
      <c r="F236" s="1069"/>
      <c r="G236" s="1071"/>
    </row>
    <row r="237" spans="1:7" ht="14.25" hidden="1" customHeight="1">
      <c r="A237" s="2098"/>
      <c r="B237" s="1605"/>
      <c r="C237" s="1887"/>
      <c r="D237" s="1069"/>
      <c r="E237" s="1070"/>
      <c r="F237" s="1069"/>
      <c r="G237" s="1071"/>
    </row>
    <row r="238" spans="1:7" ht="14.25" hidden="1" customHeight="1">
      <c r="A238" s="2098"/>
      <c r="B238" s="1605"/>
      <c r="C238" s="1887"/>
      <c r="D238" s="1069"/>
      <c r="E238" s="1070"/>
      <c r="F238" s="1069"/>
      <c r="G238" s="1071"/>
    </row>
    <row r="239" spans="1:7" ht="14.25" hidden="1" customHeight="1">
      <c r="A239" s="2099"/>
      <c r="B239" s="1608"/>
      <c r="C239" s="1888"/>
      <c r="D239" s="1072"/>
      <c r="E239" s="1089"/>
      <c r="F239" s="1072"/>
      <c r="G239" s="1073"/>
    </row>
    <row r="240" spans="1:7" ht="14.25" hidden="1" customHeight="1">
      <c r="A240" s="1"/>
      <c r="B240" s="1"/>
      <c r="C240" s="1"/>
      <c r="D240" s="2100" t="s">
        <v>2546</v>
      </c>
      <c r="E240" s="2036"/>
      <c r="F240" s="2036"/>
      <c r="G240" s="4">
        <f>SUM(G224:G239)</f>
        <v>1200000</v>
      </c>
    </row>
    <row r="241" spans="1:7" ht="14.25" hidden="1" customHeight="1">
      <c r="A241" s="1" t="s">
        <v>2547</v>
      </c>
      <c r="B241" s="1"/>
      <c r="C241" s="1"/>
      <c r="D241" s="1"/>
      <c r="E241" s="1"/>
      <c r="F241" s="1"/>
      <c r="G241" s="1"/>
    </row>
    <row r="242" spans="1:7" ht="14.25" hidden="1" customHeight="1">
      <c r="A242" s="2101" t="s">
        <v>376</v>
      </c>
      <c r="B242" s="1610"/>
      <c r="C242" s="1611"/>
      <c r="D242" s="19" t="s">
        <v>2526</v>
      </c>
      <c r="E242" s="19" t="s">
        <v>2548</v>
      </c>
      <c r="F242" s="14" t="s">
        <v>2549</v>
      </c>
      <c r="G242" s="14" t="s">
        <v>2550</v>
      </c>
    </row>
    <row r="243" spans="1:7" ht="14.25" hidden="1" customHeight="1">
      <c r="A243" s="2098" t="s">
        <v>2578</v>
      </c>
      <c r="B243" s="1605"/>
      <c r="C243" s="1887"/>
      <c r="D243" s="1090" t="s">
        <v>2552</v>
      </c>
      <c r="E243" s="1070">
        <v>30000</v>
      </c>
      <c r="F243" s="1091">
        <v>1.5</v>
      </c>
      <c r="G243" s="1070">
        <f>E243/F243</f>
        <v>20000</v>
      </c>
    </row>
    <row r="244" spans="1:7" ht="14.25" hidden="1" customHeight="1">
      <c r="A244" s="2099" t="s">
        <v>2579</v>
      </c>
      <c r="B244" s="1608"/>
      <c r="C244" s="1888"/>
      <c r="D244" s="1092" t="s">
        <v>2596</v>
      </c>
      <c r="E244" s="1089">
        <v>200000</v>
      </c>
      <c r="F244" s="1092">
        <v>1</v>
      </c>
      <c r="G244" s="1089">
        <f>E244*F244</f>
        <v>200000</v>
      </c>
    </row>
    <row r="245" spans="1:7" ht="14.25" hidden="1" customHeight="1">
      <c r="A245" s="1"/>
      <c r="B245" s="1"/>
      <c r="C245" s="1"/>
      <c r="D245" s="2103" t="s">
        <v>2554</v>
      </c>
      <c r="E245" s="1605"/>
      <c r="F245" s="1605"/>
      <c r="G245" s="1080">
        <f>SUM(G243:G244)</f>
        <v>220000</v>
      </c>
    </row>
    <row r="246" spans="1:7" ht="14.25" hidden="1" customHeight="1">
      <c r="A246" s="1" t="s">
        <v>2555</v>
      </c>
      <c r="B246" s="1"/>
      <c r="C246" s="1"/>
      <c r="D246" s="1"/>
      <c r="E246" s="1"/>
      <c r="F246" s="1"/>
      <c r="G246" s="1"/>
    </row>
    <row r="247" spans="1:7" ht="14.25" hidden="1" customHeight="1">
      <c r="A247" s="14" t="s">
        <v>376</v>
      </c>
      <c r="B247" s="14" t="s">
        <v>2526</v>
      </c>
      <c r="C247" s="19" t="s">
        <v>1855</v>
      </c>
      <c r="D247" s="14" t="s">
        <v>2581</v>
      </c>
      <c r="E247" s="14" t="s">
        <v>2582</v>
      </c>
      <c r="F247" s="19" t="s">
        <v>2557</v>
      </c>
      <c r="G247" s="14" t="s">
        <v>2550</v>
      </c>
    </row>
    <row r="248" spans="1:7" ht="14.25" hidden="1" customHeight="1">
      <c r="A248" s="1093" t="s">
        <v>2558</v>
      </c>
      <c r="B248" s="1093" t="s">
        <v>2583</v>
      </c>
      <c r="C248" s="1094">
        <v>40000</v>
      </c>
      <c r="D248" s="1094">
        <v>31618</v>
      </c>
      <c r="E248" s="1094">
        <v>71618</v>
      </c>
      <c r="F248" s="1095">
        <v>1</v>
      </c>
      <c r="G248" s="1094">
        <f t="shared" ref="G248:G249" si="12">E248/F248</f>
        <v>71618</v>
      </c>
    </row>
    <row r="249" spans="1:7" ht="14.25" hidden="1" customHeight="1">
      <c r="A249" s="1092" t="s">
        <v>2559</v>
      </c>
      <c r="B249" s="1092" t="s">
        <v>2583</v>
      </c>
      <c r="C249" s="1089">
        <v>22500</v>
      </c>
      <c r="D249" s="1089">
        <v>17785</v>
      </c>
      <c r="E249" s="1089">
        <v>40285</v>
      </c>
      <c r="F249" s="1096">
        <f>F248</f>
        <v>1</v>
      </c>
      <c r="G249" s="1089">
        <f t="shared" si="12"/>
        <v>40285</v>
      </c>
    </row>
    <row r="250" spans="1:7" ht="14.25" hidden="1" customHeight="1">
      <c r="A250" s="1082"/>
      <c r="B250" s="1083"/>
      <c r="C250" s="1083"/>
      <c r="D250" s="2100" t="s">
        <v>2560</v>
      </c>
      <c r="E250" s="2036"/>
      <c r="F250" s="2036"/>
      <c r="G250" s="1084">
        <f>SUM(G248:GG249)</f>
        <v>111903</v>
      </c>
    </row>
    <row r="251" spans="1:7" ht="10.5" hidden="1" customHeight="1">
      <c r="A251" s="1085"/>
      <c r="B251" s="1"/>
      <c r="C251" s="1"/>
      <c r="D251" s="1"/>
      <c r="E251" s="1"/>
      <c r="F251" s="1"/>
      <c r="G251" s="1086"/>
    </row>
    <row r="252" spans="1:7" ht="14.25" hidden="1" customHeight="1">
      <c r="A252" s="1087"/>
      <c r="B252" s="386"/>
      <c r="C252" s="386"/>
      <c r="D252" s="2097" t="s">
        <v>2561</v>
      </c>
      <c r="E252" s="1608"/>
      <c r="F252" s="1608"/>
      <c r="G252" s="1088">
        <f>ROUND(G240+G245+G250,0)</f>
        <v>1531903</v>
      </c>
    </row>
    <row r="253" spans="1:7" ht="14.25" customHeight="1">
      <c r="A253" s="1"/>
      <c r="B253" s="1"/>
      <c r="C253" s="1"/>
      <c r="D253" s="1"/>
      <c r="E253" s="1"/>
      <c r="F253" s="1"/>
      <c r="G253" s="1"/>
    </row>
    <row r="254" spans="1:7" ht="14.25" customHeight="1">
      <c r="A254" s="2105" t="str">
        <f>+A1</f>
        <v>ANALISIS DE PRECIOS UNITARIOS -   POLIDEPORTIVO CUBIERTO AUTOPORTANTE</v>
      </c>
      <c r="B254" s="2036"/>
      <c r="C254" s="2036"/>
      <c r="D254" s="2036"/>
      <c r="E254" s="2036"/>
      <c r="F254" s="2036"/>
      <c r="G254" s="2078"/>
    </row>
    <row r="255" spans="1:7" ht="14.25" customHeight="1">
      <c r="A255" s="2106" t="s">
        <v>2523</v>
      </c>
      <c r="B255" s="1605"/>
      <c r="C255" s="1605"/>
      <c r="D255" s="1605"/>
      <c r="E255" s="1605"/>
      <c r="F255" s="1605"/>
      <c r="G255" s="1887"/>
    </row>
    <row r="256" spans="1:7" ht="18" customHeight="1">
      <c r="A256" s="2099" t="s">
        <v>2598</v>
      </c>
      <c r="B256" s="1608"/>
      <c r="C256" s="1608"/>
      <c r="D256" s="1608"/>
      <c r="E256" s="1608"/>
      <c r="F256" s="1608"/>
      <c r="G256" s="1888"/>
    </row>
    <row r="257" spans="1:7" ht="14.25" customHeight="1">
      <c r="A257" s="1"/>
      <c r="B257" s="1"/>
      <c r="C257" s="1"/>
      <c r="D257" s="1"/>
      <c r="E257" s="1"/>
      <c r="F257" s="19" t="s">
        <v>375</v>
      </c>
      <c r="G257" s="19" t="s">
        <v>60</v>
      </c>
    </row>
    <row r="258" spans="1:7" ht="14.25" customHeight="1">
      <c r="A258" s="1" t="s">
        <v>2525</v>
      </c>
      <c r="B258" s="1"/>
      <c r="C258" s="1"/>
      <c r="D258" s="1"/>
      <c r="E258" s="1"/>
      <c r="F258" s="1"/>
      <c r="G258" s="1"/>
    </row>
    <row r="259" spans="1:7" ht="14.25" customHeight="1">
      <c r="A259" s="2107" t="s">
        <v>1218</v>
      </c>
      <c r="B259" s="1610"/>
      <c r="C259" s="1611"/>
      <c r="D259" s="19" t="s">
        <v>2526</v>
      </c>
      <c r="E259" s="19" t="s">
        <v>2527</v>
      </c>
      <c r="F259" s="19" t="s">
        <v>673</v>
      </c>
      <c r="G259" s="1068" t="s">
        <v>2528</v>
      </c>
    </row>
    <row r="260" spans="1:7" ht="15" customHeight="1">
      <c r="A260" s="2111" t="s">
        <v>2599</v>
      </c>
      <c r="B260" s="2036"/>
      <c r="C260" s="2078"/>
      <c r="D260" s="1069" t="s">
        <v>116</v>
      </c>
      <c r="E260" s="1070">
        <f>+INSUMOS!R36</f>
        <v>618910.5</v>
      </c>
      <c r="F260" s="1069">
        <v>0.64200000000000002</v>
      </c>
      <c r="G260" s="1071">
        <f t="shared" ref="G260:G267" si="13">E260*F260</f>
        <v>397340.54100000003</v>
      </c>
    </row>
    <row r="261" spans="1:7" ht="14.25" customHeight="1">
      <c r="A261" s="2098" t="s">
        <v>2600</v>
      </c>
      <c r="B261" s="1605"/>
      <c r="C261" s="1887"/>
      <c r="D261" s="1069" t="s">
        <v>116</v>
      </c>
      <c r="E261" s="1070">
        <f>+INSUMOS!H32</f>
        <v>525800.4</v>
      </c>
      <c r="F261" s="1069">
        <v>0.08</v>
      </c>
      <c r="G261" s="1071">
        <f t="shared" si="13"/>
        <v>42064.031999999999</v>
      </c>
    </row>
    <row r="262" spans="1:7" ht="14.25" customHeight="1">
      <c r="A262" s="2098" t="s">
        <v>2601</v>
      </c>
      <c r="B262" s="1605"/>
      <c r="C262" s="1887"/>
      <c r="D262" s="1069" t="s">
        <v>171</v>
      </c>
      <c r="E262" s="1070">
        <f>+INSUMOS!H30</f>
        <v>4500</v>
      </c>
      <c r="F262" s="1069">
        <v>11.2</v>
      </c>
      <c r="G262" s="1071">
        <f t="shared" si="13"/>
        <v>50400</v>
      </c>
    </row>
    <row r="263" spans="1:7" ht="14.25" customHeight="1">
      <c r="A263" s="2098" t="s">
        <v>2602</v>
      </c>
      <c r="B263" s="1605"/>
      <c r="C263" s="1887"/>
      <c r="D263" s="1069" t="s">
        <v>116</v>
      </c>
      <c r="E263" s="1070">
        <f>+INSUMOS!H16</f>
        <v>43969.166666666701</v>
      </c>
      <c r="F263" s="1069">
        <v>0.121</v>
      </c>
      <c r="G263" s="1071">
        <f t="shared" si="13"/>
        <v>5320.2691666666706</v>
      </c>
    </row>
    <row r="264" spans="1:7" ht="14.25" customHeight="1">
      <c r="A264" s="2098" t="s">
        <v>2603</v>
      </c>
      <c r="B264" s="1605"/>
      <c r="C264" s="1887"/>
      <c r="D264" s="1069" t="s">
        <v>171</v>
      </c>
      <c r="E264" s="1070">
        <f>+INSUMOS!H37</f>
        <v>3850</v>
      </c>
      <c r="F264" s="1069">
        <v>8.4499999999999993</v>
      </c>
      <c r="G264" s="1071">
        <f t="shared" si="13"/>
        <v>32532.499999999996</v>
      </c>
    </row>
    <row r="265" spans="1:7" ht="14.25" customHeight="1">
      <c r="A265" s="2098" t="s">
        <v>2604</v>
      </c>
      <c r="B265" s="1605"/>
      <c r="C265" s="1887"/>
      <c r="D265" s="1069" t="s">
        <v>171</v>
      </c>
      <c r="E265" s="1070">
        <f>+INSUMOS!H38</f>
        <v>6200</v>
      </c>
      <c r="F265" s="1069">
        <v>3.4</v>
      </c>
      <c r="G265" s="1071">
        <f t="shared" si="13"/>
        <v>21080</v>
      </c>
    </row>
    <row r="266" spans="1:7" ht="14.25" customHeight="1">
      <c r="A266" s="2098" t="s">
        <v>2605</v>
      </c>
      <c r="B266" s="1605"/>
      <c r="C266" s="1887"/>
      <c r="D266" s="1069" t="s">
        <v>171</v>
      </c>
      <c r="E266" s="1070">
        <f>+INSUMOS!H39</f>
        <v>25900</v>
      </c>
      <c r="F266" s="1069">
        <v>3.4</v>
      </c>
      <c r="G266" s="1071">
        <f t="shared" si="13"/>
        <v>88060</v>
      </c>
    </row>
    <row r="267" spans="1:7" ht="14.25" customHeight="1">
      <c r="A267" s="2098" t="s">
        <v>2606</v>
      </c>
      <c r="B267" s="1605"/>
      <c r="C267" s="1887"/>
      <c r="D267" s="1069" t="s">
        <v>171</v>
      </c>
      <c r="E267" s="1070">
        <f>+INSUMOS!H40</f>
        <v>3800</v>
      </c>
      <c r="F267" s="1069">
        <v>0.25</v>
      </c>
      <c r="G267" s="1071">
        <f t="shared" si="13"/>
        <v>950</v>
      </c>
    </row>
    <row r="268" spans="1:7" ht="14.25" customHeight="1">
      <c r="A268" s="2098"/>
      <c r="B268" s="1605"/>
      <c r="C268" s="1887"/>
      <c r="D268" s="1069"/>
      <c r="E268" s="1070"/>
      <c r="F268" s="1069"/>
      <c r="G268" s="1071"/>
    </row>
    <row r="269" spans="1:7" ht="14.25" customHeight="1">
      <c r="A269" s="2098"/>
      <c r="B269" s="1605"/>
      <c r="C269" s="1887"/>
      <c r="D269" s="1069"/>
      <c r="E269" s="1070"/>
      <c r="F269" s="1069"/>
      <c r="G269" s="1071"/>
    </row>
    <row r="270" spans="1:7" ht="14.25" customHeight="1">
      <c r="A270" s="2098"/>
      <c r="B270" s="1605"/>
      <c r="C270" s="1887"/>
      <c r="D270" s="1069"/>
      <c r="E270" s="1070"/>
      <c r="F270" s="1069"/>
      <c r="G270" s="1071"/>
    </row>
    <row r="271" spans="1:7" ht="14.25" customHeight="1">
      <c r="A271" s="2098"/>
      <c r="B271" s="1605"/>
      <c r="C271" s="1887"/>
      <c r="D271" s="1069"/>
      <c r="E271" s="1070"/>
      <c r="F271" s="1069"/>
      <c r="G271" s="1071"/>
    </row>
    <row r="272" spans="1:7" ht="14.25" customHeight="1">
      <c r="A272" s="2098"/>
      <c r="B272" s="1605"/>
      <c r="C272" s="1887"/>
      <c r="D272" s="1069"/>
      <c r="E272" s="1070"/>
      <c r="F272" s="1069"/>
      <c r="G272" s="1071"/>
    </row>
    <row r="273" spans="1:7" ht="14.25" customHeight="1">
      <c r="A273" s="2098"/>
      <c r="B273" s="1605"/>
      <c r="C273" s="1887"/>
      <c r="D273" s="1069"/>
      <c r="E273" s="1070"/>
      <c r="F273" s="1069"/>
      <c r="G273" s="1071"/>
    </row>
    <row r="274" spans="1:7" ht="14.25" customHeight="1">
      <c r="A274" s="2098"/>
      <c r="B274" s="1605"/>
      <c r="C274" s="1887"/>
      <c r="D274" s="1069"/>
      <c r="E274" s="1070"/>
      <c r="F274" s="1069"/>
      <c r="G274" s="1071"/>
    </row>
    <row r="275" spans="1:7" ht="14.25" customHeight="1">
      <c r="A275" s="2099"/>
      <c r="B275" s="1608"/>
      <c r="C275" s="1888"/>
      <c r="D275" s="1072"/>
      <c r="E275" s="1089"/>
      <c r="F275" s="1072"/>
      <c r="G275" s="1073"/>
    </row>
    <row r="276" spans="1:7" ht="14.25" customHeight="1">
      <c r="A276" s="1"/>
      <c r="B276" s="1"/>
      <c r="C276" s="1"/>
      <c r="D276" s="2100" t="s">
        <v>2546</v>
      </c>
      <c r="E276" s="2036"/>
      <c r="F276" s="2036"/>
      <c r="G276" s="4">
        <f>SUM(G260:G275)</f>
        <v>637747.34216666664</v>
      </c>
    </row>
    <row r="277" spans="1:7" ht="14.25" customHeight="1">
      <c r="A277" s="1" t="s">
        <v>2547</v>
      </c>
      <c r="B277" s="1"/>
      <c r="C277" s="1"/>
      <c r="D277" s="1"/>
      <c r="E277" s="1"/>
      <c r="F277" s="1"/>
      <c r="G277" s="1"/>
    </row>
    <row r="278" spans="1:7" ht="14.25" customHeight="1">
      <c r="A278" s="2101" t="s">
        <v>376</v>
      </c>
      <c r="B278" s="1610"/>
      <c r="C278" s="1611"/>
      <c r="D278" s="19" t="s">
        <v>2526</v>
      </c>
      <c r="E278" s="19" t="s">
        <v>2548</v>
      </c>
      <c r="F278" s="14" t="s">
        <v>2549</v>
      </c>
      <c r="G278" s="14" t="s">
        <v>2550</v>
      </c>
    </row>
    <row r="279" spans="1:7" ht="14.25" customHeight="1">
      <c r="A279" s="2098" t="s">
        <v>2607</v>
      </c>
      <c r="B279" s="1605"/>
      <c r="C279" s="1887"/>
      <c r="D279" s="1090" t="s">
        <v>2552</v>
      </c>
      <c r="E279" s="1070">
        <v>80000</v>
      </c>
      <c r="F279" s="1091">
        <v>1</v>
      </c>
      <c r="G279" s="1070">
        <f>E279/F279</f>
        <v>80000</v>
      </c>
    </row>
    <row r="280" spans="1:7" ht="14.25" customHeight="1">
      <c r="A280" s="2099" t="s">
        <v>2608</v>
      </c>
      <c r="B280" s="1608"/>
      <c r="C280" s="1888"/>
      <c r="D280" s="1092" t="s">
        <v>2552</v>
      </c>
      <c r="E280" s="1089">
        <v>10000</v>
      </c>
      <c r="F280" s="1096">
        <v>1</v>
      </c>
      <c r="G280" s="1089">
        <f>E280*F280</f>
        <v>10000</v>
      </c>
    </row>
    <row r="281" spans="1:7" ht="14.25" customHeight="1">
      <c r="A281" s="1"/>
      <c r="B281" s="1"/>
      <c r="C281" s="1"/>
      <c r="D281" s="2103" t="s">
        <v>2554</v>
      </c>
      <c r="E281" s="1605"/>
      <c r="F281" s="1605"/>
      <c r="G281" s="1080">
        <f>SUM(G279:G280)</f>
        <v>90000</v>
      </c>
    </row>
    <row r="282" spans="1:7" ht="14.25" customHeight="1">
      <c r="A282" s="1" t="s">
        <v>2555</v>
      </c>
      <c r="B282" s="1"/>
      <c r="C282" s="1"/>
      <c r="D282" s="1"/>
      <c r="E282" s="1"/>
      <c r="F282" s="1"/>
      <c r="G282" s="1"/>
    </row>
    <row r="283" spans="1:7" ht="14.25" customHeight="1">
      <c r="A283" s="14" t="s">
        <v>376</v>
      </c>
      <c r="B283" s="14" t="s">
        <v>2526</v>
      </c>
      <c r="C283" s="2107" t="s">
        <v>2556</v>
      </c>
      <c r="D283" s="1610"/>
      <c r="E283" s="1611"/>
      <c r="F283" s="19" t="s">
        <v>2557</v>
      </c>
      <c r="G283" s="14" t="s">
        <v>2550</v>
      </c>
    </row>
    <row r="284" spans="1:7" ht="14.25" customHeight="1">
      <c r="A284" s="1093" t="s">
        <v>2558</v>
      </c>
      <c r="B284" s="1093" t="s">
        <v>2596</v>
      </c>
      <c r="C284" s="2104">
        <f>+'MANO DE OBRA'!E64</f>
        <v>15031.25</v>
      </c>
      <c r="D284" s="2036"/>
      <c r="E284" s="2078"/>
      <c r="F284" s="1095">
        <v>8</v>
      </c>
      <c r="G284" s="1094">
        <f t="shared" ref="G284:G285" si="14">C284*F284</f>
        <v>120250</v>
      </c>
    </row>
    <row r="285" spans="1:7" ht="14.25" customHeight="1">
      <c r="A285" s="1092" t="s">
        <v>2559</v>
      </c>
      <c r="B285" s="1092" t="s">
        <v>2596</v>
      </c>
      <c r="C285" s="2110">
        <f>+'MANO DE OBRA'!D65</f>
        <v>10972.8125</v>
      </c>
      <c r="D285" s="1608"/>
      <c r="E285" s="1888"/>
      <c r="F285" s="1096">
        <v>8</v>
      </c>
      <c r="G285" s="15">
        <f t="shared" si="14"/>
        <v>87782.5</v>
      </c>
    </row>
    <row r="286" spans="1:7" ht="14.25" customHeight="1">
      <c r="A286" s="1082"/>
      <c r="B286" s="1083"/>
      <c r="C286" s="1083"/>
      <c r="D286" s="2100" t="s">
        <v>2560</v>
      </c>
      <c r="E286" s="2036"/>
      <c r="F286" s="2036"/>
      <c r="G286" s="1084">
        <f>SUM(G284:GG285)</f>
        <v>208032.5</v>
      </c>
    </row>
    <row r="287" spans="1:7" ht="10.5" customHeight="1">
      <c r="A287" s="1085"/>
      <c r="B287" s="1"/>
      <c r="C287" s="1"/>
      <c r="D287" s="1"/>
      <c r="E287" s="1"/>
      <c r="F287" s="1"/>
      <c r="G287" s="1086"/>
    </row>
    <row r="288" spans="1:7" ht="14.25" customHeight="1">
      <c r="A288" s="1087"/>
      <c r="B288" s="386"/>
      <c r="C288" s="386"/>
      <c r="D288" s="2097" t="s">
        <v>2561</v>
      </c>
      <c r="E288" s="1608"/>
      <c r="F288" s="1608"/>
      <c r="G288" s="1088">
        <f>ROUND(G276+G281+G286,0)</f>
        <v>935780</v>
      </c>
    </row>
    <row r="290" spans="1:7" ht="14.25" customHeight="1">
      <c r="A290" s="2105" t="str">
        <f>A254</f>
        <v>ANALISIS DE PRECIOS UNITARIOS -   POLIDEPORTIVO CUBIERTO AUTOPORTANTE</v>
      </c>
      <c r="B290" s="2036"/>
      <c r="C290" s="2036"/>
      <c r="D290" s="2036"/>
      <c r="E290" s="2036"/>
      <c r="F290" s="2036"/>
      <c r="G290" s="2078"/>
    </row>
    <row r="291" spans="1:7" ht="14.25" customHeight="1">
      <c r="A291" s="2106" t="s">
        <v>2523</v>
      </c>
      <c r="B291" s="1605"/>
      <c r="C291" s="1605"/>
      <c r="D291" s="1605"/>
      <c r="E291" s="1605"/>
      <c r="F291" s="1605"/>
      <c r="G291" s="1887"/>
    </row>
    <row r="292" spans="1:7" ht="18" customHeight="1">
      <c r="A292" s="2099" t="s">
        <v>2609</v>
      </c>
      <c r="B292" s="1608"/>
      <c r="C292" s="1608"/>
      <c r="D292" s="1608"/>
      <c r="E292" s="1608"/>
      <c r="F292" s="1608"/>
      <c r="G292" s="1888"/>
    </row>
    <row r="293" spans="1:7" ht="14.25" customHeight="1">
      <c r="A293" s="1"/>
      <c r="B293" s="1"/>
      <c r="C293" s="1"/>
      <c r="D293" s="1"/>
      <c r="E293" s="1"/>
      <c r="F293" s="19" t="s">
        <v>375</v>
      </c>
      <c r="G293" s="19" t="s">
        <v>62</v>
      </c>
    </row>
    <row r="294" spans="1:7" ht="14.25" customHeight="1">
      <c r="A294" s="1" t="s">
        <v>2525</v>
      </c>
      <c r="B294" s="1"/>
      <c r="C294" s="1"/>
      <c r="D294" s="1"/>
      <c r="E294" s="1"/>
      <c r="F294" s="1"/>
      <c r="G294" s="1"/>
    </row>
    <row r="295" spans="1:7" ht="14.25" customHeight="1">
      <c r="A295" s="2107" t="s">
        <v>1218</v>
      </c>
      <c r="B295" s="1610"/>
      <c r="C295" s="1611"/>
      <c r="D295" s="19" t="s">
        <v>2526</v>
      </c>
      <c r="E295" s="19" t="s">
        <v>2527</v>
      </c>
      <c r="F295" s="19" t="s">
        <v>673</v>
      </c>
      <c r="G295" s="1068" t="s">
        <v>2528</v>
      </c>
    </row>
    <row r="296" spans="1:7" ht="15" customHeight="1">
      <c r="A296" s="2111" t="s">
        <v>2610</v>
      </c>
      <c r="B296" s="2036"/>
      <c r="C296" s="2078"/>
      <c r="D296" s="1069" t="s">
        <v>120</v>
      </c>
      <c r="E296" s="1070">
        <f>+'insumos ELÉCTRICOS '!J101</f>
        <v>10600</v>
      </c>
      <c r="F296" s="1069">
        <v>4</v>
      </c>
      <c r="G296" s="1071">
        <f t="shared" ref="G296:G303" si="15">E296*F296</f>
        <v>42400</v>
      </c>
    </row>
    <row r="297" spans="1:7" ht="14.25" customHeight="1">
      <c r="A297" s="2098" t="s">
        <v>2611</v>
      </c>
      <c r="B297" s="1605"/>
      <c r="C297" s="1887"/>
      <c r="D297" s="1069" t="s">
        <v>910</v>
      </c>
      <c r="E297" s="1070">
        <f>+'insumos ELÉCTRICOS '!J102</f>
        <v>4400</v>
      </c>
      <c r="F297" s="1069">
        <v>0.2</v>
      </c>
      <c r="G297" s="1071">
        <f t="shared" si="15"/>
        <v>880</v>
      </c>
    </row>
    <row r="298" spans="1:7" ht="14.25" customHeight="1">
      <c r="A298" s="2098" t="s">
        <v>2612</v>
      </c>
      <c r="B298" s="1605"/>
      <c r="C298" s="1887"/>
      <c r="D298" s="1069" t="s">
        <v>910</v>
      </c>
      <c r="E298" s="1070">
        <f>+'insumos ELÉCTRICOS '!J103</f>
        <v>12000</v>
      </c>
      <c r="F298" s="1069">
        <v>1</v>
      </c>
      <c r="G298" s="1071">
        <f t="shared" si="15"/>
        <v>12000</v>
      </c>
    </row>
    <row r="299" spans="1:7" ht="14.25" customHeight="1">
      <c r="A299" s="2098"/>
      <c r="B299" s="1605"/>
      <c r="C299" s="1887"/>
      <c r="D299" s="1069"/>
      <c r="E299" s="1070"/>
      <c r="F299" s="1069"/>
      <c r="G299" s="1071">
        <f t="shared" si="15"/>
        <v>0</v>
      </c>
    </row>
    <row r="300" spans="1:7" ht="14.25" customHeight="1">
      <c r="A300" s="2098"/>
      <c r="B300" s="1605"/>
      <c r="C300" s="1887"/>
      <c r="D300" s="1069"/>
      <c r="E300" s="1070"/>
      <c r="F300" s="1069"/>
      <c r="G300" s="1071">
        <f t="shared" si="15"/>
        <v>0</v>
      </c>
    </row>
    <row r="301" spans="1:7" ht="14.25" customHeight="1">
      <c r="A301" s="2098"/>
      <c r="B301" s="1605"/>
      <c r="C301" s="1887"/>
      <c r="D301" s="1069"/>
      <c r="E301" s="1070"/>
      <c r="F301" s="1069"/>
      <c r="G301" s="1071">
        <f t="shared" si="15"/>
        <v>0</v>
      </c>
    </row>
    <row r="302" spans="1:7" ht="14.25" customHeight="1">
      <c r="A302" s="2098"/>
      <c r="B302" s="1605"/>
      <c r="C302" s="1887"/>
      <c r="D302" s="1069"/>
      <c r="E302" s="1070"/>
      <c r="F302" s="1069"/>
      <c r="G302" s="1071">
        <f t="shared" si="15"/>
        <v>0</v>
      </c>
    </row>
    <row r="303" spans="1:7" ht="14.25" customHeight="1">
      <c r="A303" s="2098"/>
      <c r="B303" s="1605"/>
      <c r="C303" s="1887"/>
      <c r="D303" s="1069"/>
      <c r="E303" s="1070"/>
      <c r="F303" s="1069"/>
      <c r="G303" s="1071">
        <f t="shared" si="15"/>
        <v>0</v>
      </c>
    </row>
    <row r="304" spans="1:7" ht="14.25" customHeight="1">
      <c r="A304" s="2098"/>
      <c r="B304" s="1605"/>
      <c r="C304" s="1887"/>
      <c r="D304" s="1069"/>
      <c r="E304" s="1070"/>
      <c r="F304" s="1069"/>
      <c r="G304" s="1071"/>
    </row>
    <row r="305" spans="1:7" ht="14.25" customHeight="1">
      <c r="A305" s="2098"/>
      <c r="B305" s="1605"/>
      <c r="C305" s="1887"/>
      <c r="D305" s="1069"/>
      <c r="E305" s="1070"/>
      <c r="F305" s="1069"/>
      <c r="G305" s="1071"/>
    </row>
    <row r="306" spans="1:7" ht="14.25" customHeight="1">
      <c r="A306" s="2098"/>
      <c r="B306" s="1605"/>
      <c r="C306" s="1887"/>
      <c r="D306" s="1069"/>
      <c r="E306" s="1070"/>
      <c r="F306" s="1069"/>
      <c r="G306" s="1071"/>
    </row>
    <row r="307" spans="1:7" ht="14.25" customHeight="1">
      <c r="A307" s="2098"/>
      <c r="B307" s="1605"/>
      <c r="C307" s="1887"/>
      <c r="D307" s="1069"/>
      <c r="E307" s="1070"/>
      <c r="F307" s="1069"/>
      <c r="G307" s="1071"/>
    </row>
    <row r="308" spans="1:7" ht="14.25" customHeight="1">
      <c r="A308" s="2098"/>
      <c r="B308" s="1605"/>
      <c r="C308" s="1887"/>
      <c r="D308" s="1069"/>
      <c r="E308" s="1070"/>
      <c r="F308" s="1069"/>
      <c r="G308" s="1071"/>
    </row>
    <row r="309" spans="1:7" ht="14.25" customHeight="1">
      <c r="A309" s="2098"/>
      <c r="B309" s="1605"/>
      <c r="C309" s="1887"/>
      <c r="D309" s="1069"/>
      <c r="E309" s="1070"/>
      <c r="F309" s="1069"/>
      <c r="G309" s="1071"/>
    </row>
    <row r="310" spans="1:7" ht="14.25" customHeight="1">
      <c r="A310" s="2098"/>
      <c r="B310" s="1605"/>
      <c r="C310" s="1887"/>
      <c r="D310" s="1069"/>
      <c r="E310" s="1070"/>
      <c r="F310" s="1069"/>
      <c r="G310" s="1071"/>
    </row>
    <row r="311" spans="1:7" ht="14.25" customHeight="1">
      <c r="A311" s="2099"/>
      <c r="B311" s="1608"/>
      <c r="C311" s="1888"/>
      <c r="D311" s="1072"/>
      <c r="E311" s="1089"/>
      <c r="F311" s="1072"/>
      <c r="G311" s="1073"/>
    </row>
    <row r="312" spans="1:7" ht="14.25" customHeight="1">
      <c r="A312" s="1"/>
      <c r="B312" s="1"/>
      <c r="C312" s="1"/>
      <c r="D312" s="2100" t="s">
        <v>2546</v>
      </c>
      <c r="E312" s="2036"/>
      <c r="F312" s="2036"/>
      <c r="G312" s="4">
        <f>SUM(G296:G311)</f>
        <v>55280</v>
      </c>
    </row>
    <row r="313" spans="1:7" ht="14.25" customHeight="1">
      <c r="A313" s="1" t="s">
        <v>2547</v>
      </c>
      <c r="B313" s="1"/>
      <c r="C313" s="1"/>
      <c r="D313" s="1"/>
      <c r="E313" s="1"/>
      <c r="F313" s="1"/>
      <c r="G313" s="1"/>
    </row>
    <row r="314" spans="1:7" ht="14.25" customHeight="1">
      <c r="A314" s="2101" t="s">
        <v>376</v>
      </c>
      <c r="B314" s="1610"/>
      <c r="C314" s="1611"/>
      <c r="D314" s="19" t="s">
        <v>2526</v>
      </c>
      <c r="E314" s="19" t="s">
        <v>2548</v>
      </c>
      <c r="F314" s="14" t="s">
        <v>2549</v>
      </c>
      <c r="G314" s="14" t="s">
        <v>2550</v>
      </c>
    </row>
    <row r="315" spans="1:7" ht="14.25" customHeight="1">
      <c r="A315" s="2098" t="s">
        <v>2578</v>
      </c>
      <c r="B315" s="1605"/>
      <c r="C315" s="1887"/>
      <c r="D315" s="1090" t="s">
        <v>2552</v>
      </c>
      <c r="E315" s="1070">
        <v>30000</v>
      </c>
      <c r="F315" s="1091">
        <v>20</v>
      </c>
      <c r="G315" s="1070">
        <f>E315/F315</f>
        <v>1500</v>
      </c>
    </row>
    <row r="316" spans="1:7" ht="14.25" customHeight="1">
      <c r="A316" s="2099"/>
      <c r="B316" s="1608"/>
      <c r="C316" s="1888"/>
      <c r="D316" s="1092"/>
      <c r="E316" s="1089"/>
      <c r="F316" s="1096"/>
      <c r="G316" s="1089">
        <f>E316*F316</f>
        <v>0</v>
      </c>
    </row>
    <row r="317" spans="1:7" ht="14.25" customHeight="1">
      <c r="A317" s="1"/>
      <c r="B317" s="1"/>
      <c r="C317" s="1"/>
      <c r="D317" s="2103" t="s">
        <v>2554</v>
      </c>
      <c r="E317" s="1605"/>
      <c r="F317" s="1605"/>
      <c r="G317" s="1080">
        <f>SUM(G315:G316)</f>
        <v>1500</v>
      </c>
    </row>
    <row r="318" spans="1:7" ht="14.25" customHeight="1">
      <c r="A318" s="1" t="s">
        <v>2555</v>
      </c>
      <c r="B318" s="1"/>
      <c r="C318" s="1"/>
      <c r="D318" s="1"/>
      <c r="E318" s="1"/>
      <c r="F318" s="1"/>
      <c r="G318" s="1"/>
    </row>
    <row r="319" spans="1:7" ht="14.25" customHeight="1">
      <c r="A319" s="14" t="s">
        <v>376</v>
      </c>
      <c r="B319" s="14" t="s">
        <v>2526</v>
      </c>
      <c r="C319" s="2107" t="s">
        <v>2556</v>
      </c>
      <c r="D319" s="1610"/>
      <c r="E319" s="1611"/>
      <c r="F319" s="19" t="s">
        <v>2557</v>
      </c>
      <c r="G319" s="14" t="s">
        <v>2550</v>
      </c>
    </row>
    <row r="320" spans="1:7" ht="14.25" customHeight="1">
      <c r="A320" s="1093" t="s">
        <v>2558</v>
      </c>
      <c r="B320" s="1093" t="s">
        <v>2596</v>
      </c>
      <c r="C320" s="2104">
        <f>+'MANO DE OBRA'!E71</f>
        <v>20292.1875</v>
      </c>
      <c r="D320" s="2036"/>
      <c r="E320" s="2078"/>
      <c r="F320" s="1095">
        <f>8/20</f>
        <v>0.4</v>
      </c>
      <c r="G320" s="1094">
        <f t="shared" ref="G320:G321" si="16">C320*F320</f>
        <v>8116.875</v>
      </c>
    </row>
    <row r="321" spans="1:7" ht="14.25" customHeight="1">
      <c r="A321" s="1092" t="s">
        <v>2559</v>
      </c>
      <c r="B321" s="1092" t="s">
        <v>2596</v>
      </c>
      <c r="C321" s="2104">
        <f>+'MANO DE OBRA'!E72</f>
        <v>14813.296875000002</v>
      </c>
      <c r="D321" s="2036"/>
      <c r="E321" s="2078"/>
      <c r="F321" s="1096">
        <f>F320</f>
        <v>0.4</v>
      </c>
      <c r="G321" s="1094">
        <f t="shared" si="16"/>
        <v>5925.3187500000013</v>
      </c>
    </row>
    <row r="322" spans="1:7" ht="14.25" customHeight="1">
      <c r="A322" s="1082"/>
      <c r="B322" s="1083"/>
      <c r="C322" s="1083"/>
      <c r="D322" s="2100" t="s">
        <v>2560</v>
      </c>
      <c r="E322" s="2036"/>
      <c r="F322" s="2036"/>
      <c r="G322" s="1084">
        <f>SUM(G320:GG321)</f>
        <v>14042.193750000002</v>
      </c>
    </row>
    <row r="323" spans="1:7" ht="10.5" customHeight="1">
      <c r="A323" s="1085"/>
      <c r="B323" s="1"/>
      <c r="C323" s="1"/>
      <c r="D323" s="1"/>
      <c r="E323" s="1"/>
      <c r="F323" s="1"/>
      <c r="G323" s="1086"/>
    </row>
    <row r="324" spans="1:7" ht="14.25" customHeight="1">
      <c r="A324" s="1087"/>
      <c r="B324" s="386"/>
      <c r="C324" s="386"/>
      <c r="D324" s="2097" t="s">
        <v>2561</v>
      </c>
      <c r="E324" s="1608"/>
      <c r="F324" s="1608"/>
      <c r="G324" s="1088">
        <f>ROUND(G312+G317+G322,0)</f>
        <v>70822</v>
      </c>
    </row>
    <row r="325" spans="1:7" ht="14.25" hidden="1" customHeight="1">
      <c r="A325" s="1"/>
      <c r="B325" s="1"/>
      <c r="C325" s="1"/>
      <c r="D325" s="1"/>
      <c r="E325" s="1"/>
      <c r="F325" s="1"/>
      <c r="G325" s="1"/>
    </row>
    <row r="326" spans="1:7" ht="14.25" hidden="1" customHeight="1">
      <c r="A326" s="2105" t="s">
        <v>2562</v>
      </c>
      <c r="B326" s="2036"/>
      <c r="C326" s="2036"/>
      <c r="D326" s="2036"/>
      <c r="E326" s="2036"/>
      <c r="F326" s="2036"/>
      <c r="G326" s="2078"/>
    </row>
    <row r="327" spans="1:7" ht="14.25" hidden="1" customHeight="1">
      <c r="A327" s="2106" t="s">
        <v>2523</v>
      </c>
      <c r="B327" s="1605"/>
      <c r="C327" s="1605"/>
      <c r="D327" s="1605"/>
      <c r="E327" s="1605"/>
      <c r="F327" s="1605"/>
      <c r="G327" s="1887"/>
    </row>
    <row r="328" spans="1:7" ht="18" hidden="1" customHeight="1">
      <c r="A328" s="2099" t="s">
        <v>2613</v>
      </c>
      <c r="B328" s="1608"/>
      <c r="C328" s="1608"/>
      <c r="D328" s="1608"/>
      <c r="E328" s="1608"/>
      <c r="F328" s="1608"/>
      <c r="G328" s="1888"/>
    </row>
    <row r="329" spans="1:7" ht="14.25" hidden="1" customHeight="1">
      <c r="A329" s="1"/>
      <c r="B329" s="1"/>
      <c r="C329" s="1"/>
      <c r="D329" s="1"/>
      <c r="E329" s="1"/>
      <c r="F329" s="19" t="s">
        <v>375</v>
      </c>
      <c r="G329" s="19" t="s">
        <v>2614</v>
      </c>
    </row>
    <row r="330" spans="1:7" ht="14.25" hidden="1" customHeight="1">
      <c r="A330" s="1" t="s">
        <v>2525</v>
      </c>
      <c r="B330" s="1"/>
      <c r="C330" s="1"/>
      <c r="D330" s="1"/>
      <c r="E330" s="1"/>
      <c r="F330" s="1"/>
      <c r="G330" s="1"/>
    </row>
    <row r="331" spans="1:7" ht="14.25" hidden="1" customHeight="1">
      <c r="A331" s="2107" t="s">
        <v>1218</v>
      </c>
      <c r="B331" s="1610"/>
      <c r="C331" s="1611"/>
      <c r="D331" s="19" t="s">
        <v>2526</v>
      </c>
      <c r="E331" s="19" t="s">
        <v>2527</v>
      </c>
      <c r="F331" s="19" t="s">
        <v>673</v>
      </c>
      <c r="G331" s="1068" t="s">
        <v>2528</v>
      </c>
    </row>
    <row r="332" spans="1:7" ht="15" hidden="1" customHeight="1">
      <c r="A332" s="2111" t="s">
        <v>2615</v>
      </c>
      <c r="B332" s="2036"/>
      <c r="C332" s="2078"/>
      <c r="D332" s="1069" t="s">
        <v>120</v>
      </c>
      <c r="E332" s="1070">
        <v>14900</v>
      </c>
      <c r="F332" s="1069">
        <v>5</v>
      </c>
      <c r="G332" s="1071">
        <f t="shared" ref="G332:G339" si="17">E332*F332</f>
        <v>74500</v>
      </c>
    </row>
    <row r="333" spans="1:7" ht="14.25" hidden="1" customHeight="1">
      <c r="A333" s="2098" t="s">
        <v>2616</v>
      </c>
      <c r="B333" s="1605"/>
      <c r="C333" s="1887"/>
      <c r="D333" s="1069" t="s">
        <v>910</v>
      </c>
      <c r="E333" s="1070">
        <v>6800</v>
      </c>
      <c r="F333" s="1069">
        <v>0.2</v>
      </c>
      <c r="G333" s="1071">
        <f t="shared" si="17"/>
        <v>1360</v>
      </c>
    </row>
    <row r="334" spans="1:7" ht="14.25" hidden="1" customHeight="1">
      <c r="A334" s="2098" t="s">
        <v>2617</v>
      </c>
      <c r="B334" s="1605"/>
      <c r="C334" s="1887"/>
      <c r="D334" s="1069" t="s">
        <v>120</v>
      </c>
      <c r="E334" s="1070">
        <v>4350</v>
      </c>
      <c r="F334" s="1069">
        <v>1</v>
      </c>
      <c r="G334" s="1071">
        <f t="shared" si="17"/>
        <v>4350</v>
      </c>
    </row>
    <row r="335" spans="1:7" ht="14.25" hidden="1" customHeight="1">
      <c r="A335" s="2098"/>
      <c r="B335" s="1605"/>
      <c r="C335" s="1887"/>
      <c r="D335" s="1069"/>
      <c r="E335" s="1070"/>
      <c r="F335" s="1069"/>
      <c r="G335" s="1071">
        <f t="shared" si="17"/>
        <v>0</v>
      </c>
    </row>
    <row r="336" spans="1:7" ht="14.25" hidden="1" customHeight="1">
      <c r="A336" s="2098"/>
      <c r="B336" s="1605"/>
      <c r="C336" s="1887"/>
      <c r="D336" s="1069"/>
      <c r="E336" s="1070"/>
      <c r="F336" s="1069"/>
      <c r="G336" s="1071">
        <f t="shared" si="17"/>
        <v>0</v>
      </c>
    </row>
    <row r="337" spans="1:7" ht="14.25" hidden="1" customHeight="1">
      <c r="A337" s="2098"/>
      <c r="B337" s="1605"/>
      <c r="C337" s="1887"/>
      <c r="D337" s="1069"/>
      <c r="E337" s="1070"/>
      <c r="F337" s="1069"/>
      <c r="G337" s="1071">
        <f t="shared" si="17"/>
        <v>0</v>
      </c>
    </row>
    <row r="338" spans="1:7" ht="14.25" hidden="1" customHeight="1">
      <c r="A338" s="2098"/>
      <c r="B338" s="1605"/>
      <c r="C338" s="1887"/>
      <c r="D338" s="1069"/>
      <c r="E338" s="1070"/>
      <c r="F338" s="1069"/>
      <c r="G338" s="1071">
        <f t="shared" si="17"/>
        <v>0</v>
      </c>
    </row>
    <row r="339" spans="1:7" ht="14.25" hidden="1" customHeight="1">
      <c r="A339" s="2098"/>
      <c r="B339" s="1605"/>
      <c r="C339" s="1887"/>
      <c r="D339" s="1069"/>
      <c r="E339" s="1070"/>
      <c r="F339" s="1069"/>
      <c r="G339" s="1071">
        <f t="shared" si="17"/>
        <v>0</v>
      </c>
    </row>
    <row r="340" spans="1:7" ht="14.25" hidden="1" customHeight="1">
      <c r="A340" s="2098"/>
      <c r="B340" s="1605"/>
      <c r="C340" s="1887"/>
      <c r="D340" s="1069"/>
      <c r="E340" s="1070"/>
      <c r="F340" s="1069"/>
      <c r="G340" s="1071"/>
    </row>
    <row r="341" spans="1:7" ht="14.25" hidden="1" customHeight="1">
      <c r="A341" s="2098"/>
      <c r="B341" s="1605"/>
      <c r="C341" s="1887"/>
      <c r="D341" s="1069"/>
      <c r="E341" s="1070"/>
      <c r="F341" s="1069"/>
      <c r="G341" s="1071"/>
    </row>
    <row r="342" spans="1:7" ht="14.25" hidden="1" customHeight="1">
      <c r="A342" s="2098"/>
      <c r="B342" s="1605"/>
      <c r="C342" s="1887"/>
      <c r="D342" s="1069"/>
      <c r="E342" s="1070"/>
      <c r="F342" s="1069"/>
      <c r="G342" s="1071"/>
    </row>
    <row r="343" spans="1:7" ht="14.25" hidden="1" customHeight="1">
      <c r="A343" s="2098"/>
      <c r="B343" s="1605"/>
      <c r="C343" s="1887"/>
      <c r="D343" s="1069"/>
      <c r="E343" s="1070"/>
      <c r="F343" s="1069"/>
      <c r="G343" s="1071"/>
    </row>
    <row r="344" spans="1:7" ht="14.25" hidden="1" customHeight="1">
      <c r="A344" s="2098"/>
      <c r="B344" s="1605"/>
      <c r="C344" s="1887"/>
      <c r="D344" s="1069"/>
      <c r="E344" s="1070"/>
      <c r="F344" s="1069"/>
      <c r="G344" s="1071"/>
    </row>
    <row r="345" spans="1:7" ht="14.25" hidden="1" customHeight="1">
      <c r="A345" s="2098"/>
      <c r="B345" s="1605"/>
      <c r="C345" s="1887"/>
      <c r="D345" s="1069"/>
      <c r="E345" s="1070"/>
      <c r="F345" s="1069"/>
      <c r="G345" s="1071"/>
    </row>
    <row r="346" spans="1:7" ht="14.25" hidden="1" customHeight="1">
      <c r="A346" s="2098"/>
      <c r="B346" s="1605"/>
      <c r="C346" s="1887"/>
      <c r="D346" s="1069"/>
      <c r="E346" s="1070"/>
      <c r="F346" s="1069"/>
      <c r="G346" s="1071"/>
    </row>
    <row r="347" spans="1:7" ht="14.25" hidden="1" customHeight="1">
      <c r="A347" s="2099"/>
      <c r="B347" s="1608"/>
      <c r="C347" s="1888"/>
      <c r="D347" s="1072"/>
      <c r="E347" s="1089"/>
      <c r="F347" s="1072"/>
      <c r="G347" s="1073"/>
    </row>
    <row r="348" spans="1:7" ht="14.25" hidden="1" customHeight="1">
      <c r="A348" s="1"/>
      <c r="B348" s="1"/>
      <c r="C348" s="1"/>
      <c r="D348" s="2100" t="s">
        <v>2546</v>
      </c>
      <c r="E348" s="2036"/>
      <c r="F348" s="2036"/>
      <c r="G348" s="4">
        <f>SUM(G332:G347)</f>
        <v>80210</v>
      </c>
    </row>
    <row r="349" spans="1:7" ht="14.25" hidden="1" customHeight="1">
      <c r="A349" s="1" t="s">
        <v>2547</v>
      </c>
      <c r="B349" s="1"/>
      <c r="C349" s="1"/>
      <c r="D349" s="1"/>
      <c r="E349" s="1"/>
      <c r="F349" s="1"/>
      <c r="G349" s="1"/>
    </row>
    <row r="350" spans="1:7" ht="14.25" hidden="1" customHeight="1">
      <c r="A350" s="2101" t="s">
        <v>376</v>
      </c>
      <c r="B350" s="1610"/>
      <c r="C350" s="1611"/>
      <c r="D350" s="19" t="s">
        <v>2526</v>
      </c>
      <c r="E350" s="19" t="s">
        <v>2548</v>
      </c>
      <c r="F350" s="14" t="s">
        <v>2549</v>
      </c>
      <c r="G350" s="14" t="s">
        <v>2550</v>
      </c>
    </row>
    <row r="351" spans="1:7" ht="14.25" hidden="1" customHeight="1">
      <c r="A351" s="2098" t="s">
        <v>2578</v>
      </c>
      <c r="B351" s="1605"/>
      <c r="C351" s="1887"/>
      <c r="D351" s="1090" t="s">
        <v>2552</v>
      </c>
      <c r="E351" s="1070">
        <v>30000</v>
      </c>
      <c r="F351" s="1091">
        <v>20</v>
      </c>
      <c r="G351" s="1070">
        <f>E351/F351</f>
        <v>1500</v>
      </c>
    </row>
    <row r="352" spans="1:7" ht="14.25" hidden="1" customHeight="1">
      <c r="A352" s="2099"/>
      <c r="B352" s="1608"/>
      <c r="C352" s="1888"/>
      <c r="D352" s="1092"/>
      <c r="E352" s="1089"/>
      <c r="F352" s="1096"/>
      <c r="G352" s="1089">
        <f>E352*F352</f>
        <v>0</v>
      </c>
    </row>
    <row r="353" spans="1:7" ht="14.25" hidden="1" customHeight="1">
      <c r="A353" s="1"/>
      <c r="B353" s="1"/>
      <c r="C353" s="1"/>
      <c r="D353" s="2103" t="s">
        <v>2554</v>
      </c>
      <c r="E353" s="1605"/>
      <c r="F353" s="1605"/>
      <c r="G353" s="1080">
        <f>SUM(G351:G352)</f>
        <v>1500</v>
      </c>
    </row>
    <row r="354" spans="1:7" ht="14.25" hidden="1" customHeight="1">
      <c r="A354" s="1" t="s">
        <v>2555</v>
      </c>
      <c r="B354" s="1"/>
      <c r="C354" s="1"/>
      <c r="D354" s="1"/>
      <c r="E354" s="1"/>
      <c r="F354" s="1"/>
      <c r="G354" s="1"/>
    </row>
    <row r="355" spans="1:7" ht="14.25" hidden="1" customHeight="1">
      <c r="A355" s="14" t="s">
        <v>376</v>
      </c>
      <c r="B355" s="14" t="s">
        <v>2526</v>
      </c>
      <c r="C355" s="19" t="s">
        <v>1855</v>
      </c>
      <c r="D355" s="14" t="s">
        <v>2581</v>
      </c>
      <c r="E355" s="14" t="s">
        <v>2582</v>
      </c>
      <c r="F355" s="19" t="s">
        <v>2557</v>
      </c>
      <c r="G355" s="14" t="s">
        <v>2550</v>
      </c>
    </row>
    <row r="356" spans="1:7" ht="14.25" hidden="1" customHeight="1">
      <c r="A356" s="1093" t="s">
        <v>2558</v>
      </c>
      <c r="B356" s="1093" t="s">
        <v>2583</v>
      </c>
      <c r="C356" s="1094">
        <v>40000</v>
      </c>
      <c r="D356" s="1094">
        <v>31618</v>
      </c>
      <c r="E356" s="1094">
        <v>71618</v>
      </c>
      <c r="F356" s="1095">
        <v>20</v>
      </c>
      <c r="G356" s="1094">
        <f t="shared" ref="G356:G357" si="18">E356/F356</f>
        <v>3580.9</v>
      </c>
    </row>
    <row r="357" spans="1:7" ht="14.25" hidden="1" customHeight="1">
      <c r="A357" s="1092" t="s">
        <v>2559</v>
      </c>
      <c r="B357" s="1092" t="s">
        <v>2583</v>
      </c>
      <c r="C357" s="1089">
        <v>22500</v>
      </c>
      <c r="D357" s="1089">
        <v>17785</v>
      </c>
      <c r="E357" s="1089">
        <v>40285</v>
      </c>
      <c r="F357" s="1096">
        <f>F356</f>
        <v>20</v>
      </c>
      <c r="G357" s="1089">
        <f t="shared" si="18"/>
        <v>2014.25</v>
      </c>
    </row>
    <row r="358" spans="1:7" ht="14.25" hidden="1" customHeight="1">
      <c r="A358" s="1082"/>
      <c r="B358" s="1083"/>
      <c r="C358" s="1083"/>
      <c r="D358" s="2100" t="s">
        <v>2560</v>
      </c>
      <c r="E358" s="2036"/>
      <c r="F358" s="2036"/>
      <c r="G358" s="1084">
        <f>SUM(G356:GG357)</f>
        <v>5595.15</v>
      </c>
    </row>
    <row r="359" spans="1:7" ht="10.5" hidden="1" customHeight="1">
      <c r="A359" s="1085"/>
      <c r="B359" s="1"/>
      <c r="C359" s="1"/>
      <c r="D359" s="1"/>
      <c r="E359" s="1"/>
      <c r="F359" s="1"/>
      <c r="G359" s="1086"/>
    </row>
    <row r="360" spans="1:7" ht="14.25" hidden="1" customHeight="1">
      <c r="A360" s="1087"/>
      <c r="B360" s="386"/>
      <c r="C360" s="386"/>
      <c r="D360" s="2097" t="s">
        <v>2561</v>
      </c>
      <c r="E360" s="1608"/>
      <c r="F360" s="1608"/>
      <c r="G360" s="1088">
        <f>ROUND(G348+G353+G358,0)</f>
        <v>87305</v>
      </c>
    </row>
    <row r="361" spans="1:7" ht="14.25" customHeight="1">
      <c r="A361" s="1"/>
      <c r="B361" s="1"/>
      <c r="C361" s="1"/>
      <c r="D361" s="1"/>
      <c r="E361" s="1"/>
      <c r="F361" s="1"/>
      <c r="G361" s="1"/>
    </row>
    <row r="362" spans="1:7" ht="14.25" customHeight="1">
      <c r="A362" s="2105" t="str">
        <f>A290</f>
        <v>ANALISIS DE PRECIOS UNITARIOS -   POLIDEPORTIVO CUBIERTO AUTOPORTANTE</v>
      </c>
      <c r="B362" s="2036"/>
      <c r="C362" s="2036"/>
      <c r="D362" s="2036"/>
      <c r="E362" s="2036"/>
      <c r="F362" s="2036"/>
      <c r="G362" s="2078"/>
    </row>
    <row r="363" spans="1:7" ht="14.25" customHeight="1">
      <c r="A363" s="2106" t="s">
        <v>2523</v>
      </c>
      <c r="B363" s="1605"/>
      <c r="C363" s="1605"/>
      <c r="D363" s="1605"/>
      <c r="E363" s="1605"/>
      <c r="F363" s="1605"/>
      <c r="G363" s="1887"/>
    </row>
    <row r="364" spans="1:7" ht="18" customHeight="1">
      <c r="A364" s="2099" t="s">
        <v>2618</v>
      </c>
      <c r="B364" s="1608"/>
      <c r="C364" s="1608"/>
      <c r="D364" s="1608"/>
      <c r="E364" s="1608"/>
      <c r="F364" s="1608"/>
      <c r="G364" s="1888"/>
    </row>
    <row r="365" spans="1:7" ht="14.25" customHeight="1">
      <c r="A365" s="1"/>
      <c r="B365" s="1"/>
      <c r="C365" s="1"/>
      <c r="D365" s="1"/>
      <c r="E365" s="1"/>
      <c r="F365" s="19" t="s">
        <v>375</v>
      </c>
      <c r="G365" s="19">
        <v>6.4</v>
      </c>
    </row>
    <row r="366" spans="1:7" ht="14.25" customHeight="1">
      <c r="A366" s="1" t="s">
        <v>2525</v>
      </c>
      <c r="B366" s="1"/>
      <c r="C366" s="1"/>
      <c r="D366" s="1"/>
      <c r="E366" s="1"/>
      <c r="F366" s="1"/>
      <c r="G366" s="1"/>
    </row>
    <row r="367" spans="1:7" ht="14.25" customHeight="1">
      <c r="A367" s="2107" t="s">
        <v>1218</v>
      </c>
      <c r="B367" s="1610"/>
      <c r="C367" s="1611"/>
      <c r="D367" s="19" t="s">
        <v>2526</v>
      </c>
      <c r="E367" s="19" t="s">
        <v>2527</v>
      </c>
      <c r="F367" s="19" t="s">
        <v>673</v>
      </c>
      <c r="G367" s="1068" t="s">
        <v>2528</v>
      </c>
    </row>
    <row r="368" spans="1:7" ht="15" customHeight="1">
      <c r="A368" s="2111" t="s">
        <v>2619</v>
      </c>
      <c r="B368" s="2036"/>
      <c r="C368" s="2078"/>
      <c r="D368" s="1069" t="s">
        <v>910</v>
      </c>
      <c r="E368" s="1070">
        <v>10250</v>
      </c>
      <c r="F368" s="1069">
        <v>16</v>
      </c>
      <c r="G368" s="1071">
        <f t="shared" ref="G368:G375" si="19">E368*F368</f>
        <v>164000</v>
      </c>
    </row>
    <row r="369" spans="1:7" ht="14.25" customHeight="1">
      <c r="A369" s="2098" t="s">
        <v>2620</v>
      </c>
      <c r="B369" s="1605"/>
      <c r="C369" s="1887"/>
      <c r="D369" s="1069" t="s">
        <v>2621</v>
      </c>
      <c r="E369" s="1070">
        <v>495000</v>
      </c>
      <c r="F369" s="1069">
        <v>1</v>
      </c>
      <c r="G369" s="1071">
        <f t="shared" si="19"/>
        <v>495000</v>
      </c>
    </row>
    <row r="370" spans="1:7" ht="14.25" customHeight="1">
      <c r="A370" s="2098" t="s">
        <v>2622</v>
      </c>
      <c r="B370" s="1605"/>
      <c r="C370" s="1887"/>
      <c r="D370" s="1069" t="s">
        <v>910</v>
      </c>
      <c r="E370" s="1070">
        <v>290000</v>
      </c>
      <c r="F370" s="1069">
        <v>1</v>
      </c>
      <c r="G370" s="1071">
        <f t="shared" si="19"/>
        <v>290000</v>
      </c>
    </row>
    <row r="371" spans="1:7" ht="14.25" customHeight="1">
      <c r="A371" s="2098" t="s">
        <v>2623</v>
      </c>
      <c r="B371" s="1605"/>
      <c r="C371" s="1887"/>
      <c r="D371" s="1069" t="s">
        <v>910</v>
      </c>
      <c r="E371" s="1070">
        <v>49200</v>
      </c>
      <c r="F371" s="1069">
        <v>2</v>
      </c>
      <c r="G371" s="1071">
        <f t="shared" si="19"/>
        <v>98400</v>
      </c>
    </row>
    <row r="372" spans="1:7" ht="14.25" customHeight="1">
      <c r="A372" s="2098"/>
      <c r="B372" s="1605"/>
      <c r="C372" s="1887"/>
      <c r="D372" s="1069"/>
      <c r="E372" s="1070"/>
      <c r="F372" s="1069"/>
      <c r="G372" s="1071">
        <f t="shared" si="19"/>
        <v>0</v>
      </c>
    </row>
    <row r="373" spans="1:7" ht="14.25" customHeight="1">
      <c r="A373" s="2098"/>
      <c r="B373" s="1605"/>
      <c r="C373" s="1887"/>
      <c r="D373" s="1069"/>
      <c r="E373" s="1070"/>
      <c r="F373" s="1069"/>
      <c r="G373" s="1071">
        <f t="shared" si="19"/>
        <v>0</v>
      </c>
    </row>
    <row r="374" spans="1:7" ht="14.25" customHeight="1">
      <c r="A374" s="2098"/>
      <c r="B374" s="1605"/>
      <c r="C374" s="1887"/>
      <c r="D374" s="1069"/>
      <c r="E374" s="1070"/>
      <c r="F374" s="1069"/>
      <c r="G374" s="1071">
        <f t="shared" si="19"/>
        <v>0</v>
      </c>
    </row>
    <row r="375" spans="1:7" ht="14.25" customHeight="1">
      <c r="A375" s="2098"/>
      <c r="B375" s="1605"/>
      <c r="C375" s="1887"/>
      <c r="D375" s="1069"/>
      <c r="E375" s="1070"/>
      <c r="F375" s="1069"/>
      <c r="G375" s="1071">
        <f t="shared" si="19"/>
        <v>0</v>
      </c>
    </row>
    <row r="376" spans="1:7" ht="14.25" customHeight="1">
      <c r="A376" s="2098"/>
      <c r="B376" s="1605"/>
      <c r="C376" s="1887"/>
      <c r="D376" s="1069"/>
      <c r="E376" s="1070"/>
      <c r="F376" s="1069"/>
      <c r="G376" s="1071"/>
    </row>
    <row r="377" spans="1:7" ht="14.25" customHeight="1">
      <c r="A377" s="2098"/>
      <c r="B377" s="1605"/>
      <c r="C377" s="1887"/>
      <c r="D377" s="1069"/>
      <c r="E377" s="1070"/>
      <c r="F377" s="1069"/>
      <c r="G377" s="1071"/>
    </row>
    <row r="378" spans="1:7" ht="14.25" customHeight="1">
      <c r="A378" s="2098"/>
      <c r="B378" s="1605"/>
      <c r="C378" s="1887"/>
      <c r="D378" s="1069"/>
      <c r="E378" s="1070"/>
      <c r="F378" s="1069"/>
      <c r="G378" s="1071"/>
    </row>
    <row r="379" spans="1:7" ht="14.25" customHeight="1">
      <c r="A379" s="2098"/>
      <c r="B379" s="1605"/>
      <c r="C379" s="1887"/>
      <c r="D379" s="1069"/>
      <c r="E379" s="1070"/>
      <c r="F379" s="1069"/>
      <c r="G379" s="1071"/>
    </row>
    <row r="380" spans="1:7" ht="14.25" customHeight="1">
      <c r="A380" s="2098"/>
      <c r="B380" s="1605"/>
      <c r="C380" s="1887"/>
      <c r="D380" s="1069"/>
      <c r="E380" s="1070"/>
      <c r="F380" s="1069"/>
      <c r="G380" s="1071"/>
    </row>
    <row r="381" spans="1:7" ht="14.25" customHeight="1">
      <c r="A381" s="2098"/>
      <c r="B381" s="1605"/>
      <c r="C381" s="1887"/>
      <c r="D381" s="1069"/>
      <c r="E381" s="1070"/>
      <c r="F381" s="1069"/>
      <c r="G381" s="1071"/>
    </row>
    <row r="382" spans="1:7" ht="14.25" customHeight="1">
      <c r="A382" s="2098"/>
      <c r="B382" s="1605"/>
      <c r="C382" s="1887"/>
      <c r="D382" s="1069"/>
      <c r="E382" s="1070"/>
      <c r="F382" s="1069"/>
      <c r="G382" s="1071"/>
    </row>
    <row r="383" spans="1:7" ht="14.25" customHeight="1">
      <c r="A383" s="2099"/>
      <c r="B383" s="1608"/>
      <c r="C383" s="1888"/>
      <c r="D383" s="1072"/>
      <c r="E383" s="1089"/>
      <c r="F383" s="1072"/>
      <c r="G383" s="1073"/>
    </row>
    <row r="384" spans="1:7" ht="14.25" customHeight="1">
      <c r="A384" s="1"/>
      <c r="B384" s="1"/>
      <c r="C384" s="1"/>
      <c r="D384" s="2100" t="s">
        <v>2546</v>
      </c>
      <c r="E384" s="2036"/>
      <c r="F384" s="2036"/>
      <c r="G384" s="4">
        <f>SUM(G368:G383)</f>
        <v>1047400</v>
      </c>
    </row>
    <row r="385" spans="1:7" ht="14.25" customHeight="1">
      <c r="A385" s="1" t="s">
        <v>2547</v>
      </c>
      <c r="B385" s="1"/>
      <c r="C385" s="1"/>
      <c r="D385" s="1"/>
      <c r="E385" s="1"/>
      <c r="F385" s="1"/>
      <c r="G385" s="1"/>
    </row>
    <row r="386" spans="1:7" ht="14.25" customHeight="1">
      <c r="A386" s="2101" t="s">
        <v>376</v>
      </c>
      <c r="B386" s="1610"/>
      <c r="C386" s="1611"/>
      <c r="D386" s="19" t="s">
        <v>2526</v>
      </c>
      <c r="E386" s="19" t="s">
        <v>2548</v>
      </c>
      <c r="F386" s="14" t="s">
        <v>2549</v>
      </c>
      <c r="G386" s="14" t="s">
        <v>2550</v>
      </c>
    </row>
    <row r="387" spans="1:7" ht="14.25" customHeight="1">
      <c r="A387" s="2098" t="s">
        <v>2578</v>
      </c>
      <c r="B387" s="1605"/>
      <c r="C387" s="1887"/>
      <c r="D387" s="1090" t="s">
        <v>2552</v>
      </c>
      <c r="E387" s="1070">
        <v>30000</v>
      </c>
      <c r="F387" s="1091">
        <v>0.2</v>
      </c>
      <c r="G387" s="1070">
        <f>E387/F387</f>
        <v>150000</v>
      </c>
    </row>
    <row r="388" spans="1:7" ht="14.25" customHeight="1">
      <c r="A388" s="2099"/>
      <c r="B388" s="1608"/>
      <c r="C388" s="1888"/>
      <c r="D388" s="1092"/>
      <c r="E388" s="1089"/>
      <c r="F388" s="1096"/>
      <c r="G388" s="1089">
        <f>E388*F388</f>
        <v>0</v>
      </c>
    </row>
    <row r="389" spans="1:7" ht="14.25" customHeight="1">
      <c r="A389" s="1"/>
      <c r="B389" s="1"/>
      <c r="C389" s="1"/>
      <c r="D389" s="2103" t="s">
        <v>2554</v>
      </c>
      <c r="E389" s="1605"/>
      <c r="F389" s="1605"/>
      <c r="G389" s="1080">
        <f>SUM(G387:G388)</f>
        <v>150000</v>
      </c>
    </row>
    <row r="390" spans="1:7" ht="14.25" customHeight="1">
      <c r="A390" s="1" t="s">
        <v>2555</v>
      </c>
      <c r="B390" s="1"/>
      <c r="C390" s="1"/>
      <c r="D390" s="1"/>
      <c r="E390" s="1"/>
      <c r="F390" s="1"/>
      <c r="G390" s="1"/>
    </row>
    <row r="391" spans="1:7" ht="14.25" customHeight="1">
      <c r="A391" s="14" t="s">
        <v>376</v>
      </c>
      <c r="B391" s="14" t="s">
        <v>2526</v>
      </c>
      <c r="C391" s="19" t="s">
        <v>1855</v>
      </c>
      <c r="D391" s="14" t="s">
        <v>2581</v>
      </c>
      <c r="E391" s="14" t="s">
        <v>2582</v>
      </c>
      <c r="F391" s="19" t="s">
        <v>2557</v>
      </c>
      <c r="G391" s="14" t="s">
        <v>2550</v>
      </c>
    </row>
    <row r="392" spans="1:7" ht="14.25" customHeight="1">
      <c r="A392" s="1093" t="s">
        <v>2558</v>
      </c>
      <c r="B392" s="1093" t="s">
        <v>2583</v>
      </c>
      <c r="C392" s="1094">
        <v>40000</v>
      </c>
      <c r="D392" s="1094">
        <v>31618</v>
      </c>
      <c r="E392" s="1094">
        <v>71618</v>
      </c>
      <c r="F392" s="1095">
        <v>0.2</v>
      </c>
      <c r="G392" s="1094">
        <f t="shared" ref="G392:G393" si="20">E392/F392</f>
        <v>358090</v>
      </c>
    </row>
    <row r="393" spans="1:7" ht="14.25" customHeight="1">
      <c r="A393" s="1092" t="s">
        <v>2559</v>
      </c>
      <c r="B393" s="1092" t="s">
        <v>2583</v>
      </c>
      <c r="C393" s="1089">
        <v>22500</v>
      </c>
      <c r="D393" s="1089">
        <v>17785</v>
      </c>
      <c r="E393" s="1089">
        <v>40285</v>
      </c>
      <c r="F393" s="1096">
        <f>F392</f>
        <v>0.2</v>
      </c>
      <c r="G393" s="1089">
        <f t="shared" si="20"/>
        <v>201425</v>
      </c>
    </row>
    <row r="394" spans="1:7" ht="14.25" customHeight="1">
      <c r="A394" s="1082"/>
      <c r="B394" s="1083"/>
      <c r="C394" s="1083"/>
      <c r="D394" s="2100" t="s">
        <v>2560</v>
      </c>
      <c r="E394" s="2036"/>
      <c r="F394" s="2036"/>
      <c r="G394" s="1084">
        <f>SUM(G392:GG393)</f>
        <v>559515</v>
      </c>
    </row>
    <row r="395" spans="1:7" ht="10.5" customHeight="1">
      <c r="A395" s="1085"/>
      <c r="B395" s="1"/>
      <c r="C395" s="1"/>
      <c r="D395" s="1"/>
      <c r="E395" s="1"/>
      <c r="F395" s="1"/>
      <c r="G395" s="1086"/>
    </row>
    <row r="396" spans="1:7" ht="14.25" customHeight="1">
      <c r="A396" s="1087"/>
      <c r="B396" s="386"/>
      <c r="C396" s="386"/>
      <c r="D396" s="2097" t="s">
        <v>2561</v>
      </c>
      <c r="E396" s="1608"/>
      <c r="F396" s="1608"/>
      <c r="G396" s="1088">
        <f>ROUND(G384+G389+G394,0)</f>
        <v>1756915</v>
      </c>
    </row>
    <row r="397" spans="1:7" ht="14.25" customHeight="1">
      <c r="A397" s="1"/>
      <c r="B397" s="1"/>
      <c r="C397" s="1"/>
      <c r="D397" s="1"/>
      <c r="E397" s="1"/>
      <c r="F397" s="1"/>
      <c r="G397" s="1"/>
    </row>
    <row r="398" spans="1:7" ht="14.25" customHeight="1">
      <c r="A398" s="2105" t="str">
        <f>+A362</f>
        <v>ANALISIS DE PRECIOS UNITARIOS -   POLIDEPORTIVO CUBIERTO AUTOPORTANTE</v>
      </c>
      <c r="B398" s="2036"/>
      <c r="C398" s="2036"/>
      <c r="D398" s="2036"/>
      <c r="E398" s="2036"/>
      <c r="F398" s="2036"/>
      <c r="G398" s="2078"/>
    </row>
    <row r="399" spans="1:7" ht="14.25" customHeight="1">
      <c r="A399" s="2106" t="s">
        <v>2523</v>
      </c>
      <c r="B399" s="1605"/>
      <c r="C399" s="1605"/>
      <c r="D399" s="1605"/>
      <c r="E399" s="1605"/>
      <c r="F399" s="1605"/>
      <c r="G399" s="1887"/>
    </row>
    <row r="400" spans="1:7" ht="18" customHeight="1">
      <c r="A400" s="2099" t="s">
        <v>2624</v>
      </c>
      <c r="B400" s="1608"/>
      <c r="C400" s="1608"/>
      <c r="D400" s="1608"/>
      <c r="E400" s="1608"/>
      <c r="F400" s="1608"/>
      <c r="G400" s="1888"/>
    </row>
    <row r="401" spans="1:7" ht="14.25" customHeight="1">
      <c r="A401" s="1"/>
      <c r="B401" s="1"/>
      <c r="C401" s="1"/>
      <c r="D401" s="1"/>
      <c r="E401" s="1"/>
      <c r="F401" s="19" t="s">
        <v>375</v>
      </c>
      <c r="G401" s="1097" t="s">
        <v>300</v>
      </c>
    </row>
    <row r="402" spans="1:7" ht="14.25" customHeight="1">
      <c r="A402" s="1" t="s">
        <v>2525</v>
      </c>
      <c r="B402" s="1"/>
      <c r="C402" s="1"/>
      <c r="D402" s="1"/>
      <c r="E402" s="1"/>
      <c r="F402" s="1"/>
      <c r="G402" s="1"/>
    </row>
    <row r="403" spans="1:7" ht="14.25" customHeight="1">
      <c r="A403" s="2107" t="s">
        <v>1218</v>
      </c>
      <c r="B403" s="1610"/>
      <c r="C403" s="1611"/>
      <c r="D403" s="19" t="s">
        <v>2526</v>
      </c>
      <c r="E403" s="19" t="s">
        <v>2527</v>
      </c>
      <c r="F403" s="19" t="s">
        <v>673</v>
      </c>
      <c r="G403" s="1068" t="s">
        <v>2528</v>
      </c>
    </row>
    <row r="404" spans="1:7" ht="15" customHeight="1">
      <c r="A404" s="2111" t="s">
        <v>2625</v>
      </c>
      <c r="B404" s="2036"/>
      <c r="C404" s="2078"/>
      <c r="D404" s="1069" t="s">
        <v>120</v>
      </c>
      <c r="E404" s="1070">
        <f>+'insumos ELÉCTRICOS '!J13</f>
        <v>3056.3999999999996</v>
      </c>
      <c r="F404" s="1069">
        <v>25</v>
      </c>
      <c r="G404" s="1071">
        <f t="shared" ref="G404:G412" si="21">E404*F404</f>
        <v>76409.999999999985</v>
      </c>
    </row>
    <row r="405" spans="1:7" ht="14.25" customHeight="1">
      <c r="A405" s="2112" t="s">
        <v>2626</v>
      </c>
      <c r="B405" s="1605"/>
      <c r="C405" s="1887"/>
      <c r="D405" s="1069" t="s">
        <v>910</v>
      </c>
      <c r="E405" s="1070">
        <f>+'insumos ELÉCTRICOS '!J104</f>
        <v>4200</v>
      </c>
      <c r="F405" s="1069">
        <v>1</v>
      </c>
      <c r="G405" s="1071">
        <f t="shared" si="21"/>
        <v>4200</v>
      </c>
    </row>
    <row r="406" spans="1:7" ht="14.25" customHeight="1">
      <c r="A406" s="2098" t="s">
        <v>2627</v>
      </c>
      <c r="B406" s="1605"/>
      <c r="C406" s="1887"/>
      <c r="D406" s="1069" t="s">
        <v>2565</v>
      </c>
      <c r="E406" s="1070">
        <f>+'insumos ELÉCTRICOS '!J105</f>
        <v>4000</v>
      </c>
      <c r="F406" s="1069">
        <v>2</v>
      </c>
      <c r="G406" s="1071">
        <f t="shared" si="21"/>
        <v>8000</v>
      </c>
    </row>
    <row r="407" spans="1:7" ht="14.25" customHeight="1">
      <c r="A407" s="2098" t="s">
        <v>2628</v>
      </c>
      <c r="B407" s="1605"/>
      <c r="C407" s="1887"/>
      <c r="D407" s="1069" t="s">
        <v>910</v>
      </c>
      <c r="E407" s="1070">
        <f>+'insumos ELÉCTRICOS '!J106/3</f>
        <v>12983.333333333334</v>
      </c>
      <c r="F407" s="1069">
        <v>12</v>
      </c>
      <c r="G407" s="1071">
        <f t="shared" si="21"/>
        <v>155800</v>
      </c>
    </row>
    <row r="408" spans="1:7" ht="14.25" customHeight="1">
      <c r="A408" s="2098" t="s">
        <v>2629</v>
      </c>
      <c r="B408" s="1605"/>
      <c r="C408" s="1887"/>
      <c r="D408" s="1069" t="s">
        <v>910</v>
      </c>
      <c r="E408" s="1070">
        <v>365000</v>
      </c>
      <c r="F408" s="1069">
        <v>1</v>
      </c>
      <c r="G408" s="1071">
        <f t="shared" si="21"/>
        <v>365000</v>
      </c>
    </row>
    <row r="409" spans="1:7" ht="14.25" customHeight="1">
      <c r="A409" s="2098"/>
      <c r="B409" s="1605"/>
      <c r="C409" s="1887"/>
      <c r="D409" s="1069"/>
      <c r="E409" s="1070"/>
      <c r="F409" s="1069"/>
      <c r="G409" s="1071">
        <f t="shared" si="21"/>
        <v>0</v>
      </c>
    </row>
    <row r="410" spans="1:7" ht="14.25" customHeight="1">
      <c r="A410" s="2098"/>
      <c r="B410" s="1605"/>
      <c r="C410" s="1887"/>
      <c r="D410" s="1069"/>
      <c r="E410" s="1070"/>
      <c r="F410" s="1069"/>
      <c r="G410" s="1071">
        <f t="shared" si="21"/>
        <v>0</v>
      </c>
    </row>
    <row r="411" spans="1:7" ht="14.25" customHeight="1">
      <c r="A411" s="2098"/>
      <c r="B411" s="1605"/>
      <c r="C411" s="1887"/>
      <c r="D411" s="1069"/>
      <c r="E411" s="1070"/>
      <c r="F411" s="1069"/>
      <c r="G411" s="1071">
        <f t="shared" si="21"/>
        <v>0</v>
      </c>
    </row>
    <row r="412" spans="1:7" ht="14.25" customHeight="1">
      <c r="A412" s="2098"/>
      <c r="B412" s="1605"/>
      <c r="C412" s="1887"/>
      <c r="D412" s="1069"/>
      <c r="E412" s="1070"/>
      <c r="F412" s="1069"/>
      <c r="G412" s="1071">
        <f t="shared" si="21"/>
        <v>0</v>
      </c>
    </row>
    <row r="413" spans="1:7" ht="14.25" customHeight="1">
      <c r="A413" s="2098"/>
      <c r="B413" s="1605"/>
      <c r="C413" s="1887"/>
      <c r="D413" s="1069"/>
      <c r="E413" s="1070"/>
      <c r="F413" s="1069"/>
      <c r="G413" s="1071"/>
    </row>
    <row r="414" spans="1:7" ht="14.25" customHeight="1">
      <c r="A414" s="2098"/>
      <c r="B414" s="1605"/>
      <c r="C414" s="1887"/>
      <c r="D414" s="1069"/>
      <c r="E414" s="1070"/>
      <c r="F414" s="1069"/>
      <c r="G414" s="1071"/>
    </row>
    <row r="415" spans="1:7" ht="14.25" customHeight="1">
      <c r="A415" s="2098"/>
      <c r="B415" s="1605"/>
      <c r="C415" s="1887"/>
      <c r="D415" s="1069"/>
      <c r="E415" s="1070"/>
      <c r="F415" s="1069"/>
      <c r="G415" s="1071"/>
    </row>
    <row r="416" spans="1:7" ht="14.25" customHeight="1">
      <c r="A416" s="2098"/>
      <c r="B416" s="1605"/>
      <c r="C416" s="1887"/>
      <c r="D416" s="1069"/>
      <c r="E416" s="1070"/>
      <c r="F416" s="1069"/>
      <c r="G416" s="1071"/>
    </row>
    <row r="417" spans="1:7" ht="14.25" customHeight="1">
      <c r="A417" s="2098"/>
      <c r="B417" s="1605"/>
      <c r="C417" s="1887"/>
      <c r="D417" s="1069"/>
      <c r="E417" s="1070"/>
      <c r="F417" s="1069"/>
      <c r="G417" s="1071"/>
    </row>
    <row r="418" spans="1:7" ht="14.25" customHeight="1">
      <c r="A418" s="2098"/>
      <c r="B418" s="1605"/>
      <c r="C418" s="1887"/>
      <c r="D418" s="1069"/>
      <c r="E418" s="1070"/>
      <c r="F418" s="1069"/>
      <c r="G418" s="1071"/>
    </row>
    <row r="419" spans="1:7" ht="14.25" customHeight="1">
      <c r="A419" s="2099"/>
      <c r="B419" s="1608"/>
      <c r="C419" s="1888"/>
      <c r="D419" s="1072"/>
      <c r="E419" s="1089"/>
      <c r="F419" s="1072"/>
      <c r="G419" s="1073"/>
    </row>
    <row r="420" spans="1:7" ht="14.25" customHeight="1">
      <c r="A420" s="1"/>
      <c r="B420" s="1"/>
      <c r="C420" s="1"/>
      <c r="D420" s="2100" t="s">
        <v>2546</v>
      </c>
      <c r="E420" s="2036"/>
      <c r="F420" s="2036"/>
      <c r="G420" s="4">
        <f>SUM(G404:G419)</f>
        <v>609410</v>
      </c>
    </row>
    <row r="421" spans="1:7" ht="14.25" customHeight="1">
      <c r="A421" s="1" t="s">
        <v>2547</v>
      </c>
      <c r="B421" s="1"/>
      <c r="C421" s="1"/>
      <c r="D421" s="1"/>
      <c r="E421" s="1"/>
      <c r="F421" s="1"/>
      <c r="G421" s="1"/>
    </row>
    <row r="422" spans="1:7" ht="14.25" customHeight="1">
      <c r="A422" s="2101" t="s">
        <v>376</v>
      </c>
      <c r="B422" s="1610"/>
      <c r="C422" s="1611"/>
      <c r="D422" s="19" t="s">
        <v>2526</v>
      </c>
      <c r="E422" s="19" t="s">
        <v>2548</v>
      </c>
      <c r="F422" s="14" t="s">
        <v>2549</v>
      </c>
      <c r="G422" s="14" t="s">
        <v>2550</v>
      </c>
    </row>
    <row r="423" spans="1:7" ht="14.25" customHeight="1">
      <c r="A423" s="2098" t="s">
        <v>2578</v>
      </c>
      <c r="B423" s="1605"/>
      <c r="C423" s="1887"/>
      <c r="D423" s="1090" t="s">
        <v>2552</v>
      </c>
      <c r="E423" s="1070">
        <v>35000</v>
      </c>
      <c r="F423" s="1091">
        <v>0.8</v>
      </c>
      <c r="G423" s="1070">
        <f>E423/F423</f>
        <v>43750</v>
      </c>
    </row>
    <row r="424" spans="1:7" ht="14.25" customHeight="1">
      <c r="A424" s="2099"/>
      <c r="B424" s="1608"/>
      <c r="C424" s="1888"/>
      <c r="D424" s="1092"/>
      <c r="E424" s="1089"/>
      <c r="F424" s="1096"/>
      <c r="G424" s="1089">
        <f>E424*F424</f>
        <v>0</v>
      </c>
    </row>
    <row r="425" spans="1:7" ht="14.25" customHeight="1">
      <c r="A425" s="1"/>
      <c r="B425" s="1"/>
      <c r="C425" s="1"/>
      <c r="D425" s="2103" t="s">
        <v>2554</v>
      </c>
      <c r="E425" s="1605"/>
      <c r="F425" s="1605"/>
      <c r="G425" s="1080">
        <f>SUM(G423:G424)</f>
        <v>43750</v>
      </c>
    </row>
    <row r="426" spans="1:7" ht="14.25" customHeight="1">
      <c r="A426" s="1" t="s">
        <v>2555</v>
      </c>
      <c r="B426" s="1"/>
      <c r="C426" s="1"/>
      <c r="D426" s="1"/>
      <c r="E426" s="1"/>
      <c r="F426" s="1"/>
      <c r="G426" s="1"/>
    </row>
    <row r="427" spans="1:7" ht="14.25" customHeight="1">
      <c r="A427" s="14" t="s">
        <v>376</v>
      </c>
      <c r="B427" s="14" t="s">
        <v>2526</v>
      </c>
      <c r="C427" s="2107" t="s">
        <v>2556</v>
      </c>
      <c r="D427" s="1610"/>
      <c r="E427" s="1611"/>
      <c r="F427" s="19" t="s">
        <v>2557</v>
      </c>
      <c r="G427" s="14" t="s">
        <v>2550</v>
      </c>
    </row>
    <row r="428" spans="1:7" ht="14.25" customHeight="1">
      <c r="A428" s="1093" t="s">
        <v>2558</v>
      </c>
      <c r="B428" s="1093" t="s">
        <v>2596</v>
      </c>
      <c r="C428" s="2104">
        <f>+'MANO DE OBRA'!E71</f>
        <v>20292.1875</v>
      </c>
      <c r="D428" s="2036"/>
      <c r="E428" s="2078"/>
      <c r="F428" s="1095">
        <v>5.5</v>
      </c>
      <c r="G428" s="1094">
        <f t="shared" ref="G428:G429" si="22">+C428*F428</f>
        <v>111607.03125</v>
      </c>
    </row>
    <row r="429" spans="1:7" ht="14.25" customHeight="1">
      <c r="A429" s="1092" t="s">
        <v>2559</v>
      </c>
      <c r="B429" s="1092" t="s">
        <v>2596</v>
      </c>
      <c r="C429" s="2104">
        <f>+'MANO DE OBRA'!E72</f>
        <v>14813.296875000002</v>
      </c>
      <c r="D429" s="2036"/>
      <c r="E429" s="2078"/>
      <c r="F429" s="1096">
        <v>5.5</v>
      </c>
      <c r="G429" s="1089">
        <f t="shared" si="22"/>
        <v>81473.132812500015</v>
      </c>
    </row>
    <row r="430" spans="1:7" ht="14.25" customHeight="1">
      <c r="A430" s="1082"/>
      <c r="B430" s="1083"/>
      <c r="C430" s="1083"/>
      <c r="D430" s="2100" t="s">
        <v>2560</v>
      </c>
      <c r="E430" s="2036"/>
      <c r="F430" s="2036"/>
      <c r="G430" s="1084">
        <f>SUM(G428:GG429)</f>
        <v>193080.1640625</v>
      </c>
    </row>
    <row r="431" spans="1:7" ht="10.5" customHeight="1">
      <c r="A431" s="1085"/>
      <c r="B431" s="1"/>
      <c r="C431" s="1"/>
      <c r="D431" s="1"/>
      <c r="E431" s="1"/>
      <c r="F431" s="1"/>
      <c r="G431" s="1086"/>
    </row>
    <row r="432" spans="1:7" ht="14.25" customHeight="1">
      <c r="A432" s="1087"/>
      <c r="B432" s="386"/>
      <c r="C432" s="386"/>
      <c r="D432" s="2097" t="s">
        <v>2561</v>
      </c>
      <c r="E432" s="1608"/>
      <c r="F432" s="1608"/>
      <c r="G432" s="1088">
        <f>ROUND(G420+G425+G430,0)</f>
        <v>846240</v>
      </c>
    </row>
    <row r="434" spans="1:7" ht="14.25" hidden="1" customHeight="1">
      <c r="A434" s="2105" t="s">
        <v>2562</v>
      </c>
      <c r="B434" s="2036"/>
      <c r="C434" s="2036"/>
      <c r="D434" s="2036"/>
      <c r="E434" s="2036"/>
      <c r="F434" s="2036"/>
      <c r="G434" s="2078"/>
    </row>
    <row r="435" spans="1:7" ht="14.25" hidden="1" customHeight="1">
      <c r="A435" s="2106" t="s">
        <v>2523</v>
      </c>
      <c r="B435" s="1605"/>
      <c r="C435" s="1605"/>
      <c r="D435" s="1605"/>
      <c r="E435" s="1605"/>
      <c r="F435" s="1605"/>
      <c r="G435" s="1887"/>
    </row>
    <row r="436" spans="1:7" ht="18" hidden="1" customHeight="1">
      <c r="A436" s="2099" t="s">
        <v>2630</v>
      </c>
      <c r="B436" s="1608"/>
      <c r="C436" s="1608"/>
      <c r="D436" s="1608"/>
      <c r="E436" s="1608"/>
      <c r="F436" s="1608"/>
      <c r="G436" s="1888"/>
    </row>
    <row r="437" spans="1:7" ht="14.25" hidden="1" customHeight="1">
      <c r="A437" s="1"/>
      <c r="B437" s="1"/>
      <c r="C437" s="1"/>
      <c r="D437" s="1"/>
      <c r="E437" s="1"/>
      <c r="F437" s="19" t="s">
        <v>375</v>
      </c>
      <c r="G437" s="1097" t="s">
        <v>2631</v>
      </c>
    </row>
    <row r="438" spans="1:7" ht="14.25" hidden="1" customHeight="1">
      <c r="A438" s="1" t="s">
        <v>2525</v>
      </c>
      <c r="B438" s="1"/>
      <c r="C438" s="1"/>
      <c r="D438" s="1"/>
      <c r="E438" s="1"/>
      <c r="F438" s="1"/>
      <c r="G438" s="1"/>
    </row>
    <row r="439" spans="1:7" ht="14.25" hidden="1" customHeight="1">
      <c r="A439" s="2107" t="s">
        <v>1218</v>
      </c>
      <c r="B439" s="1610"/>
      <c r="C439" s="1611"/>
      <c r="D439" s="19" t="s">
        <v>2526</v>
      </c>
      <c r="E439" s="19" t="s">
        <v>2527</v>
      </c>
      <c r="F439" s="19" t="s">
        <v>673</v>
      </c>
      <c r="G439" s="1068" t="s">
        <v>2528</v>
      </c>
    </row>
    <row r="440" spans="1:7" ht="15" hidden="1" customHeight="1">
      <c r="A440" s="2111" t="s">
        <v>2632</v>
      </c>
      <c r="B440" s="2036"/>
      <c r="C440" s="2078"/>
      <c r="D440" s="1069" t="s">
        <v>910</v>
      </c>
      <c r="E440" s="1070">
        <v>9800</v>
      </c>
      <c r="F440" s="1069">
        <v>1</v>
      </c>
      <c r="G440" s="1071">
        <f t="shared" ref="G440:G448" si="23">E440*F440</f>
        <v>9800</v>
      </c>
    </row>
    <row r="441" spans="1:7" ht="14.25" hidden="1" customHeight="1">
      <c r="A441" s="2112" t="s">
        <v>2633</v>
      </c>
      <c r="B441" s="1605"/>
      <c r="C441" s="1887"/>
      <c r="D441" s="1069" t="s">
        <v>120</v>
      </c>
      <c r="E441" s="1070">
        <v>880</v>
      </c>
      <c r="F441" s="1069">
        <v>3.05</v>
      </c>
      <c r="G441" s="1071">
        <f t="shared" si="23"/>
        <v>2684</v>
      </c>
    </row>
    <row r="442" spans="1:7" ht="14.25" hidden="1" customHeight="1">
      <c r="A442" s="2098" t="s">
        <v>2634</v>
      </c>
      <c r="B442" s="1605"/>
      <c r="C442" s="1887"/>
      <c r="D442" s="1069" t="s">
        <v>910</v>
      </c>
      <c r="E442" s="1070">
        <v>160</v>
      </c>
      <c r="F442" s="1069">
        <v>4</v>
      </c>
      <c r="G442" s="1071">
        <f t="shared" si="23"/>
        <v>640</v>
      </c>
    </row>
    <row r="443" spans="1:7" ht="14.25" hidden="1" customHeight="1">
      <c r="A443" s="2098" t="s">
        <v>2635</v>
      </c>
      <c r="B443" s="1605"/>
      <c r="C443" s="1887"/>
      <c r="D443" s="1069" t="s">
        <v>120</v>
      </c>
      <c r="E443" s="1070">
        <v>650</v>
      </c>
      <c r="F443" s="1069">
        <v>4.4000000000000004</v>
      </c>
      <c r="G443" s="1071">
        <f t="shared" si="23"/>
        <v>2860.0000000000005</v>
      </c>
    </row>
    <row r="444" spans="1:7" ht="14.25" hidden="1" customHeight="1">
      <c r="A444" s="2098" t="s">
        <v>2636</v>
      </c>
      <c r="B444" s="1605"/>
      <c r="C444" s="1887"/>
      <c r="D444" s="1069" t="s">
        <v>120</v>
      </c>
      <c r="E444" s="1070">
        <v>980</v>
      </c>
      <c r="F444" s="1069">
        <v>8.8000000000000007</v>
      </c>
      <c r="G444" s="1071">
        <f t="shared" si="23"/>
        <v>8624</v>
      </c>
    </row>
    <row r="445" spans="1:7" ht="14.25" hidden="1" customHeight="1">
      <c r="A445" s="2098" t="s">
        <v>2637</v>
      </c>
      <c r="B445" s="1605"/>
      <c r="C445" s="1887"/>
      <c r="D445" s="1069" t="s">
        <v>910</v>
      </c>
      <c r="E445" s="1070">
        <v>410</v>
      </c>
      <c r="F445" s="1069">
        <v>0.5</v>
      </c>
      <c r="G445" s="1071">
        <f t="shared" si="23"/>
        <v>205</v>
      </c>
    </row>
    <row r="446" spans="1:7" ht="14.25" hidden="1" customHeight="1">
      <c r="A446" s="2098" t="s">
        <v>2638</v>
      </c>
      <c r="B446" s="1605"/>
      <c r="C446" s="1887"/>
      <c r="D446" s="1069" t="s">
        <v>910</v>
      </c>
      <c r="E446" s="1070">
        <v>530</v>
      </c>
      <c r="F446" s="1069">
        <v>1</v>
      </c>
      <c r="G446" s="1071">
        <f t="shared" si="23"/>
        <v>530</v>
      </c>
    </row>
    <row r="447" spans="1:7" ht="14.25" hidden="1" customHeight="1">
      <c r="A447" s="2098" t="s">
        <v>2639</v>
      </c>
      <c r="B447" s="1605"/>
      <c r="C447" s="1887"/>
      <c r="D447" s="1069" t="s">
        <v>910</v>
      </c>
      <c r="E447" s="1070">
        <v>3020</v>
      </c>
      <c r="F447" s="1069">
        <v>0.5</v>
      </c>
      <c r="G447" s="1071">
        <f t="shared" si="23"/>
        <v>1510</v>
      </c>
    </row>
    <row r="448" spans="1:7" ht="14.25" hidden="1" customHeight="1">
      <c r="A448" s="2098" t="s">
        <v>2640</v>
      </c>
      <c r="B448" s="1605"/>
      <c r="C448" s="1887"/>
      <c r="D448" s="1069" t="s">
        <v>910</v>
      </c>
      <c r="E448" s="1070">
        <v>2400</v>
      </c>
      <c r="F448" s="1069">
        <v>1</v>
      </c>
      <c r="G448" s="1071">
        <f t="shared" si="23"/>
        <v>2400</v>
      </c>
    </row>
    <row r="449" spans="1:7" ht="14.25" hidden="1" customHeight="1">
      <c r="A449" s="2098"/>
      <c r="B449" s="1605"/>
      <c r="C449" s="1887"/>
      <c r="D449" s="1069"/>
      <c r="E449" s="1070"/>
      <c r="F449" s="1069"/>
      <c r="G449" s="1071"/>
    </row>
    <row r="450" spans="1:7" ht="14.25" hidden="1" customHeight="1">
      <c r="A450" s="2098"/>
      <c r="B450" s="1605"/>
      <c r="C450" s="1887"/>
      <c r="D450" s="1069"/>
      <c r="E450" s="1070"/>
      <c r="F450" s="1069"/>
      <c r="G450" s="1071"/>
    </row>
    <row r="451" spans="1:7" ht="14.25" hidden="1" customHeight="1">
      <c r="A451" s="2098"/>
      <c r="B451" s="1605"/>
      <c r="C451" s="1887"/>
      <c r="D451" s="1069"/>
      <c r="E451" s="1070"/>
      <c r="F451" s="1069"/>
      <c r="G451" s="1071"/>
    </row>
    <row r="452" spans="1:7" ht="14.25" hidden="1" customHeight="1">
      <c r="A452" s="2098"/>
      <c r="B452" s="1605"/>
      <c r="C452" s="1887"/>
      <c r="D452" s="1069"/>
      <c r="E452" s="1070"/>
      <c r="F452" s="1069"/>
      <c r="G452" s="1071"/>
    </row>
    <row r="453" spans="1:7" ht="14.25" hidden="1" customHeight="1">
      <c r="A453" s="2098"/>
      <c r="B453" s="1605"/>
      <c r="C453" s="1887"/>
      <c r="D453" s="1069"/>
      <c r="E453" s="1070"/>
      <c r="F453" s="1069"/>
      <c r="G453" s="1071"/>
    </row>
    <row r="454" spans="1:7" ht="14.25" hidden="1" customHeight="1">
      <c r="A454" s="2098"/>
      <c r="B454" s="1605"/>
      <c r="C454" s="1887"/>
      <c r="D454" s="1069"/>
      <c r="E454" s="1070"/>
      <c r="F454" s="1069"/>
      <c r="G454" s="1071"/>
    </row>
    <row r="455" spans="1:7" ht="14.25" hidden="1" customHeight="1">
      <c r="A455" s="2099"/>
      <c r="B455" s="1608"/>
      <c r="C455" s="1888"/>
      <c r="D455" s="1072"/>
      <c r="E455" s="1089"/>
      <c r="F455" s="1072"/>
      <c r="G455" s="1073"/>
    </row>
    <row r="456" spans="1:7" ht="14.25" hidden="1" customHeight="1">
      <c r="A456" s="1"/>
      <c r="B456" s="1"/>
      <c r="C456" s="1"/>
      <c r="D456" s="2100" t="s">
        <v>2546</v>
      </c>
      <c r="E456" s="2036"/>
      <c r="F456" s="2036"/>
      <c r="G456" s="4">
        <f>SUM(G440:G455)</f>
        <v>29253</v>
      </c>
    </row>
    <row r="457" spans="1:7" ht="14.25" hidden="1" customHeight="1">
      <c r="A457" s="1" t="s">
        <v>2547</v>
      </c>
      <c r="B457" s="1"/>
      <c r="C457" s="1"/>
      <c r="D457" s="1"/>
      <c r="E457" s="1"/>
      <c r="F457" s="1"/>
      <c r="G457" s="1"/>
    </row>
    <row r="458" spans="1:7" ht="14.25" hidden="1" customHeight="1">
      <c r="A458" s="2101" t="s">
        <v>376</v>
      </c>
      <c r="B458" s="1610"/>
      <c r="C458" s="1611"/>
      <c r="D458" s="19" t="s">
        <v>2526</v>
      </c>
      <c r="E458" s="19" t="s">
        <v>2548</v>
      </c>
      <c r="F458" s="14" t="s">
        <v>2549</v>
      </c>
      <c r="G458" s="14" t="s">
        <v>2550</v>
      </c>
    </row>
    <row r="459" spans="1:7" ht="14.25" hidden="1" customHeight="1">
      <c r="A459" s="2098" t="s">
        <v>2578</v>
      </c>
      <c r="B459" s="1605"/>
      <c r="C459" s="1887"/>
      <c r="D459" s="1090" t="s">
        <v>2552</v>
      </c>
      <c r="E459" s="1070">
        <v>30000</v>
      </c>
      <c r="F459" s="1091">
        <v>4</v>
      </c>
      <c r="G459" s="1070">
        <f>E459/F459</f>
        <v>7500</v>
      </c>
    </row>
    <row r="460" spans="1:7" ht="14.25" hidden="1" customHeight="1">
      <c r="A460" s="2099"/>
      <c r="B460" s="1608"/>
      <c r="C460" s="1888"/>
      <c r="D460" s="1092"/>
      <c r="E460" s="1089"/>
      <c r="F460" s="1096"/>
      <c r="G460" s="1089">
        <f>E460*F460</f>
        <v>0</v>
      </c>
    </row>
    <row r="461" spans="1:7" ht="14.25" hidden="1" customHeight="1">
      <c r="A461" s="1"/>
      <c r="B461" s="1"/>
      <c r="C461" s="1"/>
      <c r="D461" s="2103" t="s">
        <v>2554</v>
      </c>
      <c r="E461" s="1605"/>
      <c r="F461" s="1605"/>
      <c r="G461" s="1080">
        <f>SUM(G459:G460)</f>
        <v>7500</v>
      </c>
    </row>
    <row r="462" spans="1:7" ht="14.25" hidden="1" customHeight="1">
      <c r="A462" s="1" t="s">
        <v>2555</v>
      </c>
      <c r="B462" s="1"/>
      <c r="C462" s="1"/>
      <c r="D462" s="1"/>
      <c r="E462" s="1"/>
      <c r="F462" s="1"/>
      <c r="G462" s="1"/>
    </row>
    <row r="463" spans="1:7" ht="14.25" hidden="1" customHeight="1">
      <c r="A463" s="14" t="s">
        <v>376</v>
      </c>
      <c r="B463" s="14" t="s">
        <v>2526</v>
      </c>
      <c r="C463" s="19" t="s">
        <v>1855</v>
      </c>
      <c r="D463" s="14" t="s">
        <v>2581</v>
      </c>
      <c r="E463" s="14" t="s">
        <v>2582</v>
      </c>
      <c r="F463" s="19" t="s">
        <v>2557</v>
      </c>
      <c r="G463" s="14" t="s">
        <v>2550</v>
      </c>
    </row>
    <row r="464" spans="1:7" ht="14.25" hidden="1" customHeight="1">
      <c r="A464" s="1093" t="s">
        <v>2558</v>
      </c>
      <c r="B464" s="1093" t="s">
        <v>2583</v>
      </c>
      <c r="C464" s="1094">
        <v>40000</v>
      </c>
      <c r="D464" s="1094">
        <v>31618</v>
      </c>
      <c r="E464" s="1094">
        <v>71618</v>
      </c>
      <c r="F464" s="1095">
        <v>4</v>
      </c>
      <c r="G464" s="1094">
        <f t="shared" ref="G464:G465" si="24">E464/F464</f>
        <v>17904.5</v>
      </c>
    </row>
    <row r="465" spans="1:7" ht="14.25" hidden="1" customHeight="1">
      <c r="A465" s="1092" t="s">
        <v>2559</v>
      </c>
      <c r="B465" s="1092" t="s">
        <v>2583</v>
      </c>
      <c r="C465" s="1089">
        <v>22500</v>
      </c>
      <c r="D465" s="1089">
        <v>17785</v>
      </c>
      <c r="E465" s="1089">
        <v>40285</v>
      </c>
      <c r="F465" s="1096">
        <f>F464</f>
        <v>4</v>
      </c>
      <c r="G465" s="1089">
        <f t="shared" si="24"/>
        <v>10071.25</v>
      </c>
    </row>
    <row r="466" spans="1:7" ht="14.25" hidden="1" customHeight="1">
      <c r="A466" s="1082"/>
      <c r="B466" s="1083"/>
      <c r="C466" s="1083"/>
      <c r="D466" s="2100" t="s">
        <v>2560</v>
      </c>
      <c r="E466" s="2036"/>
      <c r="F466" s="2036"/>
      <c r="G466" s="1084">
        <f>SUM(G464:GG465)</f>
        <v>27975.75</v>
      </c>
    </row>
    <row r="467" spans="1:7" ht="10.5" hidden="1" customHeight="1">
      <c r="A467" s="1085"/>
      <c r="B467" s="1"/>
      <c r="C467" s="1"/>
      <c r="D467" s="1"/>
      <c r="E467" s="1"/>
      <c r="F467" s="1"/>
      <c r="G467" s="1086"/>
    </row>
    <row r="468" spans="1:7" ht="14.25" hidden="1" customHeight="1">
      <c r="A468" s="1087"/>
      <c r="B468" s="386"/>
      <c r="C468" s="386"/>
      <c r="D468" s="2097" t="s">
        <v>2561</v>
      </c>
      <c r="E468" s="1608"/>
      <c r="F468" s="1608"/>
      <c r="G468" s="1088">
        <f>ROUND(G456+G461+G466,0)</f>
        <v>64729</v>
      </c>
    </row>
    <row r="469" spans="1:7" ht="14.25" customHeight="1">
      <c r="A469" s="1"/>
      <c r="B469" s="1"/>
      <c r="C469" s="1"/>
      <c r="D469" s="1"/>
      <c r="E469" s="1"/>
      <c r="F469" s="1"/>
      <c r="G469" s="1"/>
    </row>
    <row r="470" spans="1:7" ht="14.25" customHeight="1">
      <c r="A470" s="2105" t="str">
        <f>+A398</f>
        <v>ANALISIS DE PRECIOS UNITARIOS -   POLIDEPORTIVO CUBIERTO AUTOPORTANTE</v>
      </c>
      <c r="B470" s="2036"/>
      <c r="C470" s="2036"/>
      <c r="D470" s="2036"/>
      <c r="E470" s="2036"/>
      <c r="F470" s="2036"/>
      <c r="G470" s="2078"/>
    </row>
    <row r="471" spans="1:7" ht="14.25" customHeight="1">
      <c r="A471" s="2106" t="s">
        <v>2523</v>
      </c>
      <c r="B471" s="1605"/>
      <c r="C471" s="1605"/>
      <c r="D471" s="1605"/>
      <c r="E471" s="1605"/>
      <c r="F471" s="1605"/>
      <c r="G471" s="1887"/>
    </row>
    <row r="472" spans="1:7" ht="18" customHeight="1">
      <c r="A472" s="2099" t="s">
        <v>2641</v>
      </c>
      <c r="B472" s="1608"/>
      <c r="C472" s="1608"/>
      <c r="D472" s="1608"/>
      <c r="E472" s="1608"/>
      <c r="F472" s="1608"/>
      <c r="G472" s="1888"/>
    </row>
    <row r="473" spans="1:7" ht="14.25" customHeight="1">
      <c r="A473" s="1"/>
      <c r="B473" s="1"/>
      <c r="C473" s="1"/>
      <c r="D473" s="1"/>
      <c r="E473" s="1"/>
      <c r="F473" s="19" t="s">
        <v>375</v>
      </c>
      <c r="G473" s="1097" t="s">
        <v>66</v>
      </c>
    </row>
    <row r="474" spans="1:7" ht="14.25" customHeight="1">
      <c r="A474" s="1" t="s">
        <v>2525</v>
      </c>
      <c r="B474" s="1"/>
      <c r="C474" s="1"/>
      <c r="D474" s="1"/>
      <c r="E474" s="1"/>
      <c r="F474" s="1"/>
      <c r="G474" s="1"/>
    </row>
    <row r="475" spans="1:7" ht="14.25" customHeight="1">
      <c r="A475" s="2107" t="s">
        <v>1218</v>
      </c>
      <c r="B475" s="1610"/>
      <c r="C475" s="1611"/>
      <c r="D475" s="19" t="s">
        <v>2526</v>
      </c>
      <c r="E475" s="19" t="s">
        <v>2527</v>
      </c>
      <c r="F475" s="19" t="s">
        <v>673</v>
      </c>
      <c r="G475" s="1068" t="s">
        <v>2528</v>
      </c>
    </row>
    <row r="476" spans="1:7" ht="15" customHeight="1">
      <c r="A476" s="2111" t="s">
        <v>2642</v>
      </c>
      <c r="B476" s="2036"/>
      <c r="C476" s="2078"/>
      <c r="D476" s="1069" t="s">
        <v>910</v>
      </c>
      <c r="E476" s="1070">
        <f>+'insumos ELÉCTRICOS '!J17</f>
        <v>17900</v>
      </c>
      <c r="F476" s="1069">
        <v>1</v>
      </c>
      <c r="G476" s="1071">
        <f t="shared" ref="G476:G484" si="25">E476*F476</f>
        <v>17900</v>
      </c>
    </row>
    <row r="477" spans="1:7" ht="14.25" customHeight="1">
      <c r="A477" s="2112" t="s">
        <v>2633</v>
      </c>
      <c r="B477" s="1605"/>
      <c r="C477" s="1887"/>
      <c r="D477" s="1069" t="s">
        <v>120</v>
      </c>
      <c r="E477" s="1070">
        <f>+'insumos ELÉCTRICOS '!J6</f>
        <v>2502.7999999999997</v>
      </c>
      <c r="F477" s="1069">
        <v>3.05</v>
      </c>
      <c r="G477" s="1071">
        <f t="shared" si="25"/>
        <v>7633.5399999999991</v>
      </c>
    </row>
    <row r="478" spans="1:7" ht="14.25" customHeight="1">
      <c r="A478" s="2098" t="s">
        <v>2634</v>
      </c>
      <c r="B478" s="1605"/>
      <c r="C478" s="1887"/>
      <c r="D478" s="1069" t="s">
        <v>910</v>
      </c>
      <c r="E478" s="1070">
        <f>+'insumos ELÉCTRICOS '!I108</f>
        <v>420</v>
      </c>
      <c r="F478" s="1069">
        <v>4</v>
      </c>
      <c r="G478" s="1071">
        <f t="shared" si="25"/>
        <v>1680</v>
      </c>
    </row>
    <row r="479" spans="1:7" ht="14.25" customHeight="1">
      <c r="A479" s="2098" t="s">
        <v>2635</v>
      </c>
      <c r="B479" s="1605"/>
      <c r="C479" s="1887"/>
      <c r="D479" s="1069" t="s">
        <v>120</v>
      </c>
      <c r="E479" s="1070">
        <f>+'insumos ELÉCTRICOS '!I109</f>
        <v>1980</v>
      </c>
      <c r="F479" s="1069">
        <v>9.5</v>
      </c>
      <c r="G479" s="1071">
        <f t="shared" si="25"/>
        <v>18810</v>
      </c>
    </row>
    <row r="480" spans="1:7" ht="14.25" customHeight="1">
      <c r="A480" s="2098" t="s">
        <v>2636</v>
      </c>
      <c r="B480" s="1605"/>
      <c r="C480" s="1887"/>
      <c r="D480" s="1069" t="s">
        <v>120</v>
      </c>
      <c r="E480" s="1070">
        <f>+'insumos ELÉCTRICOS '!J110</f>
        <v>2218</v>
      </c>
      <c r="F480" s="1069">
        <v>19</v>
      </c>
      <c r="G480" s="1071">
        <f t="shared" si="25"/>
        <v>42142</v>
      </c>
    </row>
    <row r="481" spans="1:7" ht="14.25" customHeight="1">
      <c r="A481" s="2098" t="s">
        <v>2626</v>
      </c>
      <c r="B481" s="1605"/>
      <c r="C481" s="1887"/>
      <c r="D481" s="1069" t="s">
        <v>910</v>
      </c>
      <c r="E481" s="1070">
        <f>+'insumos ELÉCTRICOS '!J104</f>
        <v>4200</v>
      </c>
      <c r="F481" s="1069">
        <v>1</v>
      </c>
      <c r="G481" s="1071">
        <f t="shared" si="25"/>
        <v>4200</v>
      </c>
    </row>
    <row r="482" spans="1:7" ht="14.25" customHeight="1">
      <c r="A482" s="2098" t="s">
        <v>2643</v>
      </c>
      <c r="B482" s="1605"/>
      <c r="C482" s="1887"/>
      <c r="D482" s="1069" t="s">
        <v>910</v>
      </c>
      <c r="E482" s="1070">
        <f>+'insumos ELÉCTRICOS '!J111</f>
        <v>17500</v>
      </c>
      <c r="F482" s="1069">
        <v>1</v>
      </c>
      <c r="G482" s="1071">
        <f t="shared" si="25"/>
        <v>17500</v>
      </c>
    </row>
    <row r="483" spans="1:7" ht="14.25" customHeight="1">
      <c r="A483" s="2098"/>
      <c r="B483" s="1605"/>
      <c r="C483" s="1887"/>
      <c r="D483" s="1069"/>
      <c r="E483" s="1070"/>
      <c r="F483" s="1069"/>
      <c r="G483" s="1071">
        <f t="shared" si="25"/>
        <v>0</v>
      </c>
    </row>
    <row r="484" spans="1:7" ht="14.25" customHeight="1">
      <c r="A484" s="2098"/>
      <c r="B484" s="1605"/>
      <c r="C484" s="1887"/>
      <c r="D484" s="1069"/>
      <c r="E484" s="1070"/>
      <c r="F484" s="1069"/>
      <c r="G484" s="1071">
        <f t="shared" si="25"/>
        <v>0</v>
      </c>
    </row>
    <row r="485" spans="1:7" ht="14.25" customHeight="1">
      <c r="A485" s="2098"/>
      <c r="B485" s="1605"/>
      <c r="C485" s="1887"/>
      <c r="D485" s="1069"/>
      <c r="E485" s="1070"/>
      <c r="F485" s="1069"/>
      <c r="G485" s="1071"/>
    </row>
    <row r="486" spans="1:7" ht="14.25" customHeight="1">
      <c r="A486" s="2098"/>
      <c r="B486" s="1605"/>
      <c r="C486" s="1887"/>
      <c r="D486" s="1069"/>
      <c r="E486" s="1070"/>
      <c r="F486" s="1069"/>
      <c r="G486" s="1071"/>
    </row>
    <row r="487" spans="1:7" ht="14.25" customHeight="1">
      <c r="A487" s="2098"/>
      <c r="B487" s="1605"/>
      <c r="C487" s="1887"/>
      <c r="D487" s="1069"/>
      <c r="E487" s="1070"/>
      <c r="F487" s="1069"/>
      <c r="G487" s="1071"/>
    </row>
    <row r="488" spans="1:7" ht="14.25" customHeight="1">
      <c r="A488" s="2098"/>
      <c r="B488" s="1605"/>
      <c r="C488" s="1887"/>
      <c r="D488" s="1069"/>
      <c r="E488" s="1070"/>
      <c r="F488" s="1069"/>
      <c r="G488" s="1071"/>
    </row>
    <row r="489" spans="1:7" ht="14.25" customHeight="1">
      <c r="A489" s="2098"/>
      <c r="B489" s="1605"/>
      <c r="C489" s="1887"/>
      <c r="D489" s="1069"/>
      <c r="E489" s="1070"/>
      <c r="F489" s="1069"/>
      <c r="G489" s="1071"/>
    </row>
    <row r="490" spans="1:7" ht="14.25" customHeight="1">
      <c r="A490" s="2098"/>
      <c r="B490" s="1605"/>
      <c r="C490" s="1887"/>
      <c r="D490" s="1069"/>
      <c r="E490" s="1070"/>
      <c r="F490" s="1069"/>
      <c r="G490" s="1071"/>
    </row>
    <row r="491" spans="1:7" ht="14.25" customHeight="1">
      <c r="A491" s="2099"/>
      <c r="B491" s="1608"/>
      <c r="C491" s="1888"/>
      <c r="D491" s="1072"/>
      <c r="E491" s="1089"/>
      <c r="F491" s="1072"/>
      <c r="G491" s="1073"/>
    </row>
    <row r="492" spans="1:7" ht="14.25" customHeight="1">
      <c r="A492" s="1"/>
      <c r="B492" s="1"/>
      <c r="C492" s="1"/>
      <c r="D492" s="2100" t="s">
        <v>2546</v>
      </c>
      <c r="E492" s="2036"/>
      <c r="F492" s="2036"/>
      <c r="G492" s="4">
        <f>SUM(G476:G491)</f>
        <v>109865.54000000001</v>
      </c>
    </row>
    <row r="493" spans="1:7" ht="14.25" customHeight="1">
      <c r="A493" s="1" t="s">
        <v>2547</v>
      </c>
      <c r="B493" s="1"/>
      <c r="C493" s="1"/>
      <c r="D493" s="1"/>
      <c r="E493" s="1"/>
      <c r="F493" s="1"/>
      <c r="G493" s="1"/>
    </row>
    <row r="494" spans="1:7" ht="14.25" customHeight="1">
      <c r="A494" s="2101" t="s">
        <v>376</v>
      </c>
      <c r="B494" s="1610"/>
      <c r="C494" s="1611"/>
      <c r="D494" s="19" t="s">
        <v>2526</v>
      </c>
      <c r="E494" s="19" t="s">
        <v>2548</v>
      </c>
      <c r="F494" s="14" t="s">
        <v>2549</v>
      </c>
      <c r="G494" s="14" t="s">
        <v>2550</v>
      </c>
    </row>
    <row r="495" spans="1:7" ht="14.25" customHeight="1">
      <c r="A495" s="2098" t="s">
        <v>2578</v>
      </c>
      <c r="B495" s="1605"/>
      <c r="C495" s="1887"/>
      <c r="D495" s="1090" t="s">
        <v>2552</v>
      </c>
      <c r="E495" s="1070">
        <v>30000</v>
      </c>
      <c r="F495" s="1091">
        <v>4</v>
      </c>
      <c r="G495" s="1070">
        <f>E495/F495</f>
        <v>7500</v>
      </c>
    </row>
    <row r="496" spans="1:7" ht="14.25" customHeight="1">
      <c r="A496" s="2099"/>
      <c r="B496" s="1608"/>
      <c r="C496" s="1888"/>
      <c r="D496" s="1092"/>
      <c r="E496" s="1089"/>
      <c r="F496" s="1096"/>
      <c r="G496" s="1089">
        <f>E496*F496</f>
        <v>0</v>
      </c>
    </row>
    <row r="497" spans="1:7" ht="14.25" customHeight="1">
      <c r="A497" s="1"/>
      <c r="B497" s="1"/>
      <c r="C497" s="1"/>
      <c r="D497" s="2103" t="s">
        <v>2554</v>
      </c>
      <c r="E497" s="1605"/>
      <c r="F497" s="1605"/>
      <c r="G497" s="1080">
        <f>SUM(G495:G496)</f>
        <v>7500</v>
      </c>
    </row>
    <row r="498" spans="1:7" ht="14.25" customHeight="1">
      <c r="A498" s="1" t="s">
        <v>2555</v>
      </c>
      <c r="B498" s="1"/>
      <c r="C498" s="1"/>
      <c r="D498" s="1"/>
      <c r="E498" s="1"/>
      <c r="F498" s="1"/>
      <c r="G498" s="1"/>
    </row>
    <row r="499" spans="1:7" ht="14.25" customHeight="1">
      <c r="A499" s="14" t="s">
        <v>376</v>
      </c>
      <c r="B499" s="14" t="s">
        <v>2526</v>
      </c>
      <c r="C499" s="2107" t="s">
        <v>2556</v>
      </c>
      <c r="D499" s="1610"/>
      <c r="E499" s="1611"/>
      <c r="F499" s="19" t="s">
        <v>2557</v>
      </c>
      <c r="G499" s="14" t="s">
        <v>2550</v>
      </c>
    </row>
    <row r="500" spans="1:7" ht="14.25" customHeight="1">
      <c r="A500" s="1093" t="s">
        <v>2558</v>
      </c>
      <c r="B500" s="1093" t="s">
        <v>2596</v>
      </c>
      <c r="C500" s="2104">
        <f>+'MANO DE OBRA'!E71</f>
        <v>20292.1875</v>
      </c>
      <c r="D500" s="2036"/>
      <c r="E500" s="2078"/>
      <c r="F500" s="1095">
        <v>1.5</v>
      </c>
      <c r="G500" s="1094">
        <f t="shared" ref="G500:G501" si="26">+C500*F500</f>
        <v>30438.28125</v>
      </c>
    </row>
    <row r="501" spans="1:7" ht="14.25" customHeight="1">
      <c r="A501" s="1092" t="s">
        <v>2559</v>
      </c>
      <c r="B501" s="1092" t="s">
        <v>2596</v>
      </c>
      <c r="C501" s="2104">
        <f>+'MANO DE OBRA'!E72</f>
        <v>14813.296875000002</v>
      </c>
      <c r="D501" s="2036"/>
      <c r="E501" s="2078"/>
      <c r="F501" s="1096">
        <v>1.5</v>
      </c>
      <c r="G501" s="1094">
        <f t="shared" si="26"/>
        <v>22219.945312500004</v>
      </c>
    </row>
    <row r="502" spans="1:7" ht="14.25" customHeight="1">
      <c r="A502" s="1082"/>
      <c r="B502" s="1083"/>
      <c r="C502" s="1083"/>
      <c r="D502" s="2100" t="s">
        <v>2560</v>
      </c>
      <c r="E502" s="2036"/>
      <c r="F502" s="2036"/>
      <c r="G502" s="1084">
        <f>SUM(G500:GG501)</f>
        <v>52658.2265625</v>
      </c>
    </row>
    <row r="503" spans="1:7" ht="10.5" customHeight="1">
      <c r="A503" s="1085"/>
      <c r="B503" s="1"/>
      <c r="C503" s="1"/>
      <c r="D503" s="1"/>
      <c r="E503" s="1"/>
      <c r="F503" s="1"/>
      <c r="G503" s="1086"/>
    </row>
    <row r="504" spans="1:7" ht="14.25" customHeight="1">
      <c r="A504" s="1087"/>
      <c r="B504" s="386"/>
      <c r="C504" s="386"/>
      <c r="D504" s="2097" t="s">
        <v>2561</v>
      </c>
      <c r="E504" s="1608"/>
      <c r="F504" s="1608"/>
      <c r="G504" s="1088">
        <f>ROUND(G492+G497+G502,0)</f>
        <v>170024</v>
      </c>
    </row>
    <row r="505" spans="1:7" ht="14.25" hidden="1" customHeight="1">
      <c r="A505" s="1"/>
      <c r="B505" s="1"/>
      <c r="C505" s="1"/>
      <c r="D505" s="1"/>
      <c r="E505" s="1"/>
      <c r="F505" s="1"/>
      <c r="G505" s="1"/>
    </row>
    <row r="506" spans="1:7" ht="14.25" hidden="1" customHeight="1">
      <c r="A506" s="2105" t="s">
        <v>2562</v>
      </c>
      <c r="B506" s="2036"/>
      <c r="C506" s="2036"/>
      <c r="D506" s="2036"/>
      <c r="E506" s="2036"/>
      <c r="F506" s="2036"/>
      <c r="G506" s="2078"/>
    </row>
    <row r="507" spans="1:7" ht="14.25" hidden="1" customHeight="1">
      <c r="A507" s="2106" t="s">
        <v>2523</v>
      </c>
      <c r="B507" s="1605"/>
      <c r="C507" s="1605"/>
      <c r="D507" s="1605"/>
      <c r="E507" s="1605"/>
      <c r="F507" s="1605"/>
      <c r="G507" s="1887"/>
    </row>
    <row r="508" spans="1:7" ht="18" hidden="1" customHeight="1">
      <c r="A508" s="2099" t="s">
        <v>2644</v>
      </c>
      <c r="B508" s="1608"/>
      <c r="C508" s="1608"/>
      <c r="D508" s="1608"/>
      <c r="E508" s="1608"/>
      <c r="F508" s="1608"/>
      <c r="G508" s="1888"/>
    </row>
    <row r="509" spans="1:7" ht="14.25" hidden="1" customHeight="1">
      <c r="A509" s="1"/>
      <c r="B509" s="1"/>
      <c r="C509" s="1"/>
      <c r="D509" s="1"/>
      <c r="E509" s="1"/>
      <c r="F509" s="19" t="s">
        <v>375</v>
      </c>
      <c r="G509" s="1097" t="s">
        <v>2645</v>
      </c>
    </row>
    <row r="510" spans="1:7" ht="14.25" hidden="1" customHeight="1">
      <c r="A510" s="1" t="s">
        <v>2525</v>
      </c>
      <c r="B510" s="1"/>
      <c r="C510" s="1"/>
      <c r="D510" s="1"/>
      <c r="E510" s="1"/>
      <c r="F510" s="1"/>
      <c r="G510" s="1"/>
    </row>
    <row r="511" spans="1:7" ht="14.25" hidden="1" customHeight="1">
      <c r="A511" s="2107" t="s">
        <v>1218</v>
      </c>
      <c r="B511" s="1610"/>
      <c r="C511" s="1611"/>
      <c r="D511" s="19" t="s">
        <v>2526</v>
      </c>
      <c r="E511" s="19" t="s">
        <v>2527</v>
      </c>
      <c r="F511" s="19" t="s">
        <v>673</v>
      </c>
      <c r="G511" s="1068" t="s">
        <v>2528</v>
      </c>
    </row>
    <row r="512" spans="1:7" ht="15" hidden="1" customHeight="1">
      <c r="A512" s="2111" t="s">
        <v>2646</v>
      </c>
      <c r="B512" s="2036"/>
      <c r="C512" s="2078"/>
      <c r="D512" s="1069" t="s">
        <v>910</v>
      </c>
      <c r="E512" s="1070">
        <v>39600</v>
      </c>
      <c r="F512" s="1069">
        <v>1</v>
      </c>
      <c r="G512" s="1071">
        <f t="shared" ref="G512:G520" si="27">E512*F512</f>
        <v>39600</v>
      </c>
    </row>
    <row r="513" spans="1:7" ht="14.25" hidden="1" customHeight="1">
      <c r="A513" s="2112" t="s">
        <v>2633</v>
      </c>
      <c r="B513" s="1605"/>
      <c r="C513" s="1887"/>
      <c r="D513" s="1069" t="s">
        <v>120</v>
      </c>
      <c r="E513" s="1070">
        <v>880</v>
      </c>
      <c r="F513" s="1069">
        <v>3.05</v>
      </c>
      <c r="G513" s="1071">
        <f t="shared" si="27"/>
        <v>2684</v>
      </c>
    </row>
    <row r="514" spans="1:7" ht="14.25" hidden="1" customHeight="1">
      <c r="A514" s="2098" t="s">
        <v>2634</v>
      </c>
      <c r="B514" s="1605"/>
      <c r="C514" s="1887"/>
      <c r="D514" s="1069" t="s">
        <v>910</v>
      </c>
      <c r="E514" s="1070">
        <v>160</v>
      </c>
      <c r="F514" s="1069">
        <v>2</v>
      </c>
      <c r="G514" s="1071">
        <f t="shared" si="27"/>
        <v>320</v>
      </c>
    </row>
    <row r="515" spans="1:7" ht="14.25" hidden="1" customHeight="1">
      <c r="A515" s="2098" t="s">
        <v>2635</v>
      </c>
      <c r="B515" s="1605"/>
      <c r="C515" s="1887"/>
      <c r="D515" s="1069" t="s">
        <v>120</v>
      </c>
      <c r="E515" s="1070">
        <v>650</v>
      </c>
      <c r="F515" s="1069">
        <v>3.2</v>
      </c>
      <c r="G515" s="1071">
        <f t="shared" si="27"/>
        <v>2080</v>
      </c>
    </row>
    <row r="516" spans="1:7" ht="14.25" hidden="1" customHeight="1">
      <c r="A516" s="2098" t="s">
        <v>2636</v>
      </c>
      <c r="B516" s="1605"/>
      <c r="C516" s="1887"/>
      <c r="D516" s="1069" t="s">
        <v>120</v>
      </c>
      <c r="E516" s="1070">
        <v>980</v>
      </c>
      <c r="F516" s="1069">
        <v>6.4</v>
      </c>
      <c r="G516" s="1071">
        <f t="shared" si="27"/>
        <v>6272</v>
      </c>
    </row>
    <row r="517" spans="1:7" ht="14.25" hidden="1" customHeight="1">
      <c r="A517" s="2098" t="s">
        <v>2640</v>
      </c>
      <c r="B517" s="1605"/>
      <c r="C517" s="1887"/>
      <c r="D517" s="1069" t="s">
        <v>899</v>
      </c>
      <c r="E517" s="1070">
        <v>2400</v>
      </c>
      <c r="F517" s="1069">
        <v>1</v>
      </c>
      <c r="G517" s="1071">
        <f t="shared" si="27"/>
        <v>2400</v>
      </c>
    </row>
    <row r="518" spans="1:7" ht="14.25" hidden="1" customHeight="1">
      <c r="A518" s="2098" t="s">
        <v>2626</v>
      </c>
      <c r="B518" s="1605"/>
      <c r="C518" s="1887"/>
      <c r="D518" s="1069" t="s">
        <v>910</v>
      </c>
      <c r="E518" s="1070">
        <v>660</v>
      </c>
      <c r="F518" s="1069">
        <v>1</v>
      </c>
      <c r="G518" s="1071">
        <f t="shared" si="27"/>
        <v>660</v>
      </c>
    </row>
    <row r="519" spans="1:7" ht="14.25" hidden="1" customHeight="1">
      <c r="A519" s="2098"/>
      <c r="B519" s="1605"/>
      <c r="C519" s="1887"/>
      <c r="D519" s="1069"/>
      <c r="E519" s="1070"/>
      <c r="F519" s="1069"/>
      <c r="G519" s="1071">
        <f t="shared" si="27"/>
        <v>0</v>
      </c>
    </row>
    <row r="520" spans="1:7" ht="14.25" hidden="1" customHeight="1">
      <c r="A520" s="2098"/>
      <c r="B520" s="1605"/>
      <c r="C520" s="1887"/>
      <c r="D520" s="1069"/>
      <c r="E520" s="1070"/>
      <c r="F520" s="1069"/>
      <c r="G520" s="1071">
        <f t="shared" si="27"/>
        <v>0</v>
      </c>
    </row>
    <row r="521" spans="1:7" ht="14.25" hidden="1" customHeight="1">
      <c r="A521" s="2098"/>
      <c r="B521" s="1605"/>
      <c r="C521" s="1887"/>
      <c r="D521" s="1069"/>
      <c r="E521" s="1070"/>
      <c r="F521" s="1069"/>
      <c r="G521" s="1071"/>
    </row>
    <row r="522" spans="1:7" ht="14.25" hidden="1" customHeight="1">
      <c r="A522" s="2098"/>
      <c r="B522" s="1605"/>
      <c r="C522" s="1887"/>
      <c r="D522" s="1069"/>
      <c r="E522" s="1070"/>
      <c r="F522" s="1069"/>
      <c r="G522" s="1071"/>
    </row>
    <row r="523" spans="1:7" ht="14.25" hidden="1" customHeight="1">
      <c r="A523" s="2098"/>
      <c r="B523" s="1605"/>
      <c r="C523" s="1887"/>
      <c r="D523" s="1069"/>
      <c r="E523" s="1070"/>
      <c r="F523" s="1069"/>
      <c r="G523" s="1071"/>
    </row>
    <row r="524" spans="1:7" ht="14.25" hidden="1" customHeight="1">
      <c r="A524" s="2098"/>
      <c r="B524" s="1605"/>
      <c r="C524" s="1887"/>
      <c r="D524" s="1069"/>
      <c r="E524" s="1070"/>
      <c r="F524" s="1069"/>
      <c r="G524" s="1071"/>
    </row>
    <row r="525" spans="1:7" ht="14.25" hidden="1" customHeight="1">
      <c r="A525" s="2098"/>
      <c r="B525" s="1605"/>
      <c r="C525" s="1887"/>
      <c r="D525" s="1069"/>
      <c r="E525" s="1070"/>
      <c r="F525" s="1069"/>
      <c r="G525" s="1071"/>
    </row>
    <row r="526" spans="1:7" ht="14.25" hidden="1" customHeight="1">
      <c r="A526" s="2098"/>
      <c r="B526" s="1605"/>
      <c r="C526" s="1887"/>
      <c r="D526" s="1069"/>
      <c r="E526" s="1070"/>
      <c r="F526" s="1069"/>
      <c r="G526" s="1071"/>
    </row>
    <row r="527" spans="1:7" ht="14.25" hidden="1" customHeight="1">
      <c r="A527" s="2099"/>
      <c r="B527" s="1608"/>
      <c r="C527" s="1888"/>
      <c r="D527" s="1072"/>
      <c r="E527" s="1089"/>
      <c r="F527" s="1072"/>
      <c r="G527" s="1073"/>
    </row>
    <row r="528" spans="1:7" ht="14.25" hidden="1" customHeight="1">
      <c r="A528" s="1"/>
      <c r="B528" s="1"/>
      <c r="C528" s="1"/>
      <c r="D528" s="2100" t="s">
        <v>2546</v>
      </c>
      <c r="E528" s="2036"/>
      <c r="F528" s="2036"/>
      <c r="G528" s="4">
        <f>SUM(G512:G527)</f>
        <v>54016</v>
      </c>
    </row>
    <row r="529" spans="1:7" ht="14.25" hidden="1" customHeight="1">
      <c r="A529" s="1" t="s">
        <v>2547</v>
      </c>
      <c r="B529" s="1"/>
      <c r="C529" s="1"/>
      <c r="D529" s="1"/>
      <c r="E529" s="1"/>
      <c r="F529" s="1"/>
      <c r="G529" s="1"/>
    </row>
    <row r="530" spans="1:7" ht="14.25" hidden="1" customHeight="1">
      <c r="A530" s="2101" t="s">
        <v>376</v>
      </c>
      <c r="B530" s="1610"/>
      <c r="C530" s="1611"/>
      <c r="D530" s="19" t="s">
        <v>2526</v>
      </c>
      <c r="E530" s="19" t="s">
        <v>2548</v>
      </c>
      <c r="F530" s="14" t="s">
        <v>2549</v>
      </c>
      <c r="G530" s="14" t="s">
        <v>2550</v>
      </c>
    </row>
    <row r="531" spans="1:7" ht="14.25" hidden="1" customHeight="1">
      <c r="A531" s="2098" t="s">
        <v>2578</v>
      </c>
      <c r="B531" s="1605"/>
      <c r="C531" s="1887"/>
      <c r="D531" s="1090" t="s">
        <v>2552</v>
      </c>
      <c r="E531" s="1070">
        <v>30000</v>
      </c>
      <c r="F531" s="1091">
        <v>4</v>
      </c>
      <c r="G531" s="1070">
        <f>E531/F531</f>
        <v>7500</v>
      </c>
    </row>
    <row r="532" spans="1:7" ht="14.25" hidden="1" customHeight="1">
      <c r="A532" s="2099"/>
      <c r="B532" s="1608"/>
      <c r="C532" s="1888"/>
      <c r="D532" s="1092"/>
      <c r="E532" s="1089"/>
      <c r="F532" s="1096"/>
      <c r="G532" s="1089">
        <f>E532*F532</f>
        <v>0</v>
      </c>
    </row>
    <row r="533" spans="1:7" ht="14.25" hidden="1" customHeight="1">
      <c r="A533" s="1"/>
      <c r="B533" s="1"/>
      <c r="C533" s="1"/>
      <c r="D533" s="2103" t="s">
        <v>2554</v>
      </c>
      <c r="E533" s="1605"/>
      <c r="F533" s="1605"/>
      <c r="G533" s="1080">
        <f>SUM(G531:G532)</f>
        <v>7500</v>
      </c>
    </row>
    <row r="534" spans="1:7" ht="14.25" hidden="1" customHeight="1">
      <c r="A534" s="1" t="s">
        <v>2555</v>
      </c>
      <c r="B534" s="1"/>
      <c r="C534" s="1"/>
      <c r="D534" s="1"/>
      <c r="E534" s="1"/>
      <c r="F534" s="1"/>
      <c r="G534" s="1"/>
    </row>
    <row r="535" spans="1:7" ht="14.25" hidden="1" customHeight="1">
      <c r="A535" s="14" t="s">
        <v>376</v>
      </c>
      <c r="B535" s="14" t="s">
        <v>2526</v>
      </c>
      <c r="C535" s="19" t="s">
        <v>1855</v>
      </c>
      <c r="D535" s="14" t="s">
        <v>2581</v>
      </c>
      <c r="E535" s="14" t="s">
        <v>2582</v>
      </c>
      <c r="F535" s="19" t="s">
        <v>2557</v>
      </c>
      <c r="G535" s="14" t="s">
        <v>2550</v>
      </c>
    </row>
    <row r="536" spans="1:7" ht="14.25" hidden="1" customHeight="1">
      <c r="A536" s="1093" t="s">
        <v>2558</v>
      </c>
      <c r="B536" s="1093" t="s">
        <v>2583</v>
      </c>
      <c r="C536" s="1094">
        <v>40000</v>
      </c>
      <c r="D536" s="1094">
        <v>31618</v>
      </c>
      <c r="E536" s="1094">
        <v>71618</v>
      </c>
      <c r="F536" s="1095">
        <v>4</v>
      </c>
      <c r="G536" s="1094">
        <f t="shared" ref="G536:G537" si="28">E536/F536</f>
        <v>17904.5</v>
      </c>
    </row>
    <row r="537" spans="1:7" ht="14.25" hidden="1" customHeight="1">
      <c r="A537" s="1092" t="s">
        <v>2559</v>
      </c>
      <c r="B537" s="1092" t="s">
        <v>2583</v>
      </c>
      <c r="C537" s="1089">
        <v>22500</v>
      </c>
      <c r="D537" s="1089">
        <v>17785</v>
      </c>
      <c r="E537" s="1089">
        <v>40285</v>
      </c>
      <c r="F537" s="1096">
        <f>F536</f>
        <v>4</v>
      </c>
      <c r="G537" s="1089">
        <f t="shared" si="28"/>
        <v>10071.25</v>
      </c>
    </row>
    <row r="538" spans="1:7" ht="14.25" hidden="1" customHeight="1">
      <c r="A538" s="1082"/>
      <c r="B538" s="1083"/>
      <c r="C538" s="1083"/>
      <c r="D538" s="2100" t="s">
        <v>2560</v>
      </c>
      <c r="E538" s="2036"/>
      <c r="F538" s="2036"/>
      <c r="G538" s="1084">
        <f>SUM(G536:GG537)</f>
        <v>27975.75</v>
      </c>
    </row>
    <row r="539" spans="1:7" ht="10.5" hidden="1" customHeight="1">
      <c r="A539" s="1085"/>
      <c r="B539" s="1"/>
      <c r="C539" s="1"/>
      <c r="D539" s="1"/>
      <c r="E539" s="1"/>
      <c r="F539" s="1"/>
      <c r="G539" s="1086"/>
    </row>
    <row r="540" spans="1:7" ht="14.25" hidden="1" customHeight="1">
      <c r="A540" s="1087"/>
      <c r="B540" s="386"/>
      <c r="C540" s="386"/>
      <c r="D540" s="2097" t="s">
        <v>2561</v>
      </c>
      <c r="E540" s="1608"/>
      <c r="F540" s="1608"/>
      <c r="G540" s="1088">
        <f>ROUND(G528+G533+G538,0)</f>
        <v>89492</v>
      </c>
    </row>
    <row r="541" spans="1:7" ht="14.25" customHeight="1">
      <c r="A541" s="1"/>
      <c r="B541" s="1"/>
      <c r="C541" s="1"/>
      <c r="D541" s="1"/>
      <c r="E541" s="1"/>
      <c r="F541" s="1"/>
      <c r="G541" s="1"/>
    </row>
    <row r="542" spans="1:7" ht="14.25" customHeight="1">
      <c r="A542" s="2105" t="str">
        <f>+A470</f>
        <v>ANALISIS DE PRECIOS UNITARIOS -   POLIDEPORTIVO CUBIERTO AUTOPORTANTE</v>
      </c>
      <c r="B542" s="2036"/>
      <c r="C542" s="2036"/>
      <c r="D542" s="2036"/>
      <c r="E542" s="2036"/>
      <c r="F542" s="2036"/>
      <c r="G542" s="2078"/>
    </row>
    <row r="543" spans="1:7" ht="14.25" customHeight="1">
      <c r="A543" s="2106" t="s">
        <v>2523</v>
      </c>
      <c r="B543" s="1605"/>
      <c r="C543" s="1605"/>
      <c r="D543" s="1605"/>
      <c r="E543" s="1605"/>
      <c r="F543" s="1605"/>
      <c r="G543" s="1887"/>
    </row>
    <row r="544" spans="1:7" ht="18" customHeight="1">
      <c r="A544" s="2099" t="s">
        <v>2647</v>
      </c>
      <c r="B544" s="1608"/>
      <c r="C544" s="1608"/>
      <c r="D544" s="1608"/>
      <c r="E544" s="1608"/>
      <c r="F544" s="1608"/>
      <c r="G544" s="1888"/>
    </row>
    <row r="545" spans="1:7" ht="14.25" customHeight="1">
      <c r="A545" s="1"/>
      <c r="B545" s="1"/>
      <c r="C545" s="1"/>
      <c r="D545" s="1"/>
      <c r="E545" s="1"/>
      <c r="F545" s="19" t="s">
        <v>375</v>
      </c>
      <c r="G545" s="1097" t="s">
        <v>303</v>
      </c>
    </row>
    <row r="546" spans="1:7" ht="14.25" customHeight="1">
      <c r="A546" s="1" t="s">
        <v>2525</v>
      </c>
      <c r="B546" s="1"/>
      <c r="C546" s="1"/>
      <c r="D546" s="1"/>
      <c r="E546" s="1"/>
      <c r="F546" s="1"/>
      <c r="G546" s="1"/>
    </row>
    <row r="547" spans="1:7" ht="14.25" customHeight="1">
      <c r="A547" s="2107" t="s">
        <v>1218</v>
      </c>
      <c r="B547" s="1610"/>
      <c r="C547" s="1611"/>
      <c r="D547" s="19" t="s">
        <v>2526</v>
      </c>
      <c r="E547" s="19" t="s">
        <v>2527</v>
      </c>
      <c r="F547" s="19" t="s">
        <v>673</v>
      </c>
      <c r="G547" s="1068" t="s">
        <v>2528</v>
      </c>
    </row>
    <row r="548" spans="1:7" ht="15" customHeight="1">
      <c r="A548" s="2111" t="s">
        <v>2648</v>
      </c>
      <c r="B548" s="2036"/>
      <c r="C548" s="2078"/>
      <c r="D548" s="1069" t="s">
        <v>910</v>
      </c>
      <c r="E548" s="1070">
        <f>+'insumos ELÉCTRICOS '!J83</f>
        <v>32650</v>
      </c>
      <c r="F548" s="1069">
        <v>1</v>
      </c>
      <c r="G548" s="1071">
        <f t="shared" ref="G548:G556" si="29">E548*F548</f>
        <v>32650</v>
      </c>
    </row>
    <row r="549" spans="1:7" ht="14.25" customHeight="1">
      <c r="A549" s="2112" t="s">
        <v>2633</v>
      </c>
      <c r="B549" s="1605"/>
      <c r="C549" s="1887"/>
      <c r="D549" s="1069" t="s">
        <v>120</v>
      </c>
      <c r="E549" s="1070">
        <f>+'insumos ELÉCTRICOS '!J8</f>
        <v>1551.2</v>
      </c>
      <c r="F549" s="1069">
        <v>3.05</v>
      </c>
      <c r="G549" s="1071">
        <f t="shared" si="29"/>
        <v>4731.16</v>
      </c>
    </row>
    <row r="550" spans="1:7" ht="14.25" customHeight="1">
      <c r="A550" s="2098" t="s">
        <v>2634</v>
      </c>
      <c r="B550" s="1605"/>
      <c r="C550" s="1887"/>
      <c r="D550" s="1069" t="s">
        <v>910</v>
      </c>
      <c r="E550" s="1070">
        <f>+'insumos ELÉCTRICOS '!J108</f>
        <v>420</v>
      </c>
      <c r="F550" s="1069">
        <v>4</v>
      </c>
      <c r="G550" s="1071">
        <f t="shared" si="29"/>
        <v>1680</v>
      </c>
    </row>
    <row r="551" spans="1:7" ht="14.25" customHeight="1">
      <c r="A551" s="2098" t="s">
        <v>2635</v>
      </c>
      <c r="B551" s="1605"/>
      <c r="C551" s="1887"/>
      <c r="D551" s="1069" t="s">
        <v>120</v>
      </c>
      <c r="E551" s="1070">
        <f>+'insumos ELÉCTRICOS '!J110</f>
        <v>2218</v>
      </c>
      <c r="F551" s="1069">
        <v>9.5</v>
      </c>
      <c r="G551" s="1071">
        <f t="shared" si="29"/>
        <v>21071</v>
      </c>
    </row>
    <row r="552" spans="1:7" ht="14.25" customHeight="1">
      <c r="A552" s="2098" t="s">
        <v>2636</v>
      </c>
      <c r="B552" s="1605"/>
      <c r="C552" s="1887"/>
      <c r="D552" s="1069" t="s">
        <v>120</v>
      </c>
      <c r="E552" s="1070">
        <f>+'insumos ELÉCTRICOS '!J109</f>
        <v>1980</v>
      </c>
      <c r="F552" s="1069">
        <v>19</v>
      </c>
      <c r="G552" s="1071">
        <f t="shared" si="29"/>
        <v>37620</v>
      </c>
    </row>
    <row r="553" spans="1:7" ht="14.25" customHeight="1">
      <c r="A553" s="2098" t="s">
        <v>2626</v>
      </c>
      <c r="B553" s="1605"/>
      <c r="C553" s="1887"/>
      <c r="D553" s="1069" t="s">
        <v>910</v>
      </c>
      <c r="E553" s="1070">
        <f>+'insumos ELÉCTRICOS '!J104</f>
        <v>4200</v>
      </c>
      <c r="F553" s="1069">
        <v>1</v>
      </c>
      <c r="G553" s="1071">
        <f t="shared" si="29"/>
        <v>4200</v>
      </c>
    </row>
    <row r="554" spans="1:7" ht="14.25" customHeight="1">
      <c r="A554" s="2098" t="s">
        <v>2643</v>
      </c>
      <c r="B554" s="1605"/>
      <c r="C554" s="1887"/>
      <c r="D554" s="1069" t="s">
        <v>910</v>
      </c>
      <c r="E554" s="1070">
        <f>+'insumos ELÉCTRICOS '!J111</f>
        <v>17500</v>
      </c>
      <c r="F554" s="1069">
        <v>1</v>
      </c>
      <c r="G554" s="1071">
        <f t="shared" si="29"/>
        <v>17500</v>
      </c>
    </row>
    <row r="555" spans="1:7" ht="14.25" customHeight="1">
      <c r="A555" s="2098"/>
      <c r="B555" s="1605"/>
      <c r="C555" s="1887"/>
      <c r="D555" s="1069"/>
      <c r="E555" s="1070"/>
      <c r="F555" s="1069"/>
      <c r="G555" s="1071">
        <f t="shared" si="29"/>
        <v>0</v>
      </c>
    </row>
    <row r="556" spans="1:7" ht="14.25" customHeight="1">
      <c r="A556" s="2098"/>
      <c r="B556" s="1605"/>
      <c r="C556" s="1887"/>
      <c r="D556" s="1069"/>
      <c r="E556" s="1070"/>
      <c r="F556" s="1069"/>
      <c r="G556" s="1071">
        <f t="shared" si="29"/>
        <v>0</v>
      </c>
    </row>
    <row r="557" spans="1:7" ht="14.25" customHeight="1">
      <c r="A557" s="2098"/>
      <c r="B557" s="1605"/>
      <c r="C557" s="1887"/>
      <c r="D557" s="1069"/>
      <c r="E557" s="1070"/>
      <c r="F557" s="1069"/>
      <c r="G557" s="1071"/>
    </row>
    <row r="558" spans="1:7" ht="14.25" customHeight="1">
      <c r="A558" s="2098"/>
      <c r="B558" s="1605"/>
      <c r="C558" s="1887"/>
      <c r="D558" s="1069"/>
      <c r="E558" s="1070"/>
      <c r="F558" s="1069"/>
      <c r="G558" s="1071"/>
    </row>
    <row r="559" spans="1:7" ht="14.25" customHeight="1">
      <c r="A559" s="2098"/>
      <c r="B559" s="1605"/>
      <c r="C559" s="1887"/>
      <c r="D559" s="1069"/>
      <c r="E559" s="1070"/>
      <c r="F559" s="1069"/>
      <c r="G559" s="1071"/>
    </row>
    <row r="560" spans="1:7" ht="14.25" customHeight="1">
      <c r="A560" s="2098"/>
      <c r="B560" s="1605"/>
      <c r="C560" s="1887"/>
      <c r="D560" s="1069"/>
      <c r="E560" s="1070"/>
      <c r="F560" s="1069"/>
      <c r="G560" s="1071"/>
    </row>
    <row r="561" spans="1:7" ht="14.25" customHeight="1">
      <c r="A561" s="2098"/>
      <c r="B561" s="1605"/>
      <c r="C561" s="1887"/>
      <c r="D561" s="1069"/>
      <c r="E561" s="1070"/>
      <c r="F561" s="1069"/>
      <c r="G561" s="1071"/>
    </row>
    <row r="562" spans="1:7" ht="14.25" customHeight="1">
      <c r="A562" s="2098"/>
      <c r="B562" s="1605"/>
      <c r="C562" s="1887"/>
      <c r="D562" s="1069"/>
      <c r="E562" s="1070"/>
      <c r="F562" s="1069"/>
      <c r="G562" s="1071"/>
    </row>
    <row r="563" spans="1:7" ht="14.25" customHeight="1">
      <c r="A563" s="2099"/>
      <c r="B563" s="1608"/>
      <c r="C563" s="1888"/>
      <c r="D563" s="1072"/>
      <c r="E563" s="1089"/>
      <c r="F563" s="1072"/>
      <c r="G563" s="1073"/>
    </row>
    <row r="564" spans="1:7" ht="14.25" customHeight="1">
      <c r="A564" s="1"/>
      <c r="B564" s="1"/>
      <c r="C564" s="1"/>
      <c r="D564" s="2100" t="s">
        <v>2546</v>
      </c>
      <c r="E564" s="2036"/>
      <c r="F564" s="2036"/>
      <c r="G564" s="4">
        <f>SUM(G548:G563)</f>
        <v>119452.16</v>
      </c>
    </row>
    <row r="565" spans="1:7" ht="14.25" customHeight="1">
      <c r="A565" s="1" t="s">
        <v>2547</v>
      </c>
      <c r="B565" s="1"/>
      <c r="C565" s="1"/>
      <c r="D565" s="1"/>
      <c r="E565" s="1"/>
      <c r="F565" s="1"/>
      <c r="G565" s="1"/>
    </row>
    <row r="566" spans="1:7" ht="14.25" customHeight="1">
      <c r="A566" s="2101" t="s">
        <v>376</v>
      </c>
      <c r="B566" s="1610"/>
      <c r="C566" s="1611"/>
      <c r="D566" s="19" t="s">
        <v>2526</v>
      </c>
      <c r="E566" s="19" t="s">
        <v>2548</v>
      </c>
      <c r="F566" s="14" t="s">
        <v>2549</v>
      </c>
      <c r="G566" s="14" t="s">
        <v>2550</v>
      </c>
    </row>
    <row r="567" spans="1:7" ht="14.25" customHeight="1">
      <c r="A567" s="2098" t="s">
        <v>2578</v>
      </c>
      <c r="B567" s="1605"/>
      <c r="C567" s="1887"/>
      <c r="D567" s="1090" t="s">
        <v>2552</v>
      </c>
      <c r="E567" s="1070">
        <v>30000</v>
      </c>
      <c r="F567" s="1091">
        <v>4</v>
      </c>
      <c r="G567" s="1070">
        <f>E567/F567</f>
        <v>7500</v>
      </c>
    </row>
    <row r="568" spans="1:7" ht="14.25" customHeight="1">
      <c r="A568" s="2099"/>
      <c r="B568" s="1608"/>
      <c r="C568" s="1888"/>
      <c r="D568" s="1092"/>
      <c r="E568" s="1089"/>
      <c r="F568" s="1096"/>
      <c r="G568" s="1089">
        <f>E568*F568</f>
        <v>0</v>
      </c>
    </row>
    <row r="569" spans="1:7" ht="14.25" customHeight="1">
      <c r="A569" s="1"/>
      <c r="B569" s="1"/>
      <c r="C569" s="1"/>
      <c r="D569" s="2103" t="s">
        <v>2554</v>
      </c>
      <c r="E569" s="1605"/>
      <c r="F569" s="1605"/>
      <c r="G569" s="1080">
        <f>SUM(G567:G568)</f>
        <v>7500</v>
      </c>
    </row>
    <row r="570" spans="1:7" ht="14.25" customHeight="1">
      <c r="A570" s="1" t="s">
        <v>2555</v>
      </c>
      <c r="B570" s="1"/>
      <c r="C570" s="1"/>
      <c r="D570" s="1"/>
      <c r="E570" s="1"/>
      <c r="F570" s="1"/>
      <c r="G570" s="1"/>
    </row>
    <row r="571" spans="1:7" ht="14.25" customHeight="1">
      <c r="A571" s="14" t="s">
        <v>376</v>
      </c>
      <c r="B571" s="14" t="s">
        <v>2526</v>
      </c>
      <c r="C571" s="2107" t="s">
        <v>2556</v>
      </c>
      <c r="D571" s="1610"/>
      <c r="E571" s="1611"/>
      <c r="F571" s="19" t="s">
        <v>2557</v>
      </c>
      <c r="G571" s="14" t="s">
        <v>2550</v>
      </c>
    </row>
    <row r="572" spans="1:7" ht="14.25" customHeight="1">
      <c r="A572" s="1093" t="s">
        <v>2558</v>
      </c>
      <c r="B572" s="1093" t="s">
        <v>2596</v>
      </c>
      <c r="C572" s="2104">
        <f>+'MANO DE OBRA'!E71</f>
        <v>20292.1875</v>
      </c>
      <c r="D572" s="2036"/>
      <c r="E572" s="2078"/>
      <c r="F572" s="1095">
        <v>1.5</v>
      </c>
      <c r="G572" s="1094">
        <f t="shared" ref="G572:G573" si="30">C572*F572</f>
        <v>30438.28125</v>
      </c>
    </row>
    <row r="573" spans="1:7" ht="14.25" customHeight="1">
      <c r="A573" s="1092" t="s">
        <v>2559</v>
      </c>
      <c r="B573" s="1092" t="s">
        <v>2596</v>
      </c>
      <c r="C573" s="2104">
        <f>+'MANO DE OBRA'!E72</f>
        <v>14813.296875000002</v>
      </c>
      <c r="D573" s="2036"/>
      <c r="E573" s="2078"/>
      <c r="F573" s="1096">
        <v>1.5</v>
      </c>
      <c r="G573" s="1094">
        <f t="shared" si="30"/>
        <v>22219.945312500004</v>
      </c>
    </row>
    <row r="574" spans="1:7" ht="14.25" customHeight="1">
      <c r="A574" s="1082"/>
      <c r="B574" s="1083"/>
      <c r="C574" s="1083"/>
      <c r="D574" s="2100" t="s">
        <v>2560</v>
      </c>
      <c r="E574" s="2036"/>
      <c r="F574" s="2036"/>
      <c r="G574" s="1084">
        <f>SUM(G572:GG573)</f>
        <v>52658.2265625</v>
      </c>
    </row>
    <row r="575" spans="1:7" ht="10.5" customHeight="1">
      <c r="A575" s="1085"/>
      <c r="B575" s="1"/>
      <c r="C575" s="1"/>
      <c r="D575" s="1"/>
      <c r="E575" s="1"/>
      <c r="F575" s="1"/>
      <c r="G575" s="1086"/>
    </row>
    <row r="576" spans="1:7" ht="14.25" customHeight="1">
      <c r="A576" s="1087"/>
      <c r="B576" s="386"/>
      <c r="C576" s="386"/>
      <c r="D576" s="2097" t="s">
        <v>2561</v>
      </c>
      <c r="E576" s="1608"/>
      <c r="F576" s="1608"/>
      <c r="G576" s="1088">
        <f>ROUND(G564+G569+G574,0)</f>
        <v>179610</v>
      </c>
    </row>
    <row r="578" spans="1:7" ht="14.25" hidden="1" customHeight="1">
      <c r="A578" s="2105" t="s">
        <v>2562</v>
      </c>
      <c r="B578" s="2036"/>
      <c r="C578" s="2036"/>
      <c r="D578" s="2036"/>
      <c r="E578" s="2036"/>
      <c r="F578" s="2036"/>
      <c r="G578" s="2078"/>
    </row>
    <row r="579" spans="1:7" ht="14.25" hidden="1" customHeight="1">
      <c r="A579" s="2106" t="s">
        <v>2523</v>
      </c>
      <c r="B579" s="1605"/>
      <c r="C579" s="1605"/>
      <c r="D579" s="1605"/>
      <c r="E579" s="1605"/>
      <c r="F579" s="1605"/>
      <c r="G579" s="1887"/>
    </row>
    <row r="580" spans="1:7" ht="18" hidden="1" customHeight="1">
      <c r="A580" s="2099" t="s">
        <v>2649</v>
      </c>
      <c r="B580" s="1608"/>
      <c r="C580" s="1608"/>
      <c r="D580" s="1608"/>
      <c r="E580" s="1608"/>
      <c r="F580" s="1608"/>
      <c r="G580" s="1888"/>
    </row>
    <row r="581" spans="1:7" ht="14.25" hidden="1" customHeight="1">
      <c r="A581" s="1"/>
      <c r="B581" s="1"/>
      <c r="C581" s="1"/>
      <c r="D581" s="1"/>
      <c r="E581" s="1"/>
      <c r="F581" s="19" t="s">
        <v>375</v>
      </c>
      <c r="G581" s="1097" t="s">
        <v>2650</v>
      </c>
    </row>
    <row r="582" spans="1:7" ht="14.25" hidden="1" customHeight="1">
      <c r="A582" s="1" t="s">
        <v>2525</v>
      </c>
      <c r="B582" s="1"/>
      <c r="C582" s="1"/>
      <c r="D582" s="1"/>
      <c r="E582" s="1"/>
      <c r="F582" s="1"/>
      <c r="G582" s="1"/>
    </row>
    <row r="583" spans="1:7" ht="14.25" hidden="1" customHeight="1">
      <c r="A583" s="2107" t="s">
        <v>1218</v>
      </c>
      <c r="B583" s="1610"/>
      <c r="C583" s="1611"/>
      <c r="D583" s="19" t="s">
        <v>2526</v>
      </c>
      <c r="E583" s="19" t="s">
        <v>2527</v>
      </c>
      <c r="F583" s="19" t="s">
        <v>673</v>
      </c>
      <c r="G583" s="1068" t="s">
        <v>2528</v>
      </c>
    </row>
    <row r="584" spans="1:7" ht="68.25" hidden="1" customHeight="1">
      <c r="A584" s="2108" t="s">
        <v>2651</v>
      </c>
      <c r="B584" s="2036"/>
      <c r="C584" s="2078"/>
      <c r="D584" s="1069" t="s">
        <v>910</v>
      </c>
      <c r="E584" s="1070">
        <v>4500000</v>
      </c>
      <c r="F584" s="1069">
        <v>1</v>
      </c>
      <c r="G584" s="1071">
        <f t="shared" ref="G584:G588" si="31">E584*F584</f>
        <v>4500000</v>
      </c>
    </row>
    <row r="585" spans="1:7" ht="55.5" hidden="1" customHeight="1">
      <c r="A585" s="2109" t="s">
        <v>2652</v>
      </c>
      <c r="B585" s="1605"/>
      <c r="C585" s="1887"/>
      <c r="D585" s="1069" t="s">
        <v>910</v>
      </c>
      <c r="E585" s="1070">
        <v>5700000</v>
      </c>
      <c r="F585" s="1069">
        <v>1</v>
      </c>
      <c r="G585" s="1071">
        <f t="shared" si="31"/>
        <v>5700000</v>
      </c>
    </row>
    <row r="586" spans="1:7" ht="14.25" hidden="1" customHeight="1">
      <c r="A586" s="2102" t="s">
        <v>2653</v>
      </c>
      <c r="B586" s="1605"/>
      <c r="C586" s="1887"/>
      <c r="D586" s="1069" t="s">
        <v>910</v>
      </c>
      <c r="E586" s="1070">
        <v>1800000</v>
      </c>
      <c r="F586" s="1069">
        <v>1</v>
      </c>
      <c r="G586" s="1071">
        <f t="shared" si="31"/>
        <v>1800000</v>
      </c>
    </row>
    <row r="587" spans="1:7" ht="14.25" hidden="1" customHeight="1">
      <c r="A587" s="2098"/>
      <c r="B587" s="1605"/>
      <c r="C587" s="1887"/>
      <c r="D587" s="1069"/>
      <c r="E587" s="1070"/>
      <c r="F587" s="1069"/>
      <c r="G587" s="1071">
        <f t="shared" si="31"/>
        <v>0</v>
      </c>
    </row>
    <row r="588" spans="1:7" ht="14.25" hidden="1" customHeight="1">
      <c r="A588" s="2098"/>
      <c r="B588" s="1605"/>
      <c r="C588" s="1887"/>
      <c r="D588" s="1069"/>
      <c r="E588" s="1070"/>
      <c r="F588" s="1069"/>
      <c r="G588" s="1071">
        <f t="shared" si="31"/>
        <v>0</v>
      </c>
    </row>
    <row r="589" spans="1:7" ht="14.25" hidden="1" customHeight="1">
      <c r="A589" s="2098"/>
      <c r="B589" s="1605"/>
      <c r="C589" s="1887"/>
      <c r="D589" s="1069"/>
      <c r="E589" s="1070"/>
      <c r="F589" s="1069"/>
      <c r="G589" s="1071"/>
    </row>
    <row r="590" spans="1:7" ht="14.25" hidden="1" customHeight="1">
      <c r="A590" s="2098"/>
      <c r="B590" s="1605"/>
      <c r="C590" s="1887"/>
      <c r="D590" s="1069"/>
      <c r="E590" s="1070"/>
      <c r="F590" s="1069"/>
      <c r="G590" s="1071"/>
    </row>
    <row r="591" spans="1:7" ht="14.25" hidden="1" customHeight="1">
      <c r="A591" s="2098"/>
      <c r="B591" s="1605"/>
      <c r="C591" s="1887"/>
      <c r="D591" s="1069"/>
      <c r="E591" s="1070"/>
      <c r="F591" s="1069"/>
      <c r="G591" s="1071"/>
    </row>
    <row r="592" spans="1:7" ht="14.25" hidden="1" customHeight="1">
      <c r="A592" s="2098"/>
      <c r="B592" s="1605"/>
      <c r="C592" s="1887"/>
      <c r="D592" s="1069"/>
      <c r="E592" s="1070"/>
      <c r="F592" s="1069"/>
      <c r="G592" s="1071"/>
    </row>
    <row r="593" spans="1:7" ht="14.25" hidden="1" customHeight="1">
      <c r="A593" s="2098"/>
      <c r="B593" s="1605"/>
      <c r="C593" s="1887"/>
      <c r="D593" s="1069"/>
      <c r="E593" s="1070"/>
      <c r="F593" s="1069"/>
      <c r="G593" s="1071"/>
    </row>
    <row r="594" spans="1:7" ht="14.25" hidden="1" customHeight="1">
      <c r="A594" s="2098"/>
      <c r="B594" s="1605"/>
      <c r="C594" s="1887"/>
      <c r="D594" s="1069"/>
      <c r="E594" s="1070"/>
      <c r="F594" s="1069"/>
      <c r="G594" s="1071"/>
    </row>
    <row r="595" spans="1:7" ht="14.25" hidden="1" customHeight="1">
      <c r="A595" s="2099"/>
      <c r="B595" s="1608"/>
      <c r="C595" s="1888"/>
      <c r="D595" s="1072"/>
      <c r="E595" s="1089"/>
      <c r="F595" s="1072"/>
      <c r="G595" s="1073"/>
    </row>
    <row r="596" spans="1:7" ht="14.25" hidden="1" customHeight="1">
      <c r="A596" s="1"/>
      <c r="B596" s="1"/>
      <c r="C596" s="1"/>
      <c r="D596" s="2100" t="s">
        <v>2546</v>
      </c>
      <c r="E596" s="2036"/>
      <c r="F596" s="2036"/>
      <c r="G596" s="4">
        <f>SUM(G584:G595)</f>
        <v>12000000</v>
      </c>
    </row>
    <row r="597" spans="1:7" ht="14.25" hidden="1" customHeight="1">
      <c r="A597" s="1" t="s">
        <v>2547</v>
      </c>
      <c r="B597" s="1"/>
      <c r="C597" s="1"/>
      <c r="D597" s="1"/>
      <c r="E597" s="1"/>
      <c r="F597" s="1"/>
      <c r="G597" s="1"/>
    </row>
    <row r="598" spans="1:7" ht="14.25" hidden="1" customHeight="1">
      <c r="A598" s="2101" t="s">
        <v>376</v>
      </c>
      <c r="B598" s="1610"/>
      <c r="C598" s="1611"/>
      <c r="D598" s="19" t="s">
        <v>2526</v>
      </c>
      <c r="E598" s="19" t="s">
        <v>2548</v>
      </c>
      <c r="F598" s="14" t="s">
        <v>2549</v>
      </c>
      <c r="G598" s="14" t="s">
        <v>2550</v>
      </c>
    </row>
    <row r="599" spans="1:7" ht="14.25" hidden="1" customHeight="1">
      <c r="A599" s="2098"/>
      <c r="B599" s="1605"/>
      <c r="C599" s="1887"/>
      <c r="D599" s="1090"/>
      <c r="E599" s="1070"/>
      <c r="F599" s="1091"/>
      <c r="G599" s="1070"/>
    </row>
    <row r="600" spans="1:7" ht="14.25" hidden="1" customHeight="1">
      <c r="A600" s="2099"/>
      <c r="B600" s="1608"/>
      <c r="C600" s="1888"/>
      <c r="D600" s="1092"/>
      <c r="E600" s="1089"/>
      <c r="F600" s="1096"/>
      <c r="G600" s="1089">
        <f>E600*F600</f>
        <v>0</v>
      </c>
    </row>
    <row r="601" spans="1:7" ht="14.25" hidden="1" customHeight="1">
      <c r="A601" s="1"/>
      <c r="B601" s="1"/>
      <c r="C601" s="1"/>
      <c r="D601" s="2103" t="s">
        <v>2554</v>
      </c>
      <c r="E601" s="1605"/>
      <c r="F601" s="1605"/>
      <c r="G601" s="1080">
        <f>SUM(G599:G600)</f>
        <v>0</v>
      </c>
    </row>
    <row r="602" spans="1:7" ht="14.25" hidden="1" customHeight="1">
      <c r="A602" s="1" t="s">
        <v>2555</v>
      </c>
      <c r="B602" s="1"/>
      <c r="C602" s="1"/>
      <c r="D602" s="1"/>
      <c r="E602" s="1"/>
      <c r="F602" s="1"/>
      <c r="G602" s="1"/>
    </row>
    <row r="603" spans="1:7" ht="14.25" hidden="1" customHeight="1">
      <c r="A603" s="14" t="s">
        <v>376</v>
      </c>
      <c r="B603" s="14" t="s">
        <v>2526</v>
      </c>
      <c r="C603" s="19" t="s">
        <v>1855</v>
      </c>
      <c r="D603" s="14" t="s">
        <v>2581</v>
      </c>
      <c r="E603" s="14" t="s">
        <v>2582</v>
      </c>
      <c r="F603" s="19" t="s">
        <v>2557</v>
      </c>
      <c r="G603" s="14" t="s">
        <v>2550</v>
      </c>
    </row>
    <row r="604" spans="1:7" ht="14.25" hidden="1" customHeight="1">
      <c r="A604" s="1093"/>
      <c r="B604" s="1093"/>
      <c r="C604" s="1094"/>
      <c r="D604" s="1094"/>
      <c r="E604" s="1094"/>
      <c r="F604" s="1095"/>
      <c r="G604" s="1094"/>
    </row>
    <row r="605" spans="1:7" ht="14.25" hidden="1" customHeight="1">
      <c r="A605" s="1092"/>
      <c r="B605" s="1092"/>
      <c r="C605" s="1089"/>
      <c r="D605" s="1089"/>
      <c r="E605" s="1089"/>
      <c r="F605" s="1096"/>
      <c r="G605" s="1089"/>
    </row>
    <row r="606" spans="1:7" ht="14.25" hidden="1" customHeight="1">
      <c r="A606" s="1082"/>
      <c r="B606" s="1083"/>
      <c r="C606" s="1083"/>
      <c r="D606" s="2100" t="s">
        <v>2560</v>
      </c>
      <c r="E606" s="2036"/>
      <c r="F606" s="2036"/>
      <c r="G606" s="1084">
        <f>SUM(G604:GG605)</f>
        <v>0</v>
      </c>
    </row>
    <row r="607" spans="1:7" ht="10.5" hidden="1" customHeight="1">
      <c r="A607" s="1085"/>
      <c r="B607" s="1"/>
      <c r="C607" s="1"/>
      <c r="D607" s="1"/>
      <c r="E607" s="1"/>
      <c r="F607" s="1"/>
      <c r="G607" s="1086"/>
    </row>
    <row r="608" spans="1:7" ht="14.25" hidden="1" customHeight="1">
      <c r="A608" s="1087"/>
      <c r="B608" s="386"/>
      <c r="C608" s="386"/>
      <c r="D608" s="2097" t="s">
        <v>2561</v>
      </c>
      <c r="E608" s="1608"/>
      <c r="F608" s="1608"/>
      <c r="G608" s="1088">
        <f>ROUND(G596+G601+G606,0)</f>
        <v>12000000</v>
      </c>
    </row>
    <row r="611" spans="1:4" ht="14.25" customHeight="1">
      <c r="A611" s="1986"/>
      <c r="B611" s="1605"/>
      <c r="C611" s="1605"/>
      <c r="D611" s="1605"/>
    </row>
  </sheetData>
  <mergeCells count="475">
    <mergeCell ref="A309:C309"/>
    <mergeCell ref="A339:C339"/>
    <mergeCell ref="A340:C340"/>
    <mergeCell ref="A341:C341"/>
    <mergeCell ref="A342:C342"/>
    <mergeCell ref="A343:C343"/>
    <mergeCell ref="A344:C344"/>
    <mergeCell ref="A345:C345"/>
    <mergeCell ref="A346:C346"/>
    <mergeCell ref="A310:C310"/>
    <mergeCell ref="A335:C335"/>
    <mergeCell ref="A336:C336"/>
    <mergeCell ref="A337:C337"/>
    <mergeCell ref="A338:C338"/>
    <mergeCell ref="A300:C300"/>
    <mergeCell ref="A301:C301"/>
    <mergeCell ref="A302:C302"/>
    <mergeCell ref="A303:C303"/>
    <mergeCell ref="A304:C304"/>
    <mergeCell ref="A305:C305"/>
    <mergeCell ref="A306:C306"/>
    <mergeCell ref="A307:C307"/>
    <mergeCell ref="A308:C308"/>
    <mergeCell ref="D288:F288"/>
    <mergeCell ref="A290:G290"/>
    <mergeCell ref="A291:G291"/>
    <mergeCell ref="A292:G292"/>
    <mergeCell ref="A295:C295"/>
    <mergeCell ref="A296:C296"/>
    <mergeCell ref="A297:C297"/>
    <mergeCell ref="A298:C298"/>
    <mergeCell ref="A299:C299"/>
    <mergeCell ref="D312:F312"/>
    <mergeCell ref="A311:C311"/>
    <mergeCell ref="A314:C314"/>
    <mergeCell ref="A315:C315"/>
    <mergeCell ref="A316:C316"/>
    <mergeCell ref="D317:F317"/>
    <mergeCell ref="C319:E319"/>
    <mergeCell ref="C320:E320"/>
    <mergeCell ref="C321:E321"/>
    <mergeCell ref="D322:F322"/>
    <mergeCell ref="D324:F324"/>
    <mergeCell ref="A326:G326"/>
    <mergeCell ref="A327:G327"/>
    <mergeCell ref="A328:G328"/>
    <mergeCell ref="A331:C331"/>
    <mergeCell ref="A332:C332"/>
    <mergeCell ref="A333:C333"/>
    <mergeCell ref="A334:C334"/>
    <mergeCell ref="A369:C369"/>
    <mergeCell ref="A370:C370"/>
    <mergeCell ref="A371:C371"/>
    <mergeCell ref="A372:C372"/>
    <mergeCell ref="A373:C373"/>
    <mergeCell ref="A374:C374"/>
    <mergeCell ref="A375:C375"/>
    <mergeCell ref="A383:C383"/>
    <mergeCell ref="A376:C376"/>
    <mergeCell ref="A377:C377"/>
    <mergeCell ref="A378:C378"/>
    <mergeCell ref="A379:C379"/>
    <mergeCell ref="A380:C380"/>
    <mergeCell ref="A381:C381"/>
    <mergeCell ref="A347:C347"/>
    <mergeCell ref="A364:G364"/>
    <mergeCell ref="A367:C367"/>
    <mergeCell ref="A368:C368"/>
    <mergeCell ref="A415:C415"/>
    <mergeCell ref="A416:C416"/>
    <mergeCell ref="A417:C417"/>
    <mergeCell ref="A418:C418"/>
    <mergeCell ref="D384:F384"/>
    <mergeCell ref="D358:F358"/>
    <mergeCell ref="D360:F360"/>
    <mergeCell ref="A362:G362"/>
    <mergeCell ref="A363:G363"/>
    <mergeCell ref="D348:F348"/>
    <mergeCell ref="A350:C350"/>
    <mergeCell ref="A351:C351"/>
    <mergeCell ref="A352:C352"/>
    <mergeCell ref="D353:F353"/>
    <mergeCell ref="A382:C382"/>
    <mergeCell ref="A409:C409"/>
    <mergeCell ref="A410:C410"/>
    <mergeCell ref="A411:C411"/>
    <mergeCell ref="A412:C412"/>
    <mergeCell ref="A413:C413"/>
    <mergeCell ref="D420:F420"/>
    <mergeCell ref="A386:C386"/>
    <mergeCell ref="A387:C387"/>
    <mergeCell ref="A388:C388"/>
    <mergeCell ref="D389:F389"/>
    <mergeCell ref="D394:F394"/>
    <mergeCell ref="D396:F396"/>
    <mergeCell ref="A398:G398"/>
    <mergeCell ref="A399:G399"/>
    <mergeCell ref="A400:G400"/>
    <mergeCell ref="A403:C403"/>
    <mergeCell ref="A404:C404"/>
    <mergeCell ref="A405:C405"/>
    <mergeCell ref="A406:C406"/>
    <mergeCell ref="A407:C407"/>
    <mergeCell ref="A419:C419"/>
    <mergeCell ref="A408:C408"/>
    <mergeCell ref="A414:C414"/>
    <mergeCell ref="A435:G435"/>
    <mergeCell ref="A422:C422"/>
    <mergeCell ref="A423:C423"/>
    <mergeCell ref="A424:C424"/>
    <mergeCell ref="D425:F425"/>
    <mergeCell ref="C427:E427"/>
    <mergeCell ref="C428:E428"/>
    <mergeCell ref="C429:E429"/>
    <mergeCell ref="D430:F430"/>
    <mergeCell ref="D432:F432"/>
    <mergeCell ref="A434:G434"/>
    <mergeCell ref="A436:G436"/>
    <mergeCell ref="A439:C439"/>
    <mergeCell ref="A440:C440"/>
    <mergeCell ref="A441:C441"/>
    <mergeCell ref="A442:C442"/>
    <mergeCell ref="A443:C443"/>
    <mergeCell ref="A444:C444"/>
    <mergeCell ref="A445:C445"/>
    <mergeCell ref="A446:C446"/>
    <mergeCell ref="A447:C447"/>
    <mergeCell ref="A448:C448"/>
    <mergeCell ref="A449:C449"/>
    <mergeCell ref="A450:C450"/>
    <mergeCell ref="A451:C451"/>
    <mergeCell ref="A452:C452"/>
    <mergeCell ref="A453:C453"/>
    <mergeCell ref="A454:C454"/>
    <mergeCell ref="D456:F456"/>
    <mergeCell ref="A455:C455"/>
    <mergeCell ref="A458:C458"/>
    <mergeCell ref="A459:C459"/>
    <mergeCell ref="A460:C460"/>
    <mergeCell ref="D461:F461"/>
    <mergeCell ref="D466:F466"/>
    <mergeCell ref="D468:F468"/>
    <mergeCell ref="A470:G470"/>
    <mergeCell ref="A471:G471"/>
    <mergeCell ref="A472:G472"/>
    <mergeCell ref="A475:C475"/>
    <mergeCell ref="A476:C476"/>
    <mergeCell ref="A477:C477"/>
    <mergeCell ref="A478:C478"/>
    <mergeCell ref="A479:C479"/>
    <mergeCell ref="A480:C480"/>
    <mergeCell ref="A481:C481"/>
    <mergeCell ref="A482:C482"/>
    <mergeCell ref="A483:C483"/>
    <mergeCell ref="A484:C484"/>
    <mergeCell ref="A485:C485"/>
    <mergeCell ref="A486:C486"/>
    <mergeCell ref="A487:C487"/>
    <mergeCell ref="A488:C488"/>
    <mergeCell ref="A489:C489"/>
    <mergeCell ref="A490:C490"/>
    <mergeCell ref="A491:C491"/>
    <mergeCell ref="D492:F492"/>
    <mergeCell ref="A516:C516"/>
    <mergeCell ref="A494:C494"/>
    <mergeCell ref="A495:C495"/>
    <mergeCell ref="A496:C496"/>
    <mergeCell ref="D497:F497"/>
    <mergeCell ref="C499:E499"/>
    <mergeCell ref="C500:E500"/>
    <mergeCell ref="C501:E501"/>
    <mergeCell ref="D502:F502"/>
    <mergeCell ref="D504:F504"/>
    <mergeCell ref="D96:F96"/>
    <mergeCell ref="A547:C547"/>
    <mergeCell ref="A548:C548"/>
    <mergeCell ref="A549:C549"/>
    <mergeCell ref="A550:C550"/>
    <mergeCell ref="A551:C551"/>
    <mergeCell ref="A552:C552"/>
    <mergeCell ref="A553:C553"/>
    <mergeCell ref="A554:C554"/>
    <mergeCell ref="A530:C530"/>
    <mergeCell ref="A531:C531"/>
    <mergeCell ref="A532:C532"/>
    <mergeCell ref="D533:F533"/>
    <mergeCell ref="D538:F538"/>
    <mergeCell ref="D540:F540"/>
    <mergeCell ref="A542:G542"/>
    <mergeCell ref="A543:G543"/>
    <mergeCell ref="A544:G544"/>
    <mergeCell ref="A517:C517"/>
    <mergeCell ref="A518:C518"/>
    <mergeCell ref="A519:C519"/>
    <mergeCell ref="A527:C527"/>
    <mergeCell ref="D528:F528"/>
    <mergeCell ref="A520:C520"/>
    <mergeCell ref="A21:C21"/>
    <mergeCell ref="A556:C556"/>
    <mergeCell ref="A557:C557"/>
    <mergeCell ref="A558:C558"/>
    <mergeCell ref="A51:C51"/>
    <mergeCell ref="A52:C52"/>
    <mergeCell ref="A53:C53"/>
    <mergeCell ref="A54:C54"/>
    <mergeCell ref="A55:C55"/>
    <mergeCell ref="A56:C56"/>
    <mergeCell ref="A57:C57"/>
    <mergeCell ref="A58:C58"/>
    <mergeCell ref="A59:C59"/>
    <mergeCell ref="A76:G76"/>
    <mergeCell ref="A79:C79"/>
    <mergeCell ref="A80:C80"/>
    <mergeCell ref="A81:C81"/>
    <mergeCell ref="A82:C82"/>
    <mergeCell ref="A83:C83"/>
    <mergeCell ref="A84:C84"/>
    <mergeCell ref="A85:C85"/>
    <mergeCell ref="A86:C86"/>
    <mergeCell ref="A87:C87"/>
    <mergeCell ref="A95:C95"/>
    <mergeCell ref="A12:C12"/>
    <mergeCell ref="A13:C13"/>
    <mergeCell ref="A14:C14"/>
    <mergeCell ref="A15:C15"/>
    <mergeCell ref="A16:C16"/>
    <mergeCell ref="A17:C17"/>
    <mergeCell ref="A18:C18"/>
    <mergeCell ref="A19:C19"/>
    <mergeCell ref="A20:C20"/>
    <mergeCell ref="A1:G1"/>
    <mergeCell ref="A2:G2"/>
    <mergeCell ref="A3:G3"/>
    <mergeCell ref="A6:C6"/>
    <mergeCell ref="A7:C7"/>
    <mergeCell ref="A8:C8"/>
    <mergeCell ref="A9:C9"/>
    <mergeCell ref="A10:C10"/>
    <mergeCell ref="A11:C11"/>
    <mergeCell ref="A22:C22"/>
    <mergeCell ref="D24:F24"/>
    <mergeCell ref="A23:C23"/>
    <mergeCell ref="A26:C26"/>
    <mergeCell ref="A27:C27"/>
    <mergeCell ref="A28:C28"/>
    <mergeCell ref="D29:F29"/>
    <mergeCell ref="C31:E31"/>
    <mergeCell ref="C32:E32"/>
    <mergeCell ref="C33:E33"/>
    <mergeCell ref="D34:F34"/>
    <mergeCell ref="D36:F36"/>
    <mergeCell ref="A38:G38"/>
    <mergeCell ref="A39:G39"/>
    <mergeCell ref="A40:G40"/>
    <mergeCell ref="A43:C43"/>
    <mergeCell ref="A44:C44"/>
    <mergeCell ref="A45:C45"/>
    <mergeCell ref="A46:C46"/>
    <mergeCell ref="A47:C47"/>
    <mergeCell ref="A48:C48"/>
    <mergeCell ref="A49:C49"/>
    <mergeCell ref="A50:C50"/>
    <mergeCell ref="D70:F70"/>
    <mergeCell ref="D72:F72"/>
    <mergeCell ref="A74:G74"/>
    <mergeCell ref="A75:G75"/>
    <mergeCell ref="D60:F60"/>
    <mergeCell ref="A62:C62"/>
    <mergeCell ref="A63:C63"/>
    <mergeCell ref="A64:C64"/>
    <mergeCell ref="D65:F65"/>
    <mergeCell ref="A88:C88"/>
    <mergeCell ref="A89:C89"/>
    <mergeCell ref="A90:C90"/>
    <mergeCell ref="A91:C91"/>
    <mergeCell ref="A92:C92"/>
    <mergeCell ref="A93:C93"/>
    <mergeCell ref="A94:C94"/>
    <mergeCell ref="A98:C98"/>
    <mergeCell ref="A99:C99"/>
    <mergeCell ref="A100:C100"/>
    <mergeCell ref="D101:F101"/>
    <mergeCell ref="D106:F106"/>
    <mergeCell ref="D108:F108"/>
    <mergeCell ref="A110:G110"/>
    <mergeCell ref="A111:G111"/>
    <mergeCell ref="A112:G112"/>
    <mergeCell ref="A115:C115"/>
    <mergeCell ref="A116:C116"/>
    <mergeCell ref="A117:C117"/>
    <mergeCell ref="A118:C118"/>
    <mergeCell ref="A119:C119"/>
    <mergeCell ref="A120:C120"/>
    <mergeCell ref="A121:C121"/>
    <mergeCell ref="A122:C122"/>
    <mergeCell ref="A123:C123"/>
    <mergeCell ref="A124:C124"/>
    <mergeCell ref="A125:C125"/>
    <mergeCell ref="A126:C126"/>
    <mergeCell ref="A127:C127"/>
    <mergeCell ref="A128:C128"/>
    <mergeCell ref="A129:C129"/>
    <mergeCell ref="A130:C130"/>
    <mergeCell ref="A131:C131"/>
    <mergeCell ref="D132:F132"/>
    <mergeCell ref="A134:C134"/>
    <mergeCell ref="A135:C135"/>
    <mergeCell ref="A136:C136"/>
    <mergeCell ref="D137:F137"/>
    <mergeCell ref="D142:F142"/>
    <mergeCell ref="D144:F144"/>
    <mergeCell ref="A146:G146"/>
    <mergeCell ref="A147:G147"/>
    <mergeCell ref="A148:G148"/>
    <mergeCell ref="A151:C151"/>
    <mergeCell ref="A152:C152"/>
    <mergeCell ref="A153:C153"/>
    <mergeCell ref="A154:C154"/>
    <mergeCell ref="A155:C155"/>
    <mergeCell ref="A156:C156"/>
    <mergeCell ref="A157:C157"/>
    <mergeCell ref="A158:C158"/>
    <mergeCell ref="A159:C159"/>
    <mergeCell ref="A160:C160"/>
    <mergeCell ref="A161:C161"/>
    <mergeCell ref="A162:C162"/>
    <mergeCell ref="A163:C163"/>
    <mergeCell ref="A164:C164"/>
    <mergeCell ref="A165:C165"/>
    <mergeCell ref="A166:C166"/>
    <mergeCell ref="A167:C167"/>
    <mergeCell ref="D168:F168"/>
    <mergeCell ref="A170:C170"/>
    <mergeCell ref="A171:C171"/>
    <mergeCell ref="A172:C172"/>
    <mergeCell ref="D173:F173"/>
    <mergeCell ref="D178:F178"/>
    <mergeCell ref="D180:F180"/>
    <mergeCell ref="A182:G182"/>
    <mergeCell ref="A183:G183"/>
    <mergeCell ref="A184:G184"/>
    <mergeCell ref="A187:C187"/>
    <mergeCell ref="A188:C188"/>
    <mergeCell ref="A189:C189"/>
    <mergeCell ref="A190:C190"/>
    <mergeCell ref="A191:C191"/>
    <mergeCell ref="A192:C192"/>
    <mergeCell ref="A193:C193"/>
    <mergeCell ref="A194:C194"/>
    <mergeCell ref="A195:C195"/>
    <mergeCell ref="A196:C196"/>
    <mergeCell ref="A197:C197"/>
    <mergeCell ref="A198:C198"/>
    <mergeCell ref="A199:C199"/>
    <mergeCell ref="A200:C200"/>
    <mergeCell ref="A261:C261"/>
    <mergeCell ref="A262:C262"/>
    <mergeCell ref="A263:C263"/>
    <mergeCell ref="A264:C264"/>
    <mergeCell ref="A265:C265"/>
    <mergeCell ref="A266:C266"/>
    <mergeCell ref="A201:C201"/>
    <mergeCell ref="A202:C202"/>
    <mergeCell ref="A203:C203"/>
    <mergeCell ref="A220:G220"/>
    <mergeCell ref="A223:C223"/>
    <mergeCell ref="A224:C224"/>
    <mergeCell ref="A225:C225"/>
    <mergeCell ref="A226:C226"/>
    <mergeCell ref="A227:C227"/>
    <mergeCell ref="A228:C228"/>
    <mergeCell ref="A229:C229"/>
    <mergeCell ref="A230:C230"/>
    <mergeCell ref="A231:C231"/>
    <mergeCell ref="A232:C232"/>
    <mergeCell ref="A233:C233"/>
    <mergeCell ref="A267:C267"/>
    <mergeCell ref="A278:C278"/>
    <mergeCell ref="A279:C279"/>
    <mergeCell ref="A280:C280"/>
    <mergeCell ref="A268:C268"/>
    <mergeCell ref="A269:C269"/>
    <mergeCell ref="A270:C270"/>
    <mergeCell ref="A271:C271"/>
    <mergeCell ref="A272:C272"/>
    <mergeCell ref="A273:C273"/>
    <mergeCell ref="A274:C274"/>
    <mergeCell ref="A275:C275"/>
    <mergeCell ref="D204:F204"/>
    <mergeCell ref="A206:C206"/>
    <mergeCell ref="A207:C207"/>
    <mergeCell ref="A208:C208"/>
    <mergeCell ref="D209:F209"/>
    <mergeCell ref="D214:F214"/>
    <mergeCell ref="D216:F216"/>
    <mergeCell ref="A218:G218"/>
    <mergeCell ref="A219:G219"/>
    <mergeCell ref="A234:C234"/>
    <mergeCell ref="A235:C235"/>
    <mergeCell ref="A236:C236"/>
    <mergeCell ref="A237:C237"/>
    <mergeCell ref="A238:C238"/>
    <mergeCell ref="A239:C239"/>
    <mergeCell ref="D240:F240"/>
    <mergeCell ref="A242:C242"/>
    <mergeCell ref="A243:C243"/>
    <mergeCell ref="A244:C244"/>
    <mergeCell ref="D245:F245"/>
    <mergeCell ref="D250:F250"/>
    <mergeCell ref="D252:F252"/>
    <mergeCell ref="A254:G254"/>
    <mergeCell ref="A255:G255"/>
    <mergeCell ref="A256:G256"/>
    <mergeCell ref="A259:C259"/>
    <mergeCell ref="A260:C260"/>
    <mergeCell ref="D276:F276"/>
    <mergeCell ref="D281:F281"/>
    <mergeCell ref="C283:E283"/>
    <mergeCell ref="C284:E284"/>
    <mergeCell ref="C285:E285"/>
    <mergeCell ref="D286:F286"/>
    <mergeCell ref="A559:C559"/>
    <mergeCell ref="A560:C560"/>
    <mergeCell ref="A561:C561"/>
    <mergeCell ref="A555:C555"/>
    <mergeCell ref="A521:C521"/>
    <mergeCell ref="A522:C522"/>
    <mergeCell ref="A523:C523"/>
    <mergeCell ref="A524:C524"/>
    <mergeCell ref="A525:C525"/>
    <mergeCell ref="A526:C526"/>
    <mergeCell ref="A506:G506"/>
    <mergeCell ref="A507:G507"/>
    <mergeCell ref="A508:G508"/>
    <mergeCell ref="A511:C511"/>
    <mergeCell ref="A512:C512"/>
    <mergeCell ref="A513:C513"/>
    <mergeCell ref="A514:C514"/>
    <mergeCell ref="A515:C515"/>
    <mergeCell ref="A562:C562"/>
    <mergeCell ref="A563:C563"/>
    <mergeCell ref="D564:F564"/>
    <mergeCell ref="A566:C566"/>
    <mergeCell ref="A567:C567"/>
    <mergeCell ref="A568:C568"/>
    <mergeCell ref="D569:F569"/>
    <mergeCell ref="C571:E571"/>
    <mergeCell ref="C572:E572"/>
    <mergeCell ref="C573:E573"/>
    <mergeCell ref="D574:F574"/>
    <mergeCell ref="D576:F576"/>
    <mergeCell ref="A578:G578"/>
    <mergeCell ref="A579:G579"/>
    <mergeCell ref="A580:G580"/>
    <mergeCell ref="A583:C583"/>
    <mergeCell ref="A584:C584"/>
    <mergeCell ref="A585:C585"/>
    <mergeCell ref="A586:C586"/>
    <mergeCell ref="A587:C587"/>
    <mergeCell ref="A588:C588"/>
    <mergeCell ref="A589:C589"/>
    <mergeCell ref="A590:C590"/>
    <mergeCell ref="A591:C591"/>
    <mergeCell ref="A592:C592"/>
    <mergeCell ref="D601:F601"/>
    <mergeCell ref="D606:F606"/>
    <mergeCell ref="D608:F608"/>
    <mergeCell ref="A611:D611"/>
    <mergeCell ref="A593:C593"/>
    <mergeCell ref="A594:C594"/>
    <mergeCell ref="A595:C595"/>
    <mergeCell ref="D596:F596"/>
    <mergeCell ref="A598:C598"/>
    <mergeCell ref="A599:C599"/>
    <mergeCell ref="A600:C600"/>
  </mergeCells>
  <pageMargins left="0.70866141732283472" right="0.70866141732283472" top="0.74803149606299213" bottom="0.74803149606299213" header="0" footer="0"/>
  <pageSetup orientation="portrait"/>
  <rowBreaks count="6" manualBreakCount="6">
    <brk id="288" man="1"/>
    <brk id="468" man="1"/>
    <brk id="324" man="1"/>
    <brk id="252" man="1"/>
    <brk id="396" man="1"/>
    <brk id="540" man="1"/>
  </rowBreak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7:G107"/>
  <sheetViews>
    <sheetView workbookViewId="0">
      <pane ySplit="5" topLeftCell="A6" activePane="bottomLeft" state="frozen"/>
      <selection pane="bottomLeft" activeCell="J25" sqref="J25"/>
    </sheetView>
  </sheetViews>
  <sheetFormatPr baseColWidth="10" defaultColWidth="14.44140625" defaultRowHeight="15" customHeight="1"/>
  <cols>
    <col min="1" max="1" width="43.44140625" customWidth="1"/>
    <col min="2" max="2" width="9.109375" customWidth="1"/>
    <col min="3" max="3" width="9.5546875" customWidth="1"/>
    <col min="4" max="4" width="15.44140625" customWidth="1"/>
    <col min="5" max="5" width="16.6640625" customWidth="1"/>
    <col min="6" max="6" width="11.6640625" customWidth="1"/>
    <col min="7" max="7" width="15.33203125" customWidth="1"/>
    <col min="8" max="26" width="11.44140625" customWidth="1"/>
  </cols>
  <sheetData>
    <row r="7" spans="1:6" ht="13.5" customHeight="1">
      <c r="A7" s="2121" t="e">
        <f>+#REF!</f>
        <v>#REF!</v>
      </c>
      <c r="B7" s="1616"/>
      <c r="C7" s="1616"/>
      <c r="D7" s="1616"/>
      <c r="E7" s="1624"/>
      <c r="F7" s="162"/>
    </row>
    <row r="8" spans="1:6" ht="18" customHeight="1">
      <c r="A8" s="2122" t="s">
        <v>2654</v>
      </c>
      <c r="B8" s="1817"/>
      <c r="C8" s="1817"/>
      <c r="D8" s="1817"/>
      <c r="E8" s="1972"/>
      <c r="F8" s="162"/>
    </row>
    <row r="9" spans="1:6" ht="16.5" customHeight="1">
      <c r="A9" s="2123" t="s">
        <v>2655</v>
      </c>
      <c r="B9" s="1605"/>
      <c r="C9" s="1605"/>
      <c r="D9" s="1605"/>
      <c r="E9" s="1605"/>
      <c r="F9" s="162"/>
    </row>
    <row r="10" spans="1:6" ht="13.5" customHeight="1">
      <c r="A10" s="2124" t="s">
        <v>2656</v>
      </c>
      <c r="B10" s="1601"/>
      <c r="C10" s="1601"/>
      <c r="D10" s="1601"/>
      <c r="E10" s="1602"/>
      <c r="F10" s="162"/>
    </row>
    <row r="11" spans="1:6" ht="13.5" customHeight="1">
      <c r="A11" s="1098"/>
      <c r="B11" s="1098"/>
      <c r="C11" s="1098"/>
      <c r="D11" s="1099"/>
      <c r="E11" s="1099"/>
      <c r="F11" s="162"/>
    </row>
    <row r="12" spans="1:6" ht="13.5" customHeight="1">
      <c r="A12" s="1100" t="s">
        <v>2657</v>
      </c>
      <c r="B12" s="1100"/>
      <c r="C12" s="1100"/>
      <c r="D12" s="1100"/>
      <c r="E12" s="1101">
        <v>1423500</v>
      </c>
      <c r="F12" s="162" t="s">
        <v>4420</v>
      </c>
    </row>
    <row r="13" spans="1:6" ht="6.75" customHeight="1">
      <c r="A13" s="1102"/>
      <c r="B13" s="1103"/>
      <c r="C13" s="1103"/>
      <c r="D13" s="1104"/>
      <c r="E13" s="1104"/>
      <c r="F13" s="162"/>
    </row>
    <row r="14" spans="1:6" ht="13.5" customHeight="1">
      <c r="A14" s="1105" t="s">
        <v>2658</v>
      </c>
      <c r="B14" s="1106"/>
      <c r="C14" s="1106"/>
      <c r="D14" s="1106"/>
      <c r="E14" s="1107"/>
      <c r="F14" s="162"/>
    </row>
    <row r="15" spans="1:6" ht="13.5" customHeight="1">
      <c r="A15" s="1108" t="s">
        <v>1218</v>
      </c>
      <c r="B15" s="1109" t="s">
        <v>1219</v>
      </c>
      <c r="C15" s="1110" t="s">
        <v>1244</v>
      </c>
      <c r="D15" s="1111" t="s">
        <v>2659</v>
      </c>
      <c r="E15" s="1111" t="s">
        <v>2660</v>
      </c>
      <c r="F15" s="162"/>
    </row>
    <row r="16" spans="1:6" ht="13.5" customHeight="1">
      <c r="A16" s="1112" t="s">
        <v>2661</v>
      </c>
      <c r="B16" s="1113" t="s">
        <v>1957</v>
      </c>
      <c r="C16" s="1114">
        <v>1</v>
      </c>
      <c r="D16" s="1115">
        <f>+E12/30</f>
        <v>47450</v>
      </c>
      <c r="E16" s="1115">
        <f>+D16*C16</f>
        <v>47450</v>
      </c>
      <c r="F16" s="162"/>
    </row>
    <row r="18" spans="1:5" ht="13.5" customHeight="1">
      <c r="A18" s="1112" t="s">
        <v>2662</v>
      </c>
      <c r="B18" s="1113"/>
      <c r="C18" s="1116"/>
      <c r="D18" s="1117"/>
      <c r="E18" s="1115"/>
    </row>
    <row r="19" spans="1:5" ht="13.5" customHeight="1">
      <c r="A19" s="1112" t="s">
        <v>2663</v>
      </c>
      <c r="B19" s="1113" t="s">
        <v>1220</v>
      </c>
      <c r="C19" s="1118">
        <v>0.1169</v>
      </c>
      <c r="D19" s="1115">
        <f>+D16</f>
        <v>47450</v>
      </c>
      <c r="E19" s="1115">
        <f t="shared" ref="E19:E24" si="0">+D19*C19</f>
        <v>5546.9049999999997</v>
      </c>
    </row>
    <row r="20" spans="1:5" ht="13.5" customHeight="1">
      <c r="A20" s="1112" t="s">
        <v>2664</v>
      </c>
      <c r="B20" s="1113" t="s">
        <v>1220</v>
      </c>
      <c r="C20" s="1118">
        <v>8.3299999999999999E-2</v>
      </c>
      <c r="D20" s="1115">
        <f t="shared" ref="D20:D24" si="1">+D19</f>
        <v>47450</v>
      </c>
      <c r="E20" s="1115">
        <f t="shared" si="0"/>
        <v>3952.585</v>
      </c>
    </row>
    <row r="21" spans="1:5" ht="13.5" customHeight="1">
      <c r="A21" s="1112" t="s">
        <v>2665</v>
      </c>
      <c r="B21" s="1113" t="s">
        <v>1220</v>
      </c>
      <c r="C21" s="1118">
        <v>0.01</v>
      </c>
      <c r="D21" s="1115">
        <f t="shared" si="1"/>
        <v>47450</v>
      </c>
      <c r="E21" s="1115">
        <f t="shared" si="0"/>
        <v>474.5</v>
      </c>
    </row>
    <row r="22" spans="1:5" ht="13.5" customHeight="1">
      <c r="A22" s="1112" t="s">
        <v>2666</v>
      </c>
      <c r="B22" s="1113" t="s">
        <v>1220</v>
      </c>
      <c r="C22" s="1118">
        <v>8.3299999999999999E-2</v>
      </c>
      <c r="D22" s="1115">
        <f t="shared" si="1"/>
        <v>47450</v>
      </c>
      <c r="E22" s="1115">
        <f t="shared" si="0"/>
        <v>3952.585</v>
      </c>
    </row>
    <row r="23" spans="1:5" ht="13.5" customHeight="1">
      <c r="A23" s="1112" t="s">
        <v>1337</v>
      </c>
      <c r="B23" s="1113" t="s">
        <v>1220</v>
      </c>
      <c r="C23" s="1118">
        <v>4.1599999999999998E-2</v>
      </c>
      <c r="D23" s="1115">
        <f t="shared" si="1"/>
        <v>47450</v>
      </c>
      <c r="E23" s="1115">
        <f t="shared" si="0"/>
        <v>1973.9199999999998</v>
      </c>
    </row>
    <row r="24" spans="1:5" ht="13.5" customHeight="1">
      <c r="A24" s="1112" t="s">
        <v>2667</v>
      </c>
      <c r="B24" s="1113" t="s">
        <v>1220</v>
      </c>
      <c r="C24" s="1118">
        <v>0.35460000000000003</v>
      </c>
      <c r="D24" s="1115">
        <f t="shared" si="1"/>
        <v>47450</v>
      </c>
      <c r="E24" s="1115">
        <f t="shared" si="0"/>
        <v>16825.77</v>
      </c>
    </row>
    <row r="25" spans="1:5" ht="13.5" customHeight="1">
      <c r="A25" s="1112"/>
      <c r="B25" s="1113"/>
      <c r="C25" s="1116"/>
      <c r="D25" s="1117"/>
      <c r="E25" s="1115"/>
    </row>
    <row r="26" spans="1:5" ht="13.5" customHeight="1">
      <c r="A26" s="1112" t="s">
        <v>2668</v>
      </c>
      <c r="B26" s="1113"/>
      <c r="C26" s="1116"/>
      <c r="D26" s="1117"/>
      <c r="E26" s="1115"/>
    </row>
    <row r="27" spans="1:5" ht="13.5" customHeight="1">
      <c r="A27" s="1112" t="s">
        <v>2669</v>
      </c>
      <c r="B27" s="1113" t="s">
        <v>1220</v>
      </c>
      <c r="C27" s="1118">
        <v>0.04</v>
      </c>
      <c r="D27" s="1115">
        <f>+D24</f>
        <v>47450</v>
      </c>
      <c r="E27" s="1115">
        <f t="shared" ref="E27:E30" si="2">+D27*C27</f>
        <v>1898</v>
      </c>
    </row>
    <row r="28" spans="1:5" ht="13.5" customHeight="1">
      <c r="A28" s="1112" t="s">
        <v>1345</v>
      </c>
      <c r="B28" s="1113" t="s">
        <v>1220</v>
      </c>
      <c r="C28" s="1118">
        <v>0.02</v>
      </c>
      <c r="D28" s="1115">
        <f t="shared" ref="D28:D30" si="3">+D27</f>
        <v>47450</v>
      </c>
      <c r="E28" s="1115">
        <f t="shared" si="2"/>
        <v>949</v>
      </c>
    </row>
    <row r="29" spans="1:5" ht="13.5" customHeight="1">
      <c r="A29" s="1112" t="s">
        <v>2670</v>
      </c>
      <c r="B29" s="1113" t="s">
        <v>1220</v>
      </c>
      <c r="C29" s="1118">
        <v>1.7500000000000002E-2</v>
      </c>
      <c r="D29" s="1115">
        <f t="shared" si="3"/>
        <v>47450</v>
      </c>
      <c r="E29" s="1115">
        <f t="shared" si="2"/>
        <v>830.37500000000011</v>
      </c>
    </row>
    <row r="30" spans="1:5" ht="13.5" customHeight="1">
      <c r="A30" s="1112" t="s">
        <v>1347</v>
      </c>
      <c r="B30" s="1113" t="s">
        <v>1220</v>
      </c>
      <c r="C30" s="1118">
        <v>0.03</v>
      </c>
      <c r="D30" s="1115">
        <f t="shared" si="3"/>
        <v>47450</v>
      </c>
      <c r="E30" s="1115">
        <f t="shared" si="2"/>
        <v>1423.5</v>
      </c>
    </row>
    <row r="31" spans="1:5" ht="13.5" customHeight="1">
      <c r="A31" s="1112"/>
      <c r="B31" s="1113"/>
      <c r="C31" s="1118"/>
      <c r="D31" s="1115"/>
      <c r="E31" s="1115"/>
    </row>
    <row r="32" spans="1:5" ht="13.5" customHeight="1">
      <c r="A32" s="1112" t="s">
        <v>2671</v>
      </c>
      <c r="B32" s="1113" t="s">
        <v>1220</v>
      </c>
      <c r="C32" s="1118">
        <v>5.28E-2</v>
      </c>
      <c r="D32" s="1115">
        <f>+D30</f>
        <v>47450</v>
      </c>
      <c r="E32" s="1115">
        <f>+D32*C32</f>
        <v>2505.36</v>
      </c>
    </row>
    <row r="34" spans="1:7" ht="13.5" customHeight="1">
      <c r="A34" s="1124" t="s">
        <v>2672</v>
      </c>
      <c r="B34" s="1125" t="s">
        <v>1220</v>
      </c>
      <c r="C34" s="1126">
        <f>SUM(C19:C33)</f>
        <v>0.85</v>
      </c>
      <c r="D34" s="1127"/>
      <c r="E34" s="1128"/>
      <c r="F34" s="162"/>
      <c r="G34" s="162"/>
    </row>
    <row r="35" spans="1:7" ht="13.5" customHeight="1">
      <c r="A35" s="2118" t="s">
        <v>2673</v>
      </c>
      <c r="B35" s="1601"/>
      <c r="C35" s="2119"/>
      <c r="D35" s="1129" t="s">
        <v>2674</v>
      </c>
      <c r="E35" s="1130">
        <f>SUM(E16:E34)</f>
        <v>87782.5</v>
      </c>
      <c r="F35" s="162"/>
      <c r="G35" s="162"/>
    </row>
    <row r="36" spans="1:7" ht="13.5" customHeight="1">
      <c r="A36" s="2118" t="s">
        <v>2673</v>
      </c>
      <c r="B36" s="1601"/>
      <c r="C36" s="2119"/>
      <c r="D36" s="1129" t="s">
        <v>2675</v>
      </c>
      <c r="E36" s="1130">
        <f>+E35/8</f>
        <v>10972.8125</v>
      </c>
      <c r="F36" s="162"/>
      <c r="G36" s="162"/>
    </row>
    <row r="37" spans="1:7" ht="13.5" customHeight="1">
      <c r="A37" s="1131"/>
      <c r="B37" s="1132"/>
      <c r="C37" s="1133"/>
      <c r="D37" s="1134"/>
      <c r="E37" s="1134"/>
      <c r="F37" s="162"/>
      <c r="G37" s="162"/>
    </row>
    <row r="38" spans="1:7" ht="13.5" customHeight="1">
      <c r="A38" s="2116" t="s">
        <v>2676</v>
      </c>
      <c r="B38" s="1601"/>
      <c r="C38" s="1601"/>
      <c r="D38" s="1601"/>
      <c r="E38" s="1602"/>
      <c r="F38" s="162"/>
      <c r="G38" s="162"/>
    </row>
    <row r="39" spans="1:7" ht="13.5" customHeight="1">
      <c r="A39" s="1108" t="s">
        <v>1218</v>
      </c>
      <c r="B39" s="1109" t="s">
        <v>1219</v>
      </c>
      <c r="C39" s="1110" t="s">
        <v>1244</v>
      </c>
      <c r="D39" s="1111" t="s">
        <v>2659</v>
      </c>
      <c r="E39" s="1111" t="s">
        <v>2660</v>
      </c>
      <c r="F39" s="162"/>
      <c r="G39" s="162"/>
    </row>
    <row r="40" spans="1:7" ht="13.5" customHeight="1">
      <c r="A40" s="1112" t="s">
        <v>2677</v>
      </c>
      <c r="B40" s="1113" t="s">
        <v>1957</v>
      </c>
      <c r="C40" s="1114">
        <v>1</v>
      </c>
      <c r="D40" s="1115">
        <f>G41</f>
        <v>65000</v>
      </c>
      <c r="E40" s="1115">
        <f>+D40*C40</f>
        <v>65000</v>
      </c>
      <c r="F40" s="162"/>
      <c r="G40" s="162">
        <f>1300000*1.5</f>
        <v>1950000</v>
      </c>
    </row>
    <row r="41" spans="1:7" ht="13.5" customHeight="1">
      <c r="A41" s="1112"/>
      <c r="B41" s="1113"/>
      <c r="C41" s="1116"/>
      <c r="D41" s="1117"/>
      <c r="E41" s="1115"/>
      <c r="F41" s="162"/>
      <c r="G41" s="162">
        <f>+G40/30</f>
        <v>65000</v>
      </c>
    </row>
    <row r="42" spans="1:7" ht="13.5" customHeight="1">
      <c r="A42" s="1112" t="s">
        <v>2662</v>
      </c>
      <c r="B42" s="1113"/>
      <c r="C42" s="1116"/>
      <c r="D42" s="1117"/>
      <c r="E42" s="1115"/>
      <c r="F42" s="162"/>
      <c r="G42" s="162"/>
    </row>
    <row r="43" spans="1:7" ht="13.5" customHeight="1">
      <c r="A43" s="1112" t="s">
        <v>2663</v>
      </c>
      <c r="B43" s="1113" t="s">
        <v>1220</v>
      </c>
      <c r="C43" s="1118">
        <v>0.1169</v>
      </c>
      <c r="D43" s="1115">
        <f>+D40</f>
        <v>65000</v>
      </c>
      <c r="E43" s="1115">
        <f t="shared" ref="E43:E48" si="4">+D43*C43</f>
        <v>7598.5</v>
      </c>
      <c r="F43" s="162"/>
      <c r="G43" s="162"/>
    </row>
    <row r="44" spans="1:7" ht="13.5" customHeight="1">
      <c r="A44" s="1112" t="s">
        <v>2664</v>
      </c>
      <c r="B44" s="1113" t="s">
        <v>1220</v>
      </c>
      <c r="C44" s="1118">
        <v>8.3299999999999999E-2</v>
      </c>
      <c r="D44" s="1115">
        <f t="shared" ref="D44:D48" si="5">+D43</f>
        <v>65000</v>
      </c>
      <c r="E44" s="1115">
        <f t="shared" si="4"/>
        <v>5414.5</v>
      </c>
      <c r="F44" s="162"/>
      <c r="G44" s="162"/>
    </row>
    <row r="45" spans="1:7" ht="13.5" customHeight="1">
      <c r="A45" s="1112" t="s">
        <v>2665</v>
      </c>
      <c r="B45" s="1113" t="s">
        <v>1220</v>
      </c>
      <c r="C45" s="1118">
        <v>0.01</v>
      </c>
      <c r="D45" s="1115">
        <f t="shared" si="5"/>
        <v>65000</v>
      </c>
      <c r="E45" s="1115">
        <f t="shared" si="4"/>
        <v>650</v>
      </c>
      <c r="F45" s="162"/>
      <c r="G45" s="162"/>
    </row>
    <row r="46" spans="1:7" ht="13.5" customHeight="1">
      <c r="A46" s="1112" t="s">
        <v>2666</v>
      </c>
      <c r="B46" s="1113" t="s">
        <v>1220</v>
      </c>
      <c r="C46" s="1118">
        <v>8.3299999999999999E-2</v>
      </c>
      <c r="D46" s="1115">
        <f t="shared" si="5"/>
        <v>65000</v>
      </c>
      <c r="E46" s="1115">
        <f t="shared" si="4"/>
        <v>5414.5</v>
      </c>
      <c r="F46" s="162"/>
      <c r="G46" s="162"/>
    </row>
    <row r="47" spans="1:7" ht="13.5" customHeight="1">
      <c r="A47" s="1112" t="s">
        <v>1337</v>
      </c>
      <c r="B47" s="1113" t="s">
        <v>1220</v>
      </c>
      <c r="C47" s="1118">
        <v>4.1599999999999998E-2</v>
      </c>
      <c r="D47" s="1115">
        <f t="shared" si="5"/>
        <v>65000</v>
      </c>
      <c r="E47" s="1115">
        <f t="shared" si="4"/>
        <v>2704</v>
      </c>
      <c r="F47" s="162"/>
      <c r="G47" s="162"/>
    </row>
    <row r="48" spans="1:7" ht="13.5" customHeight="1">
      <c r="A48" s="1112" t="s">
        <v>2667</v>
      </c>
      <c r="B48" s="1113" t="s">
        <v>1220</v>
      </c>
      <c r="C48" s="1118">
        <v>0.35460000000000003</v>
      </c>
      <c r="D48" s="1115">
        <f t="shared" si="5"/>
        <v>65000</v>
      </c>
      <c r="E48" s="1115">
        <f t="shared" si="4"/>
        <v>23049</v>
      </c>
      <c r="F48" s="162"/>
      <c r="G48" s="162"/>
    </row>
    <row r="50" spans="1:5" ht="13.5" customHeight="1">
      <c r="A50" s="1112" t="s">
        <v>2668</v>
      </c>
      <c r="B50" s="1113"/>
      <c r="C50" s="1116"/>
      <c r="D50" s="1117"/>
      <c r="E50" s="1115"/>
    </row>
    <row r="51" spans="1:5" ht="13.5" customHeight="1">
      <c r="A51" s="1112" t="s">
        <v>2678</v>
      </c>
      <c r="B51" s="1113" t="s">
        <v>1220</v>
      </c>
      <c r="C51" s="1118">
        <v>0.04</v>
      </c>
      <c r="D51" s="1115">
        <f>+D48</f>
        <v>65000</v>
      </c>
      <c r="E51" s="1115">
        <f t="shared" ref="E51:E54" si="6">+D51*C51</f>
        <v>2600</v>
      </c>
    </row>
    <row r="52" spans="1:5" ht="13.5" customHeight="1">
      <c r="A52" s="1112" t="s">
        <v>1345</v>
      </c>
      <c r="B52" s="1113" t="s">
        <v>1220</v>
      </c>
      <c r="C52" s="1118">
        <v>0.02</v>
      </c>
      <c r="D52" s="1115">
        <f t="shared" ref="D52:D54" si="7">+D51</f>
        <v>65000</v>
      </c>
      <c r="E52" s="1115">
        <f t="shared" si="6"/>
        <v>1300</v>
      </c>
    </row>
    <row r="53" spans="1:5" ht="13.5" customHeight="1">
      <c r="A53" s="1112" t="s">
        <v>2670</v>
      </c>
      <c r="B53" s="1113" t="s">
        <v>1220</v>
      </c>
      <c r="C53" s="1118">
        <v>1.7500000000000002E-2</v>
      </c>
      <c r="D53" s="1115">
        <f t="shared" si="7"/>
        <v>65000</v>
      </c>
      <c r="E53" s="1115">
        <f t="shared" si="6"/>
        <v>1137.5</v>
      </c>
    </row>
    <row r="54" spans="1:5" ht="13.5" customHeight="1">
      <c r="A54" s="1112" t="s">
        <v>1347</v>
      </c>
      <c r="B54" s="1113" t="s">
        <v>1220</v>
      </c>
      <c r="C54" s="1118">
        <v>0.03</v>
      </c>
      <c r="D54" s="1115">
        <f t="shared" si="7"/>
        <v>65000</v>
      </c>
      <c r="E54" s="1115">
        <f t="shared" si="6"/>
        <v>1950</v>
      </c>
    </row>
    <row r="55" spans="1:5" ht="13.5" customHeight="1">
      <c r="A55" s="1112"/>
      <c r="B55" s="1113"/>
      <c r="C55" s="1118"/>
      <c r="D55" s="1115"/>
      <c r="E55" s="1115"/>
    </row>
    <row r="56" spans="1:5" ht="13.5" customHeight="1">
      <c r="A56" s="1112" t="s">
        <v>2679</v>
      </c>
      <c r="B56" s="1113" t="s">
        <v>1220</v>
      </c>
      <c r="C56" s="1118">
        <v>5.28E-2</v>
      </c>
      <c r="D56" s="1115">
        <f>+D54</f>
        <v>65000</v>
      </c>
      <c r="E56" s="1115">
        <f>+D56*C56</f>
        <v>3432</v>
      </c>
    </row>
    <row r="57" spans="1:5" ht="13.5" customHeight="1">
      <c r="A57" s="1119"/>
      <c r="B57" s="1120"/>
      <c r="C57" s="1121"/>
      <c r="D57" s="1122"/>
      <c r="E57" s="1123"/>
    </row>
    <row r="58" spans="1:5" ht="13.5" customHeight="1">
      <c r="A58" s="1124" t="s">
        <v>2672</v>
      </c>
      <c r="B58" s="1125" t="s">
        <v>1220</v>
      </c>
      <c r="C58" s="1126">
        <f>SUM(C43:C57)</f>
        <v>0.85</v>
      </c>
      <c r="D58" s="1127"/>
      <c r="E58" s="1128"/>
    </row>
    <row r="59" spans="1:5" ht="13.5" customHeight="1">
      <c r="A59" s="2118" t="s">
        <v>2673</v>
      </c>
      <c r="B59" s="1601"/>
      <c r="C59" s="2119"/>
      <c r="D59" s="1129" t="s">
        <v>2674</v>
      </c>
      <c r="E59" s="1130">
        <f>SUM(E40:E58)</f>
        <v>120250</v>
      </c>
    </row>
    <row r="60" spans="1:5" ht="13.5" customHeight="1">
      <c r="A60" s="2118" t="s">
        <v>2673</v>
      </c>
      <c r="B60" s="1601"/>
      <c r="C60" s="2119"/>
      <c r="D60" s="1129" t="s">
        <v>2675</v>
      </c>
      <c r="E60" s="1135">
        <f>+E59/8</f>
        <v>15031.25</v>
      </c>
    </row>
    <row r="61" spans="1:5" ht="13.5" customHeight="1">
      <c r="A61" s="1131"/>
      <c r="B61" s="1132"/>
      <c r="C61" s="1133"/>
      <c r="D61" s="1134"/>
      <c r="E61" s="1134"/>
    </row>
    <row r="62" spans="1:5" ht="13.5" customHeight="1">
      <c r="A62" s="2116" t="s">
        <v>2680</v>
      </c>
      <c r="B62" s="1601"/>
      <c r="C62" s="1601"/>
      <c r="D62" s="1601"/>
      <c r="E62" s="1602"/>
    </row>
    <row r="63" spans="1:5" ht="13.5" customHeight="1">
      <c r="A63" s="1108" t="s">
        <v>1218</v>
      </c>
      <c r="B63" s="1109" t="s">
        <v>1219</v>
      </c>
      <c r="C63" s="1110" t="s">
        <v>1244</v>
      </c>
      <c r="D63" s="1111" t="s">
        <v>2659</v>
      </c>
      <c r="E63" s="1111" t="s">
        <v>2660</v>
      </c>
    </row>
    <row r="64" spans="1:5" ht="13.5" customHeight="1">
      <c r="A64" s="1136" t="s">
        <v>1574</v>
      </c>
      <c r="B64" s="1113" t="s">
        <v>1575</v>
      </c>
      <c r="C64" s="1137">
        <v>1</v>
      </c>
      <c r="D64" s="1115">
        <f>+E60</f>
        <v>15031.25</v>
      </c>
      <c r="E64" s="1115">
        <f t="shared" ref="E64:E65" si="8">+D64*C64</f>
        <v>15031.25</v>
      </c>
    </row>
    <row r="65" spans="1:5" ht="13.5" customHeight="1">
      <c r="A65" s="1136" t="s">
        <v>1576</v>
      </c>
      <c r="B65" s="1113" t="s">
        <v>1575</v>
      </c>
      <c r="C65" s="1137">
        <v>1</v>
      </c>
      <c r="D65" s="1115">
        <f>+E36</f>
        <v>10972.8125</v>
      </c>
      <c r="E65" s="1115">
        <f t="shared" si="8"/>
        <v>10972.8125</v>
      </c>
    </row>
    <row r="66" spans="1:5" ht="13.5" customHeight="1">
      <c r="A66" s="1124"/>
      <c r="B66" s="1125"/>
      <c r="C66" s="1126"/>
      <c r="D66" s="1127"/>
      <c r="E66" s="1128"/>
    </row>
    <row r="67" spans="1:5" ht="13.5" customHeight="1">
      <c r="A67" s="2118" t="s">
        <v>2673</v>
      </c>
      <c r="B67" s="1601"/>
      <c r="C67" s="2119"/>
      <c r="D67" s="1129" t="s">
        <v>2675</v>
      </c>
      <c r="E67" s="1130">
        <f>SUM(E64:E66)</f>
        <v>26004.0625</v>
      </c>
    </row>
    <row r="68" spans="1:5" ht="13.5" customHeight="1">
      <c r="A68" s="636"/>
      <c r="B68" s="1138"/>
      <c r="C68" s="684"/>
      <c r="D68" s="1134"/>
      <c r="E68" s="1134"/>
    </row>
    <row r="69" spans="1:5" ht="13.5" customHeight="1">
      <c r="A69" s="2120" t="s">
        <v>2681</v>
      </c>
      <c r="B69" s="1601"/>
      <c r="C69" s="1601"/>
      <c r="D69" s="1601"/>
      <c r="E69" s="2119"/>
    </row>
    <row r="70" spans="1:5" ht="13.5" customHeight="1">
      <c r="A70" s="1108" t="s">
        <v>1218</v>
      </c>
      <c r="B70" s="1109" t="s">
        <v>1219</v>
      </c>
      <c r="C70" s="1110" t="s">
        <v>1244</v>
      </c>
      <c r="D70" s="1111" t="s">
        <v>2659</v>
      </c>
      <c r="E70" s="1111" t="s">
        <v>2660</v>
      </c>
    </row>
    <row r="71" spans="1:5" ht="13.5" customHeight="1">
      <c r="A71" s="1136" t="s">
        <v>2008</v>
      </c>
      <c r="B71" s="1113" t="s">
        <v>1575</v>
      </c>
      <c r="C71" s="1139">
        <v>1.35</v>
      </c>
      <c r="D71" s="1115">
        <f>+E60</f>
        <v>15031.25</v>
      </c>
      <c r="E71" s="1115">
        <f t="shared" ref="E71:E72" si="9">+D71*C71</f>
        <v>20292.1875</v>
      </c>
    </row>
    <row r="72" spans="1:5" ht="13.5" customHeight="1">
      <c r="A72" s="1136" t="s">
        <v>1576</v>
      </c>
      <c r="B72" s="1113" t="s">
        <v>1575</v>
      </c>
      <c r="C72" s="1139">
        <v>1.35</v>
      </c>
      <c r="D72" s="1115">
        <f>+E36</f>
        <v>10972.8125</v>
      </c>
      <c r="E72" s="1115">
        <f t="shared" si="9"/>
        <v>14813.296875000002</v>
      </c>
    </row>
    <row r="73" spans="1:5" ht="13.5" customHeight="1">
      <c r="A73" s="1124"/>
      <c r="B73" s="1125"/>
      <c r="C73" s="1126"/>
      <c r="D73" s="1127"/>
      <c r="E73" s="1128"/>
    </row>
    <row r="74" spans="1:5" ht="13.5" customHeight="1">
      <c r="A74" s="2118" t="s">
        <v>2673</v>
      </c>
      <c r="B74" s="1601"/>
      <c r="C74" s="2119"/>
      <c r="D74" s="1129" t="s">
        <v>2675</v>
      </c>
      <c r="E74" s="1130">
        <f>SUM(E71:E73)</f>
        <v>35105.484375</v>
      </c>
    </row>
    <row r="75" spans="1:5" ht="13.5" customHeight="1">
      <c r="A75" s="636"/>
      <c r="B75" s="1132"/>
      <c r="C75" s="1140"/>
      <c r="D75" s="1134"/>
      <c r="E75" s="1134"/>
    </row>
    <row r="76" spans="1:5" ht="13.5" customHeight="1">
      <c r="A76" s="2116" t="s">
        <v>2682</v>
      </c>
      <c r="B76" s="1601"/>
      <c r="C76" s="1601"/>
      <c r="D76" s="1601"/>
      <c r="E76" s="1602"/>
    </row>
    <row r="77" spans="1:5" ht="13.5" customHeight="1">
      <c r="A77" s="1108" t="s">
        <v>1218</v>
      </c>
      <c r="B77" s="1109" t="s">
        <v>1219</v>
      </c>
      <c r="C77" s="1110" t="s">
        <v>1244</v>
      </c>
      <c r="D77" s="1111" t="s">
        <v>2659</v>
      </c>
      <c r="E77" s="1111" t="s">
        <v>2660</v>
      </c>
    </row>
    <row r="78" spans="1:5" ht="13.5" customHeight="1">
      <c r="A78" s="1136" t="s">
        <v>2683</v>
      </c>
      <c r="B78" s="1113" t="s">
        <v>1575</v>
      </c>
      <c r="C78" s="1139">
        <v>1.1499999999999999</v>
      </c>
      <c r="D78" s="1115">
        <f>+E60</f>
        <v>15031.25</v>
      </c>
      <c r="E78" s="1115">
        <f t="shared" ref="E78:E79" si="10">+D78*C78</f>
        <v>17285.9375</v>
      </c>
    </row>
    <row r="79" spans="1:5" ht="13.5" customHeight="1">
      <c r="A79" s="1136" t="s">
        <v>1576</v>
      </c>
      <c r="B79" s="1113" t="s">
        <v>1575</v>
      </c>
      <c r="C79" s="1139">
        <v>1.1499999999999999</v>
      </c>
      <c r="D79" s="1115">
        <f>+E36</f>
        <v>10972.8125</v>
      </c>
      <c r="E79" s="1115">
        <f t="shared" si="10"/>
        <v>12618.734374999998</v>
      </c>
    </row>
    <row r="81" spans="1:5" ht="13.5" customHeight="1">
      <c r="A81" s="2118" t="s">
        <v>2673</v>
      </c>
      <c r="B81" s="1601"/>
      <c r="C81" s="2119"/>
      <c r="D81" s="1129" t="s">
        <v>2675</v>
      </c>
      <c r="E81" s="1130">
        <f>SUM(E78:E80)</f>
        <v>29904.671875</v>
      </c>
    </row>
    <row r="82" spans="1:5" ht="13.5" customHeight="1">
      <c r="A82" s="636"/>
      <c r="B82" s="1132"/>
      <c r="C82" s="1140"/>
      <c r="D82" s="1134"/>
      <c r="E82" s="1134"/>
    </row>
    <row r="83" spans="1:5" ht="13.5" customHeight="1">
      <c r="A83" s="2116" t="s">
        <v>2684</v>
      </c>
      <c r="B83" s="1601"/>
      <c r="C83" s="1601"/>
      <c r="D83" s="1601"/>
      <c r="E83" s="1602"/>
    </row>
    <row r="84" spans="1:5" ht="13.5" customHeight="1">
      <c r="A84" s="1108" t="s">
        <v>1218</v>
      </c>
      <c r="B84" s="1109" t="s">
        <v>1219</v>
      </c>
      <c r="C84" s="1110" t="s">
        <v>1244</v>
      </c>
      <c r="D84" s="1111" t="s">
        <v>2659</v>
      </c>
      <c r="E84" s="1111" t="s">
        <v>2660</v>
      </c>
    </row>
    <row r="85" spans="1:5" ht="13.5" customHeight="1">
      <c r="A85" s="1136" t="s">
        <v>1574</v>
      </c>
      <c r="B85" s="1113" t="s">
        <v>1575</v>
      </c>
      <c r="C85" s="1137">
        <v>1.1000000000000001</v>
      </c>
      <c r="D85" s="1115">
        <f>+E60</f>
        <v>15031.25</v>
      </c>
      <c r="E85" s="1115">
        <f t="shared" ref="E85:E86" si="11">+D85*C85</f>
        <v>16534.375</v>
      </c>
    </row>
    <row r="86" spans="1:5" ht="13.5" customHeight="1">
      <c r="A86" s="1136" t="s">
        <v>1576</v>
      </c>
      <c r="B86" s="1113" t="s">
        <v>1575</v>
      </c>
      <c r="C86" s="1137">
        <v>1.1000000000000001</v>
      </c>
      <c r="D86" s="1115">
        <f>+E36</f>
        <v>10972.8125</v>
      </c>
      <c r="E86" s="1115">
        <f t="shared" si="11"/>
        <v>12070.093750000002</v>
      </c>
    </row>
    <row r="87" spans="1:5" ht="13.5" customHeight="1">
      <c r="A87" s="1124"/>
      <c r="B87" s="1125"/>
      <c r="C87" s="1126"/>
      <c r="D87" s="1127"/>
      <c r="E87" s="1128"/>
    </row>
    <row r="88" spans="1:5" ht="13.5" customHeight="1">
      <c r="A88" s="2118" t="s">
        <v>2673</v>
      </c>
      <c r="B88" s="1601"/>
      <c r="C88" s="2119"/>
      <c r="D88" s="1129" t="s">
        <v>2675</v>
      </c>
      <c r="E88" s="1130">
        <f>SUM(E85:E87)</f>
        <v>28604.46875</v>
      </c>
    </row>
    <row r="89" spans="1:5" ht="13.5" customHeight="1">
      <c r="A89" s="636"/>
      <c r="B89" s="1132"/>
      <c r="C89" s="1132"/>
      <c r="D89" s="1134"/>
      <c r="E89" s="1134"/>
    </row>
    <row r="90" spans="1:5" ht="13.5" customHeight="1">
      <c r="A90" s="2116" t="s">
        <v>1716</v>
      </c>
      <c r="B90" s="1601"/>
      <c r="C90" s="1601"/>
      <c r="D90" s="1601"/>
      <c r="E90" s="1602"/>
    </row>
    <row r="91" spans="1:5" ht="13.5" customHeight="1">
      <c r="A91" s="1108" t="s">
        <v>1218</v>
      </c>
      <c r="B91" s="1109" t="s">
        <v>1219</v>
      </c>
      <c r="C91" s="1110" t="s">
        <v>1244</v>
      </c>
      <c r="D91" s="1111" t="s">
        <v>2659</v>
      </c>
      <c r="E91" s="1111" t="s">
        <v>2660</v>
      </c>
    </row>
    <row r="92" spans="1:5" ht="13.5" customHeight="1">
      <c r="A92" s="1136" t="s">
        <v>1574</v>
      </c>
      <c r="B92" s="1113" t="s">
        <v>1575</v>
      </c>
      <c r="C92" s="1137">
        <v>1.2</v>
      </c>
      <c r="D92" s="1115">
        <f>+E60</f>
        <v>15031.25</v>
      </c>
      <c r="E92" s="1115">
        <f t="shared" ref="E92:E93" si="12">+D92*C92</f>
        <v>18037.5</v>
      </c>
    </row>
    <row r="93" spans="1:5" ht="13.5" customHeight="1">
      <c r="A93" s="1136" t="s">
        <v>1576</v>
      </c>
      <c r="B93" s="1113" t="s">
        <v>1575</v>
      </c>
      <c r="C93" s="1137">
        <v>1.2</v>
      </c>
      <c r="D93" s="1115">
        <f>+E36</f>
        <v>10972.8125</v>
      </c>
      <c r="E93" s="1115">
        <f t="shared" si="12"/>
        <v>13167.375</v>
      </c>
    </row>
    <row r="94" spans="1:5" ht="13.5" customHeight="1">
      <c r="A94" s="1124"/>
      <c r="B94" s="1125"/>
      <c r="C94" s="1126"/>
      <c r="D94" s="1127"/>
      <c r="E94" s="1128"/>
    </row>
    <row r="95" spans="1:5" ht="13.5" customHeight="1">
      <c r="A95" s="1141" t="s">
        <v>2685</v>
      </c>
      <c r="B95" s="2117" t="s">
        <v>2686</v>
      </c>
      <c r="C95" s="1801"/>
      <c r="D95" s="1129" t="s">
        <v>2675</v>
      </c>
      <c r="E95" s="1130">
        <f>SUM(E92:E94)</f>
        <v>31204.875</v>
      </c>
    </row>
    <row r="97" spans="1:5" ht="13.5" customHeight="1">
      <c r="A97" s="2116" t="s">
        <v>2687</v>
      </c>
      <c r="B97" s="1601"/>
      <c r="C97" s="1601"/>
      <c r="D97" s="1601"/>
      <c r="E97" s="1602"/>
    </row>
    <row r="98" spans="1:5" ht="13.5" customHeight="1">
      <c r="A98" s="1108" t="s">
        <v>1218</v>
      </c>
      <c r="B98" s="1109" t="s">
        <v>1219</v>
      </c>
      <c r="C98" s="1110" t="s">
        <v>1244</v>
      </c>
      <c r="D98" s="1111" t="s">
        <v>2659</v>
      </c>
      <c r="E98" s="1111" t="s">
        <v>2660</v>
      </c>
    </row>
    <row r="99" spans="1:5" ht="15.75" customHeight="1">
      <c r="A99" s="1136" t="s">
        <v>1574</v>
      </c>
      <c r="B99" s="1113" t="s">
        <v>1575</v>
      </c>
      <c r="C99" s="1137">
        <v>1.4</v>
      </c>
      <c r="D99" s="1115">
        <f>+E60</f>
        <v>15031.25</v>
      </c>
      <c r="E99" s="1115">
        <f t="shared" ref="E99:E100" si="13">+D99*C99</f>
        <v>21043.75</v>
      </c>
    </row>
    <row r="100" spans="1:5" ht="18.75" customHeight="1">
      <c r="A100" s="1136" t="s">
        <v>1576</v>
      </c>
      <c r="B100" s="1113" t="s">
        <v>1575</v>
      </c>
      <c r="C100" s="1137">
        <v>1.4</v>
      </c>
      <c r="D100" s="1115">
        <f>+E36</f>
        <v>10972.8125</v>
      </c>
      <c r="E100" s="1115">
        <f t="shared" si="13"/>
        <v>15361.937499999998</v>
      </c>
    </row>
    <row r="101" spans="1:5" ht="13.5" customHeight="1">
      <c r="A101" s="1124"/>
      <c r="B101" s="1125"/>
      <c r="C101" s="1126"/>
      <c r="D101" s="1127"/>
      <c r="E101" s="1128"/>
    </row>
    <row r="102" spans="1:5" ht="13.5" customHeight="1">
      <c r="A102" s="2118" t="s">
        <v>2673</v>
      </c>
      <c r="B102" s="1601"/>
      <c r="C102" s="2119"/>
      <c r="D102" s="1129" t="s">
        <v>2675</v>
      </c>
      <c r="E102" s="1130">
        <f>SUM(E99:E101)</f>
        <v>36405.6875</v>
      </c>
    </row>
    <row r="103" spans="1:5" ht="13.5" customHeight="1">
      <c r="A103" s="1142"/>
      <c r="B103" s="1142"/>
      <c r="C103" s="1142"/>
      <c r="D103" s="1132"/>
      <c r="E103" s="1143"/>
    </row>
    <row r="104" spans="1:5" ht="13.5" customHeight="1">
      <c r="A104" s="162"/>
      <c r="B104" s="169"/>
      <c r="C104" s="169"/>
      <c r="D104" s="1144"/>
      <c r="E104" s="1144"/>
    </row>
    <row r="105" spans="1:5" ht="13.5" customHeight="1">
      <c r="A105" s="162"/>
      <c r="B105" s="169"/>
      <c r="C105" s="169"/>
      <c r="D105" s="1144"/>
      <c r="E105" s="1144"/>
    </row>
    <row r="106" spans="1:5" ht="13.5" customHeight="1">
      <c r="A106" s="162"/>
      <c r="B106" s="169"/>
      <c r="C106" s="169"/>
      <c r="D106" s="1144"/>
      <c r="E106" s="1144"/>
    </row>
    <row r="107" spans="1:5" ht="13.5" customHeight="1">
      <c r="A107" s="1986"/>
      <c r="B107" s="1605"/>
      <c r="C107" s="1605"/>
      <c r="D107" s="1605"/>
      <c r="E107" s="1144"/>
    </row>
  </sheetData>
  <mergeCells count="22">
    <mergeCell ref="A7:E7"/>
    <mergeCell ref="A8:E8"/>
    <mergeCell ref="A9:E9"/>
    <mergeCell ref="A10:E10"/>
    <mergeCell ref="A35:C35"/>
    <mergeCell ref="A36:C36"/>
    <mergeCell ref="A38:E38"/>
    <mergeCell ref="A81:C81"/>
    <mergeCell ref="A83:E83"/>
    <mergeCell ref="A88:C88"/>
    <mergeCell ref="A59:C59"/>
    <mergeCell ref="A60:C60"/>
    <mergeCell ref="A62:E62"/>
    <mergeCell ref="A67:C67"/>
    <mergeCell ref="A69:E69"/>
    <mergeCell ref="A74:C74"/>
    <mergeCell ref="A76:E76"/>
    <mergeCell ref="A90:E90"/>
    <mergeCell ref="B95:C95"/>
    <mergeCell ref="A97:E97"/>
    <mergeCell ref="A102:C102"/>
    <mergeCell ref="A107:D107"/>
  </mergeCells>
  <printOptions horizontalCentered="1" verticalCentered="1"/>
  <pageMargins left="0.74803149606299213" right="0.74803149606299213" top="0.62992125984251968" bottom="0.51181102362204722" header="0" footer="0"/>
  <pageSetup orientation="portrait"/>
  <rowBreaks count="1" manualBreakCount="1">
    <brk id="61" man="1"/>
  </rowBreaks>
  <drawing r:id="rId1"/>
  <legacy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A08ED6-AD7E-4ED2-8EEE-A72A5FE5944D}">
  <dimension ref="A1:AR113"/>
  <sheetViews>
    <sheetView view="pageBreakPreview" topLeftCell="A89" zoomScale="60" zoomScaleNormal="50" workbookViewId="0">
      <selection activeCell="F118" sqref="F118"/>
    </sheetView>
  </sheetViews>
  <sheetFormatPr baseColWidth="10" defaultColWidth="10.88671875" defaultRowHeight="19.2" customHeight="1"/>
  <cols>
    <col min="1" max="1" width="7.33203125" style="1350" customWidth="1"/>
    <col min="2" max="2" width="45.33203125" style="1350" customWidth="1"/>
    <col min="3" max="3" width="6" style="1350" bestFit="1" customWidth="1"/>
    <col min="4" max="4" width="13.88671875" style="1393" bestFit="1" customWidth="1"/>
    <col min="5" max="5" width="15.88671875" style="1402" customWidth="1"/>
    <col min="6" max="6" width="15.33203125" style="1420" customWidth="1"/>
    <col min="7" max="7" width="21.21875" style="1395" bestFit="1" customWidth="1"/>
    <col min="8" max="8" width="17.5546875" style="1395" customWidth="1"/>
    <col min="9" max="9" width="22.77734375" style="1395" customWidth="1"/>
    <col min="10" max="10" width="17" style="1392" bestFit="1" customWidth="1"/>
    <col min="11" max="11" width="18.5546875" style="1392" bestFit="1" customWidth="1"/>
    <col min="12" max="12" width="17.88671875" style="1392" bestFit="1" customWidth="1"/>
    <col min="13" max="13" width="18.21875" style="1392" bestFit="1" customWidth="1"/>
    <col min="14" max="14" width="17.44140625" style="1392" customWidth="1"/>
    <col min="15" max="15" width="18.77734375" style="1392" bestFit="1" customWidth="1"/>
    <col min="16" max="16" width="15.33203125" style="1394" hidden="1" customWidth="1"/>
    <col min="17" max="17" width="14" style="1415" bestFit="1" customWidth="1"/>
    <col min="18" max="18" width="15.33203125" style="1392" customWidth="1"/>
    <col min="19" max="19" width="18.6640625" style="1392" bestFit="1" customWidth="1"/>
    <col min="20" max="20" width="19" style="1392" bestFit="1" customWidth="1"/>
    <col min="21" max="42" width="15.33203125" style="1392" customWidth="1"/>
    <col min="43" max="43" width="17.6640625" style="1371" bestFit="1" customWidth="1"/>
    <col min="44" max="44" width="11" style="1392" customWidth="1"/>
    <col min="45" max="46" width="10.88671875" style="1350"/>
    <col min="47" max="47" width="29.44140625" style="1350" customWidth="1"/>
    <col min="48" max="48" width="16.6640625" style="1350" customWidth="1"/>
    <col min="49" max="16384" width="10.88671875" style="1350"/>
  </cols>
  <sheetData>
    <row r="1" spans="1:44" ht="19.2" customHeight="1">
      <c r="A1" s="2127"/>
      <c r="B1" s="2128"/>
      <c r="C1" s="2148" t="s">
        <v>4434</v>
      </c>
      <c r="D1" s="2148"/>
      <c r="E1" s="2148"/>
      <c r="F1" s="2148"/>
      <c r="G1" s="2148"/>
      <c r="H1" s="2148"/>
      <c r="I1" s="2148"/>
      <c r="J1" s="2148"/>
      <c r="K1" s="2148"/>
      <c r="L1" s="2148"/>
      <c r="M1" s="2148"/>
      <c r="N1" s="2149"/>
      <c r="O1" s="2150"/>
      <c r="P1" s="1349"/>
      <c r="Q1" s="1410"/>
      <c r="R1" s="1350"/>
      <c r="S1" s="1350"/>
      <c r="T1" s="1350"/>
      <c r="U1" s="1350"/>
      <c r="V1" s="1350"/>
      <c r="W1" s="1350"/>
      <c r="X1" s="1350"/>
      <c r="Y1" s="1350"/>
      <c r="Z1" s="1350"/>
      <c r="AA1" s="1350"/>
      <c r="AB1" s="1350"/>
      <c r="AC1" s="1350"/>
      <c r="AD1" s="1350"/>
      <c r="AE1" s="1350"/>
      <c r="AF1" s="1350"/>
      <c r="AG1" s="1350"/>
      <c r="AH1" s="1350"/>
      <c r="AI1" s="1350"/>
      <c r="AJ1" s="1350"/>
      <c r="AK1" s="1350"/>
      <c r="AL1" s="1350"/>
      <c r="AM1" s="1350"/>
      <c r="AN1" s="1350"/>
      <c r="AO1" s="1350"/>
      <c r="AP1" s="1350"/>
      <c r="AQ1" s="1350"/>
      <c r="AR1" s="1350"/>
    </row>
    <row r="2" spans="1:44" ht="19.2" customHeight="1">
      <c r="A2" s="2129"/>
      <c r="B2" s="2130"/>
      <c r="C2" s="2151"/>
      <c r="D2" s="2151"/>
      <c r="E2" s="2151"/>
      <c r="F2" s="2151"/>
      <c r="G2" s="2151"/>
      <c r="H2" s="2151"/>
      <c r="I2" s="2151"/>
      <c r="J2" s="2151"/>
      <c r="K2" s="2151"/>
      <c r="L2" s="2151"/>
      <c r="M2" s="2151"/>
      <c r="N2" s="2152"/>
      <c r="O2" s="2153"/>
      <c r="P2" s="1349"/>
      <c r="Q2" s="1410"/>
      <c r="R2" s="1350"/>
      <c r="S2" s="1350"/>
      <c r="T2" s="1350"/>
      <c r="U2" s="1350"/>
      <c r="V2" s="1350"/>
      <c r="W2" s="1350"/>
      <c r="X2" s="1350"/>
      <c r="Y2" s="1350"/>
      <c r="Z2" s="1350"/>
      <c r="AA2" s="1350"/>
      <c r="AB2" s="1350"/>
      <c r="AC2" s="1350"/>
      <c r="AD2" s="1350"/>
      <c r="AE2" s="1350"/>
      <c r="AF2" s="1350"/>
      <c r="AG2" s="1350"/>
      <c r="AH2" s="1350"/>
      <c r="AI2" s="1350"/>
      <c r="AJ2" s="1350"/>
      <c r="AK2" s="1350"/>
      <c r="AL2" s="1350"/>
      <c r="AM2" s="1350"/>
      <c r="AN2" s="1350"/>
      <c r="AO2" s="1350"/>
      <c r="AP2" s="1350"/>
      <c r="AQ2" s="1350"/>
      <c r="AR2" s="1350"/>
    </row>
    <row r="3" spans="1:44" ht="13.2">
      <c r="A3" s="2129"/>
      <c r="B3" s="2130"/>
      <c r="C3" s="2151" t="s">
        <v>1193</v>
      </c>
      <c r="D3" s="2151"/>
      <c r="E3" s="2151"/>
      <c r="F3" s="2151"/>
      <c r="G3" s="2151"/>
      <c r="H3" s="2151"/>
      <c r="I3" s="2151"/>
      <c r="J3" s="2151"/>
      <c r="K3" s="2151"/>
      <c r="L3" s="2151"/>
      <c r="M3" s="2151"/>
      <c r="N3" s="2152"/>
      <c r="O3" s="2153"/>
      <c r="P3" s="1349"/>
      <c r="Q3" s="1410"/>
      <c r="R3" s="1350"/>
      <c r="S3" s="1350"/>
      <c r="T3" s="1350"/>
      <c r="U3" s="1350"/>
      <c r="V3" s="1350"/>
      <c r="W3" s="1350"/>
      <c r="X3" s="1350"/>
      <c r="Y3" s="1350"/>
      <c r="Z3" s="1350"/>
      <c r="AA3" s="1350"/>
      <c r="AB3" s="1350"/>
      <c r="AC3" s="1350"/>
      <c r="AD3" s="1350"/>
      <c r="AE3" s="1350"/>
      <c r="AF3" s="1350"/>
      <c r="AG3" s="1350"/>
      <c r="AH3" s="1350"/>
      <c r="AI3" s="1350"/>
      <c r="AJ3" s="1350"/>
      <c r="AK3" s="1350"/>
      <c r="AL3" s="1350"/>
      <c r="AM3" s="1350"/>
      <c r="AN3" s="1350"/>
      <c r="AO3" s="1350"/>
      <c r="AP3" s="1350"/>
      <c r="AQ3" s="1350"/>
      <c r="AR3" s="1350"/>
    </row>
    <row r="4" spans="1:44" ht="13.2">
      <c r="A4" s="2129"/>
      <c r="B4" s="2130"/>
      <c r="C4" s="2158" t="s">
        <v>1194</v>
      </c>
      <c r="D4" s="2158"/>
      <c r="E4" s="2158"/>
      <c r="F4" s="2158"/>
      <c r="G4" s="2158"/>
      <c r="H4" s="2158"/>
      <c r="I4" s="2158"/>
      <c r="J4" s="2158"/>
      <c r="K4" s="2158"/>
      <c r="L4" s="2158"/>
      <c r="M4" s="2158"/>
      <c r="N4" s="2159"/>
      <c r="O4" s="2160"/>
      <c r="P4" s="1349"/>
      <c r="Q4" s="1410"/>
      <c r="R4" s="1351"/>
      <c r="S4" s="1350"/>
      <c r="T4" s="1350"/>
      <c r="U4" s="1350"/>
      <c r="V4" s="1350"/>
      <c r="W4" s="1350"/>
      <c r="X4" s="1350"/>
      <c r="Y4" s="1350"/>
      <c r="Z4" s="1350"/>
      <c r="AA4" s="1350"/>
      <c r="AB4" s="1350"/>
      <c r="AC4" s="1350"/>
      <c r="AD4" s="1350"/>
      <c r="AE4" s="1350"/>
      <c r="AF4" s="1350"/>
      <c r="AG4" s="1350"/>
      <c r="AH4" s="1350"/>
      <c r="AI4" s="1350"/>
      <c r="AJ4" s="1350"/>
      <c r="AK4" s="1350"/>
      <c r="AL4" s="1350"/>
      <c r="AM4" s="1350"/>
      <c r="AN4" s="1350"/>
      <c r="AO4" s="1350"/>
      <c r="AP4" s="1350"/>
      <c r="AQ4" s="1350"/>
      <c r="AR4" s="1350"/>
    </row>
    <row r="5" spans="1:44" ht="13.2">
      <c r="A5" s="2129"/>
      <c r="B5" s="2130"/>
      <c r="C5" s="2158" t="s">
        <v>1195</v>
      </c>
      <c r="D5" s="2158"/>
      <c r="E5" s="2158"/>
      <c r="F5" s="2158"/>
      <c r="G5" s="2158"/>
      <c r="H5" s="2158"/>
      <c r="I5" s="2158"/>
      <c r="J5" s="2158"/>
      <c r="K5" s="2158"/>
      <c r="L5" s="2158"/>
      <c r="M5" s="2158"/>
      <c r="N5" s="2159"/>
      <c r="O5" s="2160"/>
      <c r="P5" s="1349"/>
      <c r="Q5" s="1410"/>
      <c r="R5" s="1351"/>
      <c r="S5" s="1350"/>
      <c r="T5" s="1350"/>
      <c r="U5" s="1350"/>
      <c r="V5" s="1350"/>
      <c r="W5" s="1350"/>
      <c r="X5" s="1350"/>
      <c r="Y5" s="1350"/>
      <c r="Z5" s="1350"/>
      <c r="AA5" s="1350"/>
      <c r="AB5" s="1350"/>
      <c r="AC5" s="1350"/>
      <c r="AD5" s="1350"/>
      <c r="AE5" s="1350"/>
      <c r="AF5" s="1350"/>
      <c r="AG5" s="1350"/>
      <c r="AH5" s="1350"/>
      <c r="AI5" s="1350"/>
      <c r="AJ5" s="1350"/>
      <c r="AK5" s="1350"/>
      <c r="AL5" s="1350"/>
      <c r="AM5" s="1350"/>
      <c r="AN5" s="1350"/>
      <c r="AO5" s="1350"/>
      <c r="AP5" s="1350"/>
      <c r="AQ5" s="1350"/>
      <c r="AR5" s="1350"/>
    </row>
    <row r="6" spans="1:44" ht="13.2">
      <c r="A6" s="2129"/>
      <c r="B6" s="2130"/>
      <c r="C6" s="2159" t="s">
        <v>4460</v>
      </c>
      <c r="D6" s="2199"/>
      <c r="E6" s="2199"/>
      <c r="F6" s="2199"/>
      <c r="G6" s="2199"/>
      <c r="H6" s="2199"/>
      <c r="I6" s="2199"/>
      <c r="J6" s="2199"/>
      <c r="K6" s="2199"/>
      <c r="L6" s="2199"/>
      <c r="M6" s="2199"/>
      <c r="N6" s="2199"/>
      <c r="O6" s="2200"/>
      <c r="P6" s="1349"/>
      <c r="Q6" s="1410"/>
      <c r="R6" s="1351"/>
      <c r="S6" s="1350"/>
      <c r="T6" s="1350"/>
      <c r="U6" s="1350"/>
      <c r="V6" s="1350"/>
      <c r="W6" s="1350"/>
      <c r="X6" s="1350"/>
      <c r="Y6" s="1350"/>
      <c r="Z6" s="1350"/>
      <c r="AA6" s="1350"/>
      <c r="AB6" s="1350"/>
      <c r="AC6" s="1350"/>
      <c r="AD6" s="1350"/>
      <c r="AE6" s="1350"/>
      <c r="AF6" s="1350"/>
      <c r="AG6" s="1350"/>
      <c r="AH6" s="1350"/>
      <c r="AI6" s="1350"/>
      <c r="AJ6" s="1350"/>
      <c r="AK6" s="1350"/>
      <c r="AL6" s="1350"/>
      <c r="AM6" s="1350"/>
      <c r="AN6" s="1350"/>
      <c r="AO6" s="1350"/>
      <c r="AP6" s="1350"/>
      <c r="AQ6" s="1350"/>
      <c r="AR6" s="1350"/>
    </row>
    <row r="7" spans="1:44" ht="33" customHeight="1">
      <c r="A7" s="2129"/>
      <c r="B7" s="2130"/>
      <c r="C7" s="2161" t="s">
        <v>1196</v>
      </c>
      <c r="D7" s="2161"/>
      <c r="E7" s="2161"/>
      <c r="F7" s="2161"/>
      <c r="G7" s="2161"/>
      <c r="H7" s="2161"/>
      <c r="I7" s="2161"/>
      <c r="J7" s="2161"/>
      <c r="K7" s="2161"/>
      <c r="L7" s="2161"/>
      <c r="M7" s="2161"/>
      <c r="N7" s="2162"/>
      <c r="O7" s="2163"/>
      <c r="P7" s="1349"/>
      <c r="Q7" s="1410"/>
      <c r="R7" s="1351"/>
      <c r="S7" s="1350"/>
      <c r="T7" s="1350"/>
      <c r="U7" s="1350"/>
      <c r="V7" s="1350"/>
      <c r="W7" s="1350"/>
      <c r="X7" s="1350"/>
      <c r="Y7" s="1350"/>
      <c r="Z7" s="1350"/>
      <c r="AA7" s="1350"/>
      <c r="AB7" s="1350"/>
      <c r="AC7" s="1350"/>
      <c r="AD7" s="1350"/>
      <c r="AE7" s="1350"/>
      <c r="AF7" s="1350"/>
      <c r="AG7" s="1350"/>
      <c r="AH7" s="1350"/>
      <c r="AI7" s="1350"/>
      <c r="AJ7" s="1350"/>
      <c r="AK7" s="1350"/>
      <c r="AL7" s="1350"/>
      <c r="AM7" s="1350"/>
      <c r="AN7" s="1350"/>
      <c r="AO7" s="1350"/>
      <c r="AP7" s="1350"/>
      <c r="AQ7" s="1350"/>
      <c r="AR7" s="1350"/>
    </row>
    <row r="8" spans="1:44" ht="19.8" customHeight="1">
      <c r="A8" s="2129"/>
      <c r="B8" s="2130"/>
      <c r="C8" s="2154" t="s">
        <v>4453</v>
      </c>
      <c r="D8" s="2154"/>
      <c r="E8" s="2154"/>
      <c r="F8" s="2154"/>
      <c r="G8" s="2154"/>
      <c r="H8" s="2155" t="s">
        <v>4454</v>
      </c>
      <c r="I8" s="2155"/>
      <c r="J8" s="2155"/>
      <c r="K8" s="2155"/>
      <c r="L8" s="2155"/>
      <c r="M8" s="2155"/>
      <c r="N8" s="2156"/>
      <c r="O8" s="2157"/>
      <c r="P8" s="1349"/>
      <c r="Q8" s="1410"/>
      <c r="R8" s="1352"/>
      <c r="S8" s="1350"/>
      <c r="T8" s="1350"/>
      <c r="U8" s="1350"/>
      <c r="V8" s="1350"/>
      <c r="W8" s="1350"/>
      <c r="X8" s="1350"/>
      <c r="Y8" s="1350"/>
      <c r="Z8" s="1350"/>
      <c r="AA8" s="1350"/>
      <c r="AB8" s="1350"/>
      <c r="AC8" s="1350"/>
      <c r="AD8" s="1350"/>
      <c r="AE8" s="1350"/>
      <c r="AF8" s="1350"/>
      <c r="AG8" s="1350"/>
      <c r="AH8" s="1350"/>
      <c r="AI8" s="1350"/>
      <c r="AJ8" s="1350"/>
      <c r="AK8" s="1350"/>
      <c r="AL8" s="1350"/>
      <c r="AM8" s="1350"/>
      <c r="AN8" s="1350"/>
      <c r="AO8" s="1350"/>
      <c r="AP8" s="1350"/>
      <c r="AQ8" s="1350"/>
      <c r="AR8" s="1350"/>
    </row>
    <row r="9" spans="1:44" s="1355" customFormat="1" ht="19.2" customHeight="1">
      <c r="A9" s="2140" t="s">
        <v>375</v>
      </c>
      <c r="B9" s="2140" t="s">
        <v>4426</v>
      </c>
      <c r="C9" s="2140" t="s">
        <v>127</v>
      </c>
      <c r="D9" s="2142" t="s">
        <v>673</v>
      </c>
      <c r="E9" s="2144" t="s">
        <v>1293</v>
      </c>
      <c r="F9" s="2146" t="s">
        <v>4427</v>
      </c>
      <c r="G9" s="2131" t="s">
        <v>1295</v>
      </c>
      <c r="H9" s="2133" t="s">
        <v>4428</v>
      </c>
      <c r="I9" s="1426"/>
      <c r="J9" s="2135"/>
      <c r="K9" s="2136"/>
      <c r="L9" s="2136"/>
      <c r="M9" s="2137"/>
      <c r="N9" s="1427"/>
      <c r="O9" s="1396" t="s">
        <v>4429</v>
      </c>
      <c r="P9" s="1354"/>
      <c r="Q9" s="1411"/>
    </row>
    <row r="10" spans="1:44" s="1355" customFormat="1" ht="19.2" customHeight="1">
      <c r="A10" s="2141"/>
      <c r="B10" s="2141"/>
      <c r="C10" s="2141"/>
      <c r="D10" s="2143"/>
      <c r="E10" s="2144"/>
      <c r="F10" s="2147"/>
      <c r="G10" s="2132"/>
      <c r="H10" s="2134"/>
      <c r="I10" s="1425" t="s">
        <v>4444</v>
      </c>
      <c r="J10" s="1425" t="s">
        <v>4439</v>
      </c>
      <c r="K10" s="1425" t="s">
        <v>4440</v>
      </c>
      <c r="L10" s="1425" t="s">
        <v>4441</v>
      </c>
      <c r="M10" s="1425" t="s">
        <v>4445</v>
      </c>
      <c r="N10" s="1425" t="s">
        <v>4446</v>
      </c>
      <c r="O10" s="1405"/>
      <c r="P10" s="1354"/>
      <c r="Q10" s="1411"/>
    </row>
    <row r="11" spans="1:44" s="1355" customFormat="1" ht="19.2" customHeight="1">
      <c r="A11" s="2141"/>
      <c r="B11" s="2141"/>
      <c r="C11" s="2141"/>
      <c r="D11" s="2143"/>
      <c r="E11" s="2144"/>
      <c r="F11" s="2147"/>
      <c r="G11" s="2132"/>
      <c r="H11" s="2134"/>
      <c r="I11" s="1425"/>
      <c r="J11" s="1356"/>
      <c r="K11" s="1356"/>
      <c r="L11" s="1356"/>
      <c r="M11" s="1356"/>
      <c r="N11" s="1356"/>
      <c r="O11" s="1405"/>
      <c r="P11" s="1354"/>
      <c r="Q11" s="1411"/>
    </row>
    <row r="12" spans="1:44" s="1355" customFormat="1" ht="37.200000000000003" customHeight="1">
      <c r="A12" s="2141"/>
      <c r="B12" s="2141"/>
      <c r="C12" s="2141"/>
      <c r="D12" s="2143"/>
      <c r="E12" s="2145"/>
      <c r="F12" s="2147"/>
      <c r="G12" s="2132"/>
      <c r="H12" s="2134"/>
      <c r="I12" s="1428" t="s">
        <v>4452</v>
      </c>
      <c r="J12" s="2138" t="s">
        <v>4437</v>
      </c>
      <c r="K12" s="2139"/>
      <c r="L12" s="2139"/>
      <c r="M12" s="2139"/>
      <c r="N12" s="1356" t="s">
        <v>4447</v>
      </c>
      <c r="O12" s="1406"/>
      <c r="P12" s="1354"/>
      <c r="Q12" s="1411"/>
    </row>
    <row r="13" spans="1:44" s="1367" customFormat="1" ht="19.2" customHeight="1">
      <c r="A13" s="1353">
        <v>1</v>
      </c>
      <c r="B13" s="1357" t="s">
        <v>4430</v>
      </c>
      <c r="C13" s="1358"/>
      <c r="D13" s="1359"/>
      <c r="E13" s="1399"/>
      <c r="F13" s="1416"/>
      <c r="G13" s="1360" t="e">
        <f>ROUND(SUM(G14:G16),0)</f>
        <v>#REF!</v>
      </c>
      <c r="H13" s="1361" t="e">
        <f>(G13/$G$101)</f>
        <v>#REF!</v>
      </c>
      <c r="I13" s="2201" t="s">
        <v>4458</v>
      </c>
      <c r="J13" s="1362"/>
      <c r="K13" s="1362"/>
      <c r="L13" s="1362"/>
      <c r="M13" s="1362"/>
      <c r="N13" s="2201" t="s">
        <v>4459</v>
      </c>
      <c r="O13" s="1364"/>
      <c r="P13" s="1365"/>
      <c r="Q13" s="1412"/>
      <c r="R13" s="1366"/>
    </row>
    <row r="14" spans="1:44" s="1372" customFormat="1" ht="19.2" customHeight="1">
      <c r="A14" s="2178" t="e">
        <f>+#REF!</f>
        <v>#REF!</v>
      </c>
      <c r="B14" s="2181" t="e">
        <f>+#REF!</f>
        <v>#REF!</v>
      </c>
      <c r="C14" s="2184" t="e">
        <f>+#REF!</f>
        <v>#REF!</v>
      </c>
      <c r="D14" s="2184" t="e">
        <f>+#REF!</f>
        <v>#REF!</v>
      </c>
      <c r="E14" s="2187" t="e">
        <f>+#REF!</f>
        <v>#REF!</v>
      </c>
      <c r="F14" s="2168" t="e">
        <f>+E14+(E14*0.3)</f>
        <v>#REF!</v>
      </c>
      <c r="G14" s="2171" t="e">
        <f>F14*D14</f>
        <v>#REF!</v>
      </c>
      <c r="H14" s="2175" t="e">
        <f>(G14/$G$101)</f>
        <v>#REF!</v>
      </c>
      <c r="I14" s="2202"/>
      <c r="J14" s="1368" t="e">
        <f>+J15</f>
        <v>#REF!</v>
      </c>
      <c r="K14" s="1368" t="e">
        <f t="shared" ref="K14:L14" si="0">+K15</f>
        <v>#REF!</v>
      </c>
      <c r="L14" s="1369" t="e">
        <f t="shared" si="0"/>
        <v>#REF!</v>
      </c>
      <c r="M14" s="1369" t="e">
        <f>+M15</f>
        <v>#REF!</v>
      </c>
      <c r="N14" s="2202"/>
      <c r="O14" s="1364"/>
      <c r="P14" s="1365"/>
      <c r="Q14" s="1409"/>
      <c r="R14" s="1370"/>
      <c r="S14" s="1371"/>
    </row>
    <row r="15" spans="1:44" s="1372" customFormat="1" ht="19.2" customHeight="1">
      <c r="A15" s="2179"/>
      <c r="B15" s="2182"/>
      <c r="C15" s="2185"/>
      <c r="D15" s="2185"/>
      <c r="E15" s="2188"/>
      <c r="F15" s="2169"/>
      <c r="G15" s="2172"/>
      <c r="H15" s="2176"/>
      <c r="I15" s="2202"/>
      <c r="J15" s="1373" t="e">
        <f>+$D$14/4</f>
        <v>#REF!</v>
      </c>
      <c r="K15" s="1373" t="e">
        <f t="shared" ref="K15:M15" si="1">+$D$14/4</f>
        <v>#REF!</v>
      </c>
      <c r="L15" s="1373" t="e">
        <f t="shared" si="1"/>
        <v>#REF!</v>
      </c>
      <c r="M15" s="1373" t="e">
        <f t="shared" si="1"/>
        <v>#REF!</v>
      </c>
      <c r="N15" s="2202"/>
      <c r="O15" s="1363" t="e">
        <f>SUM(J15:M15)</f>
        <v>#REF!</v>
      </c>
      <c r="P15" s="1365" t="e">
        <f>D14</f>
        <v>#REF!</v>
      </c>
      <c r="Q15" s="1409"/>
      <c r="R15" s="1370"/>
      <c r="S15" s="1371"/>
    </row>
    <row r="16" spans="1:44" s="1372" customFormat="1" ht="19.2" customHeight="1">
      <c r="A16" s="2180"/>
      <c r="B16" s="2183"/>
      <c r="C16" s="2186"/>
      <c r="D16" s="2186"/>
      <c r="E16" s="2189"/>
      <c r="F16" s="2170"/>
      <c r="G16" s="2173"/>
      <c r="H16" s="2177"/>
      <c r="I16" s="2202"/>
      <c r="J16" s="1374" t="e">
        <f>+J15*F14</f>
        <v>#REF!</v>
      </c>
      <c r="K16" s="1374" t="e">
        <f>$G$14/$D$14*K15</f>
        <v>#REF!</v>
      </c>
      <c r="L16" s="1374" t="e">
        <f t="shared" ref="L16:M16" si="2">$G$14/$D$14*L15</f>
        <v>#REF!</v>
      </c>
      <c r="M16" s="1374" t="e">
        <f t="shared" si="2"/>
        <v>#REF!</v>
      </c>
      <c r="N16" s="2202"/>
      <c r="O16" s="1375" t="e">
        <f>SUM(J16:M16)</f>
        <v>#REF!</v>
      </c>
      <c r="P16" s="1376" t="e">
        <f>O16-G14</f>
        <v>#REF!</v>
      </c>
      <c r="Q16" s="1409" t="e">
        <f>+G14-O16</f>
        <v>#REF!</v>
      </c>
      <c r="R16" s="1430"/>
      <c r="S16" s="1433" t="e">
        <f>+SUM(O16)</f>
        <v>#REF!</v>
      </c>
      <c r="T16" s="1438" t="e">
        <f>+S16-G13</f>
        <v>#REF!</v>
      </c>
    </row>
    <row r="17" spans="1:44" s="1367" customFormat="1" ht="19.2" customHeight="1">
      <c r="A17" s="1353">
        <v>2</v>
      </c>
      <c r="B17" s="1377" t="s">
        <v>4435</v>
      </c>
      <c r="C17" s="1358"/>
      <c r="D17" s="1359"/>
      <c r="E17" s="1399"/>
      <c r="F17" s="1416"/>
      <c r="G17" s="1360" t="e">
        <f>ROUNDDOWN(SUM(G18:G32),0)</f>
        <v>#REF!</v>
      </c>
      <c r="H17" s="1361" t="e">
        <f>(G17/$G$101)</f>
        <v>#REF!</v>
      </c>
      <c r="I17" s="2202"/>
      <c r="J17" s="1362"/>
      <c r="K17" s="1362"/>
      <c r="L17" s="1362"/>
      <c r="M17" s="1362"/>
      <c r="N17" s="2202"/>
      <c r="O17" s="1364"/>
      <c r="P17" s="1365"/>
      <c r="Q17" s="1412"/>
    </row>
    <row r="18" spans="1:44" ht="19.2" customHeight="1">
      <c r="A18" s="2164" t="e">
        <f>+#REF!</f>
        <v>#REF!</v>
      </c>
      <c r="B18" s="2165" t="e">
        <f>+#REF!</f>
        <v>#REF!</v>
      </c>
      <c r="C18" s="2166" t="e">
        <f>+#REF!</f>
        <v>#REF!</v>
      </c>
      <c r="D18" s="2166" t="e">
        <f>+#REF!</f>
        <v>#REF!</v>
      </c>
      <c r="E18" s="2167" t="e">
        <f>+#REF!</f>
        <v>#REF!</v>
      </c>
      <c r="F18" s="2168" t="e">
        <f>+E18+(E18*0.3)</f>
        <v>#REF!</v>
      </c>
      <c r="G18" s="2171" t="e">
        <f>F18*D18</f>
        <v>#REF!</v>
      </c>
      <c r="H18" s="2174" t="e">
        <f>(G18/$G$101)</f>
        <v>#REF!</v>
      </c>
      <c r="I18" s="2202"/>
      <c r="J18" s="1369" t="e">
        <f t="shared" ref="J18:M18" si="3">+J19</f>
        <v>#REF!</v>
      </c>
      <c r="K18" s="1369" t="e">
        <f t="shared" si="3"/>
        <v>#REF!</v>
      </c>
      <c r="L18" s="1369" t="e">
        <f t="shared" si="3"/>
        <v>#REF!</v>
      </c>
      <c r="M18" s="1369">
        <f t="shared" si="3"/>
        <v>0</v>
      </c>
      <c r="N18" s="2202"/>
      <c r="O18" s="1364"/>
      <c r="P18" s="1365"/>
      <c r="Q18" s="1410"/>
      <c r="R18" s="1350"/>
      <c r="S18" s="1350"/>
      <c r="T18" s="1350"/>
      <c r="U18" s="1350"/>
      <c r="V18" s="1350"/>
      <c r="W18" s="1350"/>
      <c r="X18" s="1350"/>
      <c r="Y18" s="1350"/>
      <c r="Z18" s="1350"/>
      <c r="AA18" s="1350"/>
      <c r="AB18" s="1350"/>
      <c r="AC18" s="1350"/>
      <c r="AD18" s="1350"/>
      <c r="AE18" s="1350"/>
      <c r="AF18" s="1350"/>
      <c r="AG18" s="1350"/>
      <c r="AH18" s="1350"/>
      <c r="AI18" s="1350"/>
      <c r="AJ18" s="1350"/>
      <c r="AK18" s="1350"/>
      <c r="AL18" s="1350"/>
      <c r="AM18" s="1350"/>
      <c r="AN18" s="1350"/>
      <c r="AO18" s="1350"/>
      <c r="AP18" s="1350"/>
      <c r="AQ18" s="1350"/>
      <c r="AR18" s="1350"/>
    </row>
    <row r="19" spans="1:44" ht="19.2" customHeight="1">
      <c r="A19" s="2164"/>
      <c r="B19" s="2165"/>
      <c r="C19" s="2166"/>
      <c r="D19" s="2166"/>
      <c r="E19" s="2167"/>
      <c r="F19" s="2169"/>
      <c r="G19" s="2172"/>
      <c r="H19" s="2174"/>
      <c r="I19" s="2202"/>
      <c r="J19" s="1373" t="e">
        <f>+$D$18/3</f>
        <v>#REF!</v>
      </c>
      <c r="K19" s="1373" t="e">
        <f t="shared" ref="K19:L19" si="4">+$D$18/3</f>
        <v>#REF!</v>
      </c>
      <c r="L19" s="1373" t="e">
        <f t="shared" si="4"/>
        <v>#REF!</v>
      </c>
      <c r="M19" s="1373"/>
      <c r="N19" s="2202"/>
      <c r="O19" s="1363" t="e">
        <f>SUM(J19:M19)</f>
        <v>#REF!</v>
      </c>
      <c r="P19" s="1365"/>
      <c r="Q19" s="1410"/>
      <c r="R19" s="1350"/>
      <c r="S19" s="1350"/>
      <c r="T19" s="1350"/>
      <c r="U19" s="1350"/>
      <c r="V19" s="1350"/>
      <c r="W19" s="1350"/>
      <c r="X19" s="1350"/>
      <c r="Y19" s="1350"/>
      <c r="Z19" s="1350"/>
      <c r="AA19" s="1350"/>
      <c r="AB19" s="1350"/>
      <c r="AC19" s="1350"/>
      <c r="AD19" s="1350"/>
      <c r="AE19" s="1350"/>
      <c r="AF19" s="1350"/>
      <c r="AG19" s="1350"/>
      <c r="AH19" s="1350"/>
      <c r="AI19" s="1350"/>
      <c r="AJ19" s="1350"/>
      <c r="AK19" s="1350"/>
      <c r="AL19" s="1350"/>
      <c r="AM19" s="1350"/>
      <c r="AN19" s="1350"/>
      <c r="AO19" s="1350"/>
      <c r="AP19" s="1350"/>
      <c r="AQ19" s="1350"/>
      <c r="AR19" s="1350"/>
    </row>
    <row r="20" spans="1:44" ht="19.2" customHeight="1">
      <c r="A20" s="2164"/>
      <c r="B20" s="2165"/>
      <c r="C20" s="2166"/>
      <c r="D20" s="2166"/>
      <c r="E20" s="2167"/>
      <c r="F20" s="2170"/>
      <c r="G20" s="2173"/>
      <c r="H20" s="2174"/>
      <c r="I20" s="2202"/>
      <c r="J20" s="1374" t="e">
        <f>+J19*$F$18</f>
        <v>#REF!</v>
      </c>
      <c r="K20" s="1374" t="e">
        <f t="shared" ref="K20:M20" si="5">+K19*$F$18</f>
        <v>#REF!</v>
      </c>
      <c r="L20" s="1374" t="e">
        <f t="shared" si="5"/>
        <v>#REF!</v>
      </c>
      <c r="M20" s="1374" t="e">
        <f t="shared" si="5"/>
        <v>#REF!</v>
      </c>
      <c r="N20" s="2202"/>
      <c r="O20" s="1375" t="e">
        <f>SUM(J20:M20)</f>
        <v>#REF!</v>
      </c>
      <c r="P20" s="1365" t="e">
        <f>+G18-O20</f>
        <v>#REF!</v>
      </c>
      <c r="Q20" s="1410" t="e">
        <f>+G18-O20</f>
        <v>#REF!</v>
      </c>
      <c r="R20" s="1431"/>
      <c r="S20" s="1350"/>
      <c r="T20" s="1350"/>
      <c r="U20" s="1350"/>
      <c r="V20" s="1350"/>
      <c r="W20" s="1350"/>
      <c r="X20" s="1350"/>
      <c r="Y20" s="1350"/>
      <c r="Z20" s="1350"/>
      <c r="AA20" s="1350"/>
      <c r="AB20" s="1350"/>
      <c r="AC20" s="1350"/>
      <c r="AD20" s="1350"/>
      <c r="AE20" s="1350"/>
      <c r="AF20" s="1350"/>
      <c r="AG20" s="1350"/>
      <c r="AH20" s="1350"/>
      <c r="AI20" s="1350"/>
      <c r="AJ20" s="1350"/>
      <c r="AK20" s="1350"/>
      <c r="AL20" s="1350"/>
      <c r="AM20" s="1350"/>
      <c r="AN20" s="1350"/>
      <c r="AO20" s="1350"/>
      <c r="AP20" s="1350"/>
      <c r="AQ20" s="1350"/>
      <c r="AR20" s="1350"/>
    </row>
    <row r="21" spans="1:44" ht="19.2" customHeight="1">
      <c r="A21" s="2164" t="s">
        <v>21</v>
      </c>
      <c r="B21" s="2165" t="e">
        <f>+#REF!</f>
        <v>#REF!</v>
      </c>
      <c r="C21" s="2166" t="e">
        <f>+#REF!</f>
        <v>#REF!</v>
      </c>
      <c r="D21" s="2166" t="e">
        <f>+#REF!</f>
        <v>#REF!</v>
      </c>
      <c r="E21" s="2167" t="e">
        <f>+#REF!</f>
        <v>#REF!</v>
      </c>
      <c r="F21" s="2168" t="e">
        <f t="shared" ref="F21" si="6">+E21+(E21*0.3)</f>
        <v>#REF!</v>
      </c>
      <c r="G21" s="2171" t="e">
        <f>F21*D21</f>
        <v>#REF!</v>
      </c>
      <c r="H21" s="2174" t="e">
        <f>(G21/$G$101)</f>
        <v>#REF!</v>
      </c>
      <c r="I21" s="2202"/>
      <c r="J21" s="1369" t="e">
        <f t="shared" ref="J21:K21" si="7">+J22</f>
        <v>#REF!</v>
      </c>
      <c r="K21" s="1369" t="e">
        <f t="shared" si="7"/>
        <v>#REF!</v>
      </c>
      <c r="L21" s="1369" t="e">
        <f>+L22</f>
        <v>#REF!</v>
      </c>
      <c r="M21" s="1369">
        <f>+M22</f>
        <v>0</v>
      </c>
      <c r="N21" s="2202"/>
      <c r="O21" s="1364"/>
      <c r="P21" s="1365"/>
      <c r="Q21" s="1410"/>
      <c r="R21" s="1350"/>
      <c r="S21" s="1350"/>
      <c r="T21" s="1350"/>
      <c r="U21" s="1350"/>
      <c r="V21" s="1350"/>
      <c r="W21" s="1350"/>
      <c r="X21" s="1350"/>
      <c r="Y21" s="1350"/>
      <c r="Z21" s="1350"/>
      <c r="AA21" s="1350"/>
      <c r="AB21" s="1350"/>
      <c r="AC21" s="1350"/>
      <c r="AD21" s="1350"/>
      <c r="AE21" s="1350"/>
      <c r="AF21" s="1350"/>
      <c r="AG21" s="1350"/>
      <c r="AH21" s="1350"/>
      <c r="AI21" s="1350"/>
      <c r="AJ21" s="1350"/>
      <c r="AK21" s="1350"/>
      <c r="AL21" s="1350"/>
      <c r="AM21" s="1350"/>
      <c r="AN21" s="1350"/>
      <c r="AO21" s="1350"/>
      <c r="AP21" s="1350"/>
      <c r="AQ21" s="1350"/>
      <c r="AR21" s="1350"/>
    </row>
    <row r="22" spans="1:44" ht="19.2" customHeight="1">
      <c r="A22" s="2164"/>
      <c r="B22" s="2165"/>
      <c r="C22" s="2166"/>
      <c r="D22" s="2166"/>
      <c r="E22" s="2167"/>
      <c r="F22" s="2169"/>
      <c r="G22" s="2172"/>
      <c r="H22" s="2174"/>
      <c r="I22" s="2202"/>
      <c r="J22" s="1373" t="e">
        <f>+$D$21/3</f>
        <v>#REF!</v>
      </c>
      <c r="K22" s="1373" t="e">
        <f t="shared" ref="K22:L22" si="8">+$D$21/3</f>
        <v>#REF!</v>
      </c>
      <c r="L22" s="1373" t="e">
        <f t="shared" si="8"/>
        <v>#REF!</v>
      </c>
      <c r="M22" s="1373"/>
      <c r="N22" s="2202"/>
      <c r="O22" s="1363" t="e">
        <f>SUM(J22:M22)</f>
        <v>#REF!</v>
      </c>
      <c r="P22" s="1365" t="e">
        <f>D21</f>
        <v>#REF!</v>
      </c>
      <c r="Q22" s="1410"/>
      <c r="R22" s="1350"/>
      <c r="S22" s="1350"/>
      <c r="T22" s="1350"/>
      <c r="U22" s="1350"/>
      <c r="V22" s="1350"/>
      <c r="W22" s="1350"/>
      <c r="X22" s="1350"/>
      <c r="Y22" s="1350"/>
      <c r="Z22" s="1350"/>
      <c r="AA22" s="1350"/>
      <c r="AB22" s="1350"/>
      <c r="AC22" s="1350"/>
      <c r="AD22" s="1350"/>
      <c r="AE22" s="1350"/>
      <c r="AF22" s="1350"/>
      <c r="AG22" s="1350"/>
      <c r="AH22" s="1350"/>
      <c r="AI22" s="1350"/>
      <c r="AJ22" s="1350"/>
      <c r="AK22" s="1350"/>
      <c r="AL22" s="1350"/>
      <c r="AM22" s="1350"/>
      <c r="AN22" s="1350"/>
      <c r="AO22" s="1350"/>
      <c r="AP22" s="1350"/>
      <c r="AQ22" s="1350"/>
      <c r="AR22" s="1350"/>
    </row>
    <row r="23" spans="1:44" s="1367" customFormat="1" ht="19.2" customHeight="1">
      <c r="A23" s="2164"/>
      <c r="B23" s="2165"/>
      <c r="C23" s="2166"/>
      <c r="D23" s="2166"/>
      <c r="E23" s="2167"/>
      <c r="F23" s="2170"/>
      <c r="G23" s="2173"/>
      <c r="H23" s="2174"/>
      <c r="I23" s="2202"/>
      <c r="J23" s="1374" t="e">
        <f>+J22*$F$21</f>
        <v>#REF!</v>
      </c>
      <c r="K23" s="1374" t="e">
        <f t="shared" ref="K23:M23" si="9">+K22*$F$21</f>
        <v>#REF!</v>
      </c>
      <c r="L23" s="1374" t="e">
        <f t="shared" si="9"/>
        <v>#REF!</v>
      </c>
      <c r="M23" s="1374" t="e">
        <f t="shared" si="9"/>
        <v>#REF!</v>
      </c>
      <c r="N23" s="2202"/>
      <c r="O23" s="1375" t="e">
        <f>SUM(J23:M23)</f>
        <v>#REF!</v>
      </c>
      <c r="P23" s="1365" t="e">
        <f>O23-G21</f>
        <v>#REF!</v>
      </c>
      <c r="Q23" s="1413" t="e">
        <f>+O23-G21</f>
        <v>#REF!</v>
      </c>
      <c r="R23" s="1432"/>
    </row>
    <row r="24" spans="1:44" ht="19.2" customHeight="1">
      <c r="A24" s="2164">
        <v>2.2999999999999998</v>
      </c>
      <c r="B24" s="2165" t="e">
        <f>+#REF!</f>
        <v>#REF!</v>
      </c>
      <c r="C24" s="2166" t="e">
        <f>+#REF!</f>
        <v>#REF!</v>
      </c>
      <c r="D24" s="2166" t="e">
        <f>+#REF!</f>
        <v>#REF!</v>
      </c>
      <c r="E24" s="2167" t="e">
        <f>+#REF!</f>
        <v>#REF!</v>
      </c>
      <c r="F24" s="2168" t="e">
        <f t="shared" ref="F24" si="10">+E24+(E24*0.3)</f>
        <v>#REF!</v>
      </c>
      <c r="G24" s="2171" t="e">
        <f t="shared" ref="G24" si="11">F24*D24</f>
        <v>#REF!</v>
      </c>
      <c r="H24" s="2174" t="e">
        <f>(G24/$G$101)</f>
        <v>#REF!</v>
      </c>
      <c r="I24" s="2202"/>
      <c r="J24" s="1369">
        <f t="shared" ref="J24:M24" si="12">+J25</f>
        <v>0</v>
      </c>
      <c r="K24" s="1369" t="e">
        <f t="shared" si="12"/>
        <v>#REF!</v>
      </c>
      <c r="L24" s="1369" t="e">
        <f t="shared" si="12"/>
        <v>#REF!</v>
      </c>
      <c r="M24" s="1369">
        <f t="shared" si="12"/>
        <v>0</v>
      </c>
      <c r="N24" s="2202"/>
      <c r="O24" s="1364"/>
      <c r="P24" s="1365"/>
      <c r="Q24" s="1410"/>
      <c r="R24" s="1350"/>
      <c r="S24" s="1350"/>
      <c r="T24" s="1350"/>
      <c r="U24" s="1350"/>
      <c r="V24" s="1350"/>
      <c r="W24" s="1350"/>
      <c r="X24" s="1350"/>
      <c r="Y24" s="1350"/>
      <c r="Z24" s="1350"/>
      <c r="AA24" s="1350"/>
      <c r="AB24" s="1350"/>
      <c r="AC24" s="1350"/>
      <c r="AD24" s="1350"/>
      <c r="AE24" s="1350"/>
      <c r="AF24" s="1350"/>
      <c r="AG24" s="1350"/>
      <c r="AH24" s="1350"/>
      <c r="AI24" s="1350"/>
      <c r="AJ24" s="1350"/>
      <c r="AK24" s="1350"/>
      <c r="AL24" s="1350"/>
      <c r="AM24" s="1350"/>
      <c r="AN24" s="1350"/>
      <c r="AO24" s="1350"/>
      <c r="AP24" s="1350"/>
      <c r="AQ24" s="1350"/>
      <c r="AR24" s="1350"/>
    </row>
    <row r="25" spans="1:44" ht="19.2" customHeight="1">
      <c r="A25" s="2164"/>
      <c r="B25" s="2165"/>
      <c r="C25" s="2166"/>
      <c r="D25" s="2166"/>
      <c r="E25" s="2167"/>
      <c r="F25" s="2169"/>
      <c r="G25" s="2172"/>
      <c r="H25" s="2174"/>
      <c r="I25" s="2202"/>
      <c r="J25" s="1373"/>
      <c r="K25" s="1373" t="e">
        <f>+$D$24/2</f>
        <v>#REF!</v>
      </c>
      <c r="L25" s="1373" t="e">
        <f>+$D$24/2</f>
        <v>#REF!</v>
      </c>
      <c r="M25" s="1373"/>
      <c r="N25" s="2202"/>
      <c r="O25" s="1363" t="e">
        <f>SUM(J25:M25)</f>
        <v>#REF!</v>
      </c>
      <c r="P25" s="1365" t="e">
        <f>D24</f>
        <v>#REF!</v>
      </c>
      <c r="Q25" s="1410"/>
      <c r="R25" s="1350"/>
      <c r="S25" s="1350"/>
      <c r="T25" s="1350"/>
      <c r="U25" s="1350"/>
      <c r="V25" s="1350"/>
      <c r="W25" s="1350"/>
      <c r="X25" s="1350"/>
      <c r="Y25" s="1350"/>
      <c r="Z25" s="1350"/>
      <c r="AA25" s="1350"/>
      <c r="AB25" s="1350"/>
      <c r="AC25" s="1350"/>
      <c r="AD25" s="1350"/>
      <c r="AE25" s="1350"/>
      <c r="AF25" s="1350"/>
      <c r="AG25" s="1350"/>
      <c r="AH25" s="1350"/>
      <c r="AI25" s="1350"/>
      <c r="AJ25" s="1350"/>
      <c r="AK25" s="1350"/>
      <c r="AL25" s="1350"/>
      <c r="AM25" s="1350"/>
      <c r="AN25" s="1350"/>
      <c r="AO25" s="1350"/>
      <c r="AP25" s="1350"/>
      <c r="AQ25" s="1350"/>
      <c r="AR25" s="1350"/>
    </row>
    <row r="26" spans="1:44" ht="19.2" customHeight="1">
      <c r="A26" s="2164"/>
      <c r="B26" s="2165"/>
      <c r="C26" s="2166"/>
      <c r="D26" s="2166"/>
      <c r="E26" s="2167"/>
      <c r="F26" s="2170"/>
      <c r="G26" s="2173"/>
      <c r="H26" s="2174"/>
      <c r="I26" s="2202"/>
      <c r="J26" s="1374" t="e">
        <f>$G$21/$D$21*J25</f>
        <v>#REF!</v>
      </c>
      <c r="K26" s="1374" t="e">
        <f>+K25*$F$24</f>
        <v>#REF!</v>
      </c>
      <c r="L26" s="1374" t="e">
        <f>+L25*$F$24</f>
        <v>#REF!</v>
      </c>
      <c r="M26" s="1374" t="e">
        <f>$G$21/$D$21*M25</f>
        <v>#REF!</v>
      </c>
      <c r="N26" s="2202"/>
      <c r="O26" s="1375" t="e">
        <f>SUM(J26:M26)</f>
        <v>#REF!</v>
      </c>
      <c r="P26" s="1365" t="e">
        <f>+G24-O26</f>
        <v>#REF!</v>
      </c>
      <c r="Q26" s="1410" t="e">
        <f>+O26-G24</f>
        <v>#REF!</v>
      </c>
      <c r="R26" s="1350"/>
      <c r="S26" s="1350"/>
      <c r="T26" s="1350"/>
      <c r="U26" s="1350"/>
      <c r="V26" s="1350"/>
      <c r="W26" s="1350"/>
      <c r="X26" s="1350"/>
      <c r="Y26" s="1350"/>
      <c r="Z26" s="1350"/>
      <c r="AA26" s="1350"/>
      <c r="AB26" s="1350"/>
      <c r="AC26" s="1350"/>
      <c r="AD26" s="1350"/>
      <c r="AE26" s="1350"/>
      <c r="AF26" s="1350"/>
      <c r="AG26" s="1350"/>
      <c r="AH26" s="1350"/>
      <c r="AI26" s="1350"/>
      <c r="AJ26" s="1350"/>
      <c r="AK26" s="1350"/>
      <c r="AL26" s="1350"/>
      <c r="AM26" s="1350"/>
      <c r="AN26" s="1350"/>
      <c r="AO26" s="1350"/>
      <c r="AP26" s="1350"/>
      <c r="AQ26" s="1350"/>
      <c r="AR26" s="1350"/>
    </row>
    <row r="27" spans="1:44" ht="19.2" customHeight="1">
      <c r="A27" s="2164">
        <v>2.4</v>
      </c>
      <c r="B27" s="2165" t="e">
        <f>+#REF!</f>
        <v>#REF!</v>
      </c>
      <c r="C27" s="2166" t="e">
        <f>+#REF!</f>
        <v>#REF!</v>
      </c>
      <c r="D27" s="2166" t="e">
        <f>+#REF!</f>
        <v>#REF!</v>
      </c>
      <c r="E27" s="2167" t="e">
        <f>+#REF!</f>
        <v>#REF!</v>
      </c>
      <c r="F27" s="2168" t="e">
        <f t="shared" ref="F27" si="13">+E27+(E27*0.3)</f>
        <v>#REF!</v>
      </c>
      <c r="G27" s="2171" t="e">
        <f t="shared" ref="G27" si="14">F27*D27</f>
        <v>#REF!</v>
      </c>
      <c r="H27" s="2174" t="e">
        <f>(G27/$G$101)</f>
        <v>#REF!</v>
      </c>
      <c r="I27" s="2202"/>
      <c r="J27" s="1369">
        <f t="shared" ref="J27:M27" si="15">+J28</f>
        <v>0</v>
      </c>
      <c r="K27" s="1369">
        <f t="shared" si="15"/>
        <v>0</v>
      </c>
      <c r="L27" s="1369" t="e">
        <f t="shared" si="15"/>
        <v>#REF!</v>
      </c>
      <c r="M27" s="1369" t="e">
        <f t="shared" si="15"/>
        <v>#REF!</v>
      </c>
      <c r="N27" s="2202"/>
      <c r="O27" s="1364"/>
      <c r="P27" s="1365"/>
      <c r="Q27" s="1410"/>
      <c r="R27" s="1350"/>
      <c r="S27" s="1350"/>
      <c r="T27" s="1350"/>
      <c r="U27" s="1350"/>
      <c r="V27" s="1350"/>
      <c r="W27" s="1350"/>
      <c r="X27" s="1350"/>
      <c r="Y27" s="1350"/>
      <c r="Z27" s="1350"/>
      <c r="AA27" s="1350"/>
      <c r="AB27" s="1350"/>
      <c r="AC27" s="1350"/>
      <c r="AD27" s="1350"/>
      <c r="AE27" s="1350"/>
      <c r="AF27" s="1350"/>
      <c r="AG27" s="1350"/>
      <c r="AH27" s="1350"/>
      <c r="AI27" s="1350"/>
      <c r="AJ27" s="1350"/>
      <c r="AK27" s="1350"/>
      <c r="AL27" s="1350"/>
      <c r="AM27" s="1350"/>
      <c r="AN27" s="1350"/>
      <c r="AO27" s="1350"/>
      <c r="AP27" s="1350"/>
      <c r="AQ27" s="1350"/>
      <c r="AR27" s="1350"/>
    </row>
    <row r="28" spans="1:44" ht="19.2" customHeight="1">
      <c r="A28" s="2164"/>
      <c r="B28" s="2165"/>
      <c r="C28" s="2166"/>
      <c r="D28" s="2166"/>
      <c r="E28" s="2167"/>
      <c r="F28" s="2169"/>
      <c r="G28" s="2172"/>
      <c r="H28" s="2174"/>
      <c r="I28" s="2202"/>
      <c r="J28" s="1373"/>
      <c r="K28" s="1373"/>
      <c r="L28" s="1373" t="e">
        <f>+$D$27/2</f>
        <v>#REF!</v>
      </c>
      <c r="M28" s="1373" t="e">
        <f>+$D$27/2</f>
        <v>#REF!</v>
      </c>
      <c r="N28" s="2202"/>
      <c r="O28" s="1363" t="e">
        <f>SUM(J28:M28)</f>
        <v>#REF!</v>
      </c>
      <c r="P28" s="1365" t="e">
        <f>D27</f>
        <v>#REF!</v>
      </c>
      <c r="Q28" s="1410"/>
      <c r="R28" s="1350"/>
      <c r="S28" s="1350"/>
      <c r="T28" s="1350"/>
      <c r="U28" s="1350"/>
      <c r="V28" s="1350"/>
      <c r="W28" s="1350"/>
      <c r="X28" s="1350"/>
      <c r="Y28" s="1350"/>
      <c r="Z28" s="1350"/>
      <c r="AA28" s="1350"/>
      <c r="AB28" s="1350"/>
      <c r="AC28" s="1350"/>
      <c r="AD28" s="1350"/>
      <c r="AE28" s="1350"/>
      <c r="AF28" s="1350"/>
      <c r="AG28" s="1350"/>
      <c r="AH28" s="1350"/>
      <c r="AI28" s="1350"/>
      <c r="AJ28" s="1350"/>
      <c r="AK28" s="1350"/>
      <c r="AL28" s="1350"/>
      <c r="AM28" s="1350"/>
      <c r="AN28" s="1350"/>
      <c r="AO28" s="1350"/>
      <c r="AP28" s="1350"/>
      <c r="AQ28" s="1350"/>
      <c r="AR28" s="1350"/>
    </row>
    <row r="29" spans="1:44" ht="19.2" customHeight="1">
      <c r="A29" s="2164"/>
      <c r="B29" s="2165"/>
      <c r="C29" s="2166"/>
      <c r="D29" s="2166"/>
      <c r="E29" s="2167"/>
      <c r="F29" s="2170"/>
      <c r="G29" s="2173"/>
      <c r="H29" s="2174"/>
      <c r="I29" s="2202"/>
      <c r="J29" s="1374" t="e">
        <f>$G$21/$D$21*J28</f>
        <v>#REF!</v>
      </c>
      <c r="K29" s="1374" t="e">
        <f>$G$21/$D$21*K28</f>
        <v>#REF!</v>
      </c>
      <c r="L29" s="1374" t="e">
        <f>+L28*$F$27</f>
        <v>#REF!</v>
      </c>
      <c r="M29" s="1374" t="e">
        <f>+M28*$F$27</f>
        <v>#REF!</v>
      </c>
      <c r="N29" s="2202"/>
      <c r="O29" s="1375" t="e">
        <f>SUM(J29:M29)</f>
        <v>#REF!</v>
      </c>
      <c r="P29" s="1365" t="e">
        <f>+G27-O29</f>
        <v>#REF!</v>
      </c>
      <c r="Q29" s="1410" t="e">
        <f>+O29-G27</f>
        <v>#REF!</v>
      </c>
      <c r="R29" s="1350"/>
      <c r="S29" s="1350"/>
      <c r="T29" s="1350"/>
      <c r="U29" s="1350"/>
      <c r="V29" s="1350"/>
      <c r="W29" s="1350"/>
      <c r="X29" s="1350"/>
      <c r="Y29" s="1350"/>
      <c r="Z29" s="1350"/>
      <c r="AA29" s="1350"/>
      <c r="AB29" s="1350"/>
      <c r="AC29" s="1350"/>
      <c r="AD29" s="1350"/>
      <c r="AE29" s="1350"/>
      <c r="AF29" s="1350"/>
      <c r="AG29" s="1350"/>
      <c r="AH29" s="1350"/>
      <c r="AI29" s="1350"/>
      <c r="AJ29" s="1350"/>
      <c r="AK29" s="1350"/>
      <c r="AL29" s="1350"/>
      <c r="AM29" s="1350"/>
      <c r="AN29" s="1350"/>
      <c r="AO29" s="1350"/>
      <c r="AP29" s="1350"/>
      <c r="AQ29" s="1350"/>
      <c r="AR29" s="1350"/>
    </row>
    <row r="30" spans="1:44" ht="19.2" customHeight="1">
      <c r="A30" s="2164">
        <v>2.5</v>
      </c>
      <c r="B30" s="2165" t="e">
        <f>+#REF!</f>
        <v>#REF!</v>
      </c>
      <c r="C30" s="2166" t="e">
        <f>+#REF!</f>
        <v>#REF!</v>
      </c>
      <c r="D30" s="2166" t="e">
        <f>+#REF!</f>
        <v>#REF!</v>
      </c>
      <c r="E30" s="2167" t="e">
        <f>+#REF!</f>
        <v>#REF!</v>
      </c>
      <c r="F30" s="2168" t="e">
        <f t="shared" ref="F30" si="16">+E30+(E30*0.3)</f>
        <v>#REF!</v>
      </c>
      <c r="G30" s="2171" t="e">
        <f t="shared" ref="G30" si="17">F30*D30</f>
        <v>#REF!</v>
      </c>
      <c r="H30" s="2174" t="e">
        <f>(G30/$G$101)</f>
        <v>#REF!</v>
      </c>
      <c r="I30" s="2202"/>
      <c r="J30" s="1369">
        <f t="shared" ref="J30:M30" si="18">+J31</f>
        <v>0</v>
      </c>
      <c r="K30" s="1369">
        <f t="shared" si="18"/>
        <v>0</v>
      </c>
      <c r="L30" s="1369" t="e">
        <f t="shared" si="18"/>
        <v>#REF!</v>
      </c>
      <c r="M30" s="1369" t="e">
        <f t="shared" si="18"/>
        <v>#REF!</v>
      </c>
      <c r="N30" s="2202"/>
      <c r="O30" s="1364"/>
      <c r="P30" s="1365"/>
      <c r="Q30" s="1410"/>
      <c r="R30" s="1350"/>
      <c r="S30" s="1350"/>
      <c r="T30" s="1350"/>
      <c r="U30" s="1350"/>
      <c r="V30" s="1350"/>
      <c r="W30" s="1350"/>
      <c r="X30" s="1350"/>
      <c r="Y30" s="1350"/>
      <c r="Z30" s="1350"/>
      <c r="AA30" s="1350"/>
      <c r="AB30" s="1350"/>
      <c r="AC30" s="1350"/>
      <c r="AD30" s="1350"/>
      <c r="AE30" s="1350"/>
      <c r="AF30" s="1350"/>
      <c r="AG30" s="1350"/>
      <c r="AH30" s="1350"/>
      <c r="AI30" s="1350"/>
      <c r="AJ30" s="1350"/>
      <c r="AK30" s="1350"/>
      <c r="AL30" s="1350"/>
      <c r="AM30" s="1350"/>
      <c r="AN30" s="1350"/>
      <c r="AO30" s="1350"/>
      <c r="AP30" s="1350"/>
      <c r="AQ30" s="1350"/>
      <c r="AR30" s="1350"/>
    </row>
    <row r="31" spans="1:44" ht="19.2" customHeight="1">
      <c r="A31" s="2164"/>
      <c r="B31" s="2165"/>
      <c r="C31" s="2166"/>
      <c r="D31" s="2166"/>
      <c r="E31" s="2167"/>
      <c r="F31" s="2169"/>
      <c r="G31" s="2172"/>
      <c r="H31" s="2174"/>
      <c r="I31" s="2202"/>
      <c r="J31" s="1373"/>
      <c r="K31" s="1373"/>
      <c r="L31" s="1373" t="e">
        <f>+$D$30/2</f>
        <v>#REF!</v>
      </c>
      <c r="M31" s="1373" t="e">
        <f>+$D$30/2</f>
        <v>#REF!</v>
      </c>
      <c r="N31" s="2202"/>
      <c r="O31" s="1363" t="e">
        <f>SUM(J31:M31)</f>
        <v>#REF!</v>
      </c>
      <c r="P31" s="1365" t="e">
        <f>D30</f>
        <v>#REF!</v>
      </c>
      <c r="Q31" s="1410"/>
      <c r="R31" s="1350"/>
      <c r="S31" s="1350"/>
      <c r="T31" s="1350"/>
      <c r="U31" s="1350"/>
      <c r="V31" s="1350"/>
      <c r="W31" s="1350"/>
      <c r="X31" s="1350"/>
      <c r="Y31" s="1350"/>
      <c r="Z31" s="1350"/>
      <c r="AA31" s="1350"/>
      <c r="AB31" s="1350"/>
      <c r="AC31" s="1350"/>
      <c r="AD31" s="1350"/>
      <c r="AE31" s="1350"/>
      <c r="AF31" s="1350"/>
      <c r="AG31" s="1350"/>
      <c r="AH31" s="1350"/>
      <c r="AI31" s="1350"/>
      <c r="AJ31" s="1350"/>
      <c r="AK31" s="1350"/>
      <c r="AL31" s="1350"/>
      <c r="AM31" s="1350"/>
      <c r="AN31" s="1350"/>
      <c r="AO31" s="1350"/>
      <c r="AP31" s="1350"/>
      <c r="AQ31" s="1350"/>
      <c r="AR31" s="1350"/>
    </row>
    <row r="32" spans="1:44" ht="19.2" customHeight="1">
      <c r="A32" s="2164"/>
      <c r="B32" s="2165"/>
      <c r="C32" s="2166"/>
      <c r="D32" s="2166"/>
      <c r="E32" s="2167"/>
      <c r="F32" s="2170"/>
      <c r="G32" s="2173"/>
      <c r="H32" s="2174"/>
      <c r="I32" s="2202"/>
      <c r="J32" s="1374" t="e">
        <f>$G$21/$D$21*J31</f>
        <v>#REF!</v>
      </c>
      <c r="K32" s="1374" t="e">
        <f>$G$21/$D$21*K31</f>
        <v>#REF!</v>
      </c>
      <c r="L32" s="1374" t="e">
        <f>+L31*$F$30</f>
        <v>#REF!</v>
      </c>
      <c r="M32" s="1374" t="e">
        <f>+M31*$F$30</f>
        <v>#REF!</v>
      </c>
      <c r="N32" s="2202"/>
      <c r="O32" s="1375" t="e">
        <f>SUM(J32:M32)</f>
        <v>#REF!</v>
      </c>
      <c r="P32" s="1365" t="e">
        <f>+G30-O32</f>
        <v>#REF!</v>
      </c>
      <c r="Q32" s="1410" t="e">
        <f>+O32-G30</f>
        <v>#REF!</v>
      </c>
      <c r="R32" s="1350"/>
      <c r="S32" s="1350"/>
      <c r="T32" s="1350"/>
      <c r="U32" s="1350"/>
      <c r="V32" s="1350"/>
      <c r="W32" s="1350"/>
      <c r="X32" s="1350"/>
      <c r="Y32" s="1350"/>
      <c r="Z32" s="1350"/>
      <c r="AA32" s="1350"/>
      <c r="AB32" s="1350"/>
      <c r="AC32" s="1350"/>
      <c r="AD32" s="1350"/>
      <c r="AE32" s="1350"/>
      <c r="AF32" s="1350"/>
      <c r="AG32" s="1350"/>
      <c r="AH32" s="1350"/>
      <c r="AI32" s="1350"/>
      <c r="AJ32" s="1350"/>
      <c r="AK32" s="1350"/>
      <c r="AL32" s="1350"/>
      <c r="AM32" s="1350"/>
      <c r="AN32" s="1350"/>
      <c r="AO32" s="1350"/>
      <c r="AP32" s="1350"/>
      <c r="AQ32" s="1350"/>
      <c r="AR32" s="1350"/>
    </row>
    <row r="33" spans="1:44" s="1367" customFormat="1" ht="31.2" customHeight="1">
      <c r="A33" s="1353">
        <v>3</v>
      </c>
      <c r="B33" s="1357" t="s">
        <v>1197</v>
      </c>
      <c r="C33" s="1353"/>
      <c r="D33" s="1353"/>
      <c r="E33" s="1400"/>
      <c r="F33" s="1417"/>
      <c r="G33" s="1360" t="e">
        <f>ROUND(SUM(G34:G51),0)+1</f>
        <v>#REF!</v>
      </c>
      <c r="H33" s="1361" t="e">
        <f>(G33/$G$101)</f>
        <v>#REF!</v>
      </c>
      <c r="I33" s="2202"/>
      <c r="J33" s="1362"/>
      <c r="K33" s="1362"/>
      <c r="L33" s="1362"/>
      <c r="M33" s="1362"/>
      <c r="N33" s="2202"/>
      <c r="O33" s="1375">
        <f>SUM(J33:M33)</f>
        <v>0</v>
      </c>
      <c r="P33" s="1365"/>
      <c r="Q33" s="1413"/>
      <c r="S33" s="1433" t="e">
        <f>+O32+O29+O26+O23+O20</f>
        <v>#REF!</v>
      </c>
      <c r="T33" s="1439" t="e">
        <f>+S33-G17</f>
        <v>#REF!</v>
      </c>
    </row>
    <row r="34" spans="1:44" ht="19.2" customHeight="1">
      <c r="A34" s="2164" t="s">
        <v>36</v>
      </c>
      <c r="B34" s="2165" t="e">
        <f>+#REF!</f>
        <v>#REF!</v>
      </c>
      <c r="C34" s="2166" t="e">
        <f>+#REF!</f>
        <v>#REF!</v>
      </c>
      <c r="D34" s="2166" t="e">
        <f>+#REF!</f>
        <v>#REF!</v>
      </c>
      <c r="E34" s="2167" t="e">
        <f>+#REF!</f>
        <v>#REF!</v>
      </c>
      <c r="F34" s="2168" t="e">
        <f t="shared" ref="F34" si="19">+E34+(E34*0.3)</f>
        <v>#REF!</v>
      </c>
      <c r="G34" s="2171" t="e">
        <f t="shared" ref="G34" si="20">F34*D34</f>
        <v>#REF!</v>
      </c>
      <c r="H34" s="2174" t="e">
        <f>(G34/$G$101)</f>
        <v>#REF!</v>
      </c>
      <c r="I34" s="2202"/>
      <c r="J34" s="1369" t="e">
        <f t="shared" ref="J34:M34" si="21">+J35</f>
        <v>#REF!</v>
      </c>
      <c r="K34" s="1369" t="e">
        <f t="shared" si="21"/>
        <v>#REF!</v>
      </c>
      <c r="L34" s="1369" t="e">
        <f t="shared" si="21"/>
        <v>#REF!</v>
      </c>
      <c r="M34" s="1369" t="e">
        <f t="shared" si="21"/>
        <v>#REF!</v>
      </c>
      <c r="N34" s="2202"/>
      <c r="O34" s="1375"/>
      <c r="P34" s="1365"/>
      <c r="Q34" s="1410"/>
      <c r="R34" s="1350"/>
      <c r="S34" s="1350"/>
      <c r="T34" s="1350"/>
      <c r="U34" s="1350"/>
      <c r="V34" s="1350"/>
      <c r="W34" s="1350"/>
      <c r="X34" s="1350"/>
      <c r="Y34" s="1350"/>
      <c r="Z34" s="1350"/>
      <c r="AA34" s="1350"/>
      <c r="AB34" s="1350"/>
      <c r="AC34" s="1350"/>
      <c r="AD34" s="1350"/>
      <c r="AE34" s="1350"/>
      <c r="AF34" s="1350"/>
      <c r="AG34" s="1350"/>
      <c r="AH34" s="1350"/>
      <c r="AI34" s="1350"/>
      <c r="AJ34" s="1350"/>
      <c r="AK34" s="1350"/>
      <c r="AL34" s="1350"/>
      <c r="AM34" s="1350"/>
      <c r="AN34" s="1350"/>
      <c r="AO34" s="1350"/>
      <c r="AP34" s="1350"/>
      <c r="AQ34" s="1350"/>
      <c r="AR34" s="1350"/>
    </row>
    <row r="35" spans="1:44" ht="19.2" customHeight="1">
      <c r="A35" s="2164"/>
      <c r="B35" s="2165"/>
      <c r="C35" s="2166"/>
      <c r="D35" s="2166"/>
      <c r="E35" s="2167"/>
      <c r="F35" s="2169"/>
      <c r="G35" s="2172"/>
      <c r="H35" s="2174"/>
      <c r="I35" s="2202"/>
      <c r="J35" s="1373" t="e">
        <f>+$D$34/4</f>
        <v>#REF!</v>
      </c>
      <c r="K35" s="1373" t="e">
        <f t="shared" ref="K35:M35" si="22">+$D$34/4</f>
        <v>#REF!</v>
      </c>
      <c r="L35" s="1373" t="e">
        <f t="shared" si="22"/>
        <v>#REF!</v>
      </c>
      <c r="M35" s="1373" t="e">
        <f t="shared" si="22"/>
        <v>#REF!</v>
      </c>
      <c r="N35" s="2202"/>
      <c r="O35" s="1363" t="e">
        <f>SUM(J35:M35)</f>
        <v>#REF!</v>
      </c>
      <c r="P35" s="1365" t="e">
        <f>D34</f>
        <v>#REF!</v>
      </c>
      <c r="Q35" s="1410"/>
      <c r="R35" s="1350"/>
      <c r="S35" s="1350"/>
      <c r="T35" s="1350"/>
      <c r="U35" s="1350"/>
      <c r="V35" s="1350"/>
      <c r="W35" s="1350"/>
      <c r="X35" s="1350"/>
      <c r="Y35" s="1350"/>
      <c r="Z35" s="1350"/>
      <c r="AA35" s="1350"/>
      <c r="AB35" s="1350"/>
      <c r="AC35" s="1350"/>
      <c r="AD35" s="1350"/>
      <c r="AE35" s="1350"/>
      <c r="AF35" s="1350"/>
      <c r="AG35" s="1350"/>
      <c r="AH35" s="1350"/>
      <c r="AI35" s="1350"/>
      <c r="AJ35" s="1350"/>
      <c r="AK35" s="1350"/>
      <c r="AL35" s="1350"/>
      <c r="AM35" s="1350"/>
      <c r="AN35" s="1350"/>
      <c r="AO35" s="1350"/>
      <c r="AP35" s="1350"/>
      <c r="AQ35" s="1350"/>
      <c r="AR35" s="1350"/>
    </row>
    <row r="36" spans="1:44" ht="19.2" customHeight="1">
      <c r="A36" s="2164"/>
      <c r="B36" s="2165"/>
      <c r="C36" s="2166"/>
      <c r="D36" s="2166"/>
      <c r="E36" s="2167"/>
      <c r="F36" s="2170"/>
      <c r="G36" s="2173"/>
      <c r="H36" s="2174"/>
      <c r="I36" s="2202"/>
      <c r="J36" s="1374" t="e">
        <f>J35*$F$34</f>
        <v>#REF!</v>
      </c>
      <c r="K36" s="1374" t="e">
        <f t="shared" ref="K36:M36" si="23">K35*$F$34</f>
        <v>#REF!</v>
      </c>
      <c r="L36" s="1374" t="e">
        <f t="shared" si="23"/>
        <v>#REF!</v>
      </c>
      <c r="M36" s="1374" t="e">
        <f t="shared" si="23"/>
        <v>#REF!</v>
      </c>
      <c r="N36" s="2202"/>
      <c r="O36" s="1375" t="e">
        <f>SUM(J36:M36)</f>
        <v>#REF!</v>
      </c>
      <c r="P36" s="1365" t="e">
        <f>+G34-O36</f>
        <v>#REF!</v>
      </c>
      <c r="Q36" s="1410" t="e">
        <f>+O36-G34</f>
        <v>#REF!</v>
      </c>
      <c r="R36" s="1350"/>
      <c r="S36" s="1350"/>
      <c r="T36" s="1350"/>
      <c r="U36" s="1350"/>
      <c r="V36" s="1350"/>
      <c r="W36" s="1350"/>
      <c r="X36" s="1350"/>
      <c r="Y36" s="1350"/>
      <c r="Z36" s="1350"/>
      <c r="AA36" s="1350"/>
      <c r="AB36" s="1350"/>
      <c r="AC36" s="1350"/>
      <c r="AD36" s="1350"/>
      <c r="AE36" s="1350"/>
      <c r="AF36" s="1350"/>
      <c r="AG36" s="1350"/>
      <c r="AH36" s="1350"/>
      <c r="AI36" s="1350"/>
      <c r="AJ36" s="1350"/>
      <c r="AK36" s="1350"/>
      <c r="AL36" s="1350"/>
      <c r="AM36" s="1350"/>
      <c r="AN36" s="1350"/>
      <c r="AO36" s="1350"/>
      <c r="AP36" s="1350"/>
      <c r="AQ36" s="1350"/>
      <c r="AR36" s="1350"/>
    </row>
    <row r="37" spans="1:44" ht="19.2" customHeight="1">
      <c r="A37" s="2164" t="s">
        <v>38</v>
      </c>
      <c r="B37" s="2165" t="e">
        <f>+#REF!</f>
        <v>#REF!</v>
      </c>
      <c r="C37" s="2166" t="e">
        <f>+#REF!</f>
        <v>#REF!</v>
      </c>
      <c r="D37" s="2166" t="e">
        <f>+#REF!</f>
        <v>#REF!</v>
      </c>
      <c r="E37" s="2167" t="e">
        <f>+#REF!</f>
        <v>#REF!</v>
      </c>
      <c r="F37" s="2168" t="e">
        <f t="shared" ref="F37:F49" si="24">+E37+(E37*0.3)</f>
        <v>#REF!</v>
      </c>
      <c r="G37" s="2171" t="e">
        <f t="shared" ref="G37:G46" si="25">F37*D37</f>
        <v>#REF!</v>
      </c>
      <c r="H37" s="2174" t="e">
        <f>(G37/$G$101)</f>
        <v>#REF!</v>
      </c>
      <c r="I37" s="2202"/>
      <c r="J37" s="1369" t="e">
        <f t="shared" ref="J37:M37" si="26">+J38</f>
        <v>#REF!</v>
      </c>
      <c r="K37" s="1369" t="e">
        <f t="shared" si="26"/>
        <v>#REF!</v>
      </c>
      <c r="L37" s="1369">
        <f t="shared" si="26"/>
        <v>0</v>
      </c>
      <c r="M37" s="1369">
        <f t="shared" si="26"/>
        <v>0</v>
      </c>
      <c r="N37" s="2202"/>
      <c r="O37" s="1375"/>
      <c r="P37" s="1365"/>
      <c r="Q37" s="1410"/>
      <c r="R37" s="1350"/>
      <c r="S37" s="1350"/>
      <c r="T37" s="1350"/>
      <c r="U37" s="1350"/>
      <c r="V37" s="1350"/>
      <c r="W37" s="1350"/>
      <c r="X37" s="1350"/>
      <c r="Y37" s="1350"/>
      <c r="Z37" s="1350"/>
      <c r="AA37" s="1350"/>
      <c r="AB37" s="1350"/>
      <c r="AC37" s="1350"/>
      <c r="AD37" s="1350"/>
      <c r="AE37" s="1350"/>
      <c r="AF37" s="1350"/>
      <c r="AG37" s="1350"/>
      <c r="AH37" s="1350"/>
      <c r="AI37" s="1350"/>
      <c r="AJ37" s="1350"/>
      <c r="AK37" s="1350"/>
      <c r="AL37" s="1350"/>
      <c r="AM37" s="1350"/>
      <c r="AN37" s="1350"/>
      <c r="AO37" s="1350"/>
      <c r="AP37" s="1350"/>
      <c r="AQ37" s="1350"/>
      <c r="AR37" s="1350"/>
    </row>
    <row r="38" spans="1:44" ht="19.2" customHeight="1">
      <c r="A38" s="2164"/>
      <c r="B38" s="2165"/>
      <c r="C38" s="2166"/>
      <c r="D38" s="2166"/>
      <c r="E38" s="2167"/>
      <c r="F38" s="2169"/>
      <c r="G38" s="2172"/>
      <c r="H38" s="2174"/>
      <c r="I38" s="2202"/>
      <c r="J38" s="1373" t="e">
        <f>+$D$37/2</f>
        <v>#REF!</v>
      </c>
      <c r="K38" s="1373" t="e">
        <f>+$D$37/2</f>
        <v>#REF!</v>
      </c>
      <c r="L38" s="1373"/>
      <c r="M38" s="1373"/>
      <c r="N38" s="2202"/>
      <c r="O38" s="1363" t="e">
        <f>SUM(J38:M38)</f>
        <v>#REF!</v>
      </c>
      <c r="P38" s="1365" t="e">
        <f>D37</f>
        <v>#REF!</v>
      </c>
      <c r="Q38" s="1410"/>
      <c r="R38" s="1350"/>
      <c r="S38" s="1350"/>
      <c r="T38" s="1350"/>
      <c r="U38" s="1350"/>
      <c r="V38" s="1350"/>
      <c r="W38" s="1350"/>
      <c r="X38" s="1350"/>
      <c r="Y38" s="1350"/>
      <c r="Z38" s="1350"/>
      <c r="AA38" s="1350"/>
      <c r="AB38" s="1350"/>
      <c r="AC38" s="1350"/>
      <c r="AD38" s="1350"/>
      <c r="AE38" s="1350"/>
      <c r="AF38" s="1350"/>
      <c r="AG38" s="1350"/>
      <c r="AH38" s="1350"/>
      <c r="AI38" s="1350"/>
      <c r="AJ38" s="1350"/>
      <c r="AK38" s="1350"/>
      <c r="AL38" s="1350"/>
      <c r="AM38" s="1350"/>
      <c r="AN38" s="1350"/>
      <c r="AO38" s="1350"/>
      <c r="AP38" s="1350"/>
      <c r="AQ38" s="1350"/>
      <c r="AR38" s="1350"/>
    </row>
    <row r="39" spans="1:44" ht="19.2" customHeight="1">
      <c r="A39" s="2164"/>
      <c r="B39" s="2165"/>
      <c r="C39" s="2166"/>
      <c r="D39" s="2166"/>
      <c r="E39" s="2167"/>
      <c r="F39" s="2170"/>
      <c r="G39" s="2173"/>
      <c r="H39" s="2174"/>
      <c r="I39" s="2202"/>
      <c r="J39" s="1374" t="e">
        <f>$G$37/$D$37*J38</f>
        <v>#REF!</v>
      </c>
      <c r="K39" s="1374" t="e">
        <f>$G$37/$D$37*K38</f>
        <v>#REF!</v>
      </c>
      <c r="L39" s="1374" t="e">
        <f>$G$37/$D$37*L38</f>
        <v>#REF!</v>
      </c>
      <c r="M39" s="1374" t="e">
        <f>$G$37/$D$37*M38</f>
        <v>#REF!</v>
      </c>
      <c r="N39" s="2202"/>
      <c r="O39" s="1375" t="e">
        <f>SUM(J39:M39)</f>
        <v>#REF!</v>
      </c>
      <c r="P39" s="1365" t="e">
        <f>+G37-O39</f>
        <v>#REF!</v>
      </c>
      <c r="Q39" s="1410" t="e">
        <f>+O39-G37</f>
        <v>#REF!</v>
      </c>
      <c r="R39" s="1350"/>
      <c r="S39" s="1350"/>
      <c r="T39" s="1350"/>
      <c r="U39" s="1350"/>
      <c r="V39" s="1350"/>
      <c r="W39" s="1350"/>
      <c r="X39" s="1350"/>
      <c r="Y39" s="1350"/>
      <c r="Z39" s="1350"/>
      <c r="AA39" s="1350"/>
      <c r="AB39" s="1350"/>
      <c r="AC39" s="1350"/>
      <c r="AD39" s="1350"/>
      <c r="AE39" s="1350"/>
      <c r="AF39" s="1350"/>
      <c r="AG39" s="1350"/>
      <c r="AH39" s="1350"/>
      <c r="AI39" s="1350"/>
      <c r="AJ39" s="1350"/>
      <c r="AK39" s="1350"/>
      <c r="AL39" s="1350"/>
      <c r="AM39" s="1350"/>
      <c r="AN39" s="1350"/>
      <c r="AO39" s="1350"/>
      <c r="AP39" s="1350"/>
      <c r="AQ39" s="1350"/>
      <c r="AR39" s="1350"/>
    </row>
    <row r="40" spans="1:44" ht="19.2" customHeight="1">
      <c r="A40" s="2164" t="s">
        <v>40</v>
      </c>
      <c r="B40" s="2165" t="e">
        <f>+#REF!</f>
        <v>#REF!</v>
      </c>
      <c r="C40" s="2166" t="e">
        <f>+#REF!</f>
        <v>#REF!</v>
      </c>
      <c r="D40" s="2166" t="e">
        <f>+#REF!</f>
        <v>#REF!</v>
      </c>
      <c r="E40" s="2167" t="e">
        <f>+#REF!</f>
        <v>#REF!</v>
      </c>
      <c r="F40" s="2168" t="e">
        <f t="shared" si="24"/>
        <v>#REF!</v>
      </c>
      <c r="G40" s="2171" t="e">
        <f t="shared" si="25"/>
        <v>#REF!</v>
      </c>
      <c r="H40" s="2174" t="e">
        <f>(G40/$G$101)</f>
        <v>#REF!</v>
      </c>
      <c r="I40" s="2202"/>
      <c r="J40" s="1369">
        <f t="shared" ref="J40:M40" si="27">+J41</f>
        <v>0</v>
      </c>
      <c r="K40" s="1369" t="e">
        <f t="shared" si="27"/>
        <v>#REF!</v>
      </c>
      <c r="L40" s="1369" t="e">
        <f t="shared" si="27"/>
        <v>#REF!</v>
      </c>
      <c r="M40" s="1369" t="e">
        <f t="shared" si="27"/>
        <v>#REF!</v>
      </c>
      <c r="N40" s="2202"/>
      <c r="O40" s="1375"/>
      <c r="P40" s="1365"/>
      <c r="Q40" s="1410"/>
      <c r="R40" s="1350"/>
      <c r="S40" s="1350"/>
      <c r="T40" s="1350"/>
      <c r="U40" s="1350"/>
      <c r="V40" s="1350"/>
      <c r="W40" s="1350"/>
      <c r="X40" s="1350"/>
      <c r="Y40" s="1350"/>
      <c r="Z40" s="1350"/>
      <c r="AA40" s="1350"/>
      <c r="AB40" s="1350"/>
      <c r="AC40" s="1350"/>
      <c r="AD40" s="1350"/>
      <c r="AE40" s="1350"/>
      <c r="AF40" s="1350"/>
      <c r="AG40" s="1350"/>
      <c r="AH40" s="1350"/>
      <c r="AI40" s="1350"/>
      <c r="AJ40" s="1350"/>
      <c r="AK40" s="1350"/>
      <c r="AL40" s="1350"/>
      <c r="AM40" s="1350"/>
      <c r="AN40" s="1350"/>
      <c r="AO40" s="1350"/>
      <c r="AP40" s="1350"/>
      <c r="AQ40" s="1350"/>
      <c r="AR40" s="1350"/>
    </row>
    <row r="41" spans="1:44" ht="19.2" customHeight="1">
      <c r="A41" s="2164"/>
      <c r="B41" s="2165"/>
      <c r="C41" s="2166"/>
      <c r="D41" s="2166"/>
      <c r="E41" s="2167"/>
      <c r="F41" s="2169"/>
      <c r="G41" s="2172"/>
      <c r="H41" s="2174"/>
      <c r="I41" s="2202"/>
      <c r="J41" s="1373"/>
      <c r="K41" s="1373" t="e">
        <f>+$D$40/3</f>
        <v>#REF!</v>
      </c>
      <c r="L41" s="1373" t="e">
        <f t="shared" ref="L41:M41" si="28">+$D$40/3</f>
        <v>#REF!</v>
      </c>
      <c r="M41" s="1373" t="e">
        <f t="shared" si="28"/>
        <v>#REF!</v>
      </c>
      <c r="N41" s="2202"/>
      <c r="O41" s="1363" t="e">
        <f>SUM(J41:M41)</f>
        <v>#REF!</v>
      </c>
      <c r="P41" s="1365" t="e">
        <f>D40</f>
        <v>#REF!</v>
      </c>
      <c r="Q41" s="1410"/>
      <c r="R41" s="1350"/>
      <c r="S41" s="1350"/>
      <c r="T41" s="1350"/>
      <c r="U41" s="1350"/>
      <c r="V41" s="1350"/>
      <c r="W41" s="1350"/>
      <c r="X41" s="1350"/>
      <c r="Y41" s="1350"/>
      <c r="Z41" s="1350"/>
      <c r="AA41" s="1350"/>
      <c r="AB41" s="1350"/>
      <c r="AC41" s="1350"/>
      <c r="AD41" s="1350"/>
      <c r="AE41" s="1350"/>
      <c r="AF41" s="1350"/>
      <c r="AG41" s="1350"/>
      <c r="AH41" s="1350"/>
      <c r="AI41" s="1350"/>
      <c r="AJ41" s="1350"/>
      <c r="AK41" s="1350"/>
      <c r="AL41" s="1350"/>
      <c r="AM41" s="1350"/>
      <c r="AN41" s="1350"/>
      <c r="AO41" s="1350"/>
      <c r="AP41" s="1350"/>
      <c r="AQ41" s="1350"/>
      <c r="AR41" s="1350"/>
    </row>
    <row r="42" spans="1:44" ht="19.2" customHeight="1">
      <c r="A42" s="2164"/>
      <c r="B42" s="2165"/>
      <c r="C42" s="2166"/>
      <c r="D42" s="2166"/>
      <c r="E42" s="2167"/>
      <c r="F42" s="2170"/>
      <c r="G42" s="2173"/>
      <c r="H42" s="2174"/>
      <c r="I42" s="2202"/>
      <c r="J42" s="1374" t="e">
        <f>$G$40/$D$40*J41</f>
        <v>#REF!</v>
      </c>
      <c r="K42" s="1374" t="e">
        <f>$G$40/$D$40*K41</f>
        <v>#REF!</v>
      </c>
      <c r="L42" s="1374" t="e">
        <f>$G$40/$D$40*L41</f>
        <v>#REF!</v>
      </c>
      <c r="M42" s="1374" t="e">
        <f>$G$40/$D$40*M41</f>
        <v>#REF!</v>
      </c>
      <c r="N42" s="2202"/>
      <c r="O42" s="1375" t="e">
        <f>SUM(J42:M42)</f>
        <v>#REF!</v>
      </c>
      <c r="P42" s="1365" t="e">
        <f>+G40-O42</f>
        <v>#REF!</v>
      </c>
      <c r="Q42" s="1410" t="e">
        <f>+O42-G40</f>
        <v>#REF!</v>
      </c>
      <c r="R42" s="1350"/>
      <c r="S42" s="1350"/>
      <c r="T42" s="1350"/>
      <c r="U42" s="1350"/>
      <c r="V42" s="1350"/>
      <c r="W42" s="1350"/>
      <c r="X42" s="1350"/>
      <c r="Y42" s="1350"/>
      <c r="Z42" s="1350"/>
      <c r="AA42" s="1350"/>
      <c r="AB42" s="1350"/>
      <c r="AC42" s="1350"/>
      <c r="AD42" s="1350"/>
      <c r="AE42" s="1350"/>
      <c r="AF42" s="1350"/>
      <c r="AG42" s="1350"/>
      <c r="AH42" s="1350"/>
      <c r="AI42" s="1350"/>
      <c r="AJ42" s="1350"/>
      <c r="AK42" s="1350"/>
      <c r="AL42" s="1350"/>
      <c r="AM42" s="1350"/>
      <c r="AN42" s="1350"/>
      <c r="AO42" s="1350"/>
      <c r="AP42" s="1350"/>
      <c r="AQ42" s="1350"/>
      <c r="AR42" s="1350"/>
    </row>
    <row r="43" spans="1:44" ht="19.2" customHeight="1">
      <c r="A43" s="2164" t="s">
        <v>42</v>
      </c>
      <c r="B43" s="2181" t="e">
        <f>+#REF!</f>
        <v>#REF!</v>
      </c>
      <c r="C43" s="2166" t="e">
        <f>+#REF!</f>
        <v>#REF!</v>
      </c>
      <c r="D43" s="2166" t="e">
        <f>+#REF!</f>
        <v>#REF!</v>
      </c>
      <c r="E43" s="2167" t="e">
        <f>+#REF!</f>
        <v>#REF!</v>
      </c>
      <c r="F43" s="2168" t="e">
        <f t="shared" si="24"/>
        <v>#REF!</v>
      </c>
      <c r="G43" s="2171" t="e">
        <f t="shared" si="25"/>
        <v>#REF!</v>
      </c>
      <c r="H43" s="2174" t="e">
        <f>(G43/$G$101)</f>
        <v>#REF!</v>
      </c>
      <c r="I43" s="2202"/>
      <c r="J43" s="1369">
        <f t="shared" ref="J43:M43" si="29">+J44</f>
        <v>0</v>
      </c>
      <c r="K43" s="1369">
        <f t="shared" si="29"/>
        <v>0</v>
      </c>
      <c r="L43" s="1369">
        <f t="shared" si="29"/>
        <v>0</v>
      </c>
      <c r="M43" s="1369" t="e">
        <f t="shared" si="29"/>
        <v>#REF!</v>
      </c>
      <c r="N43" s="2202"/>
      <c r="O43" s="1375"/>
      <c r="P43" s="1365"/>
      <c r="Q43" s="1410"/>
      <c r="R43" s="1350"/>
      <c r="S43" s="1350"/>
      <c r="T43" s="1350"/>
      <c r="U43" s="1350"/>
      <c r="V43" s="1350"/>
      <c r="W43" s="1350"/>
      <c r="X43" s="1350"/>
      <c r="Y43" s="1350"/>
      <c r="Z43" s="1350"/>
      <c r="AA43" s="1350"/>
      <c r="AB43" s="1350"/>
      <c r="AC43" s="1350"/>
      <c r="AD43" s="1350"/>
      <c r="AE43" s="1350"/>
      <c r="AF43" s="1350"/>
      <c r="AG43" s="1350"/>
      <c r="AH43" s="1350"/>
      <c r="AI43" s="1350"/>
      <c r="AJ43" s="1350"/>
      <c r="AK43" s="1350"/>
      <c r="AL43" s="1350"/>
      <c r="AM43" s="1350"/>
      <c r="AN43" s="1350"/>
      <c r="AO43" s="1350"/>
      <c r="AP43" s="1350"/>
      <c r="AQ43" s="1350"/>
      <c r="AR43" s="1350"/>
    </row>
    <row r="44" spans="1:44" ht="19.2" customHeight="1">
      <c r="A44" s="2164"/>
      <c r="B44" s="2182"/>
      <c r="C44" s="2166"/>
      <c r="D44" s="2166"/>
      <c r="E44" s="2167"/>
      <c r="F44" s="2169"/>
      <c r="G44" s="2172"/>
      <c r="H44" s="2174"/>
      <c r="I44" s="2202"/>
      <c r="J44" s="1373"/>
      <c r="K44" s="1373"/>
      <c r="L44" s="1373"/>
      <c r="M44" s="1373" t="e">
        <f>+$D$43/1</f>
        <v>#REF!</v>
      </c>
      <c r="N44" s="2202"/>
      <c r="O44" s="1363" t="e">
        <f>SUM(J44:M44)</f>
        <v>#REF!</v>
      </c>
      <c r="P44" s="1365" t="e">
        <f>D43</f>
        <v>#REF!</v>
      </c>
      <c r="Q44" s="1410"/>
      <c r="R44" s="1350"/>
      <c r="S44" s="1350"/>
      <c r="T44" s="1350"/>
      <c r="U44" s="1350"/>
      <c r="V44" s="1350"/>
      <c r="W44" s="1350"/>
      <c r="X44" s="1350"/>
      <c r="Y44" s="1350"/>
      <c r="Z44" s="1350"/>
      <c r="AA44" s="1350"/>
      <c r="AB44" s="1350"/>
      <c r="AC44" s="1350"/>
      <c r="AD44" s="1350"/>
      <c r="AE44" s="1350"/>
      <c r="AF44" s="1350"/>
      <c r="AG44" s="1350"/>
      <c r="AH44" s="1350"/>
      <c r="AI44" s="1350"/>
      <c r="AJ44" s="1350"/>
      <c r="AK44" s="1350"/>
      <c r="AL44" s="1350"/>
      <c r="AM44" s="1350"/>
      <c r="AN44" s="1350"/>
      <c r="AO44" s="1350"/>
      <c r="AP44" s="1350"/>
      <c r="AQ44" s="1350"/>
      <c r="AR44" s="1350"/>
    </row>
    <row r="45" spans="1:44" ht="19.2" customHeight="1">
      <c r="A45" s="2164"/>
      <c r="B45" s="2183"/>
      <c r="C45" s="2166"/>
      <c r="D45" s="2166"/>
      <c r="E45" s="2167"/>
      <c r="F45" s="2170"/>
      <c r="G45" s="2173"/>
      <c r="H45" s="2174"/>
      <c r="I45" s="2202"/>
      <c r="J45" s="1374" t="e">
        <f>$G$43/$D$43*J44</f>
        <v>#REF!</v>
      </c>
      <c r="K45" s="1374" t="e">
        <f>$G$43/$D$43*K44</f>
        <v>#REF!</v>
      </c>
      <c r="L45" s="1374" t="e">
        <f>$G$43/$D$43*L44</f>
        <v>#REF!</v>
      </c>
      <c r="M45" s="1374" t="e">
        <f>$G$43/$D$43*M44</f>
        <v>#REF!</v>
      </c>
      <c r="N45" s="2202"/>
      <c r="O45" s="1375" t="e">
        <f>SUM(J45:M45)</f>
        <v>#REF!</v>
      </c>
      <c r="P45" s="1365" t="e">
        <f>+G43-O45</f>
        <v>#REF!</v>
      </c>
      <c r="Q45" s="1410" t="e">
        <f>+O45-G43</f>
        <v>#REF!</v>
      </c>
      <c r="R45" s="1350"/>
      <c r="S45" s="1350"/>
      <c r="T45" s="1350"/>
      <c r="U45" s="1350"/>
      <c r="V45" s="1350"/>
      <c r="W45" s="1350"/>
      <c r="X45" s="1350"/>
      <c r="Y45" s="1350"/>
      <c r="Z45" s="1350"/>
      <c r="AA45" s="1350"/>
      <c r="AB45" s="1350"/>
      <c r="AC45" s="1350"/>
      <c r="AD45" s="1350"/>
      <c r="AE45" s="1350"/>
      <c r="AF45" s="1350"/>
      <c r="AG45" s="1350"/>
      <c r="AH45" s="1350"/>
      <c r="AI45" s="1350"/>
      <c r="AJ45" s="1350"/>
      <c r="AK45" s="1350"/>
      <c r="AL45" s="1350"/>
      <c r="AM45" s="1350"/>
      <c r="AN45" s="1350"/>
      <c r="AO45" s="1350"/>
      <c r="AP45" s="1350"/>
      <c r="AQ45" s="1350"/>
      <c r="AR45" s="1350"/>
    </row>
    <row r="46" spans="1:44" ht="19.2" customHeight="1">
      <c r="A46" s="2164" t="s">
        <v>45</v>
      </c>
      <c r="B46" s="2165" t="e">
        <f>+#REF!</f>
        <v>#REF!</v>
      </c>
      <c r="C46" s="2166" t="e">
        <f>+#REF!</f>
        <v>#REF!</v>
      </c>
      <c r="D46" s="2166" t="e">
        <f>+#REF!</f>
        <v>#REF!</v>
      </c>
      <c r="E46" s="2167" t="e">
        <f>+#REF!</f>
        <v>#REF!</v>
      </c>
      <c r="F46" s="2168" t="e">
        <f t="shared" si="24"/>
        <v>#REF!</v>
      </c>
      <c r="G46" s="2171" t="e">
        <f t="shared" si="25"/>
        <v>#REF!</v>
      </c>
      <c r="H46" s="2174" t="e">
        <f>(G46/$G$101)</f>
        <v>#REF!</v>
      </c>
      <c r="I46" s="2202"/>
      <c r="J46" s="1369">
        <f t="shared" ref="J46:L46" si="30">+J47</f>
        <v>0</v>
      </c>
      <c r="K46" s="1369">
        <f t="shared" si="30"/>
        <v>0</v>
      </c>
      <c r="L46" s="1369">
        <f t="shared" si="30"/>
        <v>0</v>
      </c>
      <c r="M46" s="1369" t="e">
        <f>+$D$46/1</f>
        <v>#REF!</v>
      </c>
      <c r="N46" s="2202"/>
      <c r="O46" s="1375"/>
      <c r="P46" s="1365"/>
      <c r="Q46" s="1410"/>
      <c r="R46" s="1350"/>
      <c r="S46" s="1350"/>
      <c r="T46" s="1350"/>
      <c r="U46" s="1350"/>
      <c r="V46" s="1350"/>
      <c r="W46" s="1350"/>
      <c r="X46" s="1350"/>
      <c r="Y46" s="1350"/>
      <c r="Z46" s="1350"/>
      <c r="AA46" s="1350"/>
      <c r="AB46" s="1350"/>
      <c r="AC46" s="1350"/>
      <c r="AD46" s="1350"/>
      <c r="AE46" s="1350"/>
      <c r="AF46" s="1350"/>
      <c r="AG46" s="1350"/>
      <c r="AH46" s="1350"/>
      <c r="AI46" s="1350"/>
      <c r="AJ46" s="1350"/>
      <c r="AK46" s="1350"/>
      <c r="AL46" s="1350"/>
      <c r="AM46" s="1350"/>
      <c r="AN46" s="1350"/>
      <c r="AO46" s="1350"/>
      <c r="AP46" s="1350"/>
      <c r="AQ46" s="1350"/>
      <c r="AR46" s="1350"/>
    </row>
    <row r="47" spans="1:44" ht="19.2" customHeight="1">
      <c r="A47" s="2164"/>
      <c r="B47" s="2165"/>
      <c r="C47" s="2166"/>
      <c r="D47" s="2166"/>
      <c r="E47" s="2167"/>
      <c r="F47" s="2169"/>
      <c r="G47" s="2172"/>
      <c r="H47" s="2174"/>
      <c r="I47" s="2202"/>
      <c r="J47" s="1373"/>
      <c r="K47" s="1373"/>
      <c r="L47" s="1373"/>
      <c r="M47" s="1373" t="e">
        <f>+$D$46/1</f>
        <v>#REF!</v>
      </c>
      <c r="N47" s="2202"/>
      <c r="O47" s="1363" t="e">
        <f>SUM(J47:M47)</f>
        <v>#REF!</v>
      </c>
      <c r="P47" s="1365" t="e">
        <f>D46</f>
        <v>#REF!</v>
      </c>
      <c r="Q47" s="1410"/>
      <c r="R47" s="1350"/>
      <c r="S47" s="1350"/>
      <c r="T47" s="1350"/>
      <c r="U47" s="1350"/>
      <c r="V47" s="1350"/>
      <c r="W47" s="1350"/>
      <c r="X47" s="1350"/>
      <c r="Y47" s="1350"/>
      <c r="Z47" s="1350"/>
      <c r="AA47" s="1350"/>
      <c r="AB47" s="1350"/>
      <c r="AC47" s="1350"/>
      <c r="AD47" s="1350"/>
      <c r="AE47" s="1350"/>
      <c r="AF47" s="1350"/>
      <c r="AG47" s="1350"/>
      <c r="AH47" s="1350"/>
      <c r="AI47" s="1350"/>
      <c r="AJ47" s="1350"/>
      <c r="AK47" s="1350"/>
      <c r="AL47" s="1350"/>
      <c r="AM47" s="1350"/>
      <c r="AN47" s="1350"/>
      <c r="AO47" s="1350"/>
      <c r="AP47" s="1350"/>
      <c r="AQ47" s="1350"/>
      <c r="AR47" s="1350"/>
    </row>
    <row r="48" spans="1:44" ht="19.2" customHeight="1">
      <c r="A48" s="2164"/>
      <c r="B48" s="2165"/>
      <c r="C48" s="2166"/>
      <c r="D48" s="2166"/>
      <c r="E48" s="2167"/>
      <c r="F48" s="2170"/>
      <c r="G48" s="2173"/>
      <c r="H48" s="2174"/>
      <c r="I48" s="2202"/>
      <c r="J48" s="1374" t="e">
        <f>$G$46/$D$46*J47</f>
        <v>#REF!</v>
      </c>
      <c r="K48" s="1374" t="e">
        <f>$G$46/$D$46*K47</f>
        <v>#REF!</v>
      </c>
      <c r="L48" s="1374" t="e">
        <f>$G$46/$D$46*L47</f>
        <v>#REF!</v>
      </c>
      <c r="M48" s="1374" t="e">
        <f>$G$46/$D$46*M47</f>
        <v>#REF!</v>
      </c>
      <c r="N48" s="2202"/>
      <c r="O48" s="1375" t="e">
        <f>SUM(J48:M48)</f>
        <v>#REF!</v>
      </c>
      <c r="P48" s="1365" t="e">
        <f>+G46-O48</f>
        <v>#REF!</v>
      </c>
      <c r="Q48" s="1410" t="e">
        <f>+O48-G46</f>
        <v>#REF!</v>
      </c>
      <c r="R48" s="1350"/>
      <c r="S48" s="1350"/>
      <c r="T48" s="1350"/>
      <c r="U48" s="1350"/>
      <c r="V48" s="1350"/>
      <c r="W48" s="1350"/>
      <c r="X48" s="1350"/>
      <c r="Y48" s="1350"/>
      <c r="Z48" s="1350"/>
      <c r="AA48" s="1350"/>
      <c r="AB48" s="1350"/>
      <c r="AC48" s="1350"/>
      <c r="AD48" s="1350"/>
      <c r="AE48" s="1350"/>
      <c r="AF48" s="1350"/>
      <c r="AG48" s="1350"/>
      <c r="AH48" s="1350"/>
      <c r="AI48" s="1350"/>
      <c r="AJ48" s="1350"/>
      <c r="AK48" s="1350"/>
      <c r="AL48" s="1350"/>
      <c r="AM48" s="1350"/>
      <c r="AN48" s="1350"/>
      <c r="AO48" s="1350"/>
      <c r="AP48" s="1350"/>
      <c r="AQ48" s="1350"/>
      <c r="AR48" s="1350"/>
    </row>
    <row r="49" spans="1:44" ht="19.2" customHeight="1">
      <c r="A49" s="2164" t="s">
        <v>155</v>
      </c>
      <c r="B49" s="2165" t="e">
        <f>+#REF!</f>
        <v>#REF!</v>
      </c>
      <c r="C49" s="2166" t="e">
        <f>+#REF!</f>
        <v>#REF!</v>
      </c>
      <c r="D49" s="2166" t="e">
        <f>+#REF!</f>
        <v>#REF!</v>
      </c>
      <c r="E49" s="2167" t="e">
        <f>+#REF!</f>
        <v>#REF!</v>
      </c>
      <c r="F49" s="2168" t="e">
        <f t="shared" si="24"/>
        <v>#REF!</v>
      </c>
      <c r="G49" s="2171" t="e">
        <f>F49*D49</f>
        <v>#REF!</v>
      </c>
      <c r="H49" s="2174" t="e">
        <f>(G49/$G$101)</f>
        <v>#REF!</v>
      </c>
      <c r="I49" s="2202"/>
      <c r="J49" s="1369">
        <f t="shared" ref="J49:M49" si="31">+J50</f>
        <v>0</v>
      </c>
      <c r="K49" s="1369">
        <f t="shared" si="31"/>
        <v>0</v>
      </c>
      <c r="L49" s="1369" t="e">
        <f>+$D$49/2</f>
        <v>#REF!</v>
      </c>
      <c r="M49" s="1369" t="e">
        <f t="shared" si="31"/>
        <v>#REF!</v>
      </c>
      <c r="N49" s="2202"/>
      <c r="O49" s="1375"/>
      <c r="P49" s="1365"/>
      <c r="Q49" s="1410"/>
      <c r="R49" s="1350"/>
      <c r="S49" s="1350"/>
      <c r="T49" s="1350"/>
      <c r="U49" s="1350"/>
      <c r="V49" s="1350"/>
      <c r="W49" s="1350"/>
      <c r="X49" s="1350"/>
      <c r="Y49" s="1350"/>
      <c r="Z49" s="1350"/>
      <c r="AA49" s="1350"/>
      <c r="AB49" s="1350"/>
      <c r="AC49" s="1350"/>
      <c r="AD49" s="1350"/>
      <c r="AE49" s="1350"/>
      <c r="AF49" s="1350"/>
      <c r="AG49" s="1350"/>
      <c r="AH49" s="1350"/>
      <c r="AI49" s="1350"/>
      <c r="AJ49" s="1350"/>
      <c r="AK49" s="1350"/>
      <c r="AL49" s="1350"/>
      <c r="AM49" s="1350"/>
      <c r="AN49" s="1350"/>
      <c r="AO49" s="1350"/>
      <c r="AP49" s="1350"/>
      <c r="AQ49" s="1350"/>
      <c r="AR49" s="1350"/>
    </row>
    <row r="50" spans="1:44" ht="19.2" customHeight="1">
      <c r="A50" s="2164"/>
      <c r="B50" s="2165"/>
      <c r="C50" s="2166"/>
      <c r="D50" s="2166"/>
      <c r="E50" s="2167"/>
      <c r="F50" s="2169"/>
      <c r="G50" s="2172"/>
      <c r="H50" s="2174"/>
      <c r="I50" s="2202"/>
      <c r="J50" s="1373"/>
      <c r="K50" s="1373"/>
      <c r="L50" s="1373" t="e">
        <f>+$D$49/2</f>
        <v>#REF!</v>
      </c>
      <c r="M50" s="1373" t="e">
        <f>+$D$49/2</f>
        <v>#REF!</v>
      </c>
      <c r="N50" s="2202"/>
      <c r="O50" s="1363" t="e">
        <f>SUM(J50:M50)</f>
        <v>#REF!</v>
      </c>
      <c r="P50" s="1365" t="e">
        <f>D49</f>
        <v>#REF!</v>
      </c>
      <c r="Q50" s="1410"/>
      <c r="R50" s="1350"/>
      <c r="S50" s="1350"/>
      <c r="T50" s="1350"/>
      <c r="U50" s="1350"/>
      <c r="V50" s="1350"/>
      <c r="W50" s="1350"/>
      <c r="X50" s="1350"/>
      <c r="Y50" s="1350"/>
      <c r="Z50" s="1350"/>
      <c r="AA50" s="1350"/>
      <c r="AB50" s="1350"/>
      <c r="AC50" s="1350"/>
      <c r="AD50" s="1350"/>
      <c r="AE50" s="1350"/>
      <c r="AF50" s="1350"/>
      <c r="AG50" s="1350"/>
      <c r="AH50" s="1350"/>
      <c r="AI50" s="1350"/>
      <c r="AJ50" s="1350"/>
      <c r="AK50" s="1350"/>
      <c r="AL50" s="1350"/>
      <c r="AM50" s="1350"/>
      <c r="AN50" s="1350"/>
      <c r="AO50" s="1350"/>
      <c r="AP50" s="1350"/>
      <c r="AQ50" s="1350"/>
      <c r="AR50" s="1350"/>
    </row>
    <row r="51" spans="1:44" ht="19.2" customHeight="1">
      <c r="A51" s="2164"/>
      <c r="B51" s="2165"/>
      <c r="C51" s="2166"/>
      <c r="D51" s="2166"/>
      <c r="E51" s="2167"/>
      <c r="F51" s="2170"/>
      <c r="G51" s="2173"/>
      <c r="H51" s="2174"/>
      <c r="I51" s="2202"/>
      <c r="J51" s="1374" t="e">
        <f>$G$49/$D$49*J50</f>
        <v>#REF!</v>
      </c>
      <c r="K51" s="1374" t="e">
        <f>$G$49/$D$49*K50</f>
        <v>#REF!</v>
      </c>
      <c r="L51" s="1374" t="e">
        <f>$G$49/$D$49*L50</f>
        <v>#REF!</v>
      </c>
      <c r="M51" s="1374" t="e">
        <f>$G$49/$D$49*M50</f>
        <v>#REF!</v>
      </c>
      <c r="N51" s="2202"/>
      <c r="O51" s="1375" t="e">
        <f>SUM(J51:M51)</f>
        <v>#REF!</v>
      </c>
      <c r="P51" s="1365" t="e">
        <f>+G49-O51</f>
        <v>#REF!</v>
      </c>
      <c r="Q51" s="1410" t="e">
        <f>+O51-G49</f>
        <v>#REF!</v>
      </c>
      <c r="R51" s="1350"/>
      <c r="S51" s="1350"/>
      <c r="T51" s="1350"/>
      <c r="U51" s="1350"/>
      <c r="V51" s="1350"/>
      <c r="W51" s="1350"/>
      <c r="X51" s="1350"/>
      <c r="Y51" s="1350"/>
      <c r="Z51" s="1350"/>
      <c r="AA51" s="1350"/>
      <c r="AB51" s="1350"/>
      <c r="AC51" s="1350"/>
      <c r="AD51" s="1350"/>
      <c r="AE51" s="1350"/>
      <c r="AF51" s="1350"/>
      <c r="AG51" s="1350"/>
      <c r="AH51" s="1350"/>
      <c r="AI51" s="1350"/>
      <c r="AJ51" s="1350"/>
      <c r="AK51" s="1350"/>
      <c r="AL51" s="1350"/>
      <c r="AM51" s="1350"/>
      <c r="AN51" s="1350"/>
      <c r="AO51" s="1350"/>
      <c r="AP51" s="1350"/>
      <c r="AQ51" s="1350"/>
      <c r="AR51" s="1350"/>
    </row>
    <row r="52" spans="1:44" s="1367" customFormat="1" ht="34.200000000000003" customHeight="1">
      <c r="A52" s="1353">
        <v>4</v>
      </c>
      <c r="B52" s="1357" t="s">
        <v>4418</v>
      </c>
      <c r="C52" s="1353"/>
      <c r="D52" s="1353"/>
      <c r="E52" s="1400"/>
      <c r="F52" s="1417"/>
      <c r="G52" s="1360" t="e">
        <f>ROUND(SUM(G53:G97),0)</f>
        <v>#REF!</v>
      </c>
      <c r="H52" s="1361" t="e">
        <f>(G52/$G$101)</f>
        <v>#REF!</v>
      </c>
      <c r="I52" s="2202"/>
      <c r="J52" s="1362"/>
      <c r="K52" s="1362"/>
      <c r="L52" s="1362"/>
      <c r="M52" s="1362"/>
      <c r="N52" s="2202"/>
      <c r="O52" s="1364"/>
      <c r="P52" s="1365"/>
      <c r="Q52" s="1413"/>
      <c r="S52" s="1433" t="e">
        <f>+O51+O48+O45+O42+O39+O36</f>
        <v>#REF!</v>
      </c>
      <c r="T52" s="1439" t="e">
        <f>+S52-G33</f>
        <v>#REF!</v>
      </c>
    </row>
    <row r="53" spans="1:44" ht="19.2" customHeight="1">
      <c r="A53" s="2164" t="s">
        <v>48</v>
      </c>
      <c r="B53" s="2165" t="e">
        <f>+#REF!</f>
        <v>#REF!</v>
      </c>
      <c r="C53" s="2184" t="e">
        <f>+#REF!</f>
        <v>#REF!</v>
      </c>
      <c r="D53" s="2184" t="e">
        <f>+#REF!</f>
        <v>#REF!</v>
      </c>
      <c r="E53" s="2190" t="e">
        <f>+#REF!</f>
        <v>#REF!</v>
      </c>
      <c r="F53" s="2168" t="e">
        <f t="shared" ref="F53" si="32">+E53+(E53*0.3)</f>
        <v>#REF!</v>
      </c>
      <c r="G53" s="2171" t="e">
        <f t="shared" ref="G53" si="33">F53*D53</f>
        <v>#REF!</v>
      </c>
      <c r="H53" s="2174" t="e">
        <f>(G53/$G$101)</f>
        <v>#REF!</v>
      </c>
      <c r="I53" s="2202"/>
      <c r="J53" s="1369">
        <f>+J54</f>
        <v>0</v>
      </c>
      <c r="K53" s="1369">
        <f t="shared" ref="K53:M53" si="34">+K54</f>
        <v>0</v>
      </c>
      <c r="L53" s="1369" t="e">
        <f t="shared" si="34"/>
        <v>#REF!</v>
      </c>
      <c r="M53" s="1369" t="e">
        <f t="shared" si="34"/>
        <v>#REF!</v>
      </c>
      <c r="N53" s="2202"/>
      <c r="O53" s="1364"/>
      <c r="P53" s="1365"/>
      <c r="Q53" s="1410"/>
      <c r="R53" s="1350"/>
      <c r="S53" s="1350"/>
      <c r="T53" s="1350"/>
      <c r="U53" s="1350"/>
      <c r="V53" s="1350"/>
      <c r="W53" s="1350"/>
      <c r="X53" s="1350"/>
      <c r="Y53" s="1350"/>
      <c r="Z53" s="1350"/>
      <c r="AA53" s="1350"/>
      <c r="AB53" s="1350"/>
      <c r="AC53" s="1350"/>
      <c r="AD53" s="1350"/>
      <c r="AE53" s="1350"/>
      <c r="AF53" s="1350"/>
      <c r="AG53" s="1350"/>
      <c r="AH53" s="1350"/>
      <c r="AI53" s="1350"/>
      <c r="AJ53" s="1350"/>
      <c r="AK53" s="1350"/>
      <c r="AL53" s="1350"/>
      <c r="AM53" s="1350"/>
      <c r="AN53" s="1350"/>
      <c r="AO53" s="1350"/>
      <c r="AP53" s="1350"/>
      <c r="AQ53" s="1350"/>
      <c r="AR53" s="1350"/>
    </row>
    <row r="54" spans="1:44" ht="19.2" customHeight="1">
      <c r="A54" s="2164"/>
      <c r="B54" s="2165"/>
      <c r="C54" s="2185"/>
      <c r="D54" s="2185"/>
      <c r="E54" s="2191"/>
      <c r="F54" s="2169"/>
      <c r="G54" s="2172"/>
      <c r="H54" s="2174"/>
      <c r="I54" s="2202"/>
      <c r="J54" s="1373"/>
      <c r="K54" s="1373"/>
      <c r="L54" s="1373" t="e">
        <f>+$D$53/2</f>
        <v>#REF!</v>
      </c>
      <c r="M54" s="1373" t="e">
        <f>+$D$53/2</f>
        <v>#REF!</v>
      </c>
      <c r="N54" s="2202"/>
      <c r="O54" s="1363" t="e">
        <f>SUM(J54:M54)</f>
        <v>#REF!</v>
      </c>
      <c r="P54" s="1365" t="e">
        <f>D53</f>
        <v>#REF!</v>
      </c>
      <c r="Q54" s="1410" t="e">
        <f>P54-O54</f>
        <v>#REF!</v>
      </c>
      <c r="R54" s="1350"/>
      <c r="S54" s="1350"/>
      <c r="T54" s="1350"/>
      <c r="U54" s="1350"/>
      <c r="V54" s="1350"/>
      <c r="W54" s="1350"/>
      <c r="X54" s="1350"/>
      <c r="Y54" s="1350"/>
      <c r="Z54" s="1350"/>
      <c r="AA54" s="1350"/>
      <c r="AB54" s="1350"/>
      <c r="AC54" s="1350"/>
      <c r="AD54" s="1350"/>
      <c r="AE54" s="1350"/>
      <c r="AF54" s="1350"/>
      <c r="AG54" s="1350"/>
      <c r="AH54" s="1350"/>
      <c r="AI54" s="1350"/>
      <c r="AJ54" s="1350"/>
      <c r="AK54" s="1350"/>
      <c r="AL54" s="1350"/>
      <c r="AM54" s="1350"/>
      <c r="AN54" s="1350"/>
      <c r="AO54" s="1350"/>
      <c r="AP54" s="1350"/>
      <c r="AQ54" s="1350"/>
      <c r="AR54" s="1350"/>
    </row>
    <row r="55" spans="1:44" ht="19.2" customHeight="1">
      <c r="A55" s="2164"/>
      <c r="B55" s="2165"/>
      <c r="C55" s="2186"/>
      <c r="D55" s="2186"/>
      <c r="E55" s="2192"/>
      <c r="F55" s="2170"/>
      <c r="G55" s="2173"/>
      <c r="H55" s="2174"/>
      <c r="I55" s="2202"/>
      <c r="J55" s="1374" t="e">
        <f>$G$53/$D$53*J54</f>
        <v>#REF!</v>
      </c>
      <c r="K55" s="1374" t="e">
        <f>$G$53/$D$53*K54</f>
        <v>#REF!</v>
      </c>
      <c r="L55" s="1374" t="e">
        <f>$G$53/$D$53*L54</f>
        <v>#REF!</v>
      </c>
      <c r="M55" s="1374" t="e">
        <f>$G$53/$D$53*M54</f>
        <v>#REF!</v>
      </c>
      <c r="N55" s="2202"/>
      <c r="O55" s="1375" t="e">
        <f>SUM(J55:M55)</f>
        <v>#REF!</v>
      </c>
      <c r="P55" s="1365" t="e">
        <f>+G53-O55</f>
        <v>#REF!</v>
      </c>
      <c r="Q55" s="1410" t="e">
        <f>+O55-G53</f>
        <v>#REF!</v>
      </c>
      <c r="R55" s="1350"/>
      <c r="S55" s="1350"/>
      <c r="T55" s="1350"/>
      <c r="U55" s="1350"/>
      <c r="V55" s="1350"/>
      <c r="W55" s="1350"/>
      <c r="X55" s="1350"/>
      <c r="Y55" s="1350"/>
      <c r="Z55" s="1350"/>
      <c r="AA55" s="1350"/>
      <c r="AB55" s="1350"/>
      <c r="AC55" s="1350"/>
      <c r="AD55" s="1350"/>
      <c r="AE55" s="1350"/>
      <c r="AF55" s="1350"/>
      <c r="AG55" s="1350"/>
      <c r="AH55" s="1350"/>
      <c r="AI55" s="1350"/>
      <c r="AJ55" s="1350"/>
      <c r="AK55" s="1350"/>
      <c r="AL55" s="1350"/>
      <c r="AM55" s="1350"/>
      <c r="AN55" s="1350"/>
      <c r="AO55" s="1350"/>
      <c r="AP55" s="1350"/>
      <c r="AQ55" s="1350"/>
      <c r="AR55" s="1350"/>
    </row>
    <row r="56" spans="1:44" ht="19.2" customHeight="1">
      <c r="A56" s="2164" t="s">
        <v>51</v>
      </c>
      <c r="B56" s="2165" t="e">
        <f>+#REF!</f>
        <v>#REF!</v>
      </c>
      <c r="C56" s="2184" t="e">
        <f>+#REF!</f>
        <v>#REF!</v>
      </c>
      <c r="D56" s="2184" t="e">
        <f>+#REF!</f>
        <v>#REF!</v>
      </c>
      <c r="E56" s="2190" t="e">
        <f>+#REF!</f>
        <v>#REF!</v>
      </c>
      <c r="F56" s="2168" t="e">
        <f t="shared" ref="F56:F92" si="35">+E56+(E56*0.3)</f>
        <v>#REF!</v>
      </c>
      <c r="G56" s="2171" t="e">
        <f t="shared" ref="G56:G92" si="36">F56*D56</f>
        <v>#REF!</v>
      </c>
      <c r="H56" s="2174" t="e">
        <f>(G56/$G$101)</f>
        <v>#REF!</v>
      </c>
      <c r="I56" s="2202"/>
      <c r="J56" s="1369">
        <f>+J57</f>
        <v>0</v>
      </c>
      <c r="K56" s="1369">
        <f t="shared" ref="K56:M56" si="37">+K57</f>
        <v>0</v>
      </c>
      <c r="L56" s="1369" t="e">
        <f t="shared" si="37"/>
        <v>#REF!</v>
      </c>
      <c r="M56" s="1369" t="e">
        <f t="shared" si="37"/>
        <v>#REF!</v>
      </c>
      <c r="N56" s="2202"/>
      <c r="O56" s="1364"/>
      <c r="P56" s="1365"/>
      <c r="Q56" s="1410"/>
      <c r="R56" s="1350"/>
      <c r="S56" s="1350"/>
      <c r="T56" s="1350"/>
      <c r="U56" s="1350"/>
      <c r="V56" s="1350"/>
      <c r="W56" s="1350"/>
      <c r="X56" s="1350"/>
      <c r="Y56" s="1350"/>
      <c r="Z56" s="1350"/>
      <c r="AA56" s="1350"/>
      <c r="AB56" s="1350"/>
      <c r="AC56" s="1350"/>
      <c r="AD56" s="1350"/>
      <c r="AE56" s="1350"/>
      <c r="AF56" s="1350"/>
      <c r="AG56" s="1350"/>
      <c r="AH56" s="1350"/>
      <c r="AI56" s="1350"/>
      <c r="AJ56" s="1350"/>
      <c r="AK56" s="1350"/>
      <c r="AL56" s="1350"/>
      <c r="AM56" s="1350"/>
      <c r="AN56" s="1350"/>
      <c r="AO56" s="1350"/>
      <c r="AP56" s="1350"/>
      <c r="AQ56" s="1350"/>
      <c r="AR56" s="1350"/>
    </row>
    <row r="57" spans="1:44" ht="19.2" customHeight="1">
      <c r="A57" s="2164"/>
      <c r="B57" s="2165"/>
      <c r="C57" s="2185"/>
      <c r="D57" s="2185"/>
      <c r="E57" s="2191"/>
      <c r="F57" s="2169"/>
      <c r="G57" s="2172"/>
      <c r="H57" s="2174"/>
      <c r="I57" s="2202"/>
      <c r="J57" s="1373"/>
      <c r="K57" s="1373"/>
      <c r="L57" s="1373" t="e">
        <f>+$D$56/2</f>
        <v>#REF!</v>
      </c>
      <c r="M57" s="1373" t="e">
        <f>+$D$56/2</f>
        <v>#REF!</v>
      </c>
      <c r="N57" s="2202"/>
      <c r="O57" s="1363" t="e">
        <f>SUM(J57:M57)</f>
        <v>#REF!</v>
      </c>
      <c r="P57" s="1365" t="e">
        <f>D56</f>
        <v>#REF!</v>
      </c>
      <c r="Q57" s="1410" t="e">
        <f>P57-O57</f>
        <v>#REF!</v>
      </c>
      <c r="R57" s="1350"/>
      <c r="S57" s="1350"/>
      <c r="T57" s="1350"/>
      <c r="U57" s="1350"/>
      <c r="V57" s="1350"/>
      <c r="W57" s="1350"/>
      <c r="X57" s="1350"/>
      <c r="Y57" s="1350"/>
      <c r="Z57" s="1350"/>
      <c r="AA57" s="1350"/>
      <c r="AB57" s="1350"/>
      <c r="AC57" s="1350"/>
      <c r="AD57" s="1350"/>
      <c r="AE57" s="1350"/>
      <c r="AF57" s="1350"/>
      <c r="AG57" s="1350"/>
      <c r="AH57" s="1350"/>
      <c r="AI57" s="1350"/>
      <c r="AJ57" s="1350"/>
      <c r="AK57" s="1350"/>
      <c r="AL57" s="1350"/>
      <c r="AM57" s="1350"/>
      <c r="AN57" s="1350"/>
      <c r="AO57" s="1350"/>
      <c r="AP57" s="1350"/>
      <c r="AQ57" s="1350"/>
      <c r="AR57" s="1350"/>
    </row>
    <row r="58" spans="1:44" ht="19.2" customHeight="1">
      <c r="A58" s="2164"/>
      <c r="B58" s="2165"/>
      <c r="C58" s="2186"/>
      <c r="D58" s="2186"/>
      <c r="E58" s="2192"/>
      <c r="F58" s="2170"/>
      <c r="G58" s="2173"/>
      <c r="H58" s="2174"/>
      <c r="I58" s="2202"/>
      <c r="J58" s="1374" t="e">
        <f>$G$56/$D$56*J57</f>
        <v>#REF!</v>
      </c>
      <c r="K58" s="1374" t="e">
        <f>$G$56/$D$56*K57</f>
        <v>#REF!</v>
      </c>
      <c r="L58" s="1374" t="e">
        <f>$G$56/$D$56*L57</f>
        <v>#REF!</v>
      </c>
      <c r="M58" s="1374" t="e">
        <f>$G$56/$D$56*M57</f>
        <v>#REF!</v>
      </c>
      <c r="N58" s="2202"/>
      <c r="O58" s="1375" t="e">
        <f>SUM(J58:M58)</f>
        <v>#REF!</v>
      </c>
      <c r="P58" s="1365" t="e">
        <f>+G56-O58</f>
        <v>#REF!</v>
      </c>
      <c r="Q58" s="1410" t="e">
        <f>+O58-G56</f>
        <v>#REF!</v>
      </c>
      <c r="R58" s="1350"/>
      <c r="S58" s="1350"/>
      <c r="T58" s="1350"/>
      <c r="U58" s="1350"/>
      <c r="V58" s="1350"/>
      <c r="W58" s="1350"/>
      <c r="X58" s="1350"/>
      <c r="Y58" s="1350"/>
      <c r="Z58" s="1350"/>
      <c r="AA58" s="1350"/>
      <c r="AB58" s="1350"/>
      <c r="AC58" s="1350"/>
      <c r="AD58" s="1350"/>
      <c r="AE58" s="1350"/>
      <c r="AF58" s="1350"/>
      <c r="AG58" s="1350"/>
      <c r="AH58" s="1350"/>
      <c r="AI58" s="1350"/>
      <c r="AJ58" s="1350"/>
      <c r="AK58" s="1350"/>
      <c r="AL58" s="1350"/>
      <c r="AM58" s="1350"/>
      <c r="AN58" s="1350"/>
      <c r="AO58" s="1350"/>
      <c r="AP58" s="1350"/>
      <c r="AQ58" s="1350"/>
      <c r="AR58" s="1350"/>
    </row>
    <row r="59" spans="1:44" ht="19.2" customHeight="1">
      <c r="A59" s="2164" t="s">
        <v>156</v>
      </c>
      <c r="B59" s="2165" t="e">
        <f>+#REF!</f>
        <v>#REF!</v>
      </c>
      <c r="C59" s="2184" t="e">
        <f>+#REF!</f>
        <v>#REF!</v>
      </c>
      <c r="D59" s="2184" t="e">
        <f>+#REF!</f>
        <v>#REF!</v>
      </c>
      <c r="E59" s="2190" t="e">
        <f>+#REF!</f>
        <v>#REF!</v>
      </c>
      <c r="F59" s="2168" t="e">
        <f t="shared" si="35"/>
        <v>#REF!</v>
      </c>
      <c r="G59" s="2171" t="e">
        <f t="shared" si="36"/>
        <v>#REF!</v>
      </c>
      <c r="H59" s="2174" t="e">
        <f>(G59/$G$101)</f>
        <v>#REF!</v>
      </c>
      <c r="I59" s="2202"/>
      <c r="J59" s="1369">
        <f>+J60</f>
        <v>0</v>
      </c>
      <c r="K59" s="1369">
        <f t="shared" ref="K59:M59" si="38">+K60</f>
        <v>0</v>
      </c>
      <c r="L59" s="1369" t="e">
        <f t="shared" si="38"/>
        <v>#REF!</v>
      </c>
      <c r="M59" s="1369" t="e">
        <f t="shared" si="38"/>
        <v>#REF!</v>
      </c>
      <c r="N59" s="2202"/>
      <c r="O59" s="1364"/>
      <c r="P59" s="1365"/>
      <c r="Q59" s="1410"/>
      <c r="R59" s="1350"/>
      <c r="S59" s="1350"/>
      <c r="T59" s="1350"/>
      <c r="U59" s="1350"/>
      <c r="V59" s="1350"/>
      <c r="W59" s="1350"/>
      <c r="X59" s="1350"/>
      <c r="Y59" s="1350"/>
      <c r="Z59" s="1350"/>
      <c r="AA59" s="1350"/>
      <c r="AB59" s="1350"/>
      <c r="AC59" s="1350"/>
      <c r="AD59" s="1350"/>
      <c r="AE59" s="1350"/>
      <c r="AF59" s="1350"/>
      <c r="AG59" s="1350"/>
      <c r="AH59" s="1350"/>
      <c r="AI59" s="1350"/>
      <c r="AJ59" s="1350"/>
      <c r="AK59" s="1350"/>
      <c r="AL59" s="1350"/>
      <c r="AM59" s="1350"/>
      <c r="AN59" s="1350"/>
      <c r="AO59" s="1350"/>
      <c r="AP59" s="1350"/>
      <c r="AQ59" s="1350"/>
      <c r="AR59" s="1350"/>
    </row>
    <row r="60" spans="1:44" ht="19.2" customHeight="1">
      <c r="A60" s="2164"/>
      <c r="B60" s="2165"/>
      <c r="C60" s="2185"/>
      <c r="D60" s="2185"/>
      <c r="E60" s="2191"/>
      <c r="F60" s="2169"/>
      <c r="G60" s="2172"/>
      <c r="H60" s="2174"/>
      <c r="I60" s="2202"/>
      <c r="J60" s="1373"/>
      <c r="K60" s="1373"/>
      <c r="L60" s="1373" t="e">
        <f>+$D$59/2</f>
        <v>#REF!</v>
      </c>
      <c r="M60" s="1373" t="e">
        <f>+$D$59/2</f>
        <v>#REF!</v>
      </c>
      <c r="N60" s="2202"/>
      <c r="O60" s="1363" t="e">
        <f>SUM(J60:M60)</f>
        <v>#REF!</v>
      </c>
      <c r="P60" s="1365" t="e">
        <f>D59</f>
        <v>#REF!</v>
      </c>
      <c r="Q60" s="1410" t="e">
        <f>P60-O60</f>
        <v>#REF!</v>
      </c>
      <c r="R60" s="1350"/>
      <c r="S60" s="1350"/>
      <c r="T60" s="1350"/>
      <c r="U60" s="1350"/>
      <c r="V60" s="1350"/>
      <c r="W60" s="1350"/>
      <c r="X60" s="1350"/>
      <c r="Y60" s="1350"/>
      <c r="Z60" s="1350"/>
      <c r="AA60" s="1350"/>
      <c r="AB60" s="1350"/>
      <c r="AC60" s="1350"/>
      <c r="AD60" s="1350"/>
      <c r="AE60" s="1350"/>
      <c r="AF60" s="1350"/>
      <c r="AG60" s="1350"/>
      <c r="AH60" s="1350"/>
      <c r="AI60" s="1350"/>
      <c r="AJ60" s="1350"/>
      <c r="AK60" s="1350"/>
      <c r="AL60" s="1350"/>
      <c r="AM60" s="1350"/>
      <c r="AN60" s="1350"/>
      <c r="AO60" s="1350"/>
      <c r="AP60" s="1350"/>
      <c r="AQ60" s="1350"/>
      <c r="AR60" s="1350"/>
    </row>
    <row r="61" spans="1:44" ht="19.2" customHeight="1">
      <c r="A61" s="2164"/>
      <c r="B61" s="2165"/>
      <c r="C61" s="2186"/>
      <c r="D61" s="2186"/>
      <c r="E61" s="2192"/>
      <c r="F61" s="2170"/>
      <c r="G61" s="2173"/>
      <c r="H61" s="2174"/>
      <c r="I61" s="2202"/>
      <c r="J61" s="1374" t="e">
        <f>$G$59/$D$59*J60</f>
        <v>#REF!</v>
      </c>
      <c r="K61" s="1374" t="e">
        <f>$G$59/$D$59*K60</f>
        <v>#REF!</v>
      </c>
      <c r="L61" s="1374" t="e">
        <f>$G$59/$D$59*L60</f>
        <v>#REF!</v>
      </c>
      <c r="M61" s="1374" t="e">
        <f>$G$59/$D$59*M60</f>
        <v>#REF!</v>
      </c>
      <c r="N61" s="2202"/>
      <c r="O61" s="1375" t="e">
        <f>SUM(J61:M61)</f>
        <v>#REF!</v>
      </c>
      <c r="P61" s="1365" t="e">
        <f>+G59-O61</f>
        <v>#REF!</v>
      </c>
      <c r="Q61" s="1410" t="e">
        <f>+O61-G59</f>
        <v>#REF!</v>
      </c>
      <c r="R61" s="1350"/>
      <c r="S61" s="1350"/>
      <c r="T61" s="1350"/>
      <c r="U61" s="1350"/>
      <c r="V61" s="1350"/>
      <c r="W61" s="1350"/>
      <c r="X61" s="1350"/>
      <c r="Y61" s="1350"/>
      <c r="Z61" s="1350"/>
      <c r="AA61" s="1350"/>
      <c r="AB61" s="1350"/>
      <c r="AC61" s="1350"/>
      <c r="AD61" s="1350"/>
      <c r="AE61" s="1350"/>
      <c r="AF61" s="1350"/>
      <c r="AG61" s="1350"/>
      <c r="AH61" s="1350"/>
      <c r="AI61" s="1350"/>
      <c r="AJ61" s="1350"/>
      <c r="AK61" s="1350"/>
      <c r="AL61" s="1350"/>
      <c r="AM61" s="1350"/>
      <c r="AN61" s="1350"/>
      <c r="AO61" s="1350"/>
      <c r="AP61" s="1350"/>
      <c r="AQ61" s="1350"/>
      <c r="AR61" s="1350"/>
    </row>
    <row r="62" spans="1:44" ht="19.2" customHeight="1">
      <c r="A62" s="2164" t="s">
        <v>157</v>
      </c>
      <c r="B62" s="2165" t="e">
        <f>+#REF!</f>
        <v>#REF!</v>
      </c>
      <c r="C62" s="2184" t="e">
        <f>+#REF!</f>
        <v>#REF!</v>
      </c>
      <c r="D62" s="2184" t="e">
        <f>+#REF!</f>
        <v>#REF!</v>
      </c>
      <c r="E62" s="2190" t="e">
        <f>+#REF!</f>
        <v>#REF!</v>
      </c>
      <c r="F62" s="2168" t="e">
        <f>+E62+(E62*0.3)</f>
        <v>#REF!</v>
      </c>
      <c r="G62" s="2171" t="e">
        <f>F62*D62</f>
        <v>#REF!</v>
      </c>
      <c r="H62" s="2174" t="e">
        <f>(G62/$G$101)</f>
        <v>#REF!</v>
      </c>
      <c r="I62" s="2202"/>
      <c r="J62" s="1369">
        <f t="shared" ref="J62:M62" si="39">+J63</f>
        <v>0</v>
      </c>
      <c r="K62" s="1369">
        <f t="shared" si="39"/>
        <v>0</v>
      </c>
      <c r="L62" s="1369" t="e">
        <f t="shared" si="39"/>
        <v>#REF!</v>
      </c>
      <c r="M62" s="1369" t="e">
        <f t="shared" si="39"/>
        <v>#REF!</v>
      </c>
      <c r="N62" s="2202"/>
      <c r="O62" s="1364"/>
      <c r="P62" s="1365"/>
      <c r="Q62" s="1410"/>
      <c r="R62" s="1350"/>
      <c r="S62" s="1350"/>
      <c r="T62" s="1350"/>
      <c r="U62" s="1350"/>
      <c r="V62" s="1350"/>
      <c r="W62" s="1350"/>
      <c r="X62" s="1350"/>
      <c r="Y62" s="1350"/>
      <c r="Z62" s="1350"/>
      <c r="AA62" s="1350"/>
      <c r="AB62" s="1350"/>
      <c r="AC62" s="1350"/>
      <c r="AD62" s="1350"/>
      <c r="AE62" s="1350"/>
      <c r="AF62" s="1350"/>
      <c r="AG62" s="1350"/>
      <c r="AH62" s="1350"/>
      <c r="AI62" s="1350"/>
      <c r="AJ62" s="1350"/>
      <c r="AK62" s="1350"/>
      <c r="AL62" s="1350"/>
      <c r="AM62" s="1350"/>
      <c r="AN62" s="1350"/>
      <c r="AO62" s="1350"/>
      <c r="AP62" s="1350"/>
      <c r="AQ62" s="1350"/>
      <c r="AR62" s="1350"/>
    </row>
    <row r="63" spans="1:44" ht="19.2" customHeight="1">
      <c r="A63" s="2164"/>
      <c r="B63" s="2165"/>
      <c r="C63" s="2185"/>
      <c r="D63" s="2185"/>
      <c r="E63" s="2191"/>
      <c r="F63" s="2169"/>
      <c r="G63" s="2172"/>
      <c r="H63" s="2174"/>
      <c r="I63" s="2202"/>
      <c r="J63" s="1373"/>
      <c r="K63" s="1373"/>
      <c r="L63" s="1373" t="e">
        <f>+$D$62/2</f>
        <v>#REF!</v>
      </c>
      <c r="M63" s="1373" t="e">
        <f>+$D$62/2</f>
        <v>#REF!</v>
      </c>
      <c r="N63" s="2202"/>
      <c r="O63" s="1363" t="e">
        <f>SUM(J63:M63)</f>
        <v>#REF!</v>
      </c>
      <c r="P63" s="1365"/>
      <c r="Q63" s="1410"/>
      <c r="R63" s="1350"/>
      <c r="S63" s="1350"/>
      <c r="T63" s="1350"/>
      <c r="U63" s="1350"/>
      <c r="V63" s="1350"/>
      <c r="W63" s="1350"/>
      <c r="X63" s="1350"/>
      <c r="Y63" s="1350"/>
      <c r="Z63" s="1350"/>
      <c r="AA63" s="1350"/>
      <c r="AB63" s="1350"/>
      <c r="AC63" s="1350"/>
      <c r="AD63" s="1350"/>
      <c r="AE63" s="1350"/>
      <c r="AF63" s="1350"/>
      <c r="AG63" s="1350"/>
      <c r="AH63" s="1350"/>
      <c r="AI63" s="1350"/>
      <c r="AJ63" s="1350"/>
      <c r="AK63" s="1350"/>
      <c r="AL63" s="1350"/>
      <c r="AM63" s="1350"/>
      <c r="AN63" s="1350"/>
      <c r="AO63" s="1350"/>
      <c r="AP63" s="1350"/>
      <c r="AQ63" s="1350"/>
      <c r="AR63" s="1350"/>
    </row>
    <row r="64" spans="1:44" ht="19.2" customHeight="1">
      <c r="A64" s="2164"/>
      <c r="B64" s="2165"/>
      <c r="C64" s="2186"/>
      <c r="D64" s="2186"/>
      <c r="E64" s="2192"/>
      <c r="F64" s="2170"/>
      <c r="G64" s="2173"/>
      <c r="H64" s="2174"/>
      <c r="I64" s="2202"/>
      <c r="J64" s="1374" t="e">
        <f>$G$59/$D$59*J63</f>
        <v>#REF!</v>
      </c>
      <c r="K64" s="1374" t="e">
        <f>$G$59/$D$59*K63</f>
        <v>#REF!</v>
      </c>
      <c r="L64" s="1374" t="e">
        <f>$G$62/$D$62*L63</f>
        <v>#REF!</v>
      </c>
      <c r="M64" s="1374" t="e">
        <f>$G$62/$D$62*M63</f>
        <v>#REF!</v>
      </c>
      <c r="N64" s="2202"/>
      <c r="O64" s="1375" t="e">
        <f>SUM(J64:M64)</f>
        <v>#REF!</v>
      </c>
      <c r="P64" s="1365"/>
      <c r="Q64" s="1410" t="e">
        <f>+O64-G62</f>
        <v>#REF!</v>
      </c>
      <c r="R64" s="1350"/>
      <c r="S64" s="1350"/>
      <c r="T64" s="1350"/>
      <c r="U64" s="1350"/>
      <c r="V64" s="1350"/>
      <c r="W64" s="1350"/>
      <c r="X64" s="1350"/>
      <c r="Y64" s="1350"/>
      <c r="Z64" s="1350"/>
      <c r="AA64" s="1350"/>
      <c r="AB64" s="1350"/>
      <c r="AC64" s="1350"/>
      <c r="AD64" s="1350"/>
      <c r="AE64" s="1350"/>
      <c r="AF64" s="1350"/>
      <c r="AG64" s="1350"/>
      <c r="AH64" s="1350"/>
      <c r="AI64" s="1350"/>
      <c r="AJ64" s="1350"/>
      <c r="AK64" s="1350"/>
      <c r="AL64" s="1350"/>
      <c r="AM64" s="1350"/>
      <c r="AN64" s="1350"/>
      <c r="AO64" s="1350"/>
      <c r="AP64" s="1350"/>
      <c r="AQ64" s="1350"/>
      <c r="AR64" s="1350"/>
    </row>
    <row r="65" spans="1:44" ht="19.2" customHeight="1">
      <c r="A65" s="2164" t="s">
        <v>158</v>
      </c>
      <c r="B65" s="2165" t="e">
        <f>+#REF!</f>
        <v>#REF!</v>
      </c>
      <c r="C65" s="2166" t="e">
        <f>+#REF!</f>
        <v>#REF!</v>
      </c>
      <c r="D65" s="2184" t="e">
        <f>+#REF!</f>
        <v>#REF!</v>
      </c>
      <c r="E65" s="2190" t="e">
        <f>+#REF!</f>
        <v>#REF!</v>
      </c>
      <c r="F65" s="2168" t="e">
        <f>+E65+(E65*0.3)</f>
        <v>#REF!</v>
      </c>
      <c r="G65" s="2171" t="e">
        <f>F65*D65</f>
        <v>#REF!</v>
      </c>
      <c r="H65" s="2175" t="e">
        <f>(G65/$G$101)</f>
        <v>#REF!</v>
      </c>
      <c r="I65" s="2202"/>
      <c r="J65" s="1369">
        <f t="shared" ref="J65:M65" si="40">+J66</f>
        <v>0</v>
      </c>
      <c r="K65" s="1369">
        <f t="shared" si="40"/>
        <v>0</v>
      </c>
      <c r="L65" s="1369">
        <f t="shared" si="40"/>
        <v>0</v>
      </c>
      <c r="M65" s="1369" t="e">
        <f t="shared" si="40"/>
        <v>#REF!</v>
      </c>
      <c r="N65" s="2202"/>
      <c r="O65" s="1364"/>
      <c r="P65" s="1365"/>
      <c r="Q65" s="1410"/>
      <c r="R65" s="1350"/>
      <c r="S65" s="1350"/>
      <c r="T65" s="1350"/>
      <c r="U65" s="1350"/>
      <c r="V65" s="1350"/>
      <c r="W65" s="1350"/>
      <c r="X65" s="1350"/>
      <c r="Y65" s="1350"/>
      <c r="Z65" s="1350"/>
      <c r="AA65" s="1350"/>
      <c r="AB65" s="1350"/>
      <c r="AC65" s="1350"/>
      <c r="AD65" s="1350"/>
      <c r="AE65" s="1350"/>
      <c r="AF65" s="1350"/>
      <c r="AG65" s="1350"/>
      <c r="AH65" s="1350"/>
      <c r="AI65" s="1350"/>
      <c r="AJ65" s="1350"/>
      <c r="AK65" s="1350"/>
      <c r="AL65" s="1350"/>
      <c r="AM65" s="1350"/>
      <c r="AN65" s="1350"/>
      <c r="AO65" s="1350"/>
      <c r="AP65" s="1350"/>
      <c r="AQ65" s="1350"/>
      <c r="AR65" s="1350"/>
    </row>
    <row r="66" spans="1:44" ht="19.2" customHeight="1">
      <c r="A66" s="2164"/>
      <c r="B66" s="2165"/>
      <c r="C66" s="2166"/>
      <c r="D66" s="2185"/>
      <c r="E66" s="2191"/>
      <c r="F66" s="2169"/>
      <c r="G66" s="2172"/>
      <c r="H66" s="2176"/>
      <c r="I66" s="2202"/>
      <c r="J66" s="1373"/>
      <c r="K66" s="1373"/>
      <c r="L66" s="1373"/>
      <c r="M66" s="1373" t="e">
        <f>+$D$65/1</f>
        <v>#REF!</v>
      </c>
      <c r="N66" s="2202"/>
      <c r="O66" s="1363" t="e">
        <f>SUM(J66:M66)</f>
        <v>#REF!</v>
      </c>
      <c r="P66" s="1365"/>
      <c r="Q66" s="1410"/>
      <c r="R66" s="1350"/>
      <c r="S66" s="1350"/>
      <c r="T66" s="1350"/>
      <c r="U66" s="1350"/>
      <c r="V66" s="1350"/>
      <c r="W66" s="1350"/>
      <c r="X66" s="1350"/>
      <c r="Y66" s="1350"/>
      <c r="Z66" s="1350"/>
      <c r="AA66" s="1350"/>
      <c r="AB66" s="1350"/>
      <c r="AC66" s="1350"/>
      <c r="AD66" s="1350"/>
      <c r="AE66" s="1350"/>
      <c r="AF66" s="1350"/>
      <c r="AG66" s="1350"/>
      <c r="AH66" s="1350"/>
      <c r="AI66" s="1350"/>
      <c r="AJ66" s="1350"/>
      <c r="AK66" s="1350"/>
      <c r="AL66" s="1350"/>
      <c r="AM66" s="1350"/>
      <c r="AN66" s="1350"/>
      <c r="AO66" s="1350"/>
      <c r="AP66" s="1350"/>
      <c r="AQ66" s="1350"/>
      <c r="AR66" s="1350"/>
    </row>
    <row r="67" spans="1:44" ht="19.2" customHeight="1">
      <c r="A67" s="2164"/>
      <c r="B67" s="2165"/>
      <c r="C67" s="2166"/>
      <c r="D67" s="2186"/>
      <c r="E67" s="2192"/>
      <c r="F67" s="2170"/>
      <c r="G67" s="2173"/>
      <c r="H67" s="2177"/>
      <c r="I67" s="2202"/>
      <c r="J67" s="1374" t="e">
        <f>$G$59/$D$59*J66</f>
        <v>#REF!</v>
      </c>
      <c r="K67" s="1374" t="e">
        <f>$G$59/$D$59*K66</f>
        <v>#REF!</v>
      </c>
      <c r="L67" s="1374" t="e">
        <f>$G$59/$D$59*L66</f>
        <v>#REF!</v>
      </c>
      <c r="M67" s="1374" t="e">
        <f>$G$65/$D$65*M66</f>
        <v>#REF!</v>
      </c>
      <c r="N67" s="2202"/>
      <c r="O67" s="1375" t="e">
        <f>SUM(J67:M67)</f>
        <v>#REF!</v>
      </c>
      <c r="P67" s="1365"/>
      <c r="Q67" s="1410" t="e">
        <f>+O67-G65</f>
        <v>#REF!</v>
      </c>
      <c r="R67" s="1350"/>
      <c r="S67" s="1350"/>
      <c r="T67" s="1350"/>
      <c r="U67" s="1350"/>
      <c r="V67" s="1350"/>
      <c r="W67" s="1350"/>
      <c r="X67" s="1350"/>
      <c r="Y67" s="1350"/>
      <c r="Z67" s="1350"/>
      <c r="AA67" s="1350"/>
      <c r="AB67" s="1350"/>
      <c r="AC67" s="1350"/>
      <c r="AD67" s="1350"/>
      <c r="AE67" s="1350"/>
      <c r="AF67" s="1350"/>
      <c r="AG67" s="1350"/>
      <c r="AH67" s="1350"/>
      <c r="AI67" s="1350"/>
      <c r="AJ67" s="1350"/>
      <c r="AK67" s="1350"/>
      <c r="AL67" s="1350"/>
      <c r="AM67" s="1350"/>
      <c r="AN67" s="1350"/>
      <c r="AO67" s="1350"/>
      <c r="AP67" s="1350"/>
      <c r="AQ67" s="1350"/>
      <c r="AR67" s="1350"/>
    </row>
    <row r="68" spans="1:44" ht="19.2" customHeight="1">
      <c r="A68" s="2164" t="s">
        <v>159</v>
      </c>
      <c r="B68" s="2165" t="e">
        <f>+#REF!</f>
        <v>#REF!</v>
      </c>
      <c r="C68" s="2166" t="e">
        <f>+#REF!</f>
        <v>#REF!</v>
      </c>
      <c r="D68" s="2193" t="e">
        <f>+#REF!</f>
        <v>#REF!</v>
      </c>
      <c r="E68" s="2190" t="e">
        <f>+#REF!</f>
        <v>#REF!</v>
      </c>
      <c r="F68" s="2168" t="e">
        <f>+E68+(E68*0.3)</f>
        <v>#REF!</v>
      </c>
      <c r="G68" s="2171" t="e">
        <f>F68*D68</f>
        <v>#REF!</v>
      </c>
      <c r="H68" s="2175" t="e">
        <f>(G68/$G$101)</f>
        <v>#REF!</v>
      </c>
      <c r="I68" s="2202"/>
      <c r="J68" s="1369">
        <f t="shared" ref="J68:M68" si="41">+J69</f>
        <v>0</v>
      </c>
      <c r="K68" s="1369">
        <f t="shared" si="41"/>
        <v>0</v>
      </c>
      <c r="L68" s="1369">
        <f t="shared" si="41"/>
        <v>0</v>
      </c>
      <c r="M68" s="1369" t="e">
        <f t="shared" si="41"/>
        <v>#REF!</v>
      </c>
      <c r="N68" s="2202"/>
      <c r="O68" s="1364"/>
      <c r="P68" s="1365"/>
      <c r="Q68" s="1410"/>
      <c r="R68" s="1350"/>
      <c r="S68" s="1350"/>
      <c r="T68" s="1350"/>
      <c r="U68" s="1350"/>
      <c r="V68" s="1350"/>
      <c r="W68" s="1350"/>
      <c r="X68" s="1350"/>
      <c r="Y68" s="1350"/>
      <c r="Z68" s="1350"/>
      <c r="AA68" s="1350"/>
      <c r="AB68" s="1350"/>
      <c r="AC68" s="1350"/>
      <c r="AD68" s="1350"/>
      <c r="AE68" s="1350"/>
      <c r="AF68" s="1350"/>
      <c r="AG68" s="1350"/>
      <c r="AH68" s="1350"/>
      <c r="AI68" s="1350"/>
      <c r="AJ68" s="1350"/>
      <c r="AK68" s="1350"/>
      <c r="AL68" s="1350"/>
      <c r="AM68" s="1350"/>
      <c r="AN68" s="1350"/>
      <c r="AO68" s="1350"/>
      <c r="AP68" s="1350"/>
      <c r="AQ68" s="1350"/>
      <c r="AR68" s="1350"/>
    </row>
    <row r="69" spans="1:44" ht="19.2" customHeight="1">
      <c r="A69" s="2164"/>
      <c r="B69" s="2165"/>
      <c r="C69" s="2166"/>
      <c r="D69" s="2194"/>
      <c r="E69" s="2191"/>
      <c r="F69" s="2169"/>
      <c r="G69" s="2172"/>
      <c r="H69" s="2176"/>
      <c r="I69" s="2202"/>
      <c r="J69" s="1373"/>
      <c r="K69" s="1373"/>
      <c r="L69" s="1373"/>
      <c r="M69" s="1373" t="e">
        <f>+$D$68/1</f>
        <v>#REF!</v>
      </c>
      <c r="N69" s="2202"/>
      <c r="O69" s="1363" t="e">
        <f>SUM(J69:M69)</f>
        <v>#REF!</v>
      </c>
      <c r="P69" s="1365"/>
      <c r="Q69" s="1410"/>
      <c r="R69" s="1350"/>
      <c r="S69" s="1350"/>
      <c r="T69" s="1350"/>
      <c r="U69" s="1350"/>
      <c r="V69" s="1350"/>
      <c r="W69" s="1350"/>
      <c r="X69" s="1350"/>
      <c r="Y69" s="1350"/>
      <c r="Z69" s="1350"/>
      <c r="AA69" s="1350"/>
      <c r="AB69" s="1350"/>
      <c r="AC69" s="1350"/>
      <c r="AD69" s="1350"/>
      <c r="AE69" s="1350"/>
      <c r="AF69" s="1350"/>
      <c r="AG69" s="1350"/>
      <c r="AH69" s="1350"/>
      <c r="AI69" s="1350"/>
      <c r="AJ69" s="1350"/>
      <c r="AK69" s="1350"/>
      <c r="AL69" s="1350"/>
      <c r="AM69" s="1350"/>
      <c r="AN69" s="1350"/>
      <c r="AO69" s="1350"/>
      <c r="AP69" s="1350"/>
      <c r="AQ69" s="1350"/>
      <c r="AR69" s="1350"/>
    </row>
    <row r="70" spans="1:44" ht="19.2" customHeight="1">
      <c r="A70" s="2164"/>
      <c r="B70" s="2165"/>
      <c r="C70" s="2166"/>
      <c r="D70" s="2195"/>
      <c r="E70" s="2192"/>
      <c r="F70" s="2170"/>
      <c r="G70" s="2173"/>
      <c r="H70" s="2177"/>
      <c r="I70" s="2202"/>
      <c r="J70" s="1374" t="e">
        <f>$G$59/$D$59*J69</f>
        <v>#REF!</v>
      </c>
      <c r="K70" s="1374" t="e">
        <f>$G$59/$D$59*K69</f>
        <v>#REF!</v>
      </c>
      <c r="L70" s="1374" t="e">
        <f>$G$59/$D$59*L69</f>
        <v>#REF!</v>
      </c>
      <c r="M70" s="1374" t="e">
        <f>$G$68/$D$68*M69</f>
        <v>#REF!</v>
      </c>
      <c r="N70" s="2202"/>
      <c r="O70" s="1375" t="e">
        <f>SUM(J70:M70)</f>
        <v>#REF!</v>
      </c>
      <c r="P70" s="1365"/>
      <c r="Q70" s="1410" t="e">
        <f>+O70-G68</f>
        <v>#REF!</v>
      </c>
      <c r="R70" s="1350"/>
      <c r="S70" s="1350"/>
      <c r="T70" s="1350"/>
      <c r="U70" s="1350"/>
      <c r="V70" s="1350"/>
      <c r="W70" s="1350"/>
      <c r="X70" s="1350"/>
      <c r="Y70" s="1350"/>
      <c r="Z70" s="1350"/>
      <c r="AA70" s="1350"/>
      <c r="AB70" s="1350"/>
      <c r="AC70" s="1350"/>
      <c r="AD70" s="1350"/>
      <c r="AE70" s="1350"/>
      <c r="AF70" s="1350"/>
      <c r="AG70" s="1350"/>
      <c r="AH70" s="1350"/>
      <c r="AI70" s="1350"/>
      <c r="AJ70" s="1350"/>
      <c r="AK70" s="1350"/>
      <c r="AL70" s="1350"/>
      <c r="AM70" s="1350"/>
      <c r="AN70" s="1350"/>
      <c r="AO70" s="1350"/>
      <c r="AP70" s="1350"/>
      <c r="AQ70" s="1350"/>
      <c r="AR70" s="1350"/>
    </row>
    <row r="71" spans="1:44" ht="19.2" customHeight="1">
      <c r="A71" s="2164" t="s">
        <v>160</v>
      </c>
      <c r="B71" s="2165" t="e">
        <f>+#REF!</f>
        <v>#REF!</v>
      </c>
      <c r="C71" s="2166" t="e">
        <f>+#REF!</f>
        <v>#REF!</v>
      </c>
      <c r="D71" s="2193" t="e">
        <f>+#REF!</f>
        <v>#REF!</v>
      </c>
      <c r="E71" s="2190" t="e">
        <f>+#REF!</f>
        <v>#REF!</v>
      </c>
      <c r="F71" s="2168" t="e">
        <f>+E71+(E71*0.3)</f>
        <v>#REF!</v>
      </c>
      <c r="G71" s="2171" t="e">
        <f>F71*D71</f>
        <v>#REF!</v>
      </c>
      <c r="H71" s="2175" t="e">
        <f>(G71/$G$101)</f>
        <v>#REF!</v>
      </c>
      <c r="I71" s="2202"/>
      <c r="J71" s="1369">
        <f t="shared" ref="J71:M71" si="42">+J72</f>
        <v>0</v>
      </c>
      <c r="K71" s="1369">
        <f t="shared" si="42"/>
        <v>0</v>
      </c>
      <c r="L71" s="1369">
        <f t="shared" si="42"/>
        <v>0</v>
      </c>
      <c r="M71" s="1369" t="e">
        <f t="shared" si="42"/>
        <v>#REF!</v>
      </c>
      <c r="N71" s="2202"/>
      <c r="O71" s="1364"/>
      <c r="P71" s="1365"/>
      <c r="Q71" s="1410"/>
      <c r="R71" s="1350"/>
      <c r="S71" s="1350"/>
      <c r="T71" s="1350"/>
      <c r="U71" s="1350"/>
      <c r="V71" s="1350"/>
      <c r="W71" s="1350"/>
      <c r="X71" s="1350"/>
      <c r="Y71" s="1350"/>
      <c r="Z71" s="1350"/>
      <c r="AA71" s="1350"/>
      <c r="AB71" s="1350"/>
      <c r="AC71" s="1350"/>
      <c r="AD71" s="1350"/>
      <c r="AE71" s="1350"/>
      <c r="AF71" s="1350"/>
      <c r="AG71" s="1350"/>
      <c r="AH71" s="1350"/>
      <c r="AI71" s="1350"/>
      <c r="AJ71" s="1350"/>
      <c r="AK71" s="1350"/>
      <c r="AL71" s="1350"/>
      <c r="AM71" s="1350"/>
      <c r="AN71" s="1350"/>
      <c r="AO71" s="1350"/>
      <c r="AP71" s="1350"/>
      <c r="AQ71" s="1350"/>
      <c r="AR71" s="1350"/>
    </row>
    <row r="72" spans="1:44" ht="19.2" customHeight="1">
      <c r="A72" s="2164"/>
      <c r="B72" s="2165"/>
      <c r="C72" s="2166"/>
      <c r="D72" s="2194"/>
      <c r="E72" s="2191"/>
      <c r="F72" s="2169"/>
      <c r="G72" s="2172"/>
      <c r="H72" s="2176"/>
      <c r="I72" s="2202"/>
      <c r="J72" s="1373"/>
      <c r="K72" s="1373"/>
      <c r="L72" s="1373"/>
      <c r="M72" s="1373" t="e">
        <f>+$D$71/1</f>
        <v>#REF!</v>
      </c>
      <c r="N72" s="2202"/>
      <c r="O72" s="1363" t="e">
        <f>SUM(J72:M72)</f>
        <v>#REF!</v>
      </c>
      <c r="P72" s="1365"/>
      <c r="Q72" s="1410"/>
      <c r="R72" s="1350"/>
      <c r="S72" s="1350"/>
      <c r="T72" s="1350"/>
      <c r="U72" s="1350"/>
      <c r="V72" s="1350"/>
      <c r="W72" s="1350"/>
      <c r="X72" s="1350"/>
      <c r="Y72" s="1350"/>
      <c r="Z72" s="1350"/>
      <c r="AA72" s="1350"/>
      <c r="AB72" s="1350"/>
      <c r="AC72" s="1350"/>
      <c r="AD72" s="1350"/>
      <c r="AE72" s="1350"/>
      <c r="AF72" s="1350"/>
      <c r="AG72" s="1350"/>
      <c r="AH72" s="1350"/>
      <c r="AI72" s="1350"/>
      <c r="AJ72" s="1350"/>
      <c r="AK72" s="1350"/>
      <c r="AL72" s="1350"/>
      <c r="AM72" s="1350"/>
      <c r="AN72" s="1350"/>
      <c r="AO72" s="1350"/>
      <c r="AP72" s="1350"/>
      <c r="AQ72" s="1350"/>
      <c r="AR72" s="1350"/>
    </row>
    <row r="73" spans="1:44" ht="19.2" customHeight="1">
      <c r="A73" s="2164"/>
      <c r="B73" s="2165"/>
      <c r="C73" s="2166"/>
      <c r="D73" s="2195"/>
      <c r="E73" s="2192"/>
      <c r="F73" s="2170"/>
      <c r="G73" s="2173"/>
      <c r="H73" s="2177"/>
      <c r="I73" s="2202"/>
      <c r="J73" s="1374" t="e">
        <f>$G$59/$D$59*J72</f>
        <v>#REF!</v>
      </c>
      <c r="K73" s="1374" t="e">
        <f>$G$59/$D$59*K72</f>
        <v>#REF!</v>
      </c>
      <c r="L73" s="1374" t="e">
        <f>$G$59/$D$59*L72</f>
        <v>#REF!</v>
      </c>
      <c r="M73" s="1374" t="e">
        <f>$G$71/$D$71*M72</f>
        <v>#REF!</v>
      </c>
      <c r="N73" s="2202"/>
      <c r="O73" s="1375" t="e">
        <f>SUM(J73:M73)</f>
        <v>#REF!</v>
      </c>
      <c r="P73" s="1365"/>
      <c r="Q73" s="1410" t="e">
        <f>+O73-G71</f>
        <v>#REF!</v>
      </c>
      <c r="R73" s="1350"/>
      <c r="S73" s="1350"/>
      <c r="T73" s="1350"/>
      <c r="U73" s="1350"/>
      <c r="V73" s="1350"/>
      <c r="W73" s="1350"/>
      <c r="X73" s="1350"/>
      <c r="Y73" s="1350"/>
      <c r="Z73" s="1350"/>
      <c r="AA73" s="1350"/>
      <c r="AB73" s="1350"/>
      <c r="AC73" s="1350"/>
      <c r="AD73" s="1350"/>
      <c r="AE73" s="1350"/>
      <c r="AF73" s="1350"/>
      <c r="AG73" s="1350"/>
      <c r="AH73" s="1350"/>
      <c r="AI73" s="1350"/>
      <c r="AJ73" s="1350"/>
      <c r="AK73" s="1350"/>
      <c r="AL73" s="1350"/>
      <c r="AM73" s="1350"/>
      <c r="AN73" s="1350"/>
      <c r="AO73" s="1350"/>
      <c r="AP73" s="1350"/>
      <c r="AQ73" s="1350"/>
      <c r="AR73" s="1350"/>
    </row>
    <row r="74" spans="1:44" ht="19.2" customHeight="1">
      <c r="A74" s="2164" t="s">
        <v>161</v>
      </c>
      <c r="B74" s="2165" t="e">
        <f>+#REF!</f>
        <v>#REF!</v>
      </c>
      <c r="C74" s="2166" t="e">
        <f>+#REF!</f>
        <v>#REF!</v>
      </c>
      <c r="D74" s="2193" t="e">
        <f>+#REF!</f>
        <v>#REF!</v>
      </c>
      <c r="E74" s="2190" t="e">
        <f>+#REF!</f>
        <v>#REF!</v>
      </c>
      <c r="F74" s="2168" t="e">
        <f>+E74+(E74*0.3)</f>
        <v>#REF!</v>
      </c>
      <c r="G74" s="2171" t="e">
        <f>F74*D74</f>
        <v>#REF!</v>
      </c>
      <c r="H74" s="2175" t="e">
        <f>(G74/$G$101)</f>
        <v>#REF!</v>
      </c>
      <c r="I74" s="2202"/>
      <c r="J74" s="1369">
        <f t="shared" ref="J74:M74" si="43">+J75</f>
        <v>0</v>
      </c>
      <c r="K74" s="1369">
        <f t="shared" si="43"/>
        <v>0</v>
      </c>
      <c r="L74" s="1369">
        <f t="shared" si="43"/>
        <v>0</v>
      </c>
      <c r="M74" s="1369">
        <f t="shared" si="43"/>
        <v>2</v>
      </c>
      <c r="N74" s="2202"/>
      <c r="O74" s="1364"/>
      <c r="P74" s="1365"/>
      <c r="Q74" s="1410"/>
      <c r="R74" s="1350"/>
      <c r="S74" s="1350"/>
      <c r="T74" s="1350"/>
      <c r="U74" s="1350"/>
      <c r="V74" s="1350"/>
      <c r="W74" s="1350"/>
      <c r="X74" s="1350"/>
      <c r="Y74" s="1350"/>
      <c r="Z74" s="1350"/>
      <c r="AA74" s="1350"/>
      <c r="AB74" s="1350"/>
      <c r="AC74" s="1350"/>
      <c r="AD74" s="1350"/>
      <c r="AE74" s="1350"/>
      <c r="AF74" s="1350"/>
      <c r="AG74" s="1350"/>
      <c r="AH74" s="1350"/>
      <c r="AI74" s="1350"/>
      <c r="AJ74" s="1350"/>
      <c r="AK74" s="1350"/>
      <c r="AL74" s="1350"/>
      <c r="AM74" s="1350"/>
      <c r="AN74" s="1350"/>
      <c r="AO74" s="1350"/>
      <c r="AP74" s="1350"/>
      <c r="AQ74" s="1350"/>
      <c r="AR74" s="1350"/>
    </row>
    <row r="75" spans="1:44" ht="19.2" customHeight="1">
      <c r="A75" s="2164"/>
      <c r="B75" s="2165"/>
      <c r="C75" s="2166"/>
      <c r="D75" s="2194"/>
      <c r="E75" s="2191"/>
      <c r="F75" s="2169"/>
      <c r="G75" s="2172"/>
      <c r="H75" s="2176"/>
      <c r="I75" s="2202"/>
      <c r="J75" s="1373"/>
      <c r="K75" s="1373"/>
      <c r="L75" s="1373"/>
      <c r="M75" s="1373">
        <v>2</v>
      </c>
      <c r="N75" s="2202"/>
      <c r="O75" s="1363">
        <f>SUM(J75:M75)</f>
        <v>2</v>
      </c>
      <c r="P75" s="1365"/>
      <c r="Q75" s="1410"/>
      <c r="R75" s="1350"/>
      <c r="S75" s="1350"/>
      <c r="T75" s="1350"/>
      <c r="U75" s="1350"/>
      <c r="V75" s="1350"/>
      <c r="W75" s="1350"/>
      <c r="X75" s="1350"/>
      <c r="Y75" s="1350"/>
      <c r="Z75" s="1350"/>
      <c r="AA75" s="1350"/>
      <c r="AB75" s="1350"/>
      <c r="AC75" s="1350"/>
      <c r="AD75" s="1350"/>
      <c r="AE75" s="1350"/>
      <c r="AF75" s="1350"/>
      <c r="AG75" s="1350"/>
      <c r="AH75" s="1350"/>
      <c r="AI75" s="1350"/>
      <c r="AJ75" s="1350"/>
      <c r="AK75" s="1350"/>
      <c r="AL75" s="1350"/>
      <c r="AM75" s="1350"/>
      <c r="AN75" s="1350"/>
      <c r="AO75" s="1350"/>
      <c r="AP75" s="1350"/>
      <c r="AQ75" s="1350"/>
      <c r="AR75" s="1350"/>
    </row>
    <row r="76" spans="1:44" ht="19.2" customHeight="1">
      <c r="A76" s="2164"/>
      <c r="B76" s="2165"/>
      <c r="C76" s="2166"/>
      <c r="D76" s="2195"/>
      <c r="E76" s="2192"/>
      <c r="F76" s="2170"/>
      <c r="G76" s="2173"/>
      <c r="H76" s="2177"/>
      <c r="I76" s="2202"/>
      <c r="J76" s="1374" t="e">
        <f>$G$59/$D$59*J75</f>
        <v>#REF!</v>
      </c>
      <c r="K76" s="1374" t="e">
        <f>$G$59/$D$59*K75</f>
        <v>#REF!</v>
      </c>
      <c r="L76" s="1374" t="e">
        <f>$G$59/$D$59*L75</f>
        <v>#REF!</v>
      </c>
      <c r="M76" s="1374" t="e">
        <f>$G$74/$D$74*M75</f>
        <v>#REF!</v>
      </c>
      <c r="N76" s="2202"/>
      <c r="O76" s="1375" t="e">
        <f>SUM(J76:M76)</f>
        <v>#REF!</v>
      </c>
      <c r="P76" s="1365"/>
      <c r="Q76" s="1410" t="e">
        <f>+O76-G74</f>
        <v>#REF!</v>
      </c>
      <c r="R76" s="1350"/>
      <c r="S76" s="1350"/>
      <c r="T76" s="1350"/>
      <c r="U76" s="1350"/>
      <c r="V76" s="1350"/>
      <c r="W76" s="1350"/>
      <c r="X76" s="1350"/>
      <c r="Y76" s="1350"/>
      <c r="Z76" s="1350"/>
      <c r="AA76" s="1350"/>
      <c r="AB76" s="1350"/>
      <c r="AC76" s="1350"/>
      <c r="AD76" s="1350"/>
      <c r="AE76" s="1350"/>
      <c r="AF76" s="1350"/>
      <c r="AG76" s="1350"/>
      <c r="AH76" s="1350"/>
      <c r="AI76" s="1350"/>
      <c r="AJ76" s="1350"/>
      <c r="AK76" s="1350"/>
      <c r="AL76" s="1350"/>
      <c r="AM76" s="1350"/>
      <c r="AN76" s="1350"/>
      <c r="AO76" s="1350"/>
      <c r="AP76" s="1350"/>
      <c r="AQ76" s="1350"/>
      <c r="AR76" s="1350"/>
    </row>
    <row r="77" spans="1:44" ht="19.2" customHeight="1">
      <c r="A77" s="2164" t="s">
        <v>162</v>
      </c>
      <c r="B77" s="2165" t="e">
        <f>+#REF!</f>
        <v>#REF!</v>
      </c>
      <c r="C77" s="2166" t="e">
        <f>+#REF!</f>
        <v>#REF!</v>
      </c>
      <c r="D77" s="2184" t="e">
        <f>+#REF!</f>
        <v>#REF!</v>
      </c>
      <c r="E77" s="2190" t="e">
        <f>+#REF!</f>
        <v>#REF!</v>
      </c>
      <c r="F77" s="2168" t="e">
        <f t="shared" si="35"/>
        <v>#REF!</v>
      </c>
      <c r="G77" s="2171" t="e">
        <f t="shared" si="36"/>
        <v>#REF!</v>
      </c>
      <c r="H77" s="2175" t="e">
        <f>(G77/$G$101)</f>
        <v>#REF!</v>
      </c>
      <c r="I77" s="2202"/>
      <c r="J77" s="1369">
        <f t="shared" ref="J77:M77" si="44">+J78</f>
        <v>0</v>
      </c>
      <c r="K77" s="1369">
        <f t="shared" si="44"/>
        <v>0</v>
      </c>
      <c r="L77" s="1369">
        <f t="shared" si="44"/>
        <v>0</v>
      </c>
      <c r="M77" s="1369" t="e">
        <f t="shared" si="44"/>
        <v>#REF!</v>
      </c>
      <c r="N77" s="2202"/>
      <c r="O77" s="1364"/>
      <c r="P77" s="1365"/>
      <c r="Q77" s="1410"/>
      <c r="R77" s="1350"/>
      <c r="S77" s="1350"/>
      <c r="T77" s="1350"/>
      <c r="U77" s="1350"/>
      <c r="V77" s="1350"/>
      <c r="W77" s="1350"/>
      <c r="X77" s="1350"/>
      <c r="Y77" s="1350"/>
      <c r="Z77" s="1350"/>
      <c r="AA77" s="1350"/>
      <c r="AB77" s="1350"/>
      <c r="AC77" s="1350"/>
      <c r="AD77" s="1350"/>
      <c r="AE77" s="1350"/>
      <c r="AF77" s="1350"/>
      <c r="AG77" s="1350"/>
      <c r="AH77" s="1350"/>
      <c r="AI77" s="1350"/>
      <c r="AJ77" s="1350"/>
      <c r="AK77" s="1350"/>
      <c r="AL77" s="1350"/>
      <c r="AM77" s="1350"/>
      <c r="AN77" s="1350"/>
      <c r="AO77" s="1350"/>
      <c r="AP77" s="1350"/>
      <c r="AQ77" s="1350"/>
      <c r="AR77" s="1350"/>
    </row>
    <row r="78" spans="1:44" ht="19.2" customHeight="1">
      <c r="A78" s="2164"/>
      <c r="B78" s="2165"/>
      <c r="C78" s="2166"/>
      <c r="D78" s="2185"/>
      <c r="E78" s="2191"/>
      <c r="F78" s="2169"/>
      <c r="G78" s="2172"/>
      <c r="H78" s="2176"/>
      <c r="I78" s="2202"/>
      <c r="J78" s="1373"/>
      <c r="K78" s="1373"/>
      <c r="L78" s="1373"/>
      <c r="M78" s="1373" t="e">
        <f>+$D$77/1</f>
        <v>#REF!</v>
      </c>
      <c r="N78" s="2202"/>
      <c r="O78" s="1363" t="e">
        <f>SUM(J78:M78)</f>
        <v>#REF!</v>
      </c>
      <c r="P78" s="1365"/>
      <c r="Q78" s="1410"/>
      <c r="R78" s="1350"/>
      <c r="S78" s="1350"/>
      <c r="T78" s="1350"/>
      <c r="U78" s="1350"/>
      <c r="V78" s="1350"/>
      <c r="W78" s="1350"/>
      <c r="X78" s="1350"/>
      <c r="Y78" s="1350"/>
      <c r="Z78" s="1350"/>
      <c r="AA78" s="1350"/>
      <c r="AB78" s="1350"/>
      <c r="AC78" s="1350"/>
      <c r="AD78" s="1350"/>
      <c r="AE78" s="1350"/>
      <c r="AF78" s="1350"/>
      <c r="AG78" s="1350"/>
      <c r="AH78" s="1350"/>
      <c r="AI78" s="1350"/>
      <c r="AJ78" s="1350"/>
      <c r="AK78" s="1350"/>
      <c r="AL78" s="1350"/>
      <c r="AM78" s="1350"/>
      <c r="AN78" s="1350"/>
      <c r="AO78" s="1350"/>
      <c r="AP78" s="1350"/>
      <c r="AQ78" s="1350"/>
      <c r="AR78" s="1350"/>
    </row>
    <row r="79" spans="1:44" ht="19.2" customHeight="1">
      <c r="A79" s="2164"/>
      <c r="B79" s="2165"/>
      <c r="C79" s="2166"/>
      <c r="D79" s="2186"/>
      <c r="E79" s="2192"/>
      <c r="F79" s="2170"/>
      <c r="G79" s="2173"/>
      <c r="H79" s="2177"/>
      <c r="I79" s="2202"/>
      <c r="J79" s="1374" t="e">
        <f>$G$59/$D$59*J78</f>
        <v>#REF!</v>
      </c>
      <c r="K79" s="1374" t="e">
        <f>$G$59/$D$59*K78</f>
        <v>#REF!</v>
      </c>
      <c r="L79" s="1374" t="e">
        <f>$G$59/$D$59*L78</f>
        <v>#REF!</v>
      </c>
      <c r="M79" s="1374" t="e">
        <f>$G$77/$D$77*M78</f>
        <v>#REF!</v>
      </c>
      <c r="N79" s="2202"/>
      <c r="O79" s="1375" t="e">
        <f>SUM(J79:M79)</f>
        <v>#REF!</v>
      </c>
      <c r="P79" s="1365"/>
      <c r="Q79" s="1410" t="e">
        <f>+O79-G77</f>
        <v>#REF!</v>
      </c>
      <c r="R79" s="1350"/>
      <c r="S79" s="1350"/>
      <c r="T79" s="1350"/>
      <c r="U79" s="1350"/>
      <c r="V79" s="1350"/>
      <c r="W79" s="1350"/>
      <c r="X79" s="1350"/>
      <c r="Y79" s="1350"/>
      <c r="Z79" s="1350"/>
      <c r="AA79" s="1350"/>
      <c r="AB79" s="1350"/>
      <c r="AC79" s="1350"/>
      <c r="AD79" s="1350"/>
      <c r="AE79" s="1350"/>
      <c r="AF79" s="1350"/>
      <c r="AG79" s="1350"/>
      <c r="AH79" s="1350"/>
      <c r="AI79" s="1350"/>
      <c r="AJ79" s="1350"/>
      <c r="AK79" s="1350"/>
      <c r="AL79" s="1350"/>
      <c r="AM79" s="1350"/>
      <c r="AN79" s="1350"/>
      <c r="AO79" s="1350"/>
      <c r="AP79" s="1350"/>
      <c r="AQ79" s="1350"/>
      <c r="AR79" s="1350"/>
    </row>
    <row r="80" spans="1:44" ht="19.2" customHeight="1">
      <c r="A80" s="2164" t="s">
        <v>163</v>
      </c>
      <c r="B80" s="2165" t="e">
        <f>+#REF!</f>
        <v>#REF!</v>
      </c>
      <c r="C80" s="2166" t="e">
        <f>+#REF!</f>
        <v>#REF!</v>
      </c>
      <c r="D80" s="2184" t="e">
        <f>+#REF!</f>
        <v>#REF!</v>
      </c>
      <c r="E80" s="2190" t="e">
        <f>+#REF!</f>
        <v>#REF!</v>
      </c>
      <c r="F80" s="2168" t="e">
        <f t="shared" si="35"/>
        <v>#REF!</v>
      </c>
      <c r="G80" s="2171" t="e">
        <f t="shared" si="36"/>
        <v>#REF!</v>
      </c>
      <c r="H80" s="2175" t="e">
        <f>(G80/$G$101)</f>
        <v>#REF!</v>
      </c>
      <c r="I80" s="2202"/>
      <c r="J80" s="1369">
        <f t="shared" ref="J80:M80" si="45">+J81</f>
        <v>0</v>
      </c>
      <c r="K80" s="1369">
        <f t="shared" si="45"/>
        <v>0</v>
      </c>
      <c r="L80" s="1369">
        <f t="shared" si="45"/>
        <v>0</v>
      </c>
      <c r="M80" s="1369" t="e">
        <f t="shared" si="45"/>
        <v>#REF!</v>
      </c>
      <c r="N80" s="2202"/>
      <c r="O80" s="1364"/>
      <c r="P80" s="1365"/>
      <c r="Q80" s="1410"/>
      <c r="R80" s="1350"/>
      <c r="S80" s="1350"/>
      <c r="T80" s="1350"/>
      <c r="U80" s="1350"/>
      <c r="V80" s="1350"/>
      <c r="W80" s="1350"/>
      <c r="X80" s="1350"/>
      <c r="Y80" s="1350"/>
      <c r="Z80" s="1350"/>
      <c r="AA80" s="1350"/>
      <c r="AB80" s="1350"/>
      <c r="AC80" s="1350"/>
      <c r="AD80" s="1350"/>
      <c r="AE80" s="1350"/>
      <c r="AF80" s="1350"/>
      <c r="AG80" s="1350"/>
      <c r="AH80" s="1350"/>
      <c r="AI80" s="1350"/>
      <c r="AJ80" s="1350"/>
      <c r="AK80" s="1350"/>
      <c r="AL80" s="1350"/>
      <c r="AM80" s="1350"/>
      <c r="AN80" s="1350"/>
      <c r="AO80" s="1350"/>
      <c r="AP80" s="1350"/>
      <c r="AQ80" s="1350"/>
      <c r="AR80" s="1350"/>
    </row>
    <row r="81" spans="1:44" ht="19.2" customHeight="1">
      <c r="A81" s="2164"/>
      <c r="B81" s="2165"/>
      <c r="C81" s="2166"/>
      <c r="D81" s="2185"/>
      <c r="E81" s="2191"/>
      <c r="F81" s="2169"/>
      <c r="G81" s="2172"/>
      <c r="H81" s="2176"/>
      <c r="I81" s="2202"/>
      <c r="J81" s="1373"/>
      <c r="K81" s="1373"/>
      <c r="L81" s="1373"/>
      <c r="M81" s="1373" t="e">
        <f>+$D$80/1</f>
        <v>#REF!</v>
      </c>
      <c r="N81" s="2202"/>
      <c r="O81" s="1363" t="e">
        <f>SUM(J81:M81)</f>
        <v>#REF!</v>
      </c>
      <c r="P81" s="1365"/>
      <c r="Q81" s="1410"/>
      <c r="R81" s="1350"/>
      <c r="S81" s="1350"/>
      <c r="T81" s="1350"/>
      <c r="U81" s="1350"/>
      <c r="V81" s="1350"/>
      <c r="W81" s="1350"/>
      <c r="X81" s="1350"/>
      <c r="Y81" s="1350"/>
      <c r="Z81" s="1350"/>
      <c r="AA81" s="1350"/>
      <c r="AB81" s="1350"/>
      <c r="AC81" s="1350"/>
      <c r="AD81" s="1350"/>
      <c r="AE81" s="1350"/>
      <c r="AF81" s="1350"/>
      <c r="AG81" s="1350"/>
      <c r="AH81" s="1350"/>
      <c r="AI81" s="1350"/>
      <c r="AJ81" s="1350"/>
      <c r="AK81" s="1350"/>
      <c r="AL81" s="1350"/>
      <c r="AM81" s="1350"/>
      <c r="AN81" s="1350"/>
      <c r="AO81" s="1350"/>
      <c r="AP81" s="1350"/>
      <c r="AQ81" s="1350"/>
      <c r="AR81" s="1350"/>
    </row>
    <row r="82" spans="1:44" ht="19.2" customHeight="1">
      <c r="A82" s="2164"/>
      <c r="B82" s="2165"/>
      <c r="C82" s="2166"/>
      <c r="D82" s="2186"/>
      <c r="E82" s="2192"/>
      <c r="F82" s="2170"/>
      <c r="G82" s="2173"/>
      <c r="H82" s="2177"/>
      <c r="I82" s="2202"/>
      <c r="J82" s="1374" t="e">
        <f>$G$59/$D$59*J81</f>
        <v>#REF!</v>
      </c>
      <c r="K82" s="1374" t="e">
        <f>$G$59/$D$59*K81</f>
        <v>#REF!</v>
      </c>
      <c r="L82" s="1374" t="e">
        <f>$G$59/$D$59*L81</f>
        <v>#REF!</v>
      </c>
      <c r="M82" s="1374" t="e">
        <f>$G$80/$D$80*M81</f>
        <v>#REF!</v>
      </c>
      <c r="N82" s="2202"/>
      <c r="O82" s="1375" t="e">
        <f>SUM(J82:M82)</f>
        <v>#REF!</v>
      </c>
      <c r="P82" s="1365"/>
      <c r="Q82" s="1410" t="e">
        <f>+O82-G80</f>
        <v>#REF!</v>
      </c>
      <c r="R82" s="1350"/>
      <c r="S82" s="1350"/>
      <c r="T82" s="1350"/>
      <c r="U82" s="1350"/>
      <c r="V82" s="1350"/>
      <c r="W82" s="1350"/>
      <c r="X82" s="1350"/>
      <c r="Y82" s="1350"/>
      <c r="Z82" s="1350"/>
      <c r="AA82" s="1350"/>
      <c r="AB82" s="1350"/>
      <c r="AC82" s="1350"/>
      <c r="AD82" s="1350"/>
      <c r="AE82" s="1350"/>
      <c r="AF82" s="1350"/>
      <c r="AG82" s="1350"/>
      <c r="AH82" s="1350"/>
      <c r="AI82" s="1350"/>
      <c r="AJ82" s="1350"/>
      <c r="AK82" s="1350"/>
      <c r="AL82" s="1350"/>
      <c r="AM82" s="1350"/>
      <c r="AN82" s="1350"/>
      <c r="AO82" s="1350"/>
      <c r="AP82" s="1350"/>
      <c r="AQ82" s="1350"/>
      <c r="AR82" s="1350"/>
    </row>
    <row r="83" spans="1:44" ht="19.2" customHeight="1">
      <c r="A83" s="2164" t="s">
        <v>164</v>
      </c>
      <c r="B83" s="2165" t="e">
        <f>+#REF!</f>
        <v>#REF!</v>
      </c>
      <c r="C83" s="2166" t="e">
        <f>+#REF!</f>
        <v>#REF!</v>
      </c>
      <c r="D83" s="2166" t="e">
        <f>+#REF!</f>
        <v>#REF!</v>
      </c>
      <c r="E83" s="2167" t="e">
        <f>+#REF!</f>
        <v>#REF!</v>
      </c>
      <c r="F83" s="2168" t="e">
        <f t="shared" si="35"/>
        <v>#REF!</v>
      </c>
      <c r="G83" s="2171" t="e">
        <f t="shared" si="36"/>
        <v>#REF!</v>
      </c>
      <c r="H83" s="2174" t="e">
        <f>(G83/$G$101)</f>
        <v>#REF!</v>
      </c>
      <c r="I83" s="2202"/>
      <c r="J83" s="1369">
        <f t="shared" ref="J83:M83" si="46">+J84</f>
        <v>0</v>
      </c>
      <c r="K83" s="1369">
        <f t="shared" si="46"/>
        <v>0</v>
      </c>
      <c r="L83" s="1369">
        <f t="shared" si="46"/>
        <v>0</v>
      </c>
      <c r="M83" s="1369" t="e">
        <f t="shared" si="46"/>
        <v>#REF!</v>
      </c>
      <c r="N83" s="2202"/>
      <c r="O83" s="1364"/>
      <c r="P83" s="1365"/>
      <c r="Q83" s="1410"/>
      <c r="R83" s="1350"/>
      <c r="S83" s="1350"/>
      <c r="T83" s="1350"/>
      <c r="U83" s="1350"/>
      <c r="V83" s="1350"/>
      <c r="W83" s="1350"/>
      <c r="X83" s="1350"/>
      <c r="Y83" s="1350"/>
      <c r="Z83" s="1350"/>
      <c r="AA83" s="1350"/>
      <c r="AB83" s="1350"/>
      <c r="AC83" s="1350"/>
      <c r="AD83" s="1350"/>
      <c r="AE83" s="1350"/>
      <c r="AF83" s="1350"/>
      <c r="AG83" s="1350"/>
      <c r="AH83" s="1350"/>
      <c r="AI83" s="1350"/>
      <c r="AJ83" s="1350"/>
      <c r="AK83" s="1350"/>
      <c r="AL83" s="1350"/>
      <c r="AM83" s="1350"/>
      <c r="AN83" s="1350"/>
      <c r="AO83" s="1350"/>
      <c r="AP83" s="1350"/>
      <c r="AQ83" s="1350"/>
      <c r="AR83" s="1350"/>
    </row>
    <row r="84" spans="1:44" ht="19.2" customHeight="1">
      <c r="A84" s="2164"/>
      <c r="B84" s="2165"/>
      <c r="C84" s="2166"/>
      <c r="D84" s="2166"/>
      <c r="E84" s="2167"/>
      <c r="F84" s="2169"/>
      <c r="G84" s="2172"/>
      <c r="H84" s="2174"/>
      <c r="I84" s="2202"/>
      <c r="J84" s="1373"/>
      <c r="K84" s="1373"/>
      <c r="L84" s="1373"/>
      <c r="M84" s="1373" t="e">
        <f>+$D$83/1</f>
        <v>#REF!</v>
      </c>
      <c r="N84" s="2202"/>
      <c r="O84" s="1363" t="e">
        <f>SUM(J84:M84)</f>
        <v>#REF!</v>
      </c>
      <c r="P84" s="1365"/>
      <c r="Q84" s="1410"/>
      <c r="R84" s="1350"/>
      <c r="S84" s="1350"/>
      <c r="T84" s="1350"/>
      <c r="U84" s="1350"/>
      <c r="V84" s="1350"/>
      <c r="W84" s="1350"/>
      <c r="X84" s="1350"/>
      <c r="Y84" s="1350"/>
      <c r="Z84" s="1350"/>
      <c r="AA84" s="1350"/>
      <c r="AB84" s="1350"/>
      <c r="AC84" s="1350"/>
      <c r="AD84" s="1350"/>
      <c r="AE84" s="1350"/>
      <c r="AF84" s="1350"/>
      <c r="AG84" s="1350"/>
      <c r="AH84" s="1350"/>
      <c r="AI84" s="1350"/>
      <c r="AJ84" s="1350"/>
      <c r="AK84" s="1350"/>
      <c r="AL84" s="1350"/>
      <c r="AM84" s="1350"/>
      <c r="AN84" s="1350"/>
      <c r="AO84" s="1350"/>
      <c r="AP84" s="1350"/>
      <c r="AQ84" s="1350"/>
      <c r="AR84" s="1350"/>
    </row>
    <row r="85" spans="1:44" ht="19.2" customHeight="1">
      <c r="A85" s="2164"/>
      <c r="B85" s="2165"/>
      <c r="C85" s="2166"/>
      <c r="D85" s="2166"/>
      <c r="E85" s="2167"/>
      <c r="F85" s="2170"/>
      <c r="G85" s="2173"/>
      <c r="H85" s="2174"/>
      <c r="I85" s="2202"/>
      <c r="J85" s="1374" t="e">
        <f>$G$59/$D$59*J84</f>
        <v>#REF!</v>
      </c>
      <c r="K85" s="1374" t="e">
        <f>$G$59/$D$59*K84</f>
        <v>#REF!</v>
      </c>
      <c r="L85" s="1374" t="e">
        <f>$G$59/$D$59*L84</f>
        <v>#REF!</v>
      </c>
      <c r="M85" s="1374" t="e">
        <f>$G$83/$D$83*M84</f>
        <v>#REF!</v>
      </c>
      <c r="N85" s="2202"/>
      <c r="O85" s="1375" t="e">
        <f>SUM(J85:M85)</f>
        <v>#REF!</v>
      </c>
      <c r="P85" s="1365"/>
      <c r="Q85" s="1410" t="e">
        <f>+O85-G83</f>
        <v>#REF!</v>
      </c>
      <c r="R85" s="1350"/>
      <c r="S85" s="1350"/>
      <c r="T85" s="1350"/>
      <c r="U85" s="1350"/>
      <c r="V85" s="1350"/>
      <c r="W85" s="1350"/>
      <c r="X85" s="1350"/>
      <c r="Y85" s="1350"/>
      <c r="Z85" s="1350"/>
      <c r="AA85" s="1350"/>
      <c r="AB85" s="1350"/>
      <c r="AC85" s="1350"/>
      <c r="AD85" s="1350"/>
      <c r="AE85" s="1350"/>
      <c r="AF85" s="1350"/>
      <c r="AG85" s="1350"/>
      <c r="AH85" s="1350"/>
      <c r="AI85" s="1350"/>
      <c r="AJ85" s="1350"/>
      <c r="AK85" s="1350"/>
      <c r="AL85" s="1350"/>
      <c r="AM85" s="1350"/>
      <c r="AN85" s="1350"/>
      <c r="AO85" s="1350"/>
      <c r="AP85" s="1350"/>
      <c r="AQ85" s="1350"/>
      <c r="AR85" s="1350"/>
    </row>
    <row r="86" spans="1:44" ht="19.2" customHeight="1">
      <c r="A86" s="2164" t="s">
        <v>3454</v>
      </c>
      <c r="B86" s="2165" t="e">
        <f>+#REF!</f>
        <v>#REF!</v>
      </c>
      <c r="C86" s="2166" t="e">
        <f>+#REF!</f>
        <v>#REF!</v>
      </c>
      <c r="D86" s="2166" t="e">
        <f>+#REF!</f>
        <v>#REF!</v>
      </c>
      <c r="E86" s="2167" t="e">
        <f>+#REF!</f>
        <v>#REF!</v>
      </c>
      <c r="F86" s="2168" t="e">
        <f t="shared" si="35"/>
        <v>#REF!</v>
      </c>
      <c r="G86" s="2171" t="e">
        <f t="shared" si="36"/>
        <v>#REF!</v>
      </c>
      <c r="H86" s="2174" t="e">
        <f>(G86/$G$101)</f>
        <v>#REF!</v>
      </c>
      <c r="I86" s="2202"/>
      <c r="J86" s="1369">
        <f t="shared" ref="J86:M86" si="47">+J87</f>
        <v>0</v>
      </c>
      <c r="K86" s="1369">
        <f t="shared" si="47"/>
        <v>0</v>
      </c>
      <c r="L86" s="1369">
        <f t="shared" si="47"/>
        <v>0</v>
      </c>
      <c r="M86" s="1369" t="e">
        <f t="shared" si="47"/>
        <v>#REF!</v>
      </c>
      <c r="N86" s="2202"/>
      <c r="O86" s="1364"/>
      <c r="P86" s="1365"/>
      <c r="Q86" s="1410"/>
      <c r="R86" s="1350"/>
      <c r="S86" s="1350"/>
      <c r="T86" s="1350"/>
      <c r="U86" s="1350"/>
      <c r="V86" s="1350"/>
      <c r="W86" s="1350"/>
      <c r="X86" s="1350"/>
      <c r="Y86" s="1350"/>
      <c r="Z86" s="1350"/>
      <c r="AA86" s="1350"/>
      <c r="AB86" s="1350"/>
      <c r="AC86" s="1350"/>
      <c r="AD86" s="1350"/>
      <c r="AE86" s="1350"/>
      <c r="AF86" s="1350"/>
      <c r="AG86" s="1350"/>
      <c r="AH86" s="1350"/>
      <c r="AI86" s="1350"/>
      <c r="AJ86" s="1350"/>
      <c r="AK86" s="1350"/>
      <c r="AL86" s="1350"/>
      <c r="AM86" s="1350"/>
      <c r="AN86" s="1350"/>
      <c r="AO86" s="1350"/>
      <c r="AP86" s="1350"/>
      <c r="AQ86" s="1350"/>
      <c r="AR86" s="1350"/>
    </row>
    <row r="87" spans="1:44" ht="19.2" customHeight="1">
      <c r="A87" s="2164"/>
      <c r="B87" s="2165"/>
      <c r="C87" s="2166"/>
      <c r="D87" s="2166"/>
      <c r="E87" s="2167"/>
      <c r="F87" s="2169"/>
      <c r="G87" s="2172"/>
      <c r="H87" s="2174"/>
      <c r="I87" s="2202"/>
      <c r="J87" s="1373"/>
      <c r="K87" s="1373"/>
      <c r="L87" s="1373"/>
      <c r="M87" s="1373" t="e">
        <f>+$D$86/1</f>
        <v>#REF!</v>
      </c>
      <c r="N87" s="2202"/>
      <c r="O87" s="1363" t="e">
        <f>SUM(J87:M87)</f>
        <v>#REF!</v>
      </c>
      <c r="P87" s="1365"/>
      <c r="Q87" s="1410"/>
      <c r="R87" s="1350"/>
      <c r="S87" s="1350"/>
      <c r="T87" s="1350"/>
      <c r="U87" s="1350"/>
      <c r="V87" s="1350"/>
      <c r="W87" s="1350"/>
      <c r="X87" s="1350"/>
      <c r="Y87" s="1350"/>
      <c r="Z87" s="1350"/>
      <c r="AA87" s="1350"/>
      <c r="AB87" s="1350"/>
      <c r="AC87" s="1350"/>
      <c r="AD87" s="1350"/>
      <c r="AE87" s="1350"/>
      <c r="AF87" s="1350"/>
      <c r="AG87" s="1350"/>
      <c r="AH87" s="1350"/>
      <c r="AI87" s="1350"/>
      <c r="AJ87" s="1350"/>
      <c r="AK87" s="1350"/>
      <c r="AL87" s="1350"/>
      <c r="AM87" s="1350"/>
      <c r="AN87" s="1350"/>
      <c r="AO87" s="1350"/>
      <c r="AP87" s="1350"/>
      <c r="AQ87" s="1350"/>
      <c r="AR87" s="1350"/>
    </row>
    <row r="88" spans="1:44" ht="19.2" customHeight="1">
      <c r="A88" s="2164"/>
      <c r="B88" s="2165"/>
      <c r="C88" s="2166"/>
      <c r="D88" s="2166"/>
      <c r="E88" s="2167"/>
      <c r="F88" s="2170"/>
      <c r="G88" s="2173"/>
      <c r="H88" s="2174"/>
      <c r="I88" s="2202"/>
      <c r="J88" s="1374" t="e">
        <f>$G$59/$D$59*J87</f>
        <v>#REF!</v>
      </c>
      <c r="K88" s="1374" t="e">
        <f>$G$59/$D$59*K87</f>
        <v>#REF!</v>
      </c>
      <c r="L88" s="1374" t="e">
        <f>$G$59/$D$59*L87</f>
        <v>#REF!</v>
      </c>
      <c r="M88" s="1374" t="e">
        <f>$G$86/$D$86*M87</f>
        <v>#REF!</v>
      </c>
      <c r="N88" s="2202"/>
      <c r="O88" s="1375" t="e">
        <f>SUM(J88:M88)</f>
        <v>#REF!</v>
      </c>
      <c r="P88" s="1365"/>
      <c r="Q88" s="1410" t="e">
        <f>+O88-G86</f>
        <v>#REF!</v>
      </c>
      <c r="R88" s="1350"/>
      <c r="S88" s="1350"/>
      <c r="T88" s="1350"/>
      <c r="U88" s="1350"/>
      <c r="V88" s="1350"/>
      <c r="W88" s="1350"/>
      <c r="X88" s="1350"/>
      <c r="Y88" s="1350"/>
      <c r="Z88" s="1350"/>
      <c r="AA88" s="1350"/>
      <c r="AB88" s="1350"/>
      <c r="AC88" s="1350"/>
      <c r="AD88" s="1350"/>
      <c r="AE88" s="1350"/>
      <c r="AF88" s="1350"/>
      <c r="AG88" s="1350"/>
      <c r="AH88" s="1350"/>
      <c r="AI88" s="1350"/>
      <c r="AJ88" s="1350"/>
      <c r="AK88" s="1350"/>
      <c r="AL88" s="1350"/>
      <c r="AM88" s="1350"/>
      <c r="AN88" s="1350"/>
      <c r="AO88" s="1350"/>
      <c r="AP88" s="1350"/>
      <c r="AQ88" s="1350"/>
      <c r="AR88" s="1350"/>
    </row>
    <row r="89" spans="1:44" s="1372" customFormat="1" ht="19.2" customHeight="1">
      <c r="A89" s="2164" t="s">
        <v>3456</v>
      </c>
      <c r="B89" s="2165" t="e">
        <f>+#REF!</f>
        <v>#REF!</v>
      </c>
      <c r="C89" s="2166" t="e">
        <f>+#REF!</f>
        <v>#REF!</v>
      </c>
      <c r="D89" s="2166" t="e">
        <f>+#REF!</f>
        <v>#REF!</v>
      </c>
      <c r="E89" s="2167" t="e">
        <f>+#REF!</f>
        <v>#REF!</v>
      </c>
      <c r="F89" s="2168" t="e">
        <f t="shared" si="35"/>
        <v>#REF!</v>
      </c>
      <c r="G89" s="2171" t="e">
        <f t="shared" si="36"/>
        <v>#REF!</v>
      </c>
      <c r="H89" s="2174" t="e">
        <f>(G89/$G$101)</f>
        <v>#REF!</v>
      </c>
      <c r="I89" s="2202"/>
      <c r="J89" s="1369">
        <f>+J90</f>
        <v>0</v>
      </c>
      <c r="K89" s="1369">
        <f t="shared" ref="K89:M89" si="48">+K90</f>
        <v>0</v>
      </c>
      <c r="L89" s="1369">
        <f t="shared" si="48"/>
        <v>0</v>
      </c>
      <c r="M89" s="1369" t="e">
        <f t="shared" si="48"/>
        <v>#REF!</v>
      </c>
      <c r="N89" s="2202"/>
      <c r="O89" s="1364"/>
      <c r="P89" s="1365"/>
      <c r="Q89" s="1414"/>
    </row>
    <row r="90" spans="1:44" s="1372" customFormat="1" ht="19.2" customHeight="1">
      <c r="A90" s="2164"/>
      <c r="B90" s="2165"/>
      <c r="C90" s="2166"/>
      <c r="D90" s="2166"/>
      <c r="E90" s="2167"/>
      <c r="F90" s="2169"/>
      <c r="G90" s="2172"/>
      <c r="H90" s="2174"/>
      <c r="I90" s="2202"/>
      <c r="J90" s="1373"/>
      <c r="K90" s="1373"/>
      <c r="L90" s="1373"/>
      <c r="M90" s="1373" t="e">
        <f>+$D$89/1</f>
        <v>#REF!</v>
      </c>
      <c r="N90" s="2202"/>
      <c r="O90" s="1363" t="e">
        <f>SUM(J90:M90)</f>
        <v>#REF!</v>
      </c>
      <c r="P90" s="1365" t="e">
        <f>D89</f>
        <v>#REF!</v>
      </c>
      <c r="Q90" s="1410" t="e">
        <f>P90-O90</f>
        <v>#REF!</v>
      </c>
    </row>
    <row r="91" spans="1:44" s="1367" customFormat="1" ht="19.2" customHeight="1">
      <c r="A91" s="2164"/>
      <c r="B91" s="2165"/>
      <c r="C91" s="2166"/>
      <c r="D91" s="2166"/>
      <c r="E91" s="2167"/>
      <c r="F91" s="2170"/>
      <c r="G91" s="2173"/>
      <c r="H91" s="2174"/>
      <c r="I91" s="2202"/>
      <c r="J91" s="1374" t="e">
        <f>$G$89/$D$89*J90</f>
        <v>#REF!</v>
      </c>
      <c r="K91" s="1374" t="e">
        <f>$G$89/$D$89*K90</f>
        <v>#REF!</v>
      </c>
      <c r="L91" s="1374" t="e">
        <f>$G$89/$D$89*L90</f>
        <v>#REF!</v>
      </c>
      <c r="M91" s="1374" t="e">
        <f>$G$89/$D$89*M90</f>
        <v>#REF!</v>
      </c>
      <c r="N91" s="2202"/>
      <c r="O91" s="1375" t="e">
        <f>SUM(J91:M91)</f>
        <v>#REF!</v>
      </c>
      <c r="P91" s="1365" t="e">
        <f>+G89-O91</f>
        <v>#REF!</v>
      </c>
      <c r="Q91" s="1410" t="e">
        <f>+O91-G89</f>
        <v>#REF!</v>
      </c>
    </row>
    <row r="92" spans="1:44" s="1367" customFormat="1" ht="19.2" customHeight="1">
      <c r="A92" s="2164" t="s">
        <v>3458</v>
      </c>
      <c r="B92" s="2165" t="e">
        <f>+#REF!</f>
        <v>#REF!</v>
      </c>
      <c r="C92" s="2166" t="e">
        <f>+#REF!</f>
        <v>#REF!</v>
      </c>
      <c r="D92" s="2166" t="e">
        <f>+#REF!</f>
        <v>#REF!</v>
      </c>
      <c r="E92" s="2167" t="e">
        <f>+#REF!</f>
        <v>#REF!</v>
      </c>
      <c r="F92" s="2168" t="e">
        <f t="shared" si="35"/>
        <v>#REF!</v>
      </c>
      <c r="G92" s="2171" t="e">
        <f t="shared" si="36"/>
        <v>#REF!</v>
      </c>
      <c r="H92" s="2174" t="e">
        <f>(G92/$G$101)</f>
        <v>#REF!</v>
      </c>
      <c r="I92" s="2202"/>
      <c r="J92" s="1369">
        <f>+J93</f>
        <v>0</v>
      </c>
      <c r="K92" s="1369">
        <f t="shared" ref="K92:M92" si="49">+K93</f>
        <v>0</v>
      </c>
      <c r="L92" s="1369">
        <f t="shared" si="49"/>
        <v>0</v>
      </c>
      <c r="M92" s="1369" t="e">
        <f t="shared" si="49"/>
        <v>#REF!</v>
      </c>
      <c r="N92" s="2202"/>
      <c r="O92" s="1364"/>
      <c r="P92" s="1365"/>
      <c r="Q92" s="1413"/>
    </row>
    <row r="93" spans="1:44" s="1367" customFormat="1" ht="19.2" customHeight="1">
      <c r="A93" s="2164"/>
      <c r="B93" s="2165"/>
      <c r="C93" s="2166"/>
      <c r="D93" s="2166"/>
      <c r="E93" s="2167"/>
      <c r="F93" s="2169"/>
      <c r="G93" s="2172"/>
      <c r="H93" s="2174"/>
      <c r="I93" s="2202"/>
      <c r="J93" s="1373"/>
      <c r="K93" s="1373"/>
      <c r="L93" s="1373"/>
      <c r="M93" s="1373" t="e">
        <f>+$D$92/1</f>
        <v>#REF!</v>
      </c>
      <c r="N93" s="2202"/>
      <c r="O93" s="1363" t="e">
        <f>SUM(J93:M93)</f>
        <v>#REF!</v>
      </c>
      <c r="P93" s="1365" t="e">
        <f>D92</f>
        <v>#REF!</v>
      </c>
      <c r="Q93" s="1413"/>
    </row>
    <row r="94" spans="1:44" s="1367" customFormat="1" ht="19.2" customHeight="1">
      <c r="A94" s="2164"/>
      <c r="B94" s="2165"/>
      <c r="C94" s="2166"/>
      <c r="D94" s="2166"/>
      <c r="E94" s="2167"/>
      <c r="F94" s="2170"/>
      <c r="G94" s="2173"/>
      <c r="H94" s="2174"/>
      <c r="I94" s="2202"/>
      <c r="J94" s="1374" t="e">
        <f>$G$92/$D$92*J93</f>
        <v>#REF!</v>
      </c>
      <c r="K94" s="1374" t="e">
        <f>$G$92/$D$92*K93</f>
        <v>#REF!</v>
      </c>
      <c r="L94" s="1374" t="e">
        <f>$G$92/$D$92*L93</f>
        <v>#REF!</v>
      </c>
      <c r="M94" s="1374" t="e">
        <f>$G$92/$D$92*M93</f>
        <v>#REF!</v>
      </c>
      <c r="N94" s="2202"/>
      <c r="O94" s="1375" t="e">
        <f>SUM(J94:M94)</f>
        <v>#REF!</v>
      </c>
      <c r="P94" s="1365" t="e">
        <f>+G92-O94</f>
        <v>#REF!</v>
      </c>
      <c r="Q94" s="1410" t="e">
        <f>+O94-G92</f>
        <v>#REF!</v>
      </c>
    </row>
    <row r="95" spans="1:44" s="1367" customFormat="1" ht="19.2" customHeight="1">
      <c r="A95" s="2164" t="s">
        <v>3460</v>
      </c>
      <c r="B95" s="2165" t="e">
        <f>+#REF!</f>
        <v>#REF!</v>
      </c>
      <c r="C95" s="2198" t="e">
        <f>+#REF!</f>
        <v>#REF!</v>
      </c>
      <c r="D95" s="2198" t="e">
        <f>+#REF!</f>
        <v>#REF!</v>
      </c>
      <c r="E95" s="2167" t="e">
        <f>+#REF!</f>
        <v>#REF!</v>
      </c>
      <c r="F95" s="2168" t="e">
        <f t="shared" ref="F95" si="50">+E95+(E95*0.3)</f>
        <v>#REF!</v>
      </c>
      <c r="G95" s="2171" t="e">
        <f t="shared" ref="G95" si="51">F95*D95</f>
        <v>#REF!</v>
      </c>
      <c r="H95" s="2174" t="e">
        <f>(G95/$G$101)</f>
        <v>#REF!</v>
      </c>
      <c r="I95" s="2202"/>
      <c r="J95" s="1369">
        <f>+J96</f>
        <v>0</v>
      </c>
      <c r="K95" s="1369">
        <f t="shared" ref="K95:M95" si="52">+K96</f>
        <v>0</v>
      </c>
      <c r="L95" s="1369">
        <f t="shared" si="52"/>
        <v>0</v>
      </c>
      <c r="M95" s="1369">
        <f t="shared" si="52"/>
        <v>1</v>
      </c>
      <c r="N95" s="2202"/>
      <c r="O95" s="1364"/>
      <c r="P95" s="1365"/>
      <c r="Q95" s="1413"/>
    </row>
    <row r="96" spans="1:44" s="1367" customFormat="1" ht="19.2" customHeight="1">
      <c r="A96" s="2164"/>
      <c r="B96" s="2165"/>
      <c r="C96" s="2166"/>
      <c r="D96" s="2166"/>
      <c r="E96" s="2167"/>
      <c r="F96" s="2169"/>
      <c r="G96" s="2172"/>
      <c r="H96" s="2174"/>
      <c r="I96" s="2202"/>
      <c r="J96" s="1373"/>
      <c r="K96" s="1373"/>
      <c r="L96" s="1373"/>
      <c r="M96" s="1373">
        <v>1</v>
      </c>
      <c r="N96" s="2202"/>
      <c r="O96" s="1363">
        <f>SUM(J96:M96)</f>
        <v>1</v>
      </c>
      <c r="P96" s="1365" t="e">
        <f>D95</f>
        <v>#REF!</v>
      </c>
      <c r="Q96" s="1413"/>
    </row>
    <row r="97" spans="1:44" s="1367" customFormat="1" ht="19.2" customHeight="1">
      <c r="A97" s="2164"/>
      <c r="B97" s="2165"/>
      <c r="C97" s="2166"/>
      <c r="D97" s="2166"/>
      <c r="E97" s="2167"/>
      <c r="F97" s="2170"/>
      <c r="G97" s="2173"/>
      <c r="H97" s="2174"/>
      <c r="I97" s="2202"/>
      <c r="J97" s="1374" t="e">
        <f>$G$92/$D$92*J96</f>
        <v>#REF!</v>
      </c>
      <c r="K97" s="1374" t="e">
        <f>$G$92/$D$92*K96</f>
        <v>#REF!</v>
      </c>
      <c r="L97" s="1374" t="e">
        <f>$G$92/$D$92*L96</f>
        <v>#REF!</v>
      </c>
      <c r="M97" s="1374" t="e">
        <f>$G$95/$D$95*M96</f>
        <v>#REF!</v>
      </c>
      <c r="N97" s="2202"/>
      <c r="O97" s="1375" t="e">
        <f>SUM(J97:M97)</f>
        <v>#REF!</v>
      </c>
      <c r="P97" s="1365" t="e">
        <f>+G95-O97</f>
        <v>#REF!</v>
      </c>
      <c r="Q97" s="1410" t="e">
        <f>+O97-G95</f>
        <v>#REF!</v>
      </c>
      <c r="S97" s="1432" t="e">
        <f>+O97+O94+O91+O88+O85+O82+O79+O76+O73+O70+O67+O64+O61+O58+O55</f>
        <v>#REF!</v>
      </c>
      <c r="T97" s="1439" t="e">
        <f>+S97-G52</f>
        <v>#REF!</v>
      </c>
    </row>
    <row r="98" spans="1:44" s="1367" customFormat="1" ht="31.2" customHeight="1">
      <c r="A98" s="1378"/>
      <c r="B98" s="1403" t="s">
        <v>4436</v>
      </c>
      <c r="C98" s="1379"/>
      <c r="D98" s="1379"/>
      <c r="E98" s="1398"/>
      <c r="F98" s="1418"/>
      <c r="G98" s="1397" t="e">
        <f>+#REF!</f>
        <v>#REF!</v>
      </c>
      <c r="H98" s="1380" t="e">
        <f>+G98/$G$101</f>
        <v>#REF!</v>
      </c>
      <c r="I98" s="2202"/>
      <c r="J98" s="1408" t="e">
        <f>+$G$98/4</f>
        <v>#REF!</v>
      </c>
      <c r="K98" s="1408" t="e">
        <f t="shared" ref="K98:M98" si="53">+$G$98/4</f>
        <v>#REF!</v>
      </c>
      <c r="L98" s="1408" t="e">
        <f t="shared" si="53"/>
        <v>#REF!</v>
      </c>
      <c r="M98" s="1408" t="e">
        <f t="shared" si="53"/>
        <v>#REF!</v>
      </c>
      <c r="N98" s="2202"/>
      <c r="O98" s="1375" t="e">
        <f>SUM(J98:M98)</f>
        <v>#REF!</v>
      </c>
      <c r="P98" s="1365"/>
      <c r="Q98" s="1410" t="e">
        <f>+O98-G98</f>
        <v>#REF!</v>
      </c>
      <c r="S98" s="1367" t="e">
        <f>+SUM(S12:S97)</f>
        <v>#REF!</v>
      </c>
    </row>
    <row r="99" spans="1:44" s="1367" customFormat="1" ht="31.2" customHeight="1">
      <c r="A99" s="1378"/>
      <c r="B99" s="1403" t="s">
        <v>4457</v>
      </c>
      <c r="C99" s="1379"/>
      <c r="D99" s="1379"/>
      <c r="E99" s="1398"/>
      <c r="F99" s="1418"/>
      <c r="G99" s="1397" t="e">
        <f>+#REF!</f>
        <v>#REF!</v>
      </c>
      <c r="H99" s="1380" t="e">
        <f>+G99/$G$101</f>
        <v>#REF!</v>
      </c>
      <c r="I99" s="2202"/>
      <c r="J99" s="1408" t="e">
        <f>$G$99/4</f>
        <v>#REF!</v>
      </c>
      <c r="K99" s="1408" t="e">
        <f t="shared" ref="K99:M99" si="54">$G$99/4</f>
        <v>#REF!</v>
      </c>
      <c r="L99" s="1408" t="e">
        <f t="shared" si="54"/>
        <v>#REF!</v>
      </c>
      <c r="M99" s="1408" t="e">
        <f t="shared" si="54"/>
        <v>#REF!</v>
      </c>
      <c r="N99" s="2202"/>
      <c r="O99" s="1375" t="e">
        <f>SUM(J99:M99)</f>
        <v>#REF!</v>
      </c>
      <c r="P99" s="1365"/>
      <c r="Q99" s="1410" t="e">
        <f>+O99-G99</f>
        <v>#REF!</v>
      </c>
    </row>
    <row r="100" spans="1:44" s="1367" customFormat="1" ht="31.2" customHeight="1">
      <c r="A100" s="1378"/>
      <c r="B100" s="1403" t="s">
        <v>4438</v>
      </c>
      <c r="C100" s="1379"/>
      <c r="D100" s="1379"/>
      <c r="E100" s="1398"/>
      <c r="F100" s="1418"/>
      <c r="G100" s="1397" t="e">
        <f>+#REF!</f>
        <v>#REF!</v>
      </c>
      <c r="H100" s="1380" t="e">
        <f>+G100/$G$101</f>
        <v>#REF!</v>
      </c>
      <c r="I100" s="2202"/>
      <c r="J100" s="1408" t="e">
        <f>+$G$100/4</f>
        <v>#REF!</v>
      </c>
      <c r="K100" s="1408" t="e">
        <f t="shared" ref="K100:M100" si="55">+$G$100/4</f>
        <v>#REF!</v>
      </c>
      <c r="L100" s="1408" t="e">
        <f t="shared" si="55"/>
        <v>#REF!</v>
      </c>
      <c r="M100" s="1408" t="e">
        <f t="shared" si="55"/>
        <v>#REF!</v>
      </c>
      <c r="N100" s="2202"/>
      <c r="O100" s="1375" t="e">
        <f>SUM(J100:M100)</f>
        <v>#REF!</v>
      </c>
      <c r="P100" s="1365"/>
      <c r="Q100" s="1410" t="e">
        <f>+O100-G100</f>
        <v>#REF!</v>
      </c>
      <c r="S100" s="1432" t="e">
        <f>+O100+O98+S98</f>
        <v>#REF!</v>
      </c>
    </row>
    <row r="101" spans="1:44" s="1367" customFormat="1" ht="19.2" customHeight="1">
      <c r="A101" s="1353"/>
      <c r="B101" s="1357" t="s">
        <v>4431</v>
      </c>
      <c r="C101" s="1358"/>
      <c r="D101" s="1359"/>
      <c r="E101" s="1399"/>
      <c r="F101" s="1416"/>
      <c r="G101" s="1407" t="e">
        <f>ROUND(+G13+G17+G33+G52+G98+G100+G99,0)</f>
        <v>#REF!</v>
      </c>
      <c r="H101" s="1404" t="e">
        <f>H98+H52+H33+H17+H100+H99</f>
        <v>#REF!</v>
      </c>
      <c r="I101" s="2203"/>
      <c r="J101" s="1435"/>
      <c r="K101" s="1435"/>
      <c r="L101" s="1435"/>
      <c r="M101" s="1435"/>
      <c r="N101" s="2203"/>
      <c r="O101" s="1434"/>
      <c r="P101" s="1381"/>
      <c r="Q101" s="1413"/>
    </row>
    <row r="102" spans="1:44" s="1367" customFormat="1" ht="19.2" customHeight="1">
      <c r="A102" s="1382"/>
      <c r="B102" s="1383"/>
      <c r="C102" s="1383"/>
      <c r="D102" s="1384"/>
      <c r="E102" s="1401" t="e">
        <f>+SUM(E14:E97)</f>
        <v>#REF!</v>
      </c>
      <c r="F102" s="1419"/>
      <c r="G102" s="1383"/>
      <c r="H102" s="1383"/>
      <c r="I102" s="1383"/>
      <c r="J102" s="1385"/>
      <c r="K102" s="1385"/>
      <c r="L102" s="1385"/>
      <c r="M102" s="1385"/>
      <c r="N102" s="1385"/>
      <c r="O102" s="1386"/>
      <c r="P102" s="1381"/>
      <c r="Q102" s="1413"/>
    </row>
    <row r="103" spans="1:44" ht="19.2" customHeight="1">
      <c r="A103" s="1387"/>
      <c r="B103" s="2196" t="s">
        <v>4442</v>
      </c>
      <c r="C103" s="2196"/>
      <c r="D103" s="2196"/>
      <c r="E103" s="2196"/>
      <c r="F103" s="2196"/>
      <c r="G103" s="2196"/>
      <c r="H103" s="2197"/>
      <c r="I103" s="1424"/>
      <c r="J103" s="1388" t="e">
        <f>ROUNDDOWN(J16+J20+J23+J26+J29+J32+J36+J39+J42+J45+J48+J51+J55+J58+J61+J64+J67+J73+J79+J82+J85+J88+J91+J94+J98++J99+J100,0)</f>
        <v>#REF!</v>
      </c>
      <c r="K103" s="1388" t="e">
        <f>ROUNDDOWN(K16+K20+K23+K26+K29+K32+K36+K39+K42+K45+K48+K51+K55+K58+K61+K64+K67+K73+K79+K82+K85+K88+K91+K94+K98++K99+K100,0)</f>
        <v>#REF!</v>
      </c>
      <c r="L103" s="1388" t="e">
        <f>ROUNDDOWN(L16+L20+L23+L26+L29+L32+L36+L39+L42+L45+L48+L51+L55+L58+L61+L64+L67+L73+L79+L82+L85+L88+L91+L94+L98+L99+L100,0)</f>
        <v>#REF!</v>
      </c>
      <c r="M103" s="1388" t="e">
        <f>ROUNDDOWN(M16+M20+M23+M26+M29+M32+M36+M39+M42+M45+M48+M51+M55+M58+M61+M64+M67+M73+M79+M82+M85+M88+M91+M94+M98+M100+M97+M76+M70+M99,0)</f>
        <v>#REF!</v>
      </c>
      <c r="N103" s="1388"/>
      <c r="O103" s="1388" t="e">
        <f>ROUND(O16+O20+O23+O26+O29+O32+O36+O39+O42+O45+O48+O51+O55+O58+O61+O64+O67+O73+O79+O82+O85+O88+O91+O94+O98++O97+O100+O76+O70+O99+1,0)</f>
        <v>#REF!</v>
      </c>
      <c r="P103" s="1365" t="e">
        <f>+O103-#REF!</f>
        <v>#REF!</v>
      </c>
      <c r="Q103" s="1410"/>
      <c r="R103" s="1350"/>
      <c r="S103" s="1350"/>
      <c r="T103" s="1350"/>
      <c r="U103" s="1350"/>
      <c r="V103" s="1350"/>
      <c r="W103" s="1350"/>
      <c r="X103" s="1350"/>
      <c r="Y103" s="1350"/>
      <c r="Z103" s="1350"/>
      <c r="AA103" s="1350"/>
      <c r="AB103" s="1350"/>
      <c r="AC103" s="1350"/>
      <c r="AD103" s="1350"/>
      <c r="AE103" s="1350"/>
      <c r="AF103" s="1350"/>
      <c r="AG103" s="1350"/>
      <c r="AH103" s="1350"/>
      <c r="AI103" s="1350"/>
      <c r="AJ103" s="1350"/>
      <c r="AK103" s="1350"/>
      <c r="AL103" s="1350"/>
      <c r="AM103" s="1350"/>
      <c r="AN103" s="1350"/>
      <c r="AO103" s="1350"/>
      <c r="AP103" s="1350"/>
      <c r="AQ103" s="1350"/>
      <c r="AR103" s="1350"/>
    </row>
    <row r="104" spans="1:44" ht="19.2" customHeight="1">
      <c r="A104" s="1387"/>
      <c r="B104" s="2196" t="s">
        <v>4443</v>
      </c>
      <c r="C104" s="2196"/>
      <c r="D104" s="2196"/>
      <c r="E104" s="2196"/>
      <c r="F104" s="2196"/>
      <c r="G104" s="2196"/>
      <c r="H104" s="2197"/>
      <c r="I104" s="1424"/>
      <c r="J104" s="1389" t="e">
        <f>+J103/($G$101)</f>
        <v>#REF!</v>
      </c>
      <c r="K104" s="1389" t="e">
        <f t="shared" ref="K104:M104" si="56">+K103/($G$101)</f>
        <v>#REF!</v>
      </c>
      <c r="L104" s="1389" t="e">
        <f t="shared" si="56"/>
        <v>#REF!</v>
      </c>
      <c r="M104" s="1389" t="e">
        <f t="shared" si="56"/>
        <v>#REF!</v>
      </c>
      <c r="N104" s="1429"/>
      <c r="O104" s="1390" t="e">
        <f>+O103/($G$101)</f>
        <v>#REF!</v>
      </c>
      <c r="P104" s="1365"/>
      <c r="Q104" s="1410"/>
      <c r="R104" s="1350"/>
      <c r="S104" s="1350"/>
      <c r="T104" s="1350"/>
      <c r="U104" s="1350"/>
      <c r="V104" s="1350"/>
      <c r="W104" s="1350"/>
      <c r="X104" s="1350"/>
      <c r="Y104" s="1350"/>
      <c r="Z104" s="1350"/>
      <c r="AA104" s="1350"/>
      <c r="AB104" s="1350"/>
      <c r="AC104" s="1350"/>
      <c r="AD104" s="1350"/>
      <c r="AE104" s="1350"/>
      <c r="AF104" s="1350"/>
      <c r="AG104" s="1350"/>
      <c r="AH104" s="1350"/>
      <c r="AI104" s="1350"/>
      <c r="AJ104" s="1350"/>
      <c r="AK104" s="1350"/>
      <c r="AL104" s="1350"/>
      <c r="AM104" s="1350"/>
      <c r="AN104" s="1350"/>
      <c r="AO104" s="1350"/>
      <c r="AP104" s="1350"/>
      <c r="AQ104" s="1350"/>
      <c r="AR104" s="1350"/>
    </row>
    <row r="105" spans="1:44" ht="19.2" hidden="1" customHeight="1">
      <c r="A105" s="1387"/>
      <c r="B105" s="2196" t="s">
        <v>4432</v>
      </c>
      <c r="C105" s="2196"/>
      <c r="D105" s="2196"/>
      <c r="E105" s="2196"/>
      <c r="F105" s="2196"/>
      <c r="G105" s="2196"/>
      <c r="H105" s="2197"/>
      <c r="I105" s="1424"/>
      <c r="J105" s="1388" t="e">
        <f>+J103</f>
        <v>#REF!</v>
      </c>
      <c r="K105" s="1388" t="e">
        <f t="shared" ref="K105:M106" si="57">+K103+J105</f>
        <v>#REF!</v>
      </c>
      <c r="L105" s="1388" t="e">
        <f t="shared" si="57"/>
        <v>#REF!</v>
      </c>
      <c r="M105" s="1388" t="e">
        <f t="shared" si="57"/>
        <v>#REF!</v>
      </c>
      <c r="N105" s="1388"/>
      <c r="O105" s="1388"/>
      <c r="P105" s="1365"/>
      <c r="Q105" s="1410"/>
      <c r="R105" s="1391"/>
      <c r="S105" s="1350"/>
      <c r="T105" s="1350"/>
      <c r="U105" s="1350"/>
      <c r="V105" s="1350"/>
      <c r="W105" s="1350"/>
      <c r="X105" s="1350"/>
      <c r="Y105" s="1350"/>
      <c r="Z105" s="1350"/>
      <c r="AA105" s="1350"/>
      <c r="AB105" s="1350"/>
      <c r="AC105" s="1350"/>
      <c r="AD105" s="1350"/>
      <c r="AE105" s="1350"/>
      <c r="AF105" s="1350"/>
      <c r="AG105" s="1350"/>
      <c r="AH105" s="1350"/>
      <c r="AI105" s="1350"/>
      <c r="AJ105" s="1350"/>
      <c r="AK105" s="1350"/>
      <c r="AL105" s="1350"/>
      <c r="AM105" s="1350"/>
      <c r="AN105" s="1350"/>
      <c r="AO105" s="1350"/>
      <c r="AP105" s="1350"/>
      <c r="AQ105" s="1350"/>
      <c r="AR105" s="1350"/>
    </row>
    <row r="106" spans="1:44" ht="19.2" hidden="1" customHeight="1">
      <c r="A106" s="1387"/>
      <c r="B106" s="2196" t="s">
        <v>4433</v>
      </c>
      <c r="C106" s="2196"/>
      <c r="D106" s="2196"/>
      <c r="E106" s="2196"/>
      <c r="F106" s="2196"/>
      <c r="G106" s="2196"/>
      <c r="H106" s="2197"/>
      <c r="I106" s="1424"/>
      <c r="J106" s="1389" t="e">
        <f>+J104</f>
        <v>#REF!</v>
      </c>
      <c r="K106" s="1389" t="e">
        <f t="shared" si="57"/>
        <v>#REF!</v>
      </c>
      <c r="L106" s="1389" t="e">
        <f t="shared" si="57"/>
        <v>#REF!</v>
      </c>
      <c r="M106" s="1389" t="e">
        <f t="shared" si="57"/>
        <v>#REF!</v>
      </c>
      <c r="N106" s="1389"/>
      <c r="O106" s="1389">
        <v>1</v>
      </c>
      <c r="P106" s="1365"/>
      <c r="Q106" s="1410"/>
      <c r="R106" s="1350"/>
      <c r="S106" s="1350"/>
      <c r="T106" s="1350"/>
      <c r="U106" s="1350"/>
      <c r="V106" s="1350"/>
      <c r="W106" s="1350"/>
      <c r="X106" s="1350"/>
      <c r="Y106" s="1350"/>
      <c r="Z106" s="1350"/>
      <c r="AA106" s="1350"/>
      <c r="AB106" s="1350"/>
      <c r="AC106" s="1350"/>
      <c r="AD106" s="1350"/>
      <c r="AE106" s="1350"/>
      <c r="AF106" s="1350"/>
      <c r="AG106" s="1350"/>
      <c r="AH106" s="1350"/>
      <c r="AI106" s="1350"/>
      <c r="AJ106" s="1350"/>
      <c r="AK106" s="1350"/>
      <c r="AL106" s="1350"/>
      <c r="AM106" s="1350"/>
      <c r="AN106" s="1350"/>
      <c r="AO106" s="1350"/>
      <c r="AP106" s="1350"/>
      <c r="AQ106" s="1350"/>
      <c r="AR106" s="1350"/>
    </row>
    <row r="107" spans="1:44" ht="19.2" customHeight="1">
      <c r="A107" s="1317" t="s">
        <v>271</v>
      </c>
      <c r="B107" s="123"/>
      <c r="C107" s="1346"/>
      <c r="D107" s="1346" t="s">
        <v>272</v>
      </c>
      <c r="E107" s="1347"/>
      <c r="F107" s="1347"/>
      <c r="G107" s="1345"/>
    </row>
    <row r="108" spans="1:44" ht="19.2" customHeight="1">
      <c r="A108" s="1317"/>
      <c r="B108" s="123"/>
      <c r="C108" s="1421"/>
      <c r="D108" s="1421"/>
      <c r="E108" s="1422"/>
      <c r="F108" s="1422"/>
      <c r="G108" s="1423"/>
    </row>
    <row r="109" spans="1:44" ht="19.2" customHeight="1">
      <c r="A109" s="1317"/>
      <c r="B109" s="123"/>
      <c r="C109" s="1421"/>
      <c r="D109" s="1421"/>
      <c r="E109" s="1422"/>
      <c r="F109" s="1422"/>
      <c r="G109" s="1423"/>
    </row>
    <row r="110" spans="1:44" ht="19.2" customHeight="1" thickBot="1">
      <c r="A110" s="1348"/>
      <c r="B110" s="1348"/>
      <c r="C110" s="1320"/>
      <c r="D110" s="1348"/>
      <c r="E110" s="1348"/>
      <c r="F110" s="1348"/>
      <c r="G110" s="1320"/>
    </row>
    <row r="111" spans="1:44" ht="19.2" customHeight="1">
      <c r="A111" s="2125" t="s">
        <v>4421</v>
      </c>
      <c r="B111" s="1793"/>
      <c r="C111" s="123"/>
      <c r="D111" s="2125" t="s">
        <v>1225</v>
      </c>
      <c r="E111" s="1793"/>
      <c r="F111" s="1793"/>
      <c r="G111" s="1793"/>
    </row>
    <row r="112" spans="1:44" ht="19.2" customHeight="1">
      <c r="A112" s="2126" t="s">
        <v>275</v>
      </c>
      <c r="B112" s="1793"/>
      <c r="C112" s="123"/>
      <c r="D112" s="2126" t="s">
        <v>276</v>
      </c>
      <c r="E112" s="1793"/>
      <c r="F112" s="1793"/>
      <c r="G112" s="123"/>
    </row>
    <row r="113" spans="2:5" ht="19.2" customHeight="1">
      <c r="B113" s="1313"/>
      <c r="C113" s="123"/>
      <c r="D113" s="1316"/>
      <c r="E113" s="123"/>
    </row>
  </sheetData>
  <mergeCells count="245">
    <mergeCell ref="C6:O6"/>
    <mergeCell ref="I13:I101"/>
    <mergeCell ref="N13:N101"/>
    <mergeCell ref="G27:G29"/>
    <mergeCell ref="H27:H29"/>
    <mergeCell ref="A30:A32"/>
    <mergeCell ref="B30:B32"/>
    <mergeCell ref="C30:C32"/>
    <mergeCell ref="D30:D32"/>
    <mergeCell ref="E30:E32"/>
    <mergeCell ref="F30:F32"/>
    <mergeCell ref="G30:G32"/>
    <mergeCell ref="H30:H32"/>
    <mergeCell ref="A27:A29"/>
    <mergeCell ref="B27:B29"/>
    <mergeCell ref="C27:C29"/>
    <mergeCell ref="D27:D29"/>
    <mergeCell ref="E27:E29"/>
    <mergeCell ref="F27:F29"/>
    <mergeCell ref="A86:A88"/>
    <mergeCell ref="B86:B88"/>
    <mergeCell ref="C86:C88"/>
    <mergeCell ref="D86:D88"/>
    <mergeCell ref="E86:E88"/>
    <mergeCell ref="B105:H105"/>
    <mergeCell ref="B106:H106"/>
    <mergeCell ref="G92:G94"/>
    <mergeCell ref="A92:A94"/>
    <mergeCell ref="C92:C94"/>
    <mergeCell ref="D92:D94"/>
    <mergeCell ref="E92:E94"/>
    <mergeCell ref="G89:G91"/>
    <mergeCell ref="H89:H91"/>
    <mergeCell ref="B92:B94"/>
    <mergeCell ref="F92:F94"/>
    <mergeCell ref="H92:H94"/>
    <mergeCell ref="A89:A91"/>
    <mergeCell ref="B89:B91"/>
    <mergeCell ref="C89:C91"/>
    <mergeCell ref="D89:D91"/>
    <mergeCell ref="E89:E91"/>
    <mergeCell ref="B103:H103"/>
    <mergeCell ref="B104:H104"/>
    <mergeCell ref="F89:F91"/>
    <mergeCell ref="A95:A97"/>
    <mergeCell ref="B95:B97"/>
    <mergeCell ref="C95:C97"/>
    <mergeCell ref="D95:D97"/>
    <mergeCell ref="E77:E79"/>
    <mergeCell ref="G77:G79"/>
    <mergeCell ref="H77:H79"/>
    <mergeCell ref="F77:F79"/>
    <mergeCell ref="G86:G88"/>
    <mergeCell ref="H86:H88"/>
    <mergeCell ref="A83:A85"/>
    <mergeCell ref="B83:B85"/>
    <mergeCell ref="C83:C85"/>
    <mergeCell ref="D83:D85"/>
    <mergeCell ref="E83:E85"/>
    <mergeCell ref="G83:G85"/>
    <mergeCell ref="H83:H85"/>
    <mergeCell ref="F83:F85"/>
    <mergeCell ref="C80:C82"/>
    <mergeCell ref="D80:D82"/>
    <mergeCell ref="E80:E82"/>
    <mergeCell ref="F80:F82"/>
    <mergeCell ref="G80:G82"/>
    <mergeCell ref="H80:H82"/>
    <mergeCell ref="B77:B79"/>
    <mergeCell ref="C77:C79"/>
    <mergeCell ref="D77:D79"/>
    <mergeCell ref="E95:E97"/>
    <mergeCell ref="F95:F97"/>
    <mergeCell ref="G95:G97"/>
    <mergeCell ref="H95:H97"/>
    <mergeCell ref="A77:A79"/>
    <mergeCell ref="F86:F88"/>
    <mergeCell ref="A71:A73"/>
    <mergeCell ref="B71:B73"/>
    <mergeCell ref="C71:C73"/>
    <mergeCell ref="D71:D73"/>
    <mergeCell ref="E71:E73"/>
    <mergeCell ref="F71:F73"/>
    <mergeCell ref="G71:G73"/>
    <mergeCell ref="H71:H73"/>
    <mergeCell ref="A74:A76"/>
    <mergeCell ref="B74:B76"/>
    <mergeCell ref="C74:C76"/>
    <mergeCell ref="D74:D76"/>
    <mergeCell ref="E74:E76"/>
    <mergeCell ref="F74:F76"/>
    <mergeCell ref="G74:G76"/>
    <mergeCell ref="H74:H76"/>
    <mergeCell ref="A80:A82"/>
    <mergeCell ref="B80:B82"/>
    <mergeCell ref="A65:A67"/>
    <mergeCell ref="B65:B67"/>
    <mergeCell ref="C65:C67"/>
    <mergeCell ref="D65:D67"/>
    <mergeCell ref="E65:E67"/>
    <mergeCell ref="G65:G67"/>
    <mergeCell ref="H65:H67"/>
    <mergeCell ref="F65:F67"/>
    <mergeCell ref="A68:A70"/>
    <mergeCell ref="B68:B70"/>
    <mergeCell ref="C68:C70"/>
    <mergeCell ref="D68:D70"/>
    <mergeCell ref="E68:E70"/>
    <mergeCell ref="F68:F70"/>
    <mergeCell ref="G68:G70"/>
    <mergeCell ref="H68:H70"/>
    <mergeCell ref="A62:A64"/>
    <mergeCell ref="B62:B64"/>
    <mergeCell ref="C62:C64"/>
    <mergeCell ref="D62:D64"/>
    <mergeCell ref="E62:E64"/>
    <mergeCell ref="F62:F64"/>
    <mergeCell ref="G62:G64"/>
    <mergeCell ref="H62:H64"/>
    <mergeCell ref="A59:A61"/>
    <mergeCell ref="B59:B61"/>
    <mergeCell ref="C59:C61"/>
    <mergeCell ref="D59:D61"/>
    <mergeCell ref="E59:E61"/>
    <mergeCell ref="G59:G61"/>
    <mergeCell ref="H59:H61"/>
    <mergeCell ref="F59:F61"/>
    <mergeCell ref="A56:A58"/>
    <mergeCell ref="B56:B58"/>
    <mergeCell ref="C56:C58"/>
    <mergeCell ref="D56:D58"/>
    <mergeCell ref="E56:E58"/>
    <mergeCell ref="F56:F58"/>
    <mergeCell ref="G56:G58"/>
    <mergeCell ref="H56:H58"/>
    <mergeCell ref="A53:A55"/>
    <mergeCell ref="B53:B55"/>
    <mergeCell ref="C53:C55"/>
    <mergeCell ref="D53:D55"/>
    <mergeCell ref="E53:E55"/>
    <mergeCell ref="G53:G55"/>
    <mergeCell ref="H53:H55"/>
    <mergeCell ref="F53:F55"/>
    <mergeCell ref="A49:A51"/>
    <mergeCell ref="B49:B51"/>
    <mergeCell ref="C49:C51"/>
    <mergeCell ref="D49:D51"/>
    <mergeCell ref="E49:E51"/>
    <mergeCell ref="F49:F51"/>
    <mergeCell ref="G49:G51"/>
    <mergeCell ref="H49:H51"/>
    <mergeCell ref="A46:A48"/>
    <mergeCell ref="B46:B48"/>
    <mergeCell ref="C46:C48"/>
    <mergeCell ref="D46:D48"/>
    <mergeCell ref="E46:E48"/>
    <mergeCell ref="G46:G48"/>
    <mergeCell ref="H46:H48"/>
    <mergeCell ref="F46:F48"/>
    <mergeCell ref="A43:A45"/>
    <mergeCell ref="B43:B45"/>
    <mergeCell ref="C43:C45"/>
    <mergeCell ref="D43:D45"/>
    <mergeCell ref="E43:E45"/>
    <mergeCell ref="F43:F45"/>
    <mergeCell ref="G43:G45"/>
    <mergeCell ref="H43:H45"/>
    <mergeCell ref="A40:A42"/>
    <mergeCell ref="B40:B42"/>
    <mergeCell ref="C40:C42"/>
    <mergeCell ref="D40:D42"/>
    <mergeCell ref="E40:E42"/>
    <mergeCell ref="G40:G42"/>
    <mergeCell ref="H40:H42"/>
    <mergeCell ref="F40:F42"/>
    <mergeCell ref="H34:H36"/>
    <mergeCell ref="A37:A39"/>
    <mergeCell ref="B37:B39"/>
    <mergeCell ref="C37:C39"/>
    <mergeCell ref="D37:D39"/>
    <mergeCell ref="E37:E39"/>
    <mergeCell ref="F37:F39"/>
    <mergeCell ref="G37:G39"/>
    <mergeCell ref="H37:H39"/>
    <mergeCell ref="A34:A36"/>
    <mergeCell ref="B34:B36"/>
    <mergeCell ref="C34:C36"/>
    <mergeCell ref="D34:D36"/>
    <mergeCell ref="E34:E36"/>
    <mergeCell ref="G34:G36"/>
    <mergeCell ref="F34:F36"/>
    <mergeCell ref="G24:G26"/>
    <mergeCell ref="H24:H26"/>
    <mergeCell ref="A24:A26"/>
    <mergeCell ref="B24:B26"/>
    <mergeCell ref="C24:C26"/>
    <mergeCell ref="D24:D26"/>
    <mergeCell ref="E24:E26"/>
    <mergeCell ref="G21:G23"/>
    <mergeCell ref="H21:H23"/>
    <mergeCell ref="A21:A23"/>
    <mergeCell ref="B21:B23"/>
    <mergeCell ref="C21:C23"/>
    <mergeCell ref="D21:D23"/>
    <mergeCell ref="E21:E23"/>
    <mergeCell ref="F21:F23"/>
    <mergeCell ref="F24:F26"/>
    <mergeCell ref="C18:C20"/>
    <mergeCell ref="D18:D20"/>
    <mergeCell ref="E18:E20"/>
    <mergeCell ref="F18:F20"/>
    <mergeCell ref="G18:G20"/>
    <mergeCell ref="H18:H20"/>
    <mergeCell ref="G14:G16"/>
    <mergeCell ref="H14:H16"/>
    <mergeCell ref="A14:A16"/>
    <mergeCell ref="B14:B16"/>
    <mergeCell ref="C14:C16"/>
    <mergeCell ref="D14:D16"/>
    <mergeCell ref="E14:E16"/>
    <mergeCell ref="F14:F16"/>
    <mergeCell ref="A111:B111"/>
    <mergeCell ref="D111:G111"/>
    <mergeCell ref="A112:B112"/>
    <mergeCell ref="D112:F112"/>
    <mergeCell ref="A1:B8"/>
    <mergeCell ref="G9:G12"/>
    <mergeCell ref="H9:H12"/>
    <mergeCell ref="J9:M9"/>
    <mergeCell ref="J12:M12"/>
    <mergeCell ref="A9:A12"/>
    <mergeCell ref="B9:B12"/>
    <mergeCell ref="C9:C12"/>
    <mergeCell ref="D9:D12"/>
    <mergeCell ref="E9:E12"/>
    <mergeCell ref="F9:F12"/>
    <mergeCell ref="C1:O2"/>
    <mergeCell ref="C8:G8"/>
    <mergeCell ref="H8:O8"/>
    <mergeCell ref="C3:O3"/>
    <mergeCell ref="C4:O4"/>
    <mergeCell ref="C5:O5"/>
    <mergeCell ref="C7:O7"/>
    <mergeCell ref="A18:A20"/>
    <mergeCell ref="B18:B20"/>
  </mergeCells>
  <phoneticPr fontId="87" type="noConversion"/>
  <conditionalFormatting sqref="J14:M14">
    <cfRule type="dataBar" priority="199">
      <dataBar showValue="0">
        <cfvo type="min"/>
        <cfvo type="max"/>
        <color rgb="FFFFB628"/>
      </dataBar>
      <extLst>
        <ext xmlns:x14="http://schemas.microsoft.com/office/spreadsheetml/2009/9/main" uri="{B025F937-C7B1-47D3-B67F-A62EFF666E3E}">
          <x14:id>{8F749659-65AD-40DF-8E0B-5BC4CB96D9A2}</x14:id>
        </ext>
      </extLst>
    </cfRule>
    <cfRule type="dataBar" priority="200">
      <dataBar showValue="0">
        <cfvo type="min"/>
        <cfvo type="max"/>
        <color rgb="FFFFFF00"/>
      </dataBar>
      <extLst>
        <ext xmlns:x14="http://schemas.microsoft.com/office/spreadsheetml/2009/9/main" uri="{B025F937-C7B1-47D3-B67F-A62EFF666E3E}">
          <x14:id>{617A7E69-5DEC-49E8-84AC-F75F9A595D50}</x14:id>
        </ext>
      </extLst>
    </cfRule>
  </conditionalFormatting>
  <conditionalFormatting sqref="J27:M27">
    <cfRule type="dataBar" priority="5">
      <dataBar showValue="0">
        <cfvo type="min"/>
        <cfvo type="max"/>
        <color rgb="FFFFB628"/>
      </dataBar>
      <extLst>
        <ext xmlns:x14="http://schemas.microsoft.com/office/spreadsheetml/2009/9/main" uri="{B025F937-C7B1-47D3-B67F-A62EFF666E3E}">
          <x14:id>{E34465A6-ED60-40D2-BB95-A9766642CD2A}</x14:id>
        </ext>
      </extLst>
    </cfRule>
    <cfRule type="dataBar" priority="6">
      <dataBar showValue="0">
        <cfvo type="min"/>
        <cfvo type="max"/>
        <color rgb="FFFFFF00"/>
      </dataBar>
      <extLst>
        <ext xmlns:x14="http://schemas.microsoft.com/office/spreadsheetml/2009/9/main" uri="{B025F937-C7B1-47D3-B67F-A62EFF666E3E}">
          <x14:id>{1A97FE75-4140-4DF0-AA18-1C1980FE5291}</x14:id>
        </ext>
      </extLst>
    </cfRule>
  </conditionalFormatting>
  <conditionalFormatting sqref="J30:M30">
    <cfRule type="dataBar" priority="3">
      <dataBar showValue="0">
        <cfvo type="min"/>
        <cfvo type="max"/>
        <color rgb="FFFFB628"/>
      </dataBar>
      <extLst>
        <ext xmlns:x14="http://schemas.microsoft.com/office/spreadsheetml/2009/9/main" uri="{B025F937-C7B1-47D3-B67F-A62EFF666E3E}">
          <x14:id>{DDD5C365-C8DC-4740-AB7A-3D0E7041BB0F}</x14:id>
        </ext>
      </extLst>
    </cfRule>
    <cfRule type="dataBar" priority="4">
      <dataBar showValue="0">
        <cfvo type="min"/>
        <cfvo type="max"/>
        <color rgb="FFFFFF00"/>
      </dataBar>
      <extLst>
        <ext xmlns:x14="http://schemas.microsoft.com/office/spreadsheetml/2009/9/main" uri="{B025F937-C7B1-47D3-B67F-A62EFF666E3E}">
          <x14:id>{66D34028-6FAC-454F-8F57-397A91479B79}</x14:id>
        </ext>
      </extLst>
    </cfRule>
  </conditionalFormatting>
  <conditionalFormatting sqref="J40:M40 J18:L18 J21:L21 J34:M34 J49:M49 J37:M37 J24:M24 J43:M43 J46:M46">
    <cfRule type="dataBar" priority="201">
      <dataBar showValue="0">
        <cfvo type="min"/>
        <cfvo type="max"/>
        <color rgb="FFFFB628"/>
      </dataBar>
      <extLst>
        <ext xmlns:x14="http://schemas.microsoft.com/office/spreadsheetml/2009/9/main" uri="{B025F937-C7B1-47D3-B67F-A62EFF666E3E}">
          <x14:id>{11C5DBE9-18E0-4893-9265-A12B84874570}</x14:id>
        </ext>
      </extLst>
    </cfRule>
    <cfRule type="dataBar" priority="202">
      <dataBar showValue="0">
        <cfvo type="min"/>
        <cfvo type="max"/>
        <color rgb="FFFFFF00"/>
      </dataBar>
      <extLst>
        <ext xmlns:x14="http://schemas.microsoft.com/office/spreadsheetml/2009/9/main" uri="{B025F937-C7B1-47D3-B67F-A62EFF666E3E}">
          <x14:id>{C4AC4F33-08C4-4F78-924A-D82942C00E45}</x14:id>
        </ext>
      </extLst>
    </cfRule>
  </conditionalFormatting>
  <conditionalFormatting sqref="J92:M92 J56:M56 J53:M53 J59:M59 J89:M89 J62:M62 J65:M65 J71:M71 J77:M77 J80:M80 J83:M83 J86:M86 J68:M68 J74:M74 J95:M95">
    <cfRule type="dataBar" priority="221">
      <dataBar showValue="0">
        <cfvo type="min"/>
        <cfvo type="max"/>
        <color rgb="FFFFB628"/>
      </dataBar>
      <extLst>
        <ext xmlns:x14="http://schemas.microsoft.com/office/spreadsheetml/2009/9/main" uri="{B025F937-C7B1-47D3-B67F-A62EFF666E3E}">
          <x14:id>{ABF63401-53FA-4017-B11C-23B4C08B597A}</x14:id>
        </ext>
      </extLst>
    </cfRule>
    <cfRule type="dataBar" priority="222">
      <dataBar showValue="0">
        <cfvo type="min"/>
        <cfvo type="max"/>
        <color rgb="FFFFFF00"/>
      </dataBar>
      <extLst>
        <ext xmlns:x14="http://schemas.microsoft.com/office/spreadsheetml/2009/9/main" uri="{B025F937-C7B1-47D3-B67F-A62EFF666E3E}">
          <x14:id>{3F55FEB2-A9DF-4F5C-9E0D-C6695B537CEE}</x14:id>
        </ext>
      </extLst>
    </cfRule>
  </conditionalFormatting>
  <conditionalFormatting sqref="M18 M21">
    <cfRule type="dataBar" priority="195">
      <dataBar showValue="0">
        <cfvo type="min"/>
        <cfvo type="max"/>
        <color rgb="FFFFB628"/>
      </dataBar>
      <extLst>
        <ext xmlns:x14="http://schemas.microsoft.com/office/spreadsheetml/2009/9/main" uri="{B025F937-C7B1-47D3-B67F-A62EFF666E3E}">
          <x14:id>{1DE5432C-D840-453E-8608-7F185D1B1037}</x14:id>
        </ext>
      </extLst>
    </cfRule>
    <cfRule type="dataBar" priority="196">
      <dataBar showValue="0">
        <cfvo type="min"/>
        <cfvo type="max"/>
        <color rgb="FFFFFF00"/>
      </dataBar>
      <extLst>
        <ext xmlns:x14="http://schemas.microsoft.com/office/spreadsheetml/2009/9/main" uri="{B025F937-C7B1-47D3-B67F-A62EFF666E3E}">
          <x14:id>{FE2A70DC-10E8-4508-8399-D99D20A225C9}</x14:id>
        </ext>
      </extLst>
    </cfRule>
  </conditionalFormatting>
  <pageMargins left="0.70866141732283472" right="0.70866141732283472" top="0.74803149606299213" bottom="0.74803149606299213" header="0.31496062992125984" footer="0.31496062992125984"/>
  <pageSetup scale="44" orientation="landscape" r:id="rId1"/>
  <rowBreaks count="1" manualBreakCount="1">
    <brk id="57" max="15" man="1"/>
  </rowBreaks>
  <colBreaks count="1" manualBreakCount="1">
    <brk id="15" max="103" man="1"/>
  </colBreaks>
  <drawing r:id="rId2"/>
  <extLst>
    <ext xmlns:x14="http://schemas.microsoft.com/office/spreadsheetml/2009/9/main" uri="{78C0D931-6437-407d-A8EE-F0AAD7539E65}">
      <x14:conditionalFormattings>
        <x14:conditionalFormatting xmlns:xm="http://schemas.microsoft.com/office/excel/2006/main">
          <x14:cfRule type="dataBar" id="{8F749659-65AD-40DF-8E0B-5BC4CB96D9A2}">
            <x14:dataBar minLength="0" maxLength="100" gradient="0">
              <x14:cfvo type="autoMin"/>
              <x14:cfvo type="autoMax"/>
              <x14:negativeFillColor rgb="FFFF0000"/>
              <x14:axisColor rgb="FF000000"/>
            </x14:dataBar>
          </x14:cfRule>
          <x14:cfRule type="dataBar" id="{617A7E69-5DEC-49E8-84AC-F75F9A595D50}">
            <x14:dataBar minLength="0" maxLength="100" gradient="0">
              <x14:cfvo type="autoMin"/>
              <x14:cfvo type="autoMax"/>
              <x14:negativeFillColor rgb="FFFF0000"/>
              <x14:axisColor rgb="FF000000"/>
            </x14:dataBar>
          </x14:cfRule>
          <xm:sqref>J14:M14</xm:sqref>
        </x14:conditionalFormatting>
        <x14:conditionalFormatting xmlns:xm="http://schemas.microsoft.com/office/excel/2006/main">
          <x14:cfRule type="dataBar" id="{E34465A6-ED60-40D2-BB95-A9766642CD2A}">
            <x14:dataBar minLength="0" maxLength="100" gradient="0">
              <x14:cfvo type="autoMin"/>
              <x14:cfvo type="autoMax"/>
              <x14:negativeFillColor rgb="FFFF0000"/>
              <x14:axisColor rgb="FF000000"/>
            </x14:dataBar>
          </x14:cfRule>
          <x14:cfRule type="dataBar" id="{1A97FE75-4140-4DF0-AA18-1C1980FE5291}">
            <x14:dataBar minLength="0" maxLength="100" gradient="0">
              <x14:cfvo type="autoMin"/>
              <x14:cfvo type="autoMax"/>
              <x14:negativeFillColor rgb="FFFF0000"/>
              <x14:axisColor rgb="FF000000"/>
            </x14:dataBar>
          </x14:cfRule>
          <xm:sqref>J27:M27</xm:sqref>
        </x14:conditionalFormatting>
        <x14:conditionalFormatting xmlns:xm="http://schemas.microsoft.com/office/excel/2006/main">
          <x14:cfRule type="dataBar" id="{DDD5C365-C8DC-4740-AB7A-3D0E7041BB0F}">
            <x14:dataBar minLength="0" maxLength="100" gradient="0">
              <x14:cfvo type="autoMin"/>
              <x14:cfvo type="autoMax"/>
              <x14:negativeFillColor rgb="FFFF0000"/>
              <x14:axisColor rgb="FF000000"/>
            </x14:dataBar>
          </x14:cfRule>
          <x14:cfRule type="dataBar" id="{66D34028-6FAC-454F-8F57-397A91479B79}">
            <x14:dataBar minLength="0" maxLength="100" gradient="0">
              <x14:cfvo type="autoMin"/>
              <x14:cfvo type="autoMax"/>
              <x14:negativeFillColor rgb="FFFF0000"/>
              <x14:axisColor rgb="FF000000"/>
            </x14:dataBar>
          </x14:cfRule>
          <xm:sqref>J30:M30</xm:sqref>
        </x14:conditionalFormatting>
        <x14:conditionalFormatting xmlns:xm="http://schemas.microsoft.com/office/excel/2006/main">
          <x14:cfRule type="dataBar" id="{11C5DBE9-18E0-4893-9265-A12B84874570}">
            <x14:dataBar minLength="0" maxLength="100" gradient="0">
              <x14:cfvo type="autoMin"/>
              <x14:cfvo type="autoMax"/>
              <x14:negativeFillColor rgb="FFFF0000"/>
              <x14:axisColor rgb="FF000000"/>
            </x14:dataBar>
          </x14:cfRule>
          <x14:cfRule type="dataBar" id="{C4AC4F33-08C4-4F78-924A-D82942C00E45}">
            <x14:dataBar minLength="0" maxLength="100" gradient="0">
              <x14:cfvo type="autoMin"/>
              <x14:cfvo type="autoMax"/>
              <x14:negativeFillColor rgb="FFFF0000"/>
              <x14:axisColor rgb="FF000000"/>
            </x14:dataBar>
          </x14:cfRule>
          <xm:sqref>J40:M40 J18:L18 J21:L21 J34:M34 J49:M49 J37:M37 J24:M24 J43:M43 J46:M46</xm:sqref>
        </x14:conditionalFormatting>
        <x14:conditionalFormatting xmlns:xm="http://schemas.microsoft.com/office/excel/2006/main">
          <x14:cfRule type="dataBar" id="{ABF63401-53FA-4017-B11C-23B4C08B597A}">
            <x14:dataBar minLength="0" maxLength="100" gradient="0">
              <x14:cfvo type="autoMin"/>
              <x14:cfvo type="autoMax"/>
              <x14:negativeFillColor rgb="FFFF0000"/>
              <x14:axisColor rgb="FF000000"/>
            </x14:dataBar>
          </x14:cfRule>
          <x14:cfRule type="dataBar" id="{3F55FEB2-A9DF-4F5C-9E0D-C6695B537CEE}">
            <x14:dataBar minLength="0" maxLength="100" gradient="0">
              <x14:cfvo type="autoMin"/>
              <x14:cfvo type="autoMax"/>
              <x14:negativeFillColor rgb="FFFF0000"/>
              <x14:axisColor rgb="FF000000"/>
            </x14:dataBar>
          </x14:cfRule>
          <xm:sqref>J92:M92 J56:M56 J53:M53 J59:M59 J89:M89 J62:M62 J65:M65 J71:M71 J77:M77 J80:M80 J83:M83 J86:M86 J68:M68 J74:M74 J95:M95</xm:sqref>
        </x14:conditionalFormatting>
        <x14:conditionalFormatting xmlns:xm="http://schemas.microsoft.com/office/excel/2006/main">
          <x14:cfRule type="dataBar" id="{1DE5432C-D840-453E-8608-7F185D1B1037}">
            <x14:dataBar minLength="0" maxLength="100" gradient="0">
              <x14:cfvo type="autoMin"/>
              <x14:cfvo type="autoMax"/>
              <x14:negativeFillColor rgb="FFFF0000"/>
              <x14:axisColor rgb="FF000000"/>
            </x14:dataBar>
          </x14:cfRule>
          <x14:cfRule type="dataBar" id="{FE2A70DC-10E8-4508-8399-D99D20A225C9}">
            <x14:dataBar minLength="0" maxLength="100" gradient="0">
              <x14:cfvo type="autoMin"/>
              <x14:cfvo type="autoMax"/>
              <x14:negativeFillColor rgb="FFFF0000"/>
              <x14:axisColor rgb="FF000000"/>
            </x14:dataBar>
          </x14:cfRule>
          <xm:sqref>M18 M21</xm:sqref>
        </x14:conditionalFormatting>
      </x14:conditionalFormattings>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F284"/>
  <sheetViews>
    <sheetView workbookViewId="0">
      <selection activeCell="H38" sqref="H38"/>
    </sheetView>
  </sheetViews>
  <sheetFormatPr baseColWidth="10" defaultColWidth="14.44140625" defaultRowHeight="15" customHeight="1"/>
  <cols>
    <col min="1" max="1" width="4.6640625" customWidth="1"/>
    <col min="2" max="2" width="57.5546875" customWidth="1"/>
    <col min="3" max="3" width="5.5546875" customWidth="1"/>
    <col min="4" max="4" width="10.109375" customWidth="1"/>
    <col min="5" max="5" width="16.33203125" customWidth="1"/>
    <col min="6" max="6" width="17.109375" customWidth="1"/>
    <col min="7" max="7" width="16.5546875" customWidth="1"/>
    <col min="8" max="8" width="18.6640625" customWidth="1"/>
    <col min="9" max="9" width="15.5546875" customWidth="1"/>
    <col min="10" max="10" width="14.44140625" customWidth="1"/>
    <col min="11" max="11" width="15.44140625" customWidth="1"/>
    <col min="12" max="12" width="14.88671875" customWidth="1"/>
    <col min="13" max="13" width="14.6640625" customWidth="1"/>
    <col min="14" max="14" width="12.33203125" customWidth="1"/>
    <col min="15" max="15" width="14.6640625" customWidth="1"/>
    <col min="16" max="26" width="11.44140625" customWidth="1"/>
  </cols>
  <sheetData>
    <row r="1" spans="1:6" ht="15" customHeight="1">
      <c r="A1" s="2206" t="s">
        <v>1192</v>
      </c>
      <c r="B1" s="1616"/>
      <c r="C1" s="1616"/>
      <c r="D1" s="1932"/>
      <c r="E1" s="230"/>
      <c r="F1" s="231"/>
    </row>
    <row r="2" spans="1:6" ht="15" customHeight="1">
      <c r="A2" s="2207" t="s">
        <v>1193</v>
      </c>
      <c r="B2" s="1605"/>
      <c r="C2" s="1605"/>
      <c r="D2" s="1887"/>
      <c r="E2" s="232"/>
      <c r="F2" s="233"/>
    </row>
    <row r="3" spans="1:6" ht="15" customHeight="1">
      <c r="A3" s="2208" t="s">
        <v>1194</v>
      </c>
      <c r="B3" s="1608"/>
      <c r="C3" s="1608"/>
      <c r="D3" s="1888"/>
      <c r="E3" s="234"/>
      <c r="F3" s="235"/>
    </row>
    <row r="4" spans="1:6" ht="20.25" customHeight="1">
      <c r="A4" s="2209" t="s">
        <v>1195</v>
      </c>
      <c r="B4" s="1807"/>
      <c r="C4" s="1807"/>
      <c r="D4" s="1819"/>
      <c r="E4" s="236"/>
      <c r="F4" s="237"/>
    </row>
    <row r="5" spans="1:6" ht="3.75" customHeight="1">
      <c r="A5" s="2210"/>
      <c r="B5" s="1605"/>
      <c r="C5" s="1605"/>
      <c r="D5" s="1605"/>
      <c r="E5" s="1605"/>
      <c r="F5" s="1605"/>
    </row>
    <row r="6" spans="1:6" ht="30.75" customHeight="1">
      <c r="A6" s="2211" t="s">
        <v>1196</v>
      </c>
      <c r="B6" s="1824"/>
      <c r="C6" s="1824"/>
      <c r="D6" s="1824"/>
      <c r="E6" s="1824"/>
      <c r="F6" s="1825"/>
    </row>
    <row r="7" spans="1:6" ht="3.75" customHeight="1">
      <c r="A7" s="2212"/>
      <c r="B7" s="1605"/>
      <c r="C7" s="1605"/>
      <c r="D7" s="1605"/>
      <c r="E7" s="1605"/>
      <c r="F7" s="1605"/>
    </row>
    <row r="8" spans="1:6" ht="15" customHeight="1">
      <c r="A8" s="2213" t="s">
        <v>1529</v>
      </c>
      <c r="B8" s="1610"/>
      <c r="C8" s="1610"/>
      <c r="D8" s="1611"/>
      <c r="E8" s="2214" t="s">
        <v>148</v>
      </c>
      <c r="F8" s="1611"/>
    </row>
    <row r="9" spans="1:6" ht="3.75" customHeight="1">
      <c r="A9" s="2215"/>
      <c r="B9" s="1817"/>
      <c r="C9" s="1817"/>
      <c r="D9" s="1817"/>
      <c r="E9" s="1817"/>
      <c r="F9" s="1817"/>
    </row>
    <row r="10" spans="1:6" ht="12.75" customHeight="1">
      <c r="A10" s="238" t="s">
        <v>375</v>
      </c>
      <c r="B10" s="239" t="s">
        <v>376</v>
      </c>
      <c r="C10" s="239" t="s">
        <v>127</v>
      </c>
      <c r="D10" s="240" t="s">
        <v>7</v>
      </c>
      <c r="E10" s="239" t="s">
        <v>377</v>
      </c>
      <c r="F10" s="239" t="s">
        <v>378</v>
      </c>
    </row>
    <row r="11" spans="1:6" ht="2.25" customHeight="1">
      <c r="A11" s="2216"/>
      <c r="B11" s="1807"/>
      <c r="C11" s="1807"/>
      <c r="D11" s="1807"/>
      <c r="E11" s="1807"/>
      <c r="F11" s="1819"/>
    </row>
    <row r="12" spans="1:6" ht="27" customHeight="1">
      <c r="A12" s="241">
        <v>1</v>
      </c>
      <c r="B12" s="2217" t="s">
        <v>1530</v>
      </c>
      <c r="C12" s="1811"/>
      <c r="D12" s="1811"/>
      <c r="E12" s="1811"/>
      <c r="F12" s="1967"/>
    </row>
    <row r="13" spans="1:6" ht="12.75" customHeight="1">
      <c r="A13" s="246" t="s">
        <v>1531</v>
      </c>
      <c r="B13" s="247" t="s">
        <v>1532</v>
      </c>
      <c r="C13" s="242" t="s">
        <v>1533</v>
      </c>
      <c r="D13" s="243">
        <v>3</v>
      </c>
      <c r="E13" s="244">
        <v>350000</v>
      </c>
      <c r="F13" s="245">
        <f t="shared" ref="F13:F17" si="0">ROUND(D13*E13,0)</f>
        <v>1050000</v>
      </c>
    </row>
    <row r="14" spans="1:6" ht="12.75" customHeight="1">
      <c r="A14" s="246" t="s">
        <v>1534</v>
      </c>
      <c r="B14" s="248" t="s">
        <v>1535</v>
      </c>
      <c r="C14" s="242" t="s">
        <v>1533</v>
      </c>
      <c r="D14" s="243">
        <v>5</v>
      </c>
      <c r="E14" s="244">
        <v>30000</v>
      </c>
      <c r="F14" s="245">
        <f t="shared" si="0"/>
        <v>150000</v>
      </c>
    </row>
    <row r="15" spans="1:6" ht="12.75" customHeight="1">
      <c r="A15" s="246" t="s">
        <v>1536</v>
      </c>
      <c r="B15" s="247" t="s">
        <v>1537</v>
      </c>
      <c r="C15" s="242" t="s">
        <v>1533</v>
      </c>
      <c r="D15" s="243">
        <v>2</v>
      </c>
      <c r="E15" s="244">
        <v>80000</v>
      </c>
      <c r="F15" s="245">
        <f t="shared" si="0"/>
        <v>160000</v>
      </c>
    </row>
    <row r="16" spans="1:6" ht="12.75" customHeight="1">
      <c r="A16" s="246" t="s">
        <v>1538</v>
      </c>
      <c r="B16" s="247" t="s">
        <v>1539</v>
      </c>
      <c r="C16" s="242" t="s">
        <v>1533</v>
      </c>
      <c r="D16" s="243">
        <v>2</v>
      </c>
      <c r="E16" s="244">
        <v>215000</v>
      </c>
      <c r="F16" s="245">
        <f t="shared" si="0"/>
        <v>430000</v>
      </c>
    </row>
    <row r="17" spans="1:6" ht="18" customHeight="1">
      <c r="A17" s="246" t="s">
        <v>1540</v>
      </c>
      <c r="B17" s="248" t="s">
        <v>1541</v>
      </c>
      <c r="C17" s="242" t="s">
        <v>1533</v>
      </c>
      <c r="D17" s="243">
        <v>3</v>
      </c>
      <c r="E17" s="244">
        <v>150000</v>
      </c>
      <c r="F17" s="245">
        <f t="shared" si="0"/>
        <v>450000</v>
      </c>
    </row>
    <row r="18" spans="1:6" ht="12.75" customHeight="1">
      <c r="A18" s="249"/>
      <c r="B18" s="2204" t="s">
        <v>1542</v>
      </c>
      <c r="C18" s="1601"/>
      <c r="D18" s="1601"/>
      <c r="E18" s="1602"/>
      <c r="F18" s="250">
        <f>SUM(F13:F17)</f>
        <v>2240000</v>
      </c>
    </row>
    <row r="19" spans="1:6" ht="5.25" customHeight="1">
      <c r="A19" s="249"/>
      <c r="B19" s="251"/>
      <c r="C19" s="252"/>
      <c r="D19" s="253"/>
      <c r="E19" s="254"/>
      <c r="F19" s="255"/>
    </row>
    <row r="20" spans="1:6" ht="25.5" customHeight="1">
      <c r="A20" s="74"/>
      <c r="B20" s="73"/>
      <c r="C20" s="73"/>
      <c r="D20" s="73"/>
      <c r="E20" s="73"/>
      <c r="F20" s="256"/>
    </row>
    <row r="21" spans="1:6" ht="12.75" customHeight="1">
      <c r="A21" s="74"/>
      <c r="B21" s="72" t="s">
        <v>1543</v>
      </c>
      <c r="C21" s="1985" t="s">
        <v>272</v>
      </c>
      <c r="D21" s="1605"/>
      <c r="E21" s="73"/>
      <c r="F21" s="256"/>
    </row>
    <row r="22" spans="1:6" ht="60" customHeight="1">
      <c r="A22" s="74"/>
      <c r="B22" s="73"/>
      <c r="C22" s="73"/>
      <c r="D22" s="73"/>
      <c r="E22" s="73"/>
      <c r="F22" s="256"/>
    </row>
    <row r="23" spans="1:6" ht="12.75" customHeight="1">
      <c r="A23" s="123"/>
      <c r="B23" s="257"/>
      <c r="C23" s="2205"/>
      <c r="D23" s="1605"/>
      <c r="E23" s="1605"/>
      <c r="F23" s="123"/>
    </row>
    <row r="281" spans="4:4" ht="21" customHeight="1">
      <c r="D281" s="258" t="s">
        <v>272</v>
      </c>
    </row>
    <row r="282" spans="4:4" ht="48" customHeight="1">
      <c r="D282" s="75"/>
    </row>
    <row r="283" spans="4:4" ht="12.75" customHeight="1">
      <c r="D283" s="75" t="s">
        <v>1199</v>
      </c>
    </row>
    <row r="284" spans="4:4" ht="12.75" customHeight="1">
      <c r="D284" s="75" t="s">
        <v>276</v>
      </c>
    </row>
  </sheetData>
  <mergeCells count="15">
    <mergeCell ref="B18:E18"/>
    <mergeCell ref="C21:D21"/>
    <mergeCell ref="C23:E23"/>
    <mergeCell ref="A1:D1"/>
    <mergeCell ref="A2:D2"/>
    <mergeCell ref="A3:D3"/>
    <mergeCell ref="A4:D4"/>
    <mergeCell ref="A5:F5"/>
    <mergeCell ref="A6:F6"/>
    <mergeCell ref="A7:F7"/>
    <mergeCell ref="A8:D8"/>
    <mergeCell ref="E8:F8"/>
    <mergeCell ref="A9:F9"/>
    <mergeCell ref="A11:F11"/>
    <mergeCell ref="B12:F12"/>
  </mergeCells>
  <printOptions horizontalCentered="1"/>
  <pageMargins left="0.7" right="0.7" top="0.75" bottom="0.75" header="0" footer="0"/>
  <pageSetup fitToHeight="0" orientation="portrait"/>
  <drawing r:id="rId1"/>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B2:J111"/>
  <sheetViews>
    <sheetView topLeftCell="A33" workbookViewId="0">
      <selection activeCell="A18" sqref="A18"/>
    </sheetView>
  </sheetViews>
  <sheetFormatPr baseColWidth="10" defaultColWidth="14.44140625" defaultRowHeight="15" customHeight="1"/>
  <cols>
    <col min="1" max="2" width="11.44140625" customWidth="1"/>
    <col min="3" max="3" width="68.5546875" customWidth="1"/>
    <col min="4" max="5" width="11.44140625" hidden="1" customWidth="1"/>
    <col min="6" max="6" width="21.6640625" customWidth="1"/>
    <col min="7" max="7" width="24.44140625" customWidth="1"/>
    <col min="8" max="8" width="16.33203125" customWidth="1"/>
    <col min="9" max="9" width="17.44140625" customWidth="1"/>
    <col min="10" max="10" width="25.44140625" customWidth="1"/>
    <col min="11" max="26" width="11.44140625" customWidth="1"/>
  </cols>
  <sheetData>
    <row r="2" spans="2:10" ht="15.6">
      <c r="B2" s="2218" t="s">
        <v>1241</v>
      </c>
      <c r="C2" s="2219" t="s">
        <v>1218</v>
      </c>
      <c r="D2" s="2036"/>
      <c r="E2" s="2078"/>
      <c r="F2" s="1147" t="s">
        <v>2688</v>
      </c>
      <c r="G2" s="1147" t="s">
        <v>2689</v>
      </c>
      <c r="H2" s="1147" t="s">
        <v>2690</v>
      </c>
      <c r="I2" s="1147" t="s">
        <v>2691</v>
      </c>
      <c r="J2" s="2218" t="s">
        <v>2692</v>
      </c>
    </row>
    <row r="3" spans="2:10" ht="47.25" customHeight="1">
      <c r="B3" s="1876"/>
      <c r="C3" s="1933"/>
      <c r="D3" s="1608"/>
      <c r="E3" s="1888"/>
      <c r="F3" s="1148" t="s">
        <v>2693</v>
      </c>
      <c r="G3" s="1148" t="s">
        <v>2694</v>
      </c>
      <c r="H3" s="1148" t="s">
        <v>2695</v>
      </c>
      <c r="I3" s="1148" t="s">
        <v>2696</v>
      </c>
      <c r="J3" s="1876"/>
    </row>
    <row r="4" spans="2:10" ht="15.6">
      <c r="B4" s="1147">
        <v>1</v>
      </c>
      <c r="C4" s="2220" t="s">
        <v>2697</v>
      </c>
      <c r="D4" s="1610"/>
      <c r="E4" s="1610"/>
      <c r="F4" s="1610"/>
      <c r="G4" s="1610"/>
      <c r="H4" s="1610"/>
      <c r="I4" s="1610"/>
      <c r="J4" s="1611"/>
    </row>
    <row r="5" spans="2:10" ht="15.6">
      <c r="B5" s="1149">
        <v>1.1000000000000001</v>
      </c>
      <c r="C5" s="1150" t="s">
        <v>2698</v>
      </c>
      <c r="D5" s="1151"/>
      <c r="E5" s="1151"/>
      <c r="F5" s="1152">
        <v>2400</v>
      </c>
      <c r="G5" s="1152"/>
      <c r="H5" s="1152">
        <v>3360</v>
      </c>
      <c r="I5" s="1152">
        <v>4386</v>
      </c>
      <c r="J5" s="1152">
        <f t="shared" ref="J5:J111" si="0">AVERAGE(F5:I5)</f>
        <v>3382</v>
      </c>
    </row>
    <row r="6" spans="2:10" ht="15.6">
      <c r="B6" s="1149">
        <v>1.2</v>
      </c>
      <c r="C6" s="1150" t="s">
        <v>2699</v>
      </c>
      <c r="D6" s="1151"/>
      <c r="E6" s="1151"/>
      <c r="F6" s="1152">
        <v>1520</v>
      </c>
      <c r="G6" s="1152"/>
      <c r="H6" s="1152">
        <v>2640</v>
      </c>
      <c r="I6" s="1152">
        <v>3348.4</v>
      </c>
      <c r="J6" s="1152">
        <f t="shared" si="0"/>
        <v>2502.7999999999997</v>
      </c>
    </row>
    <row r="7" spans="2:10" ht="15.6">
      <c r="B7" s="1149">
        <v>1.3</v>
      </c>
      <c r="C7" s="1150" t="s">
        <v>2700</v>
      </c>
      <c r="D7" s="1151"/>
      <c r="E7" s="1151"/>
      <c r="F7" s="1152">
        <v>4080</v>
      </c>
      <c r="G7" s="1152"/>
      <c r="H7" s="1152">
        <v>1584</v>
      </c>
      <c r="I7" s="1152">
        <v>3066</v>
      </c>
      <c r="J7" s="1152">
        <f t="shared" si="0"/>
        <v>2910</v>
      </c>
    </row>
    <row r="8" spans="2:10" ht="15.6">
      <c r="B8" s="1149">
        <v>1.4</v>
      </c>
      <c r="C8" s="1150" t="s">
        <v>2701</v>
      </c>
      <c r="D8" s="1151"/>
      <c r="E8" s="1151"/>
      <c r="F8" s="1152">
        <v>1080</v>
      </c>
      <c r="G8" s="1152"/>
      <c r="H8" s="1152">
        <v>1656</v>
      </c>
      <c r="I8" s="1152">
        <v>1917.6</v>
      </c>
      <c r="J8" s="1152">
        <f t="shared" si="0"/>
        <v>1551.2</v>
      </c>
    </row>
    <row r="9" spans="2:10" ht="15.6">
      <c r="B9" s="1149">
        <v>1.5</v>
      </c>
      <c r="C9" s="1150" t="s">
        <v>2702</v>
      </c>
      <c r="D9" s="1151"/>
      <c r="E9" s="1151"/>
      <c r="F9" s="1152">
        <v>1440</v>
      </c>
      <c r="G9" s="1152"/>
      <c r="H9" s="1152">
        <v>936</v>
      </c>
      <c r="I9" s="1152">
        <v>982.8</v>
      </c>
      <c r="J9" s="1152">
        <f t="shared" si="0"/>
        <v>1119.6000000000001</v>
      </c>
    </row>
    <row r="10" spans="2:10" ht="15.6">
      <c r="B10" s="1149">
        <v>1.6</v>
      </c>
      <c r="C10" s="1150" t="s">
        <v>2703</v>
      </c>
      <c r="D10" s="1151"/>
      <c r="E10" s="1151"/>
      <c r="F10" s="1152">
        <v>384</v>
      </c>
      <c r="G10" s="1152"/>
      <c r="H10" s="1152">
        <v>576</v>
      </c>
      <c r="I10" s="1152">
        <v>740.4</v>
      </c>
      <c r="J10" s="1152">
        <f t="shared" si="0"/>
        <v>566.80000000000007</v>
      </c>
    </row>
    <row r="11" spans="2:10" ht="15.6">
      <c r="B11" s="1149">
        <v>1.7</v>
      </c>
      <c r="C11" s="1150" t="s">
        <v>2704</v>
      </c>
      <c r="D11" s="1151"/>
      <c r="E11" s="1151"/>
      <c r="F11" s="1152">
        <v>4200</v>
      </c>
      <c r="G11" s="1152"/>
      <c r="H11" s="1152"/>
      <c r="I11" s="1152">
        <v>5017.2</v>
      </c>
      <c r="J11" s="1152">
        <f t="shared" si="0"/>
        <v>4608.6000000000004</v>
      </c>
    </row>
    <row r="12" spans="2:10" ht="15.6">
      <c r="B12" s="1149">
        <v>1.8</v>
      </c>
      <c r="C12" s="1150" t="s">
        <v>2705</v>
      </c>
      <c r="D12" s="1151"/>
      <c r="E12" s="1151"/>
      <c r="F12" s="1152">
        <v>2280</v>
      </c>
      <c r="G12" s="1152"/>
      <c r="H12" s="1152"/>
      <c r="I12" s="1152">
        <v>3356.4</v>
      </c>
      <c r="J12" s="1152">
        <f t="shared" si="0"/>
        <v>2818.2</v>
      </c>
    </row>
    <row r="13" spans="2:10" ht="15.6">
      <c r="B13" s="1149">
        <v>1.9</v>
      </c>
      <c r="C13" s="1150" t="s">
        <v>2706</v>
      </c>
      <c r="D13" s="1151"/>
      <c r="E13" s="1151"/>
      <c r="F13" s="1152">
        <v>2992.7999999999997</v>
      </c>
      <c r="G13" s="1149"/>
      <c r="H13" s="1149"/>
      <c r="I13" s="1152">
        <v>3120</v>
      </c>
      <c r="J13" s="1152">
        <f t="shared" si="0"/>
        <v>3056.3999999999996</v>
      </c>
    </row>
    <row r="14" spans="2:10" ht="15.6">
      <c r="B14" s="1153">
        <v>1.1000000000000001</v>
      </c>
      <c r="C14" s="1154" t="s">
        <v>2707</v>
      </c>
      <c r="D14" s="1151"/>
      <c r="E14" s="1151"/>
      <c r="F14" s="1152">
        <v>27600</v>
      </c>
      <c r="G14" s="1152">
        <v>32220</v>
      </c>
      <c r="H14" s="1149"/>
      <c r="I14" s="1149"/>
      <c r="J14" s="1152">
        <f t="shared" si="0"/>
        <v>29910</v>
      </c>
    </row>
    <row r="15" spans="2:10" ht="15.6">
      <c r="B15" s="1149">
        <v>1.1100000000000001</v>
      </c>
      <c r="C15" s="1150" t="s">
        <v>2708</v>
      </c>
      <c r="D15" s="1151"/>
      <c r="E15" s="1151"/>
      <c r="F15" s="1152">
        <v>540</v>
      </c>
      <c r="G15" s="1152">
        <v>240</v>
      </c>
      <c r="H15" s="1152"/>
      <c r="I15" s="1152"/>
      <c r="J15" s="1152">
        <f t="shared" si="0"/>
        <v>390</v>
      </c>
    </row>
    <row r="16" spans="2:10" ht="15.6">
      <c r="B16" s="1149">
        <v>1.1200000000000001</v>
      </c>
      <c r="C16" s="1150" t="s">
        <v>2709</v>
      </c>
      <c r="D16" s="1151"/>
      <c r="E16" s="1151"/>
      <c r="F16" s="1152">
        <v>38280</v>
      </c>
      <c r="G16" s="1152">
        <v>38640</v>
      </c>
      <c r="H16" s="1152"/>
      <c r="I16" s="1152"/>
      <c r="J16" s="1152">
        <f t="shared" si="0"/>
        <v>38460</v>
      </c>
    </row>
    <row r="17" spans="2:10" ht="15.6">
      <c r="B17" s="1153">
        <v>1.1299999999999999</v>
      </c>
      <c r="C17" s="1150" t="s">
        <v>2710</v>
      </c>
      <c r="D17" s="1151"/>
      <c r="E17" s="1151"/>
      <c r="F17" s="1152"/>
      <c r="G17" s="1152">
        <v>17900</v>
      </c>
      <c r="H17" s="1152"/>
      <c r="I17" s="1152"/>
      <c r="J17" s="1152">
        <f t="shared" si="0"/>
        <v>17900</v>
      </c>
    </row>
    <row r="18" spans="2:10" ht="15.6">
      <c r="B18" s="1149">
        <v>1.1499999999999999</v>
      </c>
      <c r="C18" s="1150" t="s">
        <v>2711</v>
      </c>
      <c r="D18" s="1151"/>
      <c r="E18" s="1151"/>
      <c r="F18" s="1152">
        <v>56280</v>
      </c>
      <c r="G18" s="1152">
        <v>44160</v>
      </c>
      <c r="H18" s="1152"/>
      <c r="I18" s="1152"/>
      <c r="J18" s="1152">
        <f t="shared" si="0"/>
        <v>50220</v>
      </c>
    </row>
    <row r="19" spans="2:10" ht="15.6">
      <c r="B19" s="1153">
        <v>1.1599999999999999</v>
      </c>
      <c r="C19" s="1150" t="s">
        <v>2712</v>
      </c>
      <c r="D19" s="1151"/>
      <c r="E19" s="1151"/>
      <c r="F19" s="1152">
        <v>69480</v>
      </c>
      <c r="G19" s="1152">
        <v>51420</v>
      </c>
      <c r="H19" s="1152"/>
      <c r="I19" s="1152"/>
      <c r="J19" s="1152">
        <f t="shared" si="0"/>
        <v>60450</v>
      </c>
    </row>
    <row r="20" spans="2:10" ht="15.6">
      <c r="B20" s="1149">
        <v>1.17</v>
      </c>
      <c r="C20" s="1150" t="s">
        <v>2713</v>
      </c>
      <c r="D20" s="1151"/>
      <c r="E20" s="1151"/>
      <c r="F20" s="1152">
        <v>139080</v>
      </c>
      <c r="G20" s="1152"/>
      <c r="H20" s="1152"/>
      <c r="I20" s="1152"/>
      <c r="J20" s="1152">
        <f t="shared" si="0"/>
        <v>139080</v>
      </c>
    </row>
    <row r="21" spans="2:10" ht="15.75" customHeight="1">
      <c r="B21" s="1149">
        <v>1.18</v>
      </c>
      <c r="C21" s="1150" t="s">
        <v>2714</v>
      </c>
      <c r="D21" s="1151"/>
      <c r="E21" s="1151"/>
      <c r="F21" s="1152">
        <v>163080</v>
      </c>
      <c r="G21" s="1152">
        <v>168540</v>
      </c>
      <c r="H21" s="1152"/>
      <c r="I21" s="1152"/>
      <c r="J21" s="1152">
        <f t="shared" si="0"/>
        <v>165810</v>
      </c>
    </row>
    <row r="22" spans="2:10" ht="15.75" customHeight="1">
      <c r="B22" s="1153">
        <v>1.19</v>
      </c>
      <c r="C22" s="1150" t="s">
        <v>2715</v>
      </c>
      <c r="D22" s="1151"/>
      <c r="E22" s="1151"/>
      <c r="F22" s="1152">
        <v>23400</v>
      </c>
      <c r="G22" s="1152">
        <v>14220</v>
      </c>
      <c r="H22" s="1152"/>
      <c r="I22" s="1152"/>
      <c r="J22" s="1152">
        <f t="shared" si="0"/>
        <v>18810</v>
      </c>
    </row>
    <row r="23" spans="2:10" ht="15.75" customHeight="1">
      <c r="B23" s="1149">
        <v>1.2</v>
      </c>
      <c r="C23" s="1150" t="s">
        <v>2716</v>
      </c>
      <c r="D23" s="1151"/>
      <c r="E23" s="1151"/>
      <c r="F23" s="1152">
        <v>8400</v>
      </c>
      <c r="G23" s="1152">
        <v>2820</v>
      </c>
      <c r="H23" s="1152"/>
      <c r="I23" s="1152"/>
      <c r="J23" s="1152">
        <f t="shared" si="0"/>
        <v>5610</v>
      </c>
    </row>
    <row r="24" spans="2:10" ht="15.75" customHeight="1">
      <c r="B24" s="1149">
        <v>1.21</v>
      </c>
      <c r="C24" s="1150" t="s">
        <v>2717</v>
      </c>
      <c r="D24" s="1151"/>
      <c r="E24" s="1151"/>
      <c r="F24" s="1152">
        <v>3360</v>
      </c>
      <c r="G24" s="1152">
        <v>1020</v>
      </c>
      <c r="H24" s="1152"/>
      <c r="I24" s="1152"/>
      <c r="J24" s="1152">
        <f t="shared" si="0"/>
        <v>2190</v>
      </c>
    </row>
    <row r="25" spans="2:10" ht="15.75" customHeight="1">
      <c r="B25" s="1153">
        <v>1.22</v>
      </c>
      <c r="C25" s="1150" t="s">
        <v>2718</v>
      </c>
      <c r="D25" s="1151"/>
      <c r="E25" s="1151"/>
      <c r="F25" s="1149"/>
      <c r="G25" s="1152">
        <v>4500</v>
      </c>
      <c r="H25" s="1152"/>
      <c r="I25" s="1152"/>
      <c r="J25" s="1152">
        <f t="shared" si="0"/>
        <v>4500</v>
      </c>
    </row>
    <row r="26" spans="2:10" ht="15.75" customHeight="1">
      <c r="B26" s="1149">
        <v>1.23</v>
      </c>
      <c r="C26" s="1150" t="s">
        <v>2719</v>
      </c>
      <c r="D26" s="1151"/>
      <c r="E26" s="1151"/>
      <c r="F26" s="1152"/>
      <c r="G26" s="1152">
        <v>3000</v>
      </c>
      <c r="H26" s="1152"/>
      <c r="I26" s="1152"/>
      <c r="J26" s="1152">
        <f t="shared" si="0"/>
        <v>3000</v>
      </c>
    </row>
    <row r="27" spans="2:10" ht="15.75" customHeight="1">
      <c r="B27" s="1149">
        <v>1.24</v>
      </c>
      <c r="C27" s="1150" t="s">
        <v>2720</v>
      </c>
      <c r="D27" s="1151"/>
      <c r="E27" s="1151"/>
      <c r="F27" s="1152"/>
      <c r="G27" s="1152">
        <v>1860</v>
      </c>
      <c r="H27" s="1152"/>
      <c r="I27" s="1152"/>
      <c r="J27" s="1152">
        <f t="shared" si="0"/>
        <v>1860</v>
      </c>
    </row>
    <row r="28" spans="2:10" ht="15.75" customHeight="1">
      <c r="B28" s="1153">
        <v>1.25</v>
      </c>
      <c r="C28" s="1150" t="s">
        <v>2721</v>
      </c>
      <c r="D28" s="1151"/>
      <c r="E28" s="1151"/>
      <c r="F28" s="1152">
        <v>1015.1999999999999</v>
      </c>
      <c r="G28" s="1149">
        <v>1680</v>
      </c>
      <c r="H28" s="1152"/>
      <c r="I28" s="1152"/>
      <c r="J28" s="1152">
        <f t="shared" si="0"/>
        <v>1347.6</v>
      </c>
    </row>
    <row r="29" spans="2:10" ht="15.75" customHeight="1">
      <c r="B29" s="1149">
        <v>1.26</v>
      </c>
      <c r="C29" s="1150" t="s">
        <v>2722</v>
      </c>
      <c r="D29" s="1151"/>
      <c r="E29" s="1151"/>
      <c r="F29" s="1152"/>
      <c r="G29" s="1152">
        <v>7440</v>
      </c>
      <c r="H29" s="1152"/>
      <c r="I29" s="1152"/>
      <c r="J29" s="1152">
        <f t="shared" si="0"/>
        <v>7440</v>
      </c>
    </row>
    <row r="30" spans="2:10" ht="15.75" customHeight="1">
      <c r="B30" s="1149">
        <v>1.27</v>
      </c>
      <c r="C30" s="1150" t="s">
        <v>2723</v>
      </c>
      <c r="D30" s="1151"/>
      <c r="E30" s="1151"/>
      <c r="F30" s="1152">
        <v>16680</v>
      </c>
      <c r="G30" s="1149"/>
      <c r="H30" s="1149"/>
      <c r="I30" s="1149"/>
      <c r="J30" s="1152">
        <f t="shared" si="0"/>
        <v>16680</v>
      </c>
    </row>
    <row r="31" spans="2:10" ht="15.75" customHeight="1">
      <c r="B31" s="1153">
        <v>1.28</v>
      </c>
      <c r="C31" s="1150" t="s">
        <v>2724</v>
      </c>
      <c r="D31" s="1151"/>
      <c r="E31" s="1151"/>
      <c r="F31" s="1149"/>
      <c r="G31" s="1149"/>
      <c r="H31" s="1149"/>
      <c r="I31" s="1152">
        <v>415200</v>
      </c>
      <c r="J31" s="1152">
        <f t="shared" si="0"/>
        <v>415200</v>
      </c>
    </row>
    <row r="32" spans="2:10" ht="15.75" customHeight="1">
      <c r="B32" s="1149">
        <v>1.29</v>
      </c>
      <c r="C32" s="1150" t="s">
        <v>2725</v>
      </c>
      <c r="D32" s="1151"/>
      <c r="E32" s="1151"/>
      <c r="F32" s="1152">
        <v>20280</v>
      </c>
      <c r="G32" s="1149"/>
      <c r="H32" s="1149"/>
      <c r="I32" s="1149"/>
      <c r="J32" s="1152">
        <f t="shared" si="0"/>
        <v>20280</v>
      </c>
    </row>
    <row r="33" spans="2:10" ht="15.75" customHeight="1">
      <c r="B33" s="1149">
        <v>1.3</v>
      </c>
      <c r="C33" s="1150" t="s">
        <v>2726</v>
      </c>
      <c r="D33" s="1151"/>
      <c r="E33" s="1151"/>
      <c r="F33" s="1152">
        <v>14920</v>
      </c>
      <c r="G33" s="1152"/>
      <c r="H33" s="1152"/>
      <c r="I33" s="1152">
        <v>15998.8</v>
      </c>
      <c r="J33" s="1152">
        <f t="shared" si="0"/>
        <v>15459.4</v>
      </c>
    </row>
    <row r="34" spans="2:10" ht="15.75" customHeight="1">
      <c r="B34" s="1153">
        <v>1.31</v>
      </c>
      <c r="C34" s="1150" t="s">
        <v>2727</v>
      </c>
      <c r="D34" s="1151"/>
      <c r="E34" s="1151"/>
      <c r="F34" s="1152">
        <v>10200</v>
      </c>
      <c r="G34" s="1152"/>
      <c r="H34" s="1152"/>
      <c r="I34" s="1152">
        <v>8464.7999999999993</v>
      </c>
      <c r="J34" s="1152">
        <f t="shared" si="0"/>
        <v>9332.4</v>
      </c>
    </row>
    <row r="35" spans="2:10" ht="15.75" customHeight="1">
      <c r="B35" s="1149">
        <v>1.32</v>
      </c>
      <c r="C35" s="1150" t="s">
        <v>2728</v>
      </c>
      <c r="D35" s="1151"/>
      <c r="E35" s="1151"/>
      <c r="F35" s="1152">
        <v>25080</v>
      </c>
      <c r="G35" s="1152">
        <v>13020</v>
      </c>
      <c r="H35" s="1152"/>
      <c r="I35" s="1152"/>
      <c r="J35" s="1152">
        <f t="shared" si="0"/>
        <v>19050</v>
      </c>
    </row>
    <row r="36" spans="2:10" ht="15.75" customHeight="1">
      <c r="B36" s="1149">
        <v>1.33</v>
      </c>
      <c r="C36" s="1150" t="s">
        <v>2729</v>
      </c>
      <c r="D36" s="1151"/>
      <c r="E36" s="1151"/>
      <c r="F36" s="1152"/>
      <c r="G36" s="1152"/>
      <c r="H36" s="1152"/>
      <c r="I36" s="1152">
        <v>15480</v>
      </c>
      <c r="J36" s="1152">
        <f t="shared" si="0"/>
        <v>15480</v>
      </c>
    </row>
    <row r="37" spans="2:10" ht="15.75" customHeight="1">
      <c r="B37" s="1153">
        <v>1.34</v>
      </c>
      <c r="C37" s="1150" t="s">
        <v>2730</v>
      </c>
      <c r="D37" s="1151"/>
      <c r="E37" s="1151"/>
      <c r="F37" s="1152"/>
      <c r="G37" s="1152"/>
      <c r="H37" s="1152"/>
      <c r="I37" s="1152">
        <v>31080</v>
      </c>
      <c r="J37" s="1152">
        <f t="shared" si="0"/>
        <v>31080</v>
      </c>
    </row>
    <row r="38" spans="2:10" ht="15.75" customHeight="1">
      <c r="B38" s="1149">
        <v>1.35</v>
      </c>
      <c r="C38" s="1150" t="s">
        <v>2731</v>
      </c>
      <c r="D38" s="1151"/>
      <c r="E38" s="1151"/>
      <c r="F38" s="1152">
        <v>3079.9999999999995</v>
      </c>
      <c r="G38" s="1152">
        <v>3120</v>
      </c>
      <c r="H38" s="1152"/>
      <c r="I38" s="1152"/>
      <c r="J38" s="1152">
        <f t="shared" si="0"/>
        <v>3100</v>
      </c>
    </row>
    <row r="39" spans="2:10" ht="15.75" customHeight="1">
      <c r="B39" s="1149">
        <v>1.36</v>
      </c>
      <c r="C39" s="1150" t="s">
        <v>2732</v>
      </c>
      <c r="D39" s="1151"/>
      <c r="E39" s="1151"/>
      <c r="F39" s="1152">
        <v>4600</v>
      </c>
      <c r="G39" s="1152">
        <v>4220</v>
      </c>
      <c r="H39" s="1152"/>
      <c r="I39" s="1152"/>
      <c r="J39" s="1152">
        <f t="shared" si="0"/>
        <v>4410</v>
      </c>
    </row>
    <row r="40" spans="2:10" ht="15.75" customHeight="1">
      <c r="B40" s="1153">
        <v>1.37</v>
      </c>
      <c r="C40" s="1150" t="s">
        <v>2733</v>
      </c>
      <c r="D40" s="1151"/>
      <c r="E40" s="1151"/>
      <c r="F40" s="1152">
        <v>3199.9999999999995</v>
      </c>
      <c r="G40" s="1152">
        <v>2980</v>
      </c>
      <c r="H40" s="1152"/>
      <c r="I40" s="1152"/>
      <c r="J40" s="1152">
        <f t="shared" si="0"/>
        <v>3090</v>
      </c>
    </row>
    <row r="41" spans="2:10" ht="15.75" customHeight="1">
      <c r="B41" s="1149">
        <v>1.38</v>
      </c>
      <c r="C41" s="1150" t="s">
        <v>2734</v>
      </c>
      <c r="D41" s="1151"/>
      <c r="E41" s="1151"/>
      <c r="F41" s="1152">
        <v>1760</v>
      </c>
      <c r="G41" s="1152">
        <v>1599.9999999999998</v>
      </c>
      <c r="H41" s="1152"/>
      <c r="I41" s="1152"/>
      <c r="J41" s="1152">
        <f t="shared" si="0"/>
        <v>1680</v>
      </c>
    </row>
    <row r="42" spans="2:10" ht="15.75" customHeight="1">
      <c r="B42" s="1149">
        <v>1.39</v>
      </c>
      <c r="C42" s="1150" t="s">
        <v>2735</v>
      </c>
      <c r="D42" s="1151"/>
      <c r="E42" s="1151"/>
      <c r="F42" s="1152">
        <v>2240</v>
      </c>
      <c r="G42" s="1152"/>
      <c r="H42" s="1152"/>
      <c r="I42" s="1152"/>
      <c r="J42" s="1152">
        <f t="shared" si="0"/>
        <v>2240</v>
      </c>
    </row>
    <row r="43" spans="2:10" ht="15.75" customHeight="1">
      <c r="B43" s="1153">
        <v>1.4</v>
      </c>
      <c r="C43" s="1150" t="s">
        <v>2736</v>
      </c>
      <c r="D43" s="1151"/>
      <c r="E43" s="1151"/>
      <c r="F43" s="1152">
        <v>6480</v>
      </c>
      <c r="G43" s="1152">
        <v>5840</v>
      </c>
      <c r="H43" s="1152"/>
      <c r="I43" s="1152"/>
      <c r="J43" s="1152">
        <f t="shared" si="0"/>
        <v>6160</v>
      </c>
    </row>
    <row r="44" spans="2:10" ht="15.75" customHeight="1">
      <c r="B44" s="1149">
        <v>1.41</v>
      </c>
      <c r="C44" s="1150" t="s">
        <v>2737</v>
      </c>
      <c r="D44" s="1151"/>
      <c r="E44" s="1151"/>
      <c r="F44" s="1152"/>
      <c r="G44" s="1152">
        <v>42520</v>
      </c>
      <c r="H44" s="1152"/>
      <c r="I44" s="1152"/>
      <c r="J44" s="1152">
        <f t="shared" si="0"/>
        <v>42520</v>
      </c>
    </row>
    <row r="45" spans="2:10" ht="15.75" customHeight="1">
      <c r="B45" s="1149">
        <v>1.42</v>
      </c>
      <c r="C45" s="1150" t="s">
        <v>2738</v>
      </c>
      <c r="D45" s="1151"/>
      <c r="E45" s="1151"/>
      <c r="F45" s="1152">
        <v>11880</v>
      </c>
      <c r="G45" s="1152"/>
      <c r="H45" s="1152"/>
      <c r="I45" s="1152"/>
      <c r="J45" s="1152">
        <f t="shared" si="0"/>
        <v>11880</v>
      </c>
    </row>
    <row r="46" spans="2:10" ht="15.75" customHeight="1">
      <c r="B46" s="1153">
        <v>1.43</v>
      </c>
      <c r="C46" s="1150" t="s">
        <v>2739</v>
      </c>
      <c r="D46" s="1151"/>
      <c r="E46" s="1151"/>
      <c r="F46" s="1152"/>
      <c r="G46" s="1152">
        <v>4260</v>
      </c>
      <c r="H46" s="1152"/>
      <c r="I46" s="1152"/>
      <c r="J46" s="1152">
        <f t="shared" si="0"/>
        <v>4260</v>
      </c>
    </row>
    <row r="47" spans="2:10" ht="15.75" customHeight="1">
      <c r="B47" s="1149">
        <v>1.44</v>
      </c>
      <c r="C47" s="1150" t="s">
        <v>2740</v>
      </c>
      <c r="D47" s="1151"/>
      <c r="E47" s="1151"/>
      <c r="F47" s="1152"/>
      <c r="G47" s="1152">
        <v>54780</v>
      </c>
      <c r="H47" s="1152"/>
      <c r="I47" s="1152"/>
      <c r="J47" s="1152">
        <f t="shared" si="0"/>
        <v>54780</v>
      </c>
    </row>
    <row r="48" spans="2:10" ht="15.75" customHeight="1">
      <c r="B48" s="1149">
        <v>1.45</v>
      </c>
      <c r="C48" s="1150" t="s">
        <v>2741</v>
      </c>
      <c r="D48" s="1151"/>
      <c r="E48" s="1151"/>
      <c r="F48" s="1152"/>
      <c r="G48" s="1152">
        <v>84600</v>
      </c>
      <c r="H48" s="1152"/>
      <c r="I48" s="1152"/>
      <c r="J48" s="1152">
        <f t="shared" si="0"/>
        <v>84600</v>
      </c>
    </row>
    <row r="49" spans="2:10" ht="15.75" customHeight="1">
      <c r="B49" s="1153">
        <v>1.46</v>
      </c>
      <c r="C49" s="1150" t="s">
        <v>2742</v>
      </c>
      <c r="D49" s="1151"/>
      <c r="E49" s="1151"/>
      <c r="F49" s="1152"/>
      <c r="G49" s="1152">
        <v>51120</v>
      </c>
      <c r="H49" s="1152"/>
      <c r="I49" s="1152"/>
      <c r="J49" s="1152">
        <f t="shared" si="0"/>
        <v>51120</v>
      </c>
    </row>
    <row r="50" spans="2:10" ht="15.75" customHeight="1">
      <c r="B50" s="1149">
        <v>1.48</v>
      </c>
      <c r="C50" s="1150" t="s">
        <v>2743</v>
      </c>
      <c r="D50" s="1151"/>
      <c r="E50" s="1151"/>
      <c r="F50" s="1152"/>
      <c r="G50" s="1152">
        <v>2220</v>
      </c>
      <c r="H50" s="1152"/>
      <c r="I50" s="1152"/>
      <c r="J50" s="1152">
        <f t="shared" si="0"/>
        <v>2220</v>
      </c>
    </row>
    <row r="51" spans="2:10" ht="15.75" customHeight="1">
      <c r="B51" s="1153">
        <v>1.49</v>
      </c>
      <c r="C51" s="1150" t="s">
        <v>2744</v>
      </c>
      <c r="D51" s="1151"/>
      <c r="E51" s="1151"/>
      <c r="F51" s="1152">
        <v>2221.1999999999998</v>
      </c>
      <c r="G51" s="1152">
        <v>2580</v>
      </c>
      <c r="H51" s="1152"/>
      <c r="I51" s="1152"/>
      <c r="J51" s="1152">
        <f t="shared" si="0"/>
        <v>2400.6</v>
      </c>
    </row>
    <row r="52" spans="2:10" ht="15.75" customHeight="1">
      <c r="B52" s="1149">
        <v>1.5</v>
      </c>
      <c r="C52" s="1150" t="s">
        <v>2745</v>
      </c>
      <c r="D52" s="1151"/>
      <c r="E52" s="1151"/>
      <c r="F52" s="1152">
        <v>11880</v>
      </c>
      <c r="G52" s="1152">
        <v>11640</v>
      </c>
      <c r="H52" s="1152"/>
      <c r="I52" s="1152"/>
      <c r="J52" s="1152">
        <f t="shared" si="0"/>
        <v>11760</v>
      </c>
    </row>
    <row r="53" spans="2:10" ht="15.75" customHeight="1">
      <c r="B53" s="1149">
        <v>1.51</v>
      </c>
      <c r="C53" s="1150" t="s">
        <v>2746</v>
      </c>
      <c r="D53" s="1151"/>
      <c r="E53" s="1151"/>
      <c r="F53" s="1152">
        <v>8040</v>
      </c>
      <c r="G53" s="1152">
        <v>7500</v>
      </c>
      <c r="H53" s="1152"/>
      <c r="I53" s="1152"/>
      <c r="J53" s="1152">
        <f t="shared" si="0"/>
        <v>7770</v>
      </c>
    </row>
    <row r="54" spans="2:10" ht="15.75" customHeight="1">
      <c r="B54" s="1153">
        <v>1.52</v>
      </c>
      <c r="C54" s="1150" t="s">
        <v>2747</v>
      </c>
      <c r="D54" s="1151"/>
      <c r="E54" s="1151"/>
      <c r="F54" s="1152">
        <v>840</v>
      </c>
      <c r="G54" s="1152"/>
      <c r="H54" s="1152"/>
      <c r="I54" s="1152"/>
      <c r="J54" s="1152">
        <f t="shared" si="0"/>
        <v>840</v>
      </c>
    </row>
    <row r="55" spans="2:10" ht="15.75" customHeight="1">
      <c r="B55" s="1149">
        <v>1.53</v>
      </c>
      <c r="C55" s="1150" t="s">
        <v>2748</v>
      </c>
      <c r="D55" s="1151"/>
      <c r="E55" s="1151"/>
      <c r="F55" s="1152">
        <v>143880</v>
      </c>
      <c r="G55" s="1152"/>
      <c r="H55" s="1152"/>
      <c r="I55" s="1152"/>
      <c r="J55" s="1152">
        <f t="shared" si="0"/>
        <v>143880</v>
      </c>
    </row>
    <row r="56" spans="2:10" ht="15.75" customHeight="1">
      <c r="B56" s="1149">
        <v>1.54</v>
      </c>
      <c r="C56" s="1150" t="s">
        <v>2749</v>
      </c>
      <c r="D56" s="1151"/>
      <c r="E56" s="1151"/>
      <c r="F56" s="1152">
        <v>20280</v>
      </c>
      <c r="G56" s="1152"/>
      <c r="H56" s="1152"/>
      <c r="I56" s="1152"/>
      <c r="J56" s="1152">
        <f t="shared" si="0"/>
        <v>20280</v>
      </c>
    </row>
    <row r="57" spans="2:10" ht="15.75" customHeight="1">
      <c r="B57" s="1153">
        <v>1.55</v>
      </c>
      <c r="C57" s="1150" t="s">
        <v>2750</v>
      </c>
      <c r="D57" s="1151"/>
      <c r="E57" s="1151"/>
      <c r="F57" s="1152">
        <v>290280</v>
      </c>
      <c r="G57" s="1152"/>
      <c r="H57" s="1152"/>
      <c r="I57" s="1152"/>
      <c r="J57" s="1152">
        <f t="shared" si="0"/>
        <v>290280</v>
      </c>
    </row>
    <row r="58" spans="2:10" ht="15.75" customHeight="1">
      <c r="B58" s="1149">
        <v>1.56</v>
      </c>
      <c r="C58" s="1150" t="s">
        <v>2751</v>
      </c>
      <c r="D58" s="1151"/>
      <c r="E58" s="1151"/>
      <c r="F58" s="1152"/>
      <c r="G58" s="1152"/>
      <c r="H58" s="1152"/>
      <c r="I58" s="1152">
        <v>33000</v>
      </c>
      <c r="J58" s="1152">
        <f t="shared" si="0"/>
        <v>33000</v>
      </c>
    </row>
    <row r="59" spans="2:10" ht="15.75" customHeight="1">
      <c r="B59" s="1155">
        <v>1.57</v>
      </c>
      <c r="C59" s="1156" t="s">
        <v>2752</v>
      </c>
      <c r="D59" s="1157"/>
      <c r="E59" s="1157"/>
      <c r="F59" s="1158">
        <v>40680</v>
      </c>
      <c r="G59" s="1158"/>
      <c r="H59" s="1158"/>
      <c r="I59" s="1158"/>
      <c r="J59" s="1158">
        <f t="shared" si="0"/>
        <v>40680</v>
      </c>
    </row>
    <row r="60" spans="2:10" ht="15.75" customHeight="1">
      <c r="B60" s="1149">
        <v>1.58</v>
      </c>
      <c r="C60" s="1151" t="s">
        <v>2753</v>
      </c>
      <c r="D60" s="1151"/>
      <c r="E60" s="1151"/>
      <c r="F60" s="1159"/>
      <c r="G60" s="1159"/>
      <c r="H60" s="1159"/>
      <c r="I60" s="1159">
        <v>27240</v>
      </c>
      <c r="J60" s="1152">
        <f t="shared" si="0"/>
        <v>27240</v>
      </c>
    </row>
    <row r="61" spans="2:10" ht="15.75" customHeight="1">
      <c r="B61" s="1155">
        <v>1.59</v>
      </c>
      <c r="C61" s="1160" t="s">
        <v>2754</v>
      </c>
      <c r="D61" s="1151"/>
      <c r="E61" s="1151"/>
      <c r="F61" s="1151"/>
      <c r="G61" s="1151"/>
      <c r="H61" s="1151"/>
      <c r="I61" s="1161">
        <v>264000</v>
      </c>
      <c r="J61" s="1152">
        <f t="shared" si="0"/>
        <v>264000</v>
      </c>
    </row>
    <row r="62" spans="2:10" ht="15.75" customHeight="1">
      <c r="B62" s="1149">
        <v>1.6</v>
      </c>
      <c r="C62" s="1151" t="s">
        <v>2755</v>
      </c>
      <c r="D62" s="1151"/>
      <c r="E62" s="1151"/>
      <c r="F62" s="1159">
        <v>257880</v>
      </c>
      <c r="G62" s="1151"/>
      <c r="H62" s="1151"/>
      <c r="I62" s="1159"/>
      <c r="J62" s="1152">
        <f t="shared" si="0"/>
        <v>257880</v>
      </c>
    </row>
    <row r="63" spans="2:10" ht="15.75" customHeight="1">
      <c r="B63" s="1155">
        <v>1.61</v>
      </c>
      <c r="C63" s="1162" t="s">
        <v>2756</v>
      </c>
      <c r="D63" s="1151"/>
      <c r="E63" s="1151"/>
      <c r="F63" s="1151"/>
      <c r="G63" s="1151"/>
      <c r="H63" s="1151"/>
      <c r="I63" s="1159">
        <v>278040</v>
      </c>
      <c r="J63" s="1152">
        <f t="shared" si="0"/>
        <v>278040</v>
      </c>
    </row>
    <row r="64" spans="2:10" ht="15.75" customHeight="1">
      <c r="B64" s="1149">
        <v>1.62</v>
      </c>
      <c r="C64" s="1163" t="s">
        <v>2757</v>
      </c>
      <c r="D64" s="1151"/>
      <c r="E64" s="1151"/>
      <c r="F64" s="1151"/>
      <c r="G64" s="1151"/>
      <c r="H64" s="1151"/>
      <c r="I64" s="1159">
        <v>23460</v>
      </c>
      <c r="J64" s="1152">
        <f t="shared" si="0"/>
        <v>23460</v>
      </c>
    </row>
    <row r="65" spans="2:10" ht="15.75" customHeight="1">
      <c r="B65" s="1155">
        <v>1.63</v>
      </c>
      <c r="C65" s="1164" t="s">
        <v>2758</v>
      </c>
      <c r="D65" s="1151"/>
      <c r="E65" s="1151"/>
      <c r="F65" s="1151"/>
      <c r="G65" s="1151"/>
      <c r="H65" s="1151"/>
      <c r="I65" s="1159">
        <v>29700</v>
      </c>
      <c r="J65" s="1152">
        <f t="shared" si="0"/>
        <v>29700</v>
      </c>
    </row>
    <row r="66" spans="2:10" ht="15.75" customHeight="1">
      <c r="B66" s="1149">
        <v>1.64</v>
      </c>
      <c r="C66" s="1151" t="s">
        <v>2759</v>
      </c>
      <c r="D66" s="1151"/>
      <c r="E66" s="1151"/>
      <c r="F66" s="1159">
        <v>5640</v>
      </c>
      <c r="G66" s="1151"/>
      <c r="H66" s="1151"/>
      <c r="I66" s="1159"/>
      <c r="J66" s="1152">
        <f t="shared" si="0"/>
        <v>5640</v>
      </c>
    </row>
    <row r="67" spans="2:10" ht="15.75" customHeight="1">
      <c r="B67" s="1155">
        <v>1.65</v>
      </c>
      <c r="C67" s="1151" t="s">
        <v>2760</v>
      </c>
      <c r="D67" s="1151"/>
      <c r="E67" s="1151"/>
      <c r="F67" s="1151"/>
      <c r="G67" s="1151"/>
      <c r="H67" s="1151"/>
      <c r="I67" s="1159">
        <v>227940</v>
      </c>
      <c r="J67" s="1152">
        <f t="shared" si="0"/>
        <v>227940</v>
      </c>
    </row>
    <row r="68" spans="2:10" ht="15.75" customHeight="1">
      <c r="B68" s="1149">
        <v>1.66</v>
      </c>
      <c r="C68" s="1151" t="s">
        <v>2761</v>
      </c>
      <c r="D68" s="1151"/>
      <c r="E68" s="1151"/>
      <c r="F68" s="1151"/>
      <c r="G68" s="1151"/>
      <c r="H68" s="1151"/>
      <c r="I68" s="1159">
        <v>2220</v>
      </c>
      <c r="J68" s="1152">
        <f t="shared" si="0"/>
        <v>2220</v>
      </c>
    </row>
    <row r="69" spans="2:10" ht="15.75" customHeight="1">
      <c r="B69" s="1155">
        <v>1.67</v>
      </c>
      <c r="C69" s="1151" t="s">
        <v>2762</v>
      </c>
      <c r="D69" s="1151"/>
      <c r="E69" s="1151"/>
      <c r="F69" s="1151"/>
      <c r="G69" s="1151"/>
      <c r="H69" s="1151"/>
      <c r="I69" s="1159">
        <v>10680</v>
      </c>
      <c r="J69" s="1152">
        <f t="shared" si="0"/>
        <v>10680</v>
      </c>
    </row>
    <row r="70" spans="2:10" ht="15.75" customHeight="1">
      <c r="B70" s="1149">
        <v>1.68</v>
      </c>
      <c r="C70" s="1151" t="s">
        <v>2763</v>
      </c>
      <c r="D70" s="1151"/>
      <c r="E70" s="1151"/>
      <c r="F70" s="1151"/>
      <c r="G70" s="1151"/>
      <c r="H70" s="1151"/>
      <c r="I70" s="1159">
        <v>2760</v>
      </c>
      <c r="J70" s="1152">
        <f t="shared" si="0"/>
        <v>2760</v>
      </c>
    </row>
    <row r="71" spans="2:10" ht="15.75" customHeight="1">
      <c r="B71" s="1155">
        <v>1.69</v>
      </c>
      <c r="C71" s="1151" t="s">
        <v>2764</v>
      </c>
      <c r="D71" s="1151"/>
      <c r="E71" s="1151"/>
      <c r="F71" s="1151"/>
      <c r="G71" s="1151"/>
      <c r="H71" s="1151"/>
      <c r="I71" s="1159">
        <v>14280</v>
      </c>
      <c r="J71" s="1152">
        <f t="shared" si="0"/>
        <v>14280</v>
      </c>
    </row>
    <row r="72" spans="2:10" ht="15.75" customHeight="1">
      <c r="B72" s="1149">
        <v>1.7</v>
      </c>
      <c r="C72" s="1165" t="s">
        <v>2765</v>
      </c>
      <c r="D72" s="1166"/>
      <c r="E72" s="1167"/>
      <c r="F72" s="1151"/>
      <c r="G72" s="1151"/>
      <c r="H72" s="1151"/>
      <c r="I72" s="1168">
        <v>5532</v>
      </c>
      <c r="J72" s="1152">
        <f t="shared" si="0"/>
        <v>5532</v>
      </c>
    </row>
    <row r="73" spans="2:10" ht="15.75" customHeight="1">
      <c r="B73" s="1155">
        <v>1.71</v>
      </c>
      <c r="C73" s="1165" t="s">
        <v>2766</v>
      </c>
      <c r="D73" s="1146"/>
      <c r="E73" s="1169"/>
      <c r="F73" s="1151"/>
      <c r="G73" s="1151"/>
      <c r="H73" s="1151"/>
      <c r="I73" s="1168">
        <v>3139.2</v>
      </c>
      <c r="J73" s="1152">
        <f t="shared" si="0"/>
        <v>3139.2</v>
      </c>
    </row>
    <row r="74" spans="2:10" ht="15.75" customHeight="1">
      <c r="B74" s="1149">
        <v>1.72</v>
      </c>
      <c r="C74" s="1165" t="s">
        <v>2767</v>
      </c>
      <c r="D74" s="1146"/>
      <c r="E74" s="1169"/>
      <c r="F74" s="1151"/>
      <c r="G74" s="1151"/>
      <c r="H74" s="1151"/>
      <c r="I74" s="1168">
        <v>26280</v>
      </c>
      <c r="J74" s="1152">
        <f t="shared" si="0"/>
        <v>26280</v>
      </c>
    </row>
    <row r="75" spans="2:10" ht="15.75" customHeight="1">
      <c r="B75" s="1155">
        <v>1.73</v>
      </c>
      <c r="C75" s="1165" t="s">
        <v>2768</v>
      </c>
      <c r="D75" s="1146"/>
      <c r="E75" s="1169"/>
      <c r="F75" s="1151"/>
      <c r="G75" s="1151"/>
      <c r="H75" s="1151"/>
      <c r="I75" s="1168">
        <v>26818.799999999999</v>
      </c>
      <c r="J75" s="1152">
        <f t="shared" si="0"/>
        <v>26818.799999999999</v>
      </c>
    </row>
    <row r="76" spans="2:10" ht="15.75" customHeight="1">
      <c r="B76" s="1149">
        <v>1.74</v>
      </c>
      <c r="C76" s="1165" t="s">
        <v>2769</v>
      </c>
      <c r="D76" s="1146"/>
      <c r="E76" s="1169"/>
      <c r="F76" s="1151"/>
      <c r="G76" s="1151"/>
      <c r="H76" s="1151"/>
      <c r="I76" s="1168">
        <v>1440</v>
      </c>
      <c r="J76" s="1152">
        <f t="shared" si="0"/>
        <v>1440</v>
      </c>
    </row>
    <row r="77" spans="2:10" ht="15.75" customHeight="1">
      <c r="B77" s="1155">
        <v>1.75</v>
      </c>
      <c r="C77" s="1165" t="s">
        <v>2770</v>
      </c>
      <c r="D77" s="1146"/>
      <c r="E77" s="1169"/>
      <c r="F77" s="1152">
        <v>14920</v>
      </c>
      <c r="G77" s="1152"/>
      <c r="H77" s="1152"/>
      <c r="I77" s="1152">
        <v>15998.8</v>
      </c>
      <c r="J77" s="1152">
        <f t="shared" si="0"/>
        <v>15459.4</v>
      </c>
    </row>
    <row r="78" spans="2:10" ht="15.75" customHeight="1">
      <c r="B78" s="1149">
        <v>1.76</v>
      </c>
      <c r="C78" s="1165" t="s">
        <v>2771</v>
      </c>
      <c r="D78" s="1146"/>
      <c r="E78" s="1169"/>
      <c r="F78" s="1151"/>
      <c r="G78" s="1151"/>
      <c r="H78" s="1151"/>
      <c r="I78" s="1168">
        <v>17520</v>
      </c>
      <c r="J78" s="1152">
        <f t="shared" si="0"/>
        <v>17520</v>
      </c>
    </row>
    <row r="79" spans="2:10" ht="15.75" customHeight="1">
      <c r="B79" s="1155">
        <v>1.77</v>
      </c>
      <c r="C79" s="1165" t="s">
        <v>2772</v>
      </c>
      <c r="D79" s="1146"/>
      <c r="E79" s="1169"/>
      <c r="F79" s="1151"/>
      <c r="G79" s="1151"/>
      <c r="H79" s="1151"/>
      <c r="I79" s="1168">
        <v>1680</v>
      </c>
      <c r="J79" s="1152">
        <f t="shared" si="0"/>
        <v>1680</v>
      </c>
    </row>
    <row r="80" spans="2:10" ht="15.75" customHeight="1">
      <c r="B80" s="1149">
        <v>1.78</v>
      </c>
      <c r="C80" s="1165" t="s">
        <v>2773</v>
      </c>
      <c r="D80" s="1146"/>
      <c r="E80" s="1169"/>
      <c r="F80" s="1151"/>
      <c r="G80" s="1151"/>
      <c r="H80" s="1151"/>
      <c r="I80" s="1168">
        <v>13279.999999999998</v>
      </c>
      <c r="J80" s="1152">
        <f t="shared" si="0"/>
        <v>13279.999999999998</v>
      </c>
    </row>
    <row r="81" spans="2:10" ht="15.75" customHeight="1">
      <c r="B81" s="1155">
        <v>1.79</v>
      </c>
      <c r="C81" s="1170" t="s">
        <v>2774</v>
      </c>
      <c r="D81" s="1145"/>
      <c r="E81" s="1171"/>
      <c r="F81" s="1157"/>
      <c r="G81" s="1157"/>
      <c r="H81" s="1157"/>
      <c r="I81" s="1172">
        <v>1680</v>
      </c>
      <c r="J81" s="1152">
        <f t="shared" si="0"/>
        <v>1680</v>
      </c>
    </row>
    <row r="82" spans="2:10" ht="15.75" customHeight="1">
      <c r="B82" s="1149">
        <v>1.8</v>
      </c>
      <c r="C82" s="1151" t="s">
        <v>2775</v>
      </c>
      <c r="D82" s="1151"/>
      <c r="E82" s="1151"/>
      <c r="F82" s="1159">
        <v>23540</v>
      </c>
      <c r="G82" s="1151"/>
      <c r="H82" s="1151"/>
      <c r="I82" s="1159"/>
      <c r="J82" s="1152">
        <f t="shared" si="0"/>
        <v>23540</v>
      </c>
    </row>
    <row r="83" spans="2:10" ht="15.75" customHeight="1">
      <c r="B83" s="1149">
        <v>1.81</v>
      </c>
      <c r="C83" s="1151" t="s">
        <v>2776</v>
      </c>
      <c r="D83" s="1151"/>
      <c r="E83" s="1151"/>
      <c r="F83" s="1159">
        <v>32650</v>
      </c>
      <c r="G83" s="1151"/>
      <c r="H83" s="1151"/>
      <c r="I83" s="1159"/>
      <c r="J83" s="1152">
        <f t="shared" si="0"/>
        <v>32650</v>
      </c>
    </row>
    <row r="84" spans="2:10" ht="15.75" customHeight="1">
      <c r="B84" s="1173">
        <v>1.82</v>
      </c>
      <c r="C84" s="1151" t="s">
        <v>2777</v>
      </c>
      <c r="D84" s="1151"/>
      <c r="E84" s="1151"/>
      <c r="F84" s="1151"/>
      <c r="G84" s="1159">
        <f>125850</f>
        <v>125850</v>
      </c>
      <c r="H84" s="1151"/>
      <c r="I84" s="1159"/>
      <c r="J84" s="1152">
        <f t="shared" si="0"/>
        <v>125850</v>
      </c>
    </row>
    <row r="85" spans="2:10" ht="15.75" customHeight="1">
      <c r="B85" s="1173">
        <v>1.83</v>
      </c>
      <c r="C85" s="1151" t="s">
        <v>2778</v>
      </c>
      <c r="D85" s="1151"/>
      <c r="E85" s="1151"/>
      <c r="F85" s="1159">
        <f>67600*1.1</f>
        <v>74360</v>
      </c>
      <c r="G85" s="1151"/>
      <c r="H85" s="1151"/>
      <c r="I85" s="1159"/>
      <c r="J85" s="1152">
        <f t="shared" si="0"/>
        <v>74360</v>
      </c>
    </row>
    <row r="86" spans="2:10" ht="15.75" customHeight="1">
      <c r="B86" s="1173">
        <v>1.84</v>
      </c>
      <c r="C86" s="1151" t="s">
        <v>2779</v>
      </c>
      <c r="D86" s="1151"/>
      <c r="E86" s="1151"/>
      <c r="F86" s="1159"/>
      <c r="G86" s="1159">
        <v>46500</v>
      </c>
      <c r="H86" s="1159"/>
      <c r="I86" s="1159"/>
      <c r="J86" s="1152">
        <f t="shared" si="0"/>
        <v>46500</v>
      </c>
    </row>
    <row r="87" spans="2:10" ht="15.75" customHeight="1">
      <c r="B87" s="1173">
        <v>1.85</v>
      </c>
      <c r="C87" s="1151" t="s">
        <v>2780</v>
      </c>
      <c r="D87" s="1151"/>
      <c r="E87" s="1151"/>
      <c r="F87" s="1159"/>
      <c r="G87" s="1159">
        <v>6200</v>
      </c>
      <c r="H87" s="1159"/>
      <c r="I87" s="1159"/>
      <c r="J87" s="1152">
        <f t="shared" si="0"/>
        <v>6200</v>
      </c>
    </row>
    <row r="88" spans="2:10" ht="15.75" customHeight="1">
      <c r="B88" s="1173">
        <v>1.86</v>
      </c>
      <c r="C88" s="1151" t="s">
        <v>2781</v>
      </c>
      <c r="D88" s="1151"/>
      <c r="E88" s="1151"/>
      <c r="F88" s="1159"/>
      <c r="G88" s="1159"/>
      <c r="H88" s="1159"/>
      <c r="I88" s="1159">
        <f>1.05*281008</f>
        <v>295058.40000000002</v>
      </c>
      <c r="J88" s="1152">
        <f t="shared" si="0"/>
        <v>295058.40000000002</v>
      </c>
    </row>
    <row r="89" spans="2:10" ht="15.75" customHeight="1">
      <c r="B89" s="1173">
        <v>1.87</v>
      </c>
      <c r="C89" s="1151" t="s">
        <v>2782</v>
      </c>
      <c r="D89" s="1151"/>
      <c r="E89" s="1151"/>
      <c r="F89" s="1159"/>
      <c r="G89" s="1159"/>
      <c r="H89" s="1159"/>
      <c r="I89" s="1159">
        <v>387000</v>
      </c>
      <c r="J89" s="1152">
        <f t="shared" si="0"/>
        <v>387000</v>
      </c>
    </row>
    <row r="90" spans="2:10" ht="15.75" customHeight="1">
      <c r="B90" s="1173">
        <v>1.88</v>
      </c>
      <c r="C90" s="1151" t="s">
        <v>2783</v>
      </c>
      <c r="D90" s="1151"/>
      <c r="E90" s="1151"/>
      <c r="F90" s="1159"/>
      <c r="G90" s="1159">
        <v>22700</v>
      </c>
      <c r="H90" s="1159"/>
      <c r="I90" s="1159"/>
      <c r="J90" s="1152">
        <f t="shared" si="0"/>
        <v>22700</v>
      </c>
    </row>
    <row r="91" spans="2:10" ht="15.75" customHeight="1">
      <c r="B91" s="1173">
        <v>1.89</v>
      </c>
      <c r="C91" s="1151" t="s">
        <v>2784</v>
      </c>
      <c r="D91" s="1151"/>
      <c r="E91" s="1151"/>
      <c r="F91" s="1159"/>
      <c r="G91" s="1159">
        <v>79550</v>
      </c>
      <c r="H91" s="1159"/>
      <c r="I91" s="1159"/>
      <c r="J91" s="1152">
        <f t="shared" si="0"/>
        <v>79550</v>
      </c>
    </row>
    <row r="92" spans="2:10" ht="15.75" customHeight="1">
      <c r="B92" s="1173">
        <v>1.9</v>
      </c>
      <c r="C92" s="1151" t="s">
        <v>2537</v>
      </c>
      <c r="D92" s="1151"/>
      <c r="E92" s="1151"/>
      <c r="F92" s="1159">
        <v>14900</v>
      </c>
      <c r="G92" s="1159"/>
      <c r="H92" s="1159"/>
      <c r="I92" s="1159"/>
      <c r="J92" s="1152">
        <f t="shared" si="0"/>
        <v>14900</v>
      </c>
    </row>
    <row r="93" spans="2:10" ht="15.75" customHeight="1">
      <c r="B93" s="1173">
        <v>1.91</v>
      </c>
      <c r="C93" s="1151" t="s">
        <v>2538</v>
      </c>
      <c r="D93" s="1151"/>
      <c r="E93" s="1151"/>
      <c r="F93" s="1159"/>
      <c r="G93" s="1159"/>
      <c r="H93" s="1159"/>
      <c r="I93" s="1159">
        <v>18490</v>
      </c>
      <c r="J93" s="1152">
        <f t="shared" si="0"/>
        <v>18490</v>
      </c>
    </row>
    <row r="94" spans="2:10" ht="15.75" customHeight="1">
      <c r="B94" s="1173">
        <v>1.92</v>
      </c>
      <c r="C94" s="1151" t="s">
        <v>2785</v>
      </c>
      <c r="D94" s="1151"/>
      <c r="E94" s="1151"/>
      <c r="F94" s="1159"/>
      <c r="G94" s="1159"/>
      <c r="H94" s="1159"/>
      <c r="I94" s="1159">
        <v>6300</v>
      </c>
      <c r="J94" s="1152">
        <f t="shared" si="0"/>
        <v>6300</v>
      </c>
    </row>
    <row r="95" spans="2:10" ht="15.75" customHeight="1">
      <c r="B95" s="1173">
        <v>1.93</v>
      </c>
      <c r="C95" s="2098" t="s">
        <v>2540</v>
      </c>
      <c r="D95" s="1605"/>
      <c r="E95" s="1887"/>
      <c r="F95" s="1159"/>
      <c r="G95" s="1159"/>
      <c r="H95" s="1159"/>
      <c r="I95" s="1159">
        <v>1350</v>
      </c>
      <c r="J95" s="1152">
        <f t="shared" si="0"/>
        <v>1350</v>
      </c>
    </row>
    <row r="96" spans="2:10" ht="15.75" customHeight="1">
      <c r="B96" s="1173">
        <v>1.94</v>
      </c>
      <c r="C96" s="1151" t="s">
        <v>2541</v>
      </c>
      <c r="D96" s="1151"/>
      <c r="E96" s="1151"/>
      <c r="F96" s="1159"/>
      <c r="G96" s="1159"/>
      <c r="H96" s="1159"/>
      <c r="I96" s="1159">
        <f>4250</f>
        <v>4250</v>
      </c>
      <c r="J96" s="1152">
        <f t="shared" si="0"/>
        <v>4250</v>
      </c>
    </row>
    <row r="97" spans="2:10" ht="15.75" customHeight="1">
      <c r="B97" s="1173">
        <v>1.95</v>
      </c>
      <c r="C97" s="1151" t="s">
        <v>2542</v>
      </c>
      <c r="D97" s="1151"/>
      <c r="E97" s="1151"/>
      <c r="F97" s="1159"/>
      <c r="G97" s="1159"/>
      <c r="H97" s="1159"/>
      <c r="I97" s="1159">
        <v>5650</v>
      </c>
      <c r="J97" s="1152">
        <f t="shared" si="0"/>
        <v>5650</v>
      </c>
    </row>
    <row r="98" spans="2:10" ht="15.75" customHeight="1">
      <c r="B98" s="1173">
        <v>1.96</v>
      </c>
      <c r="C98" s="1151" t="s">
        <v>2543</v>
      </c>
      <c r="D98" s="1151"/>
      <c r="E98" s="1151"/>
      <c r="F98" s="1159"/>
      <c r="G98" s="1159"/>
      <c r="H98" s="1159"/>
      <c r="I98" s="1159">
        <v>1150</v>
      </c>
      <c r="J98" s="1152">
        <f t="shared" si="0"/>
        <v>1150</v>
      </c>
    </row>
    <row r="99" spans="2:10" ht="15.75" customHeight="1">
      <c r="B99" s="1173">
        <v>1.97</v>
      </c>
      <c r="C99" s="1151" t="s">
        <v>2544</v>
      </c>
      <c r="D99" s="1151"/>
      <c r="E99" s="1151"/>
      <c r="F99" s="1159"/>
      <c r="G99" s="1159"/>
      <c r="H99" s="1159"/>
      <c r="I99" s="1159">
        <v>20600</v>
      </c>
      <c r="J99" s="1152">
        <f t="shared" si="0"/>
        <v>20600</v>
      </c>
    </row>
    <row r="100" spans="2:10" ht="15.75" customHeight="1">
      <c r="B100" s="1173">
        <v>1.98</v>
      </c>
      <c r="C100" s="1151" t="s">
        <v>2545</v>
      </c>
      <c r="D100" s="1151"/>
      <c r="E100" s="1151"/>
      <c r="F100" s="1159"/>
      <c r="G100" s="1159">
        <v>3542</v>
      </c>
      <c r="H100" s="1159"/>
      <c r="I100" s="1159"/>
      <c r="J100" s="1152">
        <f t="shared" si="0"/>
        <v>3542</v>
      </c>
    </row>
    <row r="101" spans="2:10" ht="15.75" customHeight="1">
      <c r="B101" s="1173">
        <v>1.99</v>
      </c>
      <c r="C101" s="1151" t="s">
        <v>2786</v>
      </c>
      <c r="D101" s="1151"/>
      <c r="E101" s="1151"/>
      <c r="F101" s="1159"/>
      <c r="G101" s="1159">
        <v>10600</v>
      </c>
      <c r="H101" s="1159"/>
      <c r="I101" s="1159"/>
      <c r="J101" s="1152">
        <f t="shared" si="0"/>
        <v>10600</v>
      </c>
    </row>
    <row r="102" spans="2:10" ht="15.75" customHeight="1">
      <c r="B102" s="1174">
        <v>1.1000000000000001</v>
      </c>
      <c r="C102" s="1151" t="s">
        <v>2611</v>
      </c>
      <c r="D102" s="1151"/>
      <c r="E102" s="1151"/>
      <c r="F102" s="1159"/>
      <c r="G102" s="1159"/>
      <c r="H102" s="1159"/>
      <c r="I102" s="1159">
        <v>4400</v>
      </c>
      <c r="J102" s="1152">
        <f t="shared" si="0"/>
        <v>4400</v>
      </c>
    </row>
    <row r="103" spans="2:10" ht="15.75" customHeight="1">
      <c r="B103" s="1173">
        <v>1.101</v>
      </c>
      <c r="C103" s="1151" t="s">
        <v>2787</v>
      </c>
      <c r="D103" s="1151"/>
      <c r="E103" s="1151"/>
      <c r="F103" s="1159"/>
      <c r="G103" s="1159"/>
      <c r="H103" s="1159"/>
      <c r="I103" s="1159">
        <v>12000</v>
      </c>
      <c r="J103" s="1152">
        <f t="shared" si="0"/>
        <v>12000</v>
      </c>
    </row>
    <row r="104" spans="2:10" ht="15.75" customHeight="1">
      <c r="B104" s="1174">
        <v>1.1020000000000001</v>
      </c>
      <c r="C104" s="367" t="s">
        <v>2626</v>
      </c>
      <c r="D104" s="367"/>
      <c r="E104" s="367"/>
      <c r="F104" s="367"/>
      <c r="G104" s="367"/>
      <c r="H104" s="367"/>
      <c r="I104" s="1175">
        <v>4200</v>
      </c>
      <c r="J104" s="1176">
        <f t="shared" si="0"/>
        <v>4200</v>
      </c>
    </row>
    <row r="105" spans="2:10" ht="15.75" customHeight="1">
      <c r="B105" s="1173">
        <v>1.103</v>
      </c>
      <c r="C105" s="2098" t="s">
        <v>2627</v>
      </c>
      <c r="D105" s="1605"/>
      <c r="E105" s="1887"/>
      <c r="F105" s="367"/>
      <c r="G105" s="367"/>
      <c r="H105" s="367"/>
      <c r="I105" s="1175">
        <v>4000</v>
      </c>
      <c r="J105" s="1176">
        <f t="shared" si="0"/>
        <v>4000</v>
      </c>
    </row>
    <row r="106" spans="2:10" ht="15.75" customHeight="1">
      <c r="B106" s="1174">
        <v>1.1040000000000001</v>
      </c>
      <c r="C106" s="367" t="s">
        <v>2788</v>
      </c>
      <c r="D106" s="367"/>
      <c r="E106" s="367"/>
      <c r="F106" s="1175"/>
      <c r="G106" s="1175">
        <v>38950</v>
      </c>
      <c r="H106" s="1175"/>
      <c r="I106" s="1175"/>
      <c r="J106" s="1176">
        <f t="shared" si="0"/>
        <v>38950</v>
      </c>
    </row>
    <row r="107" spans="2:10" ht="15.75" customHeight="1">
      <c r="B107" s="1173">
        <v>1.105</v>
      </c>
      <c r="C107" s="367" t="s">
        <v>2629</v>
      </c>
      <c r="D107" s="367"/>
      <c r="E107" s="367"/>
      <c r="F107" s="1175"/>
      <c r="G107" s="1175">
        <v>386400</v>
      </c>
      <c r="H107" s="1175"/>
      <c r="I107" s="1175"/>
      <c r="J107" s="1176">
        <f t="shared" si="0"/>
        <v>386400</v>
      </c>
    </row>
    <row r="108" spans="2:10" ht="15.75" customHeight="1">
      <c r="B108" s="1174">
        <v>1.1060000000000001</v>
      </c>
      <c r="C108" s="2098" t="s">
        <v>2634</v>
      </c>
      <c r="D108" s="1605"/>
      <c r="E108" s="1887"/>
      <c r="F108" s="1175"/>
      <c r="G108" s="1175"/>
      <c r="H108" s="1175"/>
      <c r="I108" s="1175">
        <v>420</v>
      </c>
      <c r="J108" s="1176">
        <f t="shared" si="0"/>
        <v>420</v>
      </c>
    </row>
    <row r="109" spans="2:10" ht="15.75" customHeight="1">
      <c r="B109" s="1173">
        <v>1.107</v>
      </c>
      <c r="C109" s="367" t="s">
        <v>2789</v>
      </c>
      <c r="D109" s="367"/>
      <c r="E109" s="367"/>
      <c r="F109" s="1175"/>
      <c r="G109" s="1175"/>
      <c r="H109" s="1175"/>
      <c r="I109" s="1175">
        <v>1980</v>
      </c>
      <c r="J109" s="1176">
        <f t="shared" si="0"/>
        <v>1980</v>
      </c>
    </row>
    <row r="110" spans="2:10" ht="15.75" customHeight="1">
      <c r="B110" s="1174">
        <v>1.1080000000000001</v>
      </c>
      <c r="C110" s="367" t="s">
        <v>2790</v>
      </c>
      <c r="D110" s="367"/>
      <c r="E110" s="367"/>
      <c r="F110" s="1175"/>
      <c r="G110" s="1175"/>
      <c r="H110" s="1175"/>
      <c r="I110" s="1175">
        <f>110900/50</f>
        <v>2218</v>
      </c>
      <c r="J110" s="1176">
        <f t="shared" si="0"/>
        <v>2218</v>
      </c>
    </row>
    <row r="111" spans="2:10" ht="15.75" customHeight="1">
      <c r="B111" s="1173">
        <v>1.109</v>
      </c>
      <c r="C111" s="367" t="s">
        <v>2643</v>
      </c>
      <c r="D111" s="367"/>
      <c r="E111" s="367"/>
      <c r="F111" s="1175"/>
      <c r="G111" s="1175"/>
      <c r="H111" s="1175"/>
      <c r="I111" s="1175">
        <v>17500</v>
      </c>
      <c r="J111" s="1176">
        <f t="shared" si="0"/>
        <v>17500</v>
      </c>
    </row>
  </sheetData>
  <mergeCells count="7">
    <mergeCell ref="C105:E105"/>
    <mergeCell ref="C108:E108"/>
    <mergeCell ref="B2:B3"/>
    <mergeCell ref="C2:E3"/>
    <mergeCell ref="J2:J3"/>
    <mergeCell ref="C4:J4"/>
    <mergeCell ref="C95:E95"/>
  </mergeCells>
  <pageMargins left="0.7" right="0.7" top="0.75" bottom="0.75" header="0" footer="0"/>
  <pageSetup paperSize="9" orientation="portrait"/>
  <legacy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C4:R79"/>
  <sheetViews>
    <sheetView workbookViewId="0">
      <selection activeCell="J29" sqref="J29"/>
    </sheetView>
  </sheetViews>
  <sheetFormatPr baseColWidth="10" defaultColWidth="14.44140625" defaultRowHeight="15" customHeight="1"/>
  <cols>
    <col min="1" max="5" width="11.44140625" customWidth="1"/>
    <col min="6" max="6" width="16.33203125" customWidth="1"/>
    <col min="7" max="7" width="11.44140625" customWidth="1"/>
    <col min="8" max="8" width="18.109375" customWidth="1"/>
    <col min="9" max="9" width="11.44140625" customWidth="1"/>
    <col min="10" max="10" width="14.44140625" customWidth="1"/>
    <col min="11" max="15" width="11.44140625" customWidth="1"/>
    <col min="16" max="16" width="16.109375" customWidth="1"/>
    <col min="17" max="17" width="13" customWidth="1"/>
    <col min="18" max="18" width="18.109375" customWidth="1"/>
    <col min="19" max="19" width="11.44140625" customWidth="1"/>
    <col min="20" max="26" width="8.88671875" customWidth="1"/>
  </cols>
  <sheetData>
    <row r="4" spans="3:18" ht="14.25" customHeight="1">
      <c r="C4" s="2224" t="s">
        <v>2791</v>
      </c>
      <c r="D4" s="1610"/>
      <c r="E4" s="1610"/>
      <c r="F4" s="1611"/>
      <c r="G4" s="1177" t="s">
        <v>127</v>
      </c>
      <c r="H4" s="1178" t="s">
        <v>2792</v>
      </c>
      <c r="M4" s="2224" t="s">
        <v>2793</v>
      </c>
      <c r="N4" s="1610"/>
      <c r="O4" s="1610"/>
      <c r="P4" s="1611"/>
      <c r="Q4" s="1177" t="s">
        <v>127</v>
      </c>
      <c r="R4" s="1178" t="s">
        <v>2792</v>
      </c>
    </row>
    <row r="5" spans="3:18" ht="14.25" customHeight="1">
      <c r="C5" s="2221" t="s">
        <v>2794</v>
      </c>
      <c r="D5" s="1610"/>
      <c r="E5" s="1610"/>
      <c r="F5" s="1611"/>
      <c r="G5" s="1179" t="s">
        <v>127</v>
      </c>
      <c r="H5" s="1180">
        <f>1400*1.25</f>
        <v>1750</v>
      </c>
      <c r="M5" s="2221" t="s">
        <v>2795</v>
      </c>
      <c r="N5" s="1610"/>
      <c r="O5" s="1610"/>
      <c r="P5" s="1611"/>
      <c r="Q5" s="1179" t="s">
        <v>1762</v>
      </c>
      <c r="R5" s="1180">
        <v>83900</v>
      </c>
    </row>
    <row r="6" spans="3:18" ht="14.25" customHeight="1">
      <c r="C6" s="2225" t="s">
        <v>2796</v>
      </c>
      <c r="D6" s="1610"/>
      <c r="E6" s="1610"/>
      <c r="F6" s="1611"/>
      <c r="G6" s="214" t="s">
        <v>1957</v>
      </c>
      <c r="H6" s="1181">
        <v>270000</v>
      </c>
      <c r="J6" s="278"/>
      <c r="M6" s="2221" t="s">
        <v>2797</v>
      </c>
      <c r="N6" s="1610"/>
      <c r="O6" s="1610"/>
      <c r="P6" s="1611"/>
      <c r="Q6" s="1179" t="s">
        <v>166</v>
      </c>
      <c r="R6" s="1180">
        <v>4900</v>
      </c>
    </row>
    <row r="7" spans="3:18" ht="14.25" customHeight="1">
      <c r="C7" s="2221" t="s">
        <v>2798</v>
      </c>
      <c r="D7" s="1610"/>
      <c r="E7" s="1610"/>
      <c r="F7" s="1611"/>
      <c r="G7" s="1179" t="s">
        <v>183</v>
      </c>
      <c r="H7" s="1180">
        <v>30</v>
      </c>
      <c r="M7" s="2221" t="s">
        <v>2799</v>
      </c>
      <c r="N7" s="1610"/>
      <c r="O7" s="1610"/>
      <c r="P7" s="1611"/>
      <c r="Q7" s="1179" t="s">
        <v>120</v>
      </c>
      <c r="R7" s="1180">
        <v>250</v>
      </c>
    </row>
    <row r="8" spans="3:18" ht="14.25" customHeight="1">
      <c r="C8" s="2226" t="s">
        <v>1608</v>
      </c>
      <c r="D8" s="1610"/>
      <c r="E8" s="1610"/>
      <c r="F8" s="1611"/>
      <c r="G8" s="1179" t="s">
        <v>1957</v>
      </c>
      <c r="H8" s="1180">
        <f>627500/1.87</f>
        <v>335561.49732620321</v>
      </c>
      <c r="M8" s="2221" t="s">
        <v>2800</v>
      </c>
      <c r="N8" s="1610"/>
      <c r="O8" s="1610"/>
      <c r="P8" s="1611"/>
      <c r="Q8" s="1179" t="s">
        <v>127</v>
      </c>
      <c r="R8" s="1180">
        <v>23000</v>
      </c>
    </row>
    <row r="9" spans="3:18" ht="14.25" customHeight="1">
      <c r="C9" s="2221" t="s">
        <v>2801</v>
      </c>
      <c r="D9" s="1610"/>
      <c r="E9" s="1610"/>
      <c r="F9" s="1611"/>
      <c r="G9" s="1179" t="s">
        <v>2113</v>
      </c>
      <c r="H9" s="1180">
        <v>150000</v>
      </c>
      <c r="M9" s="2221" t="s">
        <v>2802</v>
      </c>
      <c r="N9" s="1610"/>
      <c r="O9" s="1610"/>
      <c r="P9" s="1611"/>
      <c r="Q9" s="1179" t="s">
        <v>116</v>
      </c>
      <c r="R9" s="1180">
        <v>95000</v>
      </c>
    </row>
    <row r="10" spans="3:18" ht="14.25" customHeight="1">
      <c r="C10" s="2221" t="s">
        <v>2803</v>
      </c>
      <c r="D10" s="1610"/>
      <c r="E10" s="1610"/>
      <c r="F10" s="1611"/>
      <c r="G10" s="1182" t="s">
        <v>2113</v>
      </c>
      <c r="H10" s="1180">
        <v>90196</v>
      </c>
      <c r="M10" s="2221" t="s">
        <v>2804</v>
      </c>
      <c r="N10" s="1610"/>
      <c r="O10" s="1610"/>
      <c r="P10" s="1611"/>
      <c r="Q10" s="1179" t="s">
        <v>116</v>
      </c>
      <c r="R10" s="1180">
        <f>+R9+11900</f>
        <v>106900</v>
      </c>
    </row>
    <row r="11" spans="3:18" ht="14.25" customHeight="1">
      <c r="C11" s="2221" t="s">
        <v>2805</v>
      </c>
      <c r="D11" s="1610"/>
      <c r="E11" s="1610"/>
      <c r="F11" s="1611"/>
      <c r="G11" s="1179" t="s">
        <v>116</v>
      </c>
      <c r="H11" s="1180">
        <v>28428.571428571398</v>
      </c>
      <c r="M11" s="2221" t="s">
        <v>2806</v>
      </c>
      <c r="N11" s="1610"/>
      <c r="O11" s="1610"/>
      <c r="P11" s="1611"/>
      <c r="Q11" s="1179" t="s">
        <v>116</v>
      </c>
      <c r="R11" s="1180">
        <v>120000</v>
      </c>
    </row>
    <row r="12" spans="3:18" ht="15" customHeight="1">
      <c r="C12" s="2221" t="s">
        <v>2807</v>
      </c>
      <c r="D12" s="1610"/>
      <c r="E12" s="1610"/>
      <c r="F12" s="1611"/>
      <c r="G12" s="1179" t="s">
        <v>116</v>
      </c>
      <c r="H12" s="1180">
        <v>4285.7142857142899</v>
      </c>
      <c r="M12" s="2221" t="s">
        <v>2808</v>
      </c>
      <c r="N12" s="1610"/>
      <c r="O12" s="1610"/>
      <c r="P12" s="1611"/>
      <c r="Q12" s="1179" t="s">
        <v>116</v>
      </c>
      <c r="R12" s="1180">
        <v>791426.4</v>
      </c>
    </row>
    <row r="13" spans="3:18" ht="14.25" customHeight="1">
      <c r="C13" s="2221" t="s">
        <v>2809</v>
      </c>
      <c r="D13" s="1610"/>
      <c r="E13" s="1610"/>
      <c r="F13" s="1611"/>
      <c r="G13" s="1179" t="s">
        <v>228</v>
      </c>
      <c r="H13" s="1180">
        <f>8270.47*2</f>
        <v>16540.939999999999</v>
      </c>
      <c r="M13" s="2221" t="s">
        <v>2810</v>
      </c>
      <c r="N13" s="1610"/>
      <c r="O13" s="1610"/>
      <c r="P13" s="1611"/>
      <c r="Q13" s="1179" t="s">
        <v>120</v>
      </c>
      <c r="R13" s="1180">
        <v>3100</v>
      </c>
    </row>
    <row r="14" spans="3:18" ht="14.25" customHeight="1">
      <c r="C14" s="2221" t="s">
        <v>2811</v>
      </c>
      <c r="D14" s="1610"/>
      <c r="E14" s="1610"/>
      <c r="F14" s="1611"/>
      <c r="G14" s="1183" t="s">
        <v>1957</v>
      </c>
      <c r="H14" s="1180">
        <v>200000</v>
      </c>
      <c r="M14" s="2221" t="s">
        <v>2812</v>
      </c>
      <c r="N14" s="1610"/>
      <c r="O14" s="1610"/>
      <c r="P14" s="1611"/>
      <c r="Q14" s="1179" t="s">
        <v>2813</v>
      </c>
      <c r="R14" s="1180">
        <v>32900</v>
      </c>
    </row>
    <row r="15" spans="3:18" ht="14.25" customHeight="1">
      <c r="C15" s="2221" t="s">
        <v>2814</v>
      </c>
      <c r="D15" s="1610"/>
      <c r="E15" s="1610"/>
      <c r="F15" s="1611"/>
      <c r="G15" s="1179" t="s">
        <v>127</v>
      </c>
      <c r="H15" s="1180">
        <v>17000</v>
      </c>
      <c r="M15" s="2221" t="s">
        <v>2815</v>
      </c>
      <c r="N15" s="1610"/>
      <c r="O15" s="1610"/>
      <c r="P15" s="1611"/>
      <c r="Q15" s="1179" t="s">
        <v>171</v>
      </c>
      <c r="R15" s="1180">
        <f>33000/50</f>
        <v>660</v>
      </c>
    </row>
    <row r="16" spans="3:18" ht="14.25" customHeight="1">
      <c r="C16" s="2221" t="s">
        <v>2816</v>
      </c>
      <c r="D16" s="1610"/>
      <c r="E16" s="1610"/>
      <c r="F16" s="1611"/>
      <c r="G16" s="1179" t="s">
        <v>116</v>
      </c>
      <c r="H16" s="1180">
        <v>43969.166666666701</v>
      </c>
      <c r="M16" s="2221" t="s">
        <v>2817</v>
      </c>
      <c r="N16" s="1610"/>
      <c r="O16" s="1610"/>
      <c r="P16" s="1611"/>
      <c r="Q16" s="1179" t="s">
        <v>116</v>
      </c>
      <c r="R16" s="1180">
        <v>95000</v>
      </c>
    </row>
    <row r="17" spans="3:18" ht="14.25" customHeight="1">
      <c r="C17" s="2221" t="s">
        <v>2818</v>
      </c>
      <c r="D17" s="1610"/>
      <c r="E17" s="1610"/>
      <c r="F17" s="1611"/>
      <c r="G17" s="1179" t="s">
        <v>1957</v>
      </c>
      <c r="H17" s="1180">
        <f>8*11900</f>
        <v>95200</v>
      </c>
      <c r="M17" s="2221" t="s">
        <v>2819</v>
      </c>
      <c r="N17" s="1610"/>
      <c r="O17" s="1610"/>
      <c r="P17" s="1611"/>
      <c r="Q17" s="1179" t="s">
        <v>116</v>
      </c>
      <c r="R17" s="1180">
        <v>803250</v>
      </c>
    </row>
    <row r="18" spans="3:18" ht="27" customHeight="1">
      <c r="C18" s="2221" t="s">
        <v>2820</v>
      </c>
      <c r="D18" s="1610"/>
      <c r="E18" s="1610"/>
      <c r="F18" s="1611"/>
      <c r="G18" s="1183" t="s">
        <v>2821</v>
      </c>
      <c r="H18" s="1181">
        <v>2000</v>
      </c>
      <c r="M18" s="2221" t="s">
        <v>2822</v>
      </c>
      <c r="N18" s="1610"/>
      <c r="O18" s="1610"/>
      <c r="P18" s="1611"/>
      <c r="Q18" s="1179" t="s">
        <v>2823</v>
      </c>
      <c r="R18" s="1180">
        <v>33900</v>
      </c>
    </row>
    <row r="19" spans="3:18" ht="14.25" customHeight="1">
      <c r="C19" s="2221" t="s">
        <v>2824</v>
      </c>
      <c r="D19" s="1610"/>
      <c r="E19" s="1610"/>
      <c r="F19" s="1611"/>
      <c r="G19" s="1182" t="s">
        <v>2825</v>
      </c>
      <c r="H19" s="1180">
        <f>8*11156</f>
        <v>89248</v>
      </c>
      <c r="M19" s="2221" t="s">
        <v>2826</v>
      </c>
      <c r="N19" s="1610"/>
      <c r="O19" s="1610"/>
      <c r="P19" s="1611"/>
      <c r="Q19" s="1179" t="s">
        <v>166</v>
      </c>
      <c r="R19" s="1180">
        <v>40900</v>
      </c>
    </row>
    <row r="20" spans="3:18" ht="14.25" customHeight="1">
      <c r="C20" s="2221" t="s">
        <v>2827</v>
      </c>
      <c r="D20" s="1610"/>
      <c r="E20" s="1610"/>
      <c r="F20" s="1611"/>
      <c r="G20" s="1182" t="s">
        <v>1957</v>
      </c>
      <c r="H20" s="1180">
        <v>22000</v>
      </c>
      <c r="M20" s="2221" t="s">
        <v>2828</v>
      </c>
      <c r="N20" s="1610"/>
      <c r="O20" s="1610"/>
      <c r="P20" s="1611"/>
      <c r="Q20" s="1179" t="s">
        <v>127</v>
      </c>
      <c r="R20" s="1180">
        <f>809200*1.15</f>
        <v>930579.99999999988</v>
      </c>
    </row>
    <row r="21" spans="3:18" ht="14.25" customHeight="1">
      <c r="C21" s="2221" t="s">
        <v>2806</v>
      </c>
      <c r="D21" s="1610"/>
      <c r="E21" s="1610"/>
      <c r="F21" s="1611"/>
      <c r="G21" s="1179" t="s">
        <v>116</v>
      </c>
      <c r="H21" s="1180">
        <v>120000</v>
      </c>
      <c r="M21" s="2221" t="s">
        <v>2829</v>
      </c>
      <c r="N21" s="1610"/>
      <c r="O21" s="1610"/>
      <c r="P21" s="1611"/>
      <c r="Q21" s="1179" t="s">
        <v>1957</v>
      </c>
      <c r="R21" s="1180">
        <f>49045.5*1.15</f>
        <v>56402.324999999997</v>
      </c>
    </row>
    <row r="22" spans="3:18" ht="14.25" customHeight="1">
      <c r="C22" s="2221" t="s">
        <v>2830</v>
      </c>
      <c r="D22" s="1610"/>
      <c r="E22" s="1610"/>
      <c r="F22" s="1611"/>
      <c r="G22" s="214" t="s">
        <v>1957</v>
      </c>
      <c r="H22" s="1181">
        <f>80355.2939385668*8</f>
        <v>642842.3515085344</v>
      </c>
      <c r="M22" s="2221" t="s">
        <v>2831</v>
      </c>
      <c r="N22" s="1610"/>
      <c r="O22" s="1610"/>
      <c r="P22" s="1611"/>
      <c r="Q22" s="1183" t="s">
        <v>127</v>
      </c>
      <c r="R22" s="1180">
        <v>241000</v>
      </c>
    </row>
    <row r="23" spans="3:18" ht="47.25" customHeight="1">
      <c r="C23" s="2221" t="s">
        <v>2832</v>
      </c>
      <c r="D23" s="1610"/>
      <c r="E23" s="1610"/>
      <c r="F23" s="1611"/>
      <c r="G23" s="1179" t="s">
        <v>120</v>
      </c>
      <c r="H23" s="1180">
        <f>415000/6</f>
        <v>69166.666666666672</v>
      </c>
      <c r="M23" s="2221" t="s">
        <v>2833</v>
      </c>
      <c r="N23" s="1610"/>
      <c r="O23" s="1610"/>
      <c r="P23" s="1611"/>
      <c r="Q23" s="1183" t="s">
        <v>127</v>
      </c>
      <c r="R23" s="1180">
        <v>226800</v>
      </c>
    </row>
    <row r="24" spans="3:18" ht="47.25" customHeight="1">
      <c r="C24" s="2221" t="s">
        <v>2834</v>
      </c>
      <c r="D24" s="1610"/>
      <c r="E24" s="1610"/>
      <c r="F24" s="1611"/>
      <c r="G24" s="1179" t="s">
        <v>120</v>
      </c>
      <c r="H24" s="1180">
        <f>612000/6</f>
        <v>102000</v>
      </c>
      <c r="M24" s="2221" t="s">
        <v>2835</v>
      </c>
      <c r="N24" s="1610"/>
      <c r="O24" s="1610"/>
      <c r="P24" s="1611"/>
      <c r="Q24" s="1183" t="s">
        <v>2836</v>
      </c>
      <c r="R24" s="1180">
        <f>43445.33*1.62</f>
        <v>70381.434600000008</v>
      </c>
    </row>
    <row r="25" spans="3:18" ht="47.25" customHeight="1">
      <c r="C25" s="2221" t="s">
        <v>2837</v>
      </c>
      <c r="D25" s="1610"/>
      <c r="E25" s="1610"/>
      <c r="F25" s="1611"/>
      <c r="G25" s="1179" t="s">
        <v>120</v>
      </c>
      <c r="H25" s="1180">
        <f>876000/6</f>
        <v>146000</v>
      </c>
      <c r="M25" s="2223" t="s">
        <v>2838</v>
      </c>
      <c r="N25" s="1610"/>
      <c r="O25" s="1610"/>
      <c r="P25" s="1611"/>
      <c r="Q25" s="1183" t="s">
        <v>127</v>
      </c>
      <c r="R25" s="1180">
        <v>50901</v>
      </c>
    </row>
    <row r="26" spans="3:18" ht="47.25" customHeight="1">
      <c r="C26" s="2221" t="s">
        <v>2839</v>
      </c>
      <c r="D26" s="1610"/>
      <c r="E26" s="1610"/>
      <c r="F26" s="1611"/>
      <c r="G26" s="1179" t="s">
        <v>120</v>
      </c>
      <c r="H26" s="1180">
        <f>1289000/6</f>
        <v>214833.33333333334</v>
      </c>
      <c r="M26" s="2223" t="s">
        <v>2840</v>
      </c>
      <c r="N26" s="1610"/>
      <c r="O26" s="1610"/>
      <c r="P26" s="1611"/>
      <c r="Q26" s="1183" t="s">
        <v>116</v>
      </c>
      <c r="R26" s="1180">
        <v>737007.6</v>
      </c>
    </row>
    <row r="27" spans="3:18" ht="47.25" customHeight="1">
      <c r="C27" s="2221" t="s">
        <v>2841</v>
      </c>
      <c r="D27" s="1610"/>
      <c r="E27" s="1610"/>
      <c r="F27" s="1611"/>
      <c r="G27" s="1179" t="s">
        <v>120</v>
      </c>
      <c r="H27" s="1180">
        <f>1590000/6</f>
        <v>265000</v>
      </c>
      <c r="M27" s="2221" t="s">
        <v>2842</v>
      </c>
      <c r="N27" s="1610"/>
      <c r="O27" s="1610"/>
      <c r="P27" s="1611"/>
      <c r="Q27" s="1179" t="s">
        <v>127</v>
      </c>
      <c r="R27" s="1180">
        <v>53000</v>
      </c>
    </row>
    <row r="28" spans="3:18" ht="47.25" customHeight="1">
      <c r="C28" s="2221" t="s">
        <v>2843</v>
      </c>
      <c r="D28" s="1610"/>
      <c r="E28" s="1610"/>
      <c r="F28" s="1611"/>
      <c r="G28" s="1179" t="s">
        <v>120</v>
      </c>
      <c r="H28" s="1180">
        <f>2193000/6</f>
        <v>365500</v>
      </c>
      <c r="M28" s="2221" t="s">
        <v>2844</v>
      </c>
      <c r="N28" s="1610"/>
      <c r="O28" s="1610"/>
      <c r="P28" s="1611"/>
      <c r="Q28" s="1179" t="s">
        <v>127</v>
      </c>
      <c r="R28" s="1180">
        <f>144944*1.25</f>
        <v>181180</v>
      </c>
    </row>
    <row r="29" spans="3:18" ht="47.25" customHeight="1">
      <c r="C29" s="2221" t="s">
        <v>2845</v>
      </c>
      <c r="D29" s="1610"/>
      <c r="E29" s="1610"/>
      <c r="F29" s="1611"/>
      <c r="G29" s="1179" t="s">
        <v>120</v>
      </c>
      <c r="H29" s="1180">
        <v>59441</v>
      </c>
      <c r="M29" s="2221" t="s">
        <v>2846</v>
      </c>
      <c r="N29" s="1610"/>
      <c r="O29" s="1610"/>
      <c r="P29" s="1611"/>
      <c r="Q29" s="1179" t="s">
        <v>127</v>
      </c>
      <c r="R29" s="1180">
        <f>163913*1.25</f>
        <v>204891.25</v>
      </c>
    </row>
    <row r="30" spans="3:18" ht="14.25" customHeight="1">
      <c r="C30" s="2221" t="s">
        <v>2847</v>
      </c>
      <c r="D30" s="1610"/>
      <c r="E30" s="1610"/>
      <c r="F30" s="1611"/>
      <c r="G30" s="1179" t="s">
        <v>171</v>
      </c>
      <c r="H30" s="1180">
        <v>4500</v>
      </c>
      <c r="M30" s="2221" t="s">
        <v>2848</v>
      </c>
      <c r="N30" s="1610"/>
      <c r="O30" s="1610"/>
      <c r="P30" s="1611"/>
      <c r="Q30" s="1179" t="s">
        <v>127</v>
      </c>
      <c r="R30" s="1180">
        <f>246464*1.25</f>
        <v>308080</v>
      </c>
    </row>
    <row r="31" spans="3:18" ht="24" customHeight="1">
      <c r="C31" s="2221" t="s">
        <v>2820</v>
      </c>
      <c r="D31" s="1610"/>
      <c r="E31" s="1610"/>
      <c r="F31" s="1611"/>
      <c r="G31" s="1183" t="s">
        <v>2849</v>
      </c>
      <c r="H31" s="1180"/>
      <c r="M31" s="2221" t="s">
        <v>2850</v>
      </c>
      <c r="N31" s="1610"/>
      <c r="O31" s="1610"/>
      <c r="P31" s="1611"/>
      <c r="Q31" s="1179" t="s">
        <v>127</v>
      </c>
      <c r="R31" s="1180">
        <f>354089*1.15</f>
        <v>407202.35</v>
      </c>
    </row>
    <row r="32" spans="3:18" ht="29.25" customHeight="1">
      <c r="C32" s="2222" t="s">
        <v>2600</v>
      </c>
      <c r="D32" s="1610"/>
      <c r="E32" s="1610"/>
      <c r="F32" s="1611"/>
      <c r="G32" s="214" t="s">
        <v>20</v>
      </c>
      <c r="H32" s="1184">
        <v>525800.4</v>
      </c>
      <c r="M32" s="2221" t="s">
        <v>2851</v>
      </c>
      <c r="N32" s="1610"/>
      <c r="O32" s="1610"/>
      <c r="P32" s="1611"/>
      <c r="Q32" s="1179" t="s">
        <v>127</v>
      </c>
      <c r="R32" s="1180">
        <f>274843*1.2</f>
        <v>329811.59999999998</v>
      </c>
    </row>
    <row r="33" spans="3:18" ht="14.25" customHeight="1">
      <c r="C33" s="2221" t="s">
        <v>2852</v>
      </c>
      <c r="D33" s="1610"/>
      <c r="E33" s="1610"/>
      <c r="F33" s="1611"/>
      <c r="G33" s="214" t="s">
        <v>127</v>
      </c>
      <c r="H33" s="1180">
        <v>14943</v>
      </c>
      <c r="M33" s="2221" t="s">
        <v>2853</v>
      </c>
      <c r="N33" s="1610"/>
      <c r="O33" s="1610"/>
      <c r="P33" s="1611"/>
      <c r="Q33" s="1179" t="s">
        <v>127</v>
      </c>
      <c r="R33" s="1180">
        <f>293981*1.2</f>
        <v>352777.2</v>
      </c>
    </row>
    <row r="34" spans="3:18" ht="14.25" customHeight="1">
      <c r="C34" s="2222" t="s">
        <v>2854</v>
      </c>
      <c r="D34" s="1610"/>
      <c r="E34" s="1610"/>
      <c r="F34" s="1611"/>
      <c r="G34" s="214" t="s">
        <v>1957</v>
      </c>
      <c r="H34" s="1185">
        <v>77390</v>
      </c>
      <c r="M34" s="2221" t="s">
        <v>2855</v>
      </c>
      <c r="N34" s="1610"/>
      <c r="O34" s="1610"/>
      <c r="P34" s="1611"/>
      <c r="Q34" s="1179" t="s">
        <v>127</v>
      </c>
      <c r="R34" s="1180">
        <f>448471*1.2</f>
        <v>538165.19999999995</v>
      </c>
    </row>
    <row r="35" spans="3:18" ht="14.25" customHeight="1">
      <c r="C35" s="2226" t="s">
        <v>2856</v>
      </c>
      <c r="D35" s="1610"/>
      <c r="E35" s="1610"/>
      <c r="F35" s="1611"/>
      <c r="G35" s="214" t="s">
        <v>1957</v>
      </c>
      <c r="H35" s="1180">
        <f>12571.5*8</f>
        <v>100572</v>
      </c>
      <c r="M35" s="2221" t="s">
        <v>2857</v>
      </c>
      <c r="N35" s="1610"/>
      <c r="O35" s="1610"/>
      <c r="P35" s="1611"/>
      <c r="Q35" s="1179" t="s">
        <v>127</v>
      </c>
      <c r="R35" s="1180">
        <v>2077100</v>
      </c>
    </row>
    <row r="36" spans="3:18" ht="15" customHeight="1">
      <c r="C36" s="2221" t="s">
        <v>2858</v>
      </c>
      <c r="D36" s="1610"/>
      <c r="E36" s="1610"/>
      <c r="F36" s="1611"/>
      <c r="G36" s="214" t="s">
        <v>127</v>
      </c>
      <c r="H36" s="1180">
        <v>10000</v>
      </c>
      <c r="M36" s="2222" t="s">
        <v>2859</v>
      </c>
      <c r="N36" s="1610"/>
      <c r="O36" s="1610"/>
      <c r="P36" s="1611"/>
      <c r="Q36" s="1186" t="s">
        <v>20</v>
      </c>
      <c r="R36" s="1187">
        <v>618910.5</v>
      </c>
    </row>
    <row r="37" spans="3:18" ht="31.5" customHeight="1">
      <c r="C37" s="2226" t="s">
        <v>2603</v>
      </c>
      <c r="D37" s="1610"/>
      <c r="E37" s="1610"/>
      <c r="F37" s="1611"/>
      <c r="G37" s="214" t="s">
        <v>242</v>
      </c>
      <c r="H37" s="1180">
        <f>H30-650</f>
        <v>3850</v>
      </c>
      <c r="M37" s="2221" t="s">
        <v>2860</v>
      </c>
      <c r="N37" s="1610"/>
      <c r="O37" s="1610"/>
      <c r="P37" s="1611"/>
      <c r="Q37" s="1179" t="s">
        <v>116</v>
      </c>
      <c r="R37" s="1180">
        <f>518629+45600</f>
        <v>564229</v>
      </c>
    </row>
    <row r="38" spans="3:18" ht="14.25" customHeight="1">
      <c r="C38" s="2222" t="s">
        <v>2861</v>
      </c>
      <c r="D38" s="1610"/>
      <c r="E38" s="1610"/>
      <c r="F38" s="1611"/>
      <c r="G38" s="214" t="s">
        <v>120</v>
      </c>
      <c r="H38" s="1180">
        <v>6200</v>
      </c>
      <c r="M38" s="2226" t="s">
        <v>2862</v>
      </c>
      <c r="N38" s="1610"/>
      <c r="O38" s="1610"/>
      <c r="P38" s="1611"/>
      <c r="Q38" s="214" t="s">
        <v>242</v>
      </c>
      <c r="R38" s="1180">
        <v>9480</v>
      </c>
    </row>
    <row r="39" spans="3:18" ht="14.25" customHeight="1">
      <c r="C39" s="2226" t="s">
        <v>2605</v>
      </c>
      <c r="D39" s="1610"/>
      <c r="E39" s="1610"/>
      <c r="F39" s="1611"/>
      <c r="G39" s="214" t="s">
        <v>242</v>
      </c>
      <c r="H39" s="1180">
        <v>25900</v>
      </c>
      <c r="R39" s="173"/>
    </row>
    <row r="40" spans="3:18" ht="14.25" customHeight="1">
      <c r="C40" s="2226" t="s">
        <v>2606</v>
      </c>
      <c r="D40" s="1610"/>
      <c r="E40" s="1610"/>
      <c r="F40" s="1611"/>
      <c r="G40" s="214" t="s">
        <v>242</v>
      </c>
      <c r="H40" s="1180">
        <f t="shared" ref="H40:H41" si="0">3800</f>
        <v>3800</v>
      </c>
      <c r="R40" s="173"/>
    </row>
    <row r="41" spans="3:18" ht="14.25" customHeight="1">
      <c r="C41" s="2226" t="s">
        <v>2606</v>
      </c>
      <c r="D41" s="1610"/>
      <c r="E41" s="1610"/>
      <c r="F41" s="1611"/>
      <c r="G41" s="214" t="s">
        <v>127</v>
      </c>
      <c r="H41" s="1180">
        <f t="shared" si="0"/>
        <v>3800</v>
      </c>
      <c r="R41" s="173"/>
    </row>
    <row r="42" spans="3:18" ht="14.25" customHeight="1">
      <c r="C42" s="2228" t="str">
        <f>'LISTADO MATERIALES'!$C$515</f>
        <v>SOLDADURA LIQUIDA  PVC.  (1/4 Gal )</v>
      </c>
      <c r="D42" s="1610"/>
      <c r="E42" s="1610"/>
      <c r="F42" s="1611"/>
      <c r="G42" s="214" t="s">
        <v>127</v>
      </c>
      <c r="H42" s="1180">
        <v>69138</v>
      </c>
      <c r="R42" s="173"/>
    </row>
    <row r="43" spans="3:18" ht="14.25" customHeight="1">
      <c r="C43" s="2226" t="s">
        <v>2863</v>
      </c>
      <c r="D43" s="1610"/>
      <c r="E43" s="1610"/>
      <c r="F43" s="1611"/>
      <c r="G43" s="214" t="s">
        <v>127</v>
      </c>
      <c r="H43" s="1180">
        <v>45900</v>
      </c>
      <c r="R43" s="173"/>
    </row>
    <row r="44" spans="3:18" ht="14.25" customHeight="1">
      <c r="C44" s="2226" t="s">
        <v>2864</v>
      </c>
      <c r="D44" s="1610"/>
      <c r="E44" s="1610"/>
      <c r="F44" s="1611"/>
      <c r="G44" s="214" t="s">
        <v>127</v>
      </c>
      <c r="H44" s="1180">
        <v>198900</v>
      </c>
      <c r="R44" s="173"/>
    </row>
    <row r="45" spans="3:18" ht="30.75" customHeight="1">
      <c r="C45" s="2221" t="s">
        <v>2865</v>
      </c>
      <c r="D45" s="1610"/>
      <c r="E45" s="1610"/>
      <c r="F45" s="1611"/>
      <c r="G45" s="1179" t="s">
        <v>116</v>
      </c>
      <c r="H45" s="1180">
        <v>622354.79999999993</v>
      </c>
    </row>
    <row r="46" spans="3:18" ht="14.25" customHeight="1">
      <c r="C46" s="2226" t="s">
        <v>2866</v>
      </c>
      <c r="D46" s="1610"/>
      <c r="E46" s="1610"/>
      <c r="F46" s="1611"/>
      <c r="G46" s="1188" t="s">
        <v>2867</v>
      </c>
      <c r="H46" s="1180">
        <v>3420</v>
      </c>
      <c r="R46" s="173"/>
    </row>
    <row r="47" spans="3:18" ht="14.25" customHeight="1">
      <c r="C47" s="2226" t="s">
        <v>2868</v>
      </c>
      <c r="D47" s="1610"/>
      <c r="E47" s="1610"/>
      <c r="F47" s="1611"/>
      <c r="G47" s="214" t="s">
        <v>2869</v>
      </c>
      <c r="H47" s="1180">
        <v>156900</v>
      </c>
      <c r="R47" s="173"/>
    </row>
    <row r="48" spans="3:18" ht="14.25" customHeight="1">
      <c r="C48" s="2226" t="s">
        <v>2870</v>
      </c>
      <c r="D48" s="1610"/>
      <c r="E48" s="1610"/>
      <c r="F48" s="1611"/>
      <c r="G48" s="214" t="s">
        <v>899</v>
      </c>
      <c r="H48" s="1180">
        <v>36900</v>
      </c>
      <c r="R48" s="173"/>
    </row>
    <row r="49" spans="3:8" ht="14.25" customHeight="1">
      <c r="C49" s="2226" t="s">
        <v>2871</v>
      </c>
      <c r="D49" s="1610"/>
      <c r="E49" s="1610"/>
      <c r="F49" s="1611"/>
      <c r="G49" s="214" t="s">
        <v>899</v>
      </c>
      <c r="H49" s="1180">
        <v>181900</v>
      </c>
    </row>
    <row r="50" spans="3:8" ht="14.25" customHeight="1">
      <c r="C50" s="2226" t="s">
        <v>2872</v>
      </c>
      <c r="D50" s="1610"/>
      <c r="E50" s="1610"/>
      <c r="F50" s="1611"/>
      <c r="G50" s="214" t="s">
        <v>2552</v>
      </c>
      <c r="H50" s="1180">
        <v>45681</v>
      </c>
    </row>
    <row r="51" spans="3:8" ht="14.25" customHeight="1">
      <c r="C51" s="2226" t="s">
        <v>2873</v>
      </c>
      <c r="D51" s="1610"/>
      <c r="E51" s="1610"/>
      <c r="F51" s="1611"/>
      <c r="G51" s="214" t="s">
        <v>228</v>
      </c>
      <c r="H51" s="1180">
        <f>87900/14.1</f>
        <v>6234.0425531914898</v>
      </c>
    </row>
    <row r="52" spans="3:8" ht="14.25" customHeight="1">
      <c r="C52" s="2226" t="s">
        <v>2874</v>
      </c>
      <c r="D52" s="1610"/>
      <c r="E52" s="1610"/>
      <c r="F52" s="1611"/>
      <c r="G52" s="214" t="s">
        <v>1575</v>
      </c>
      <c r="H52" s="1180">
        <v>12350</v>
      </c>
    </row>
    <row r="53" spans="3:8" ht="14.25" customHeight="1">
      <c r="C53" s="2226" t="s">
        <v>2875</v>
      </c>
      <c r="D53" s="1610"/>
      <c r="E53" s="1610"/>
      <c r="F53" s="1611"/>
      <c r="G53" s="214" t="s">
        <v>1575</v>
      </c>
      <c r="H53" s="1180">
        <v>145000</v>
      </c>
    </row>
    <row r="54" spans="3:8" ht="30" customHeight="1">
      <c r="C54" s="2227" t="s">
        <v>1709</v>
      </c>
      <c r="D54" s="1610"/>
      <c r="E54" s="1610"/>
      <c r="F54" s="1611"/>
      <c r="G54" s="214" t="s">
        <v>228</v>
      </c>
      <c r="H54" s="1185">
        <v>170522.62750287601</v>
      </c>
    </row>
    <row r="55" spans="3:8" ht="44.25" customHeight="1">
      <c r="C55" s="2227" t="s">
        <v>1711</v>
      </c>
      <c r="D55" s="1610"/>
      <c r="E55" s="1610"/>
      <c r="F55" s="1611"/>
      <c r="G55" s="214" t="s">
        <v>44</v>
      </c>
      <c r="H55" s="1185">
        <v>159218.75</v>
      </c>
    </row>
    <row r="56" spans="3:8" ht="14.25" customHeight="1">
      <c r="C56" s="2226" t="s">
        <v>2876</v>
      </c>
      <c r="D56" s="1610"/>
      <c r="E56" s="1610"/>
      <c r="F56" s="1611"/>
      <c r="G56" s="214" t="s">
        <v>127</v>
      </c>
      <c r="H56" s="1180">
        <v>12560</v>
      </c>
    </row>
    <row r="57" spans="3:8" ht="14.25" customHeight="1">
      <c r="C57" s="2226" t="s">
        <v>2877</v>
      </c>
      <c r="D57" s="1610"/>
      <c r="E57" s="1610"/>
      <c r="F57" s="1611"/>
      <c r="G57" s="214" t="s">
        <v>2878</v>
      </c>
      <c r="H57" s="173">
        <f>1.2*18152</f>
        <v>21782.399999999998</v>
      </c>
    </row>
    <row r="58" spans="3:8" ht="14.25" customHeight="1">
      <c r="C58" s="2226" t="s">
        <v>2879</v>
      </c>
      <c r="D58" s="1610"/>
      <c r="E58" s="1610"/>
      <c r="F58" s="1611"/>
      <c r="G58" s="214" t="s">
        <v>127</v>
      </c>
      <c r="H58" s="1180">
        <v>89750</v>
      </c>
    </row>
    <row r="59" spans="3:8" ht="14.25" customHeight="1">
      <c r="C59" s="2226" t="s">
        <v>2880</v>
      </c>
      <c r="D59" s="1610"/>
      <c r="E59" s="1610"/>
      <c r="F59" s="1611"/>
      <c r="G59" s="214" t="s">
        <v>120</v>
      </c>
      <c r="H59" s="1180">
        <f>54900/6</f>
        <v>9150</v>
      </c>
    </row>
    <row r="60" spans="3:8" ht="14.25" customHeight="1">
      <c r="C60" s="2226" t="s">
        <v>2881</v>
      </c>
      <c r="D60" s="1610"/>
      <c r="E60" s="1610"/>
      <c r="F60" s="1611"/>
      <c r="G60" s="214" t="s">
        <v>1575</v>
      </c>
      <c r="H60" s="1180">
        <v>6250</v>
      </c>
    </row>
    <row r="61" spans="3:8" ht="14.25" customHeight="1">
      <c r="C61" s="2226" t="s">
        <v>2882</v>
      </c>
      <c r="D61" s="1610"/>
      <c r="E61" s="1610"/>
      <c r="F61" s="1611"/>
      <c r="G61" s="214" t="s">
        <v>120</v>
      </c>
      <c r="H61" s="1180">
        <f>163900/6</f>
        <v>27316.666666666668</v>
      </c>
    </row>
    <row r="62" spans="3:8" ht="14.25" customHeight="1">
      <c r="C62" s="2226" t="s">
        <v>1998</v>
      </c>
      <c r="D62" s="1610"/>
      <c r="E62" s="1610"/>
      <c r="F62" s="1611"/>
      <c r="G62" s="214" t="s">
        <v>2883</v>
      </c>
      <c r="H62" s="1180">
        <v>75900</v>
      </c>
    </row>
    <row r="63" spans="3:8" ht="14.25" customHeight="1">
      <c r="C63" s="2226" t="s">
        <v>1771</v>
      </c>
      <c r="D63" s="1610"/>
      <c r="E63" s="1610"/>
      <c r="F63" s="1611"/>
      <c r="G63" s="214" t="s">
        <v>127</v>
      </c>
      <c r="H63" s="1189">
        <f>1.15*74500</f>
        <v>85675</v>
      </c>
    </row>
    <row r="64" spans="3:8" ht="14.25" customHeight="1">
      <c r="C64" s="2226" t="s">
        <v>1772</v>
      </c>
      <c r="D64" s="1610"/>
      <c r="E64" s="1610"/>
      <c r="F64" s="1611"/>
      <c r="G64" s="1190" t="s">
        <v>127</v>
      </c>
      <c r="H64" s="1180">
        <f>1.15*850000</f>
        <v>977499.99999999988</v>
      </c>
    </row>
    <row r="65" spans="3:8" ht="14.25" customHeight="1">
      <c r="C65" s="2226" t="s">
        <v>1685</v>
      </c>
      <c r="D65" s="1610"/>
      <c r="E65" s="1610"/>
      <c r="F65" s="1611"/>
      <c r="G65" s="214" t="s">
        <v>2883</v>
      </c>
      <c r="H65" s="1180">
        <f>159900*1.15</f>
        <v>183885</v>
      </c>
    </row>
    <row r="66" spans="3:8" ht="15" customHeight="1">
      <c r="C66" s="2226" t="s">
        <v>2884</v>
      </c>
      <c r="D66" s="1610"/>
      <c r="E66" s="1610"/>
      <c r="F66" s="1611"/>
      <c r="G66" s="214" t="s">
        <v>127</v>
      </c>
      <c r="H66" s="1180">
        <v>5200</v>
      </c>
    </row>
    <row r="67" spans="3:8" ht="14.25" customHeight="1">
      <c r="C67" s="2226" t="s">
        <v>2885</v>
      </c>
      <c r="D67" s="1610"/>
      <c r="E67" s="1610"/>
      <c r="F67" s="1611"/>
      <c r="G67" s="214" t="s">
        <v>127</v>
      </c>
      <c r="H67" s="1180">
        <v>1850</v>
      </c>
    </row>
    <row r="68" spans="3:8" ht="14.25" customHeight="1">
      <c r="C68" s="2226" t="s">
        <v>2886</v>
      </c>
      <c r="D68" s="1610"/>
      <c r="E68" s="1610"/>
      <c r="F68" s="1611"/>
      <c r="G68" s="214" t="s">
        <v>127</v>
      </c>
      <c r="H68" s="1180">
        <v>980</v>
      </c>
    </row>
    <row r="69" spans="3:8" ht="30.75" customHeight="1">
      <c r="C69" s="2227" t="s">
        <v>2887</v>
      </c>
      <c r="D69" s="1610"/>
      <c r="E69" s="1610"/>
      <c r="F69" s="1611"/>
      <c r="G69" s="214" t="s">
        <v>1575</v>
      </c>
      <c r="H69" s="1185">
        <f>1.5*750</f>
        <v>1125</v>
      </c>
    </row>
    <row r="70" spans="3:8" ht="14.25" customHeight="1">
      <c r="C70" s="2226" t="s">
        <v>2888</v>
      </c>
      <c r="D70" s="1610"/>
      <c r="E70" s="1610"/>
      <c r="F70" s="1611"/>
      <c r="G70" s="214" t="s">
        <v>116</v>
      </c>
      <c r="H70" s="1180">
        <f>1.25*385732</f>
        <v>482165</v>
      </c>
    </row>
    <row r="71" spans="3:8" ht="36" customHeight="1">
      <c r="C71" s="2227" t="s">
        <v>2889</v>
      </c>
      <c r="D71" s="1610"/>
      <c r="E71" s="1610"/>
      <c r="F71" s="1611"/>
      <c r="G71" s="214" t="s">
        <v>116</v>
      </c>
      <c r="H71" s="1180">
        <v>589650</v>
      </c>
    </row>
    <row r="72" spans="3:8" ht="30.75" customHeight="1">
      <c r="C72" s="2227" t="s">
        <v>2890</v>
      </c>
      <c r="D72" s="1610"/>
      <c r="E72" s="1610"/>
      <c r="F72" s="1611"/>
      <c r="G72" s="214" t="s">
        <v>1575</v>
      </c>
      <c r="H72" s="1185">
        <v>195000</v>
      </c>
    </row>
    <row r="73" spans="3:8" ht="45.75" customHeight="1">
      <c r="C73" s="2227" t="s">
        <v>2891</v>
      </c>
      <c r="D73" s="1610"/>
      <c r="E73" s="1610"/>
      <c r="F73" s="1611"/>
      <c r="G73" s="214" t="s">
        <v>1575</v>
      </c>
      <c r="H73" s="1185">
        <v>142800</v>
      </c>
    </row>
    <row r="74" spans="3:8" ht="14.25" customHeight="1">
      <c r="C74" s="2226" t="s">
        <v>2892</v>
      </c>
      <c r="D74" s="1610"/>
      <c r="E74" s="1610"/>
      <c r="F74" s="1611"/>
      <c r="G74" s="214" t="s">
        <v>127</v>
      </c>
      <c r="H74" s="1180">
        <f>5833</f>
        <v>5833</v>
      </c>
    </row>
    <row r="75" spans="3:8" ht="14.25" customHeight="1">
      <c r="C75" s="2226" t="s">
        <v>2893</v>
      </c>
      <c r="D75" s="1610"/>
      <c r="E75" s="1610"/>
      <c r="F75" s="1611"/>
      <c r="G75" s="214" t="s">
        <v>242</v>
      </c>
      <c r="H75" s="1180">
        <v>11900</v>
      </c>
    </row>
    <row r="76" spans="3:8" ht="14.25" customHeight="1">
      <c r="C76" s="2226"/>
      <c r="D76" s="1610"/>
      <c r="E76" s="1610"/>
      <c r="F76" s="1611"/>
      <c r="G76" s="214"/>
      <c r="H76" s="1180"/>
    </row>
    <row r="77" spans="3:8" ht="14.25" customHeight="1">
      <c r="C77" s="2226"/>
      <c r="D77" s="1610"/>
      <c r="E77" s="1610"/>
      <c r="F77" s="1611"/>
      <c r="G77" s="214"/>
      <c r="H77" s="1180"/>
    </row>
    <row r="78" spans="3:8" ht="14.25" customHeight="1">
      <c r="C78" s="2226"/>
      <c r="D78" s="1610"/>
      <c r="E78" s="1610"/>
      <c r="F78" s="1611"/>
      <c r="G78" s="214"/>
      <c r="H78" s="1180"/>
    </row>
    <row r="79" spans="3:8" ht="14.25" customHeight="1">
      <c r="C79" s="2226"/>
      <c r="D79" s="1610"/>
      <c r="E79" s="1610"/>
      <c r="F79" s="1611"/>
      <c r="G79" s="214"/>
      <c r="H79" s="1180"/>
    </row>
  </sheetData>
  <mergeCells count="111">
    <mergeCell ref="C40:F40"/>
    <mergeCell ref="C41:F41"/>
    <mergeCell ref="C42:F42"/>
    <mergeCell ref="C43:F43"/>
    <mergeCell ref="C44:F44"/>
    <mergeCell ref="C45:F45"/>
    <mergeCell ref="M32:P32"/>
    <mergeCell ref="M33:P33"/>
    <mergeCell ref="C32:F32"/>
    <mergeCell ref="C33:F33"/>
    <mergeCell ref="C35:F35"/>
    <mergeCell ref="M35:P35"/>
    <mergeCell ref="C36:F36"/>
    <mergeCell ref="M36:P36"/>
    <mergeCell ref="M37:P37"/>
    <mergeCell ref="M38:P38"/>
    <mergeCell ref="C37:F37"/>
    <mergeCell ref="C38:F38"/>
    <mergeCell ref="C39:F39"/>
    <mergeCell ref="C46:F46"/>
    <mergeCell ref="C47:F47"/>
    <mergeCell ref="C48:F48"/>
    <mergeCell ref="C49:F49"/>
    <mergeCell ref="C50:F50"/>
    <mergeCell ref="C51:F51"/>
    <mergeCell ref="C52:F52"/>
    <mergeCell ref="C53:F53"/>
    <mergeCell ref="C54:F54"/>
    <mergeCell ref="C55:F55"/>
    <mergeCell ref="C56:F56"/>
    <mergeCell ref="C57:F57"/>
    <mergeCell ref="C58:F58"/>
    <mergeCell ref="C59:F59"/>
    <mergeCell ref="C60:F60"/>
    <mergeCell ref="C61:F61"/>
    <mergeCell ref="C62:F62"/>
    <mergeCell ref="C63:F63"/>
    <mergeCell ref="C64:F64"/>
    <mergeCell ref="C72:F72"/>
    <mergeCell ref="C73:F73"/>
    <mergeCell ref="C74:F74"/>
    <mergeCell ref="C75:F75"/>
    <mergeCell ref="C76:F76"/>
    <mergeCell ref="C77:F77"/>
    <mergeCell ref="C78:F78"/>
    <mergeCell ref="C79:F79"/>
    <mergeCell ref="C65:F65"/>
    <mergeCell ref="C66:F66"/>
    <mergeCell ref="C67:F67"/>
    <mergeCell ref="C68:F68"/>
    <mergeCell ref="C69:F69"/>
    <mergeCell ref="C70:F70"/>
    <mergeCell ref="C71:F71"/>
    <mergeCell ref="C4:F4"/>
    <mergeCell ref="M4:P4"/>
    <mergeCell ref="C5:F5"/>
    <mergeCell ref="M5:P5"/>
    <mergeCell ref="C6:F6"/>
    <mergeCell ref="M6:P6"/>
    <mergeCell ref="M7:P7"/>
    <mergeCell ref="C7:F7"/>
    <mergeCell ref="C8:F8"/>
    <mergeCell ref="C9:F9"/>
    <mergeCell ref="C10:F10"/>
    <mergeCell ref="C11:F11"/>
    <mergeCell ref="C12:F12"/>
    <mergeCell ref="C13:F13"/>
    <mergeCell ref="M8:P8"/>
    <mergeCell ref="M9:P9"/>
    <mergeCell ref="M10:P10"/>
    <mergeCell ref="M11:P11"/>
    <mergeCell ref="M12:P12"/>
    <mergeCell ref="M13:P13"/>
    <mergeCell ref="M14:P14"/>
    <mergeCell ref="C14:F14"/>
    <mergeCell ref="C15:F15"/>
    <mergeCell ref="C16:F16"/>
    <mergeCell ref="C17:F17"/>
    <mergeCell ref="C18:F18"/>
    <mergeCell ref="C19:F19"/>
    <mergeCell ref="C20:F20"/>
    <mergeCell ref="M15:P15"/>
    <mergeCell ref="M16:P16"/>
    <mergeCell ref="M17:P17"/>
    <mergeCell ref="M18:P18"/>
    <mergeCell ref="M19:P19"/>
    <mergeCell ref="M20:P20"/>
    <mergeCell ref="M21:P21"/>
    <mergeCell ref="C21:F21"/>
    <mergeCell ref="C22:F22"/>
    <mergeCell ref="C23:F23"/>
    <mergeCell ref="C24:F24"/>
    <mergeCell ref="C25:F25"/>
    <mergeCell ref="C26:F26"/>
    <mergeCell ref="C27:F27"/>
    <mergeCell ref="C34:F34"/>
    <mergeCell ref="M34:P34"/>
    <mergeCell ref="C28:F28"/>
    <mergeCell ref="C29:F29"/>
    <mergeCell ref="C30:F30"/>
    <mergeCell ref="C31:F31"/>
    <mergeCell ref="M31:P31"/>
    <mergeCell ref="M29:P29"/>
    <mergeCell ref="M30:P30"/>
    <mergeCell ref="M22:P22"/>
    <mergeCell ref="M23:P23"/>
    <mergeCell ref="M24:P24"/>
    <mergeCell ref="M25:P25"/>
    <mergeCell ref="M26:P26"/>
    <mergeCell ref="M27:P27"/>
    <mergeCell ref="M28:P28"/>
  </mergeCells>
  <pageMargins left="0.7" right="0.7" top="0.75" bottom="0.75" header="0" footer="0"/>
  <pageSetup orientation="landscape"/>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G27"/>
  <sheetViews>
    <sheetView workbookViewId="0">
      <selection sqref="A1:A3"/>
    </sheetView>
  </sheetViews>
  <sheetFormatPr baseColWidth="10" defaultColWidth="14.44140625" defaultRowHeight="15" customHeight="1"/>
  <cols>
    <col min="1" max="1" width="21.6640625" customWidth="1"/>
    <col min="2" max="2" width="16.109375" customWidth="1"/>
    <col min="3" max="3" width="15.109375" customWidth="1"/>
    <col min="4" max="4" width="16.6640625" customWidth="1"/>
    <col min="5" max="5" width="15.33203125" customWidth="1"/>
    <col min="6" max="7" width="11.5546875" customWidth="1"/>
    <col min="8" max="26" width="10.6640625" customWidth="1"/>
  </cols>
  <sheetData>
    <row r="1" spans="1:7" ht="28.5" customHeight="1">
      <c r="A1" s="2229" t="s">
        <v>2894</v>
      </c>
      <c r="B1" s="2232" t="s">
        <v>2895</v>
      </c>
      <c r="C1" s="1601"/>
      <c r="D1" s="1601"/>
      <c r="E1" s="1602"/>
      <c r="F1" s="2233" t="s">
        <v>2896</v>
      </c>
      <c r="G1" s="2233" t="s">
        <v>2897</v>
      </c>
    </row>
    <row r="2" spans="1:7" ht="14.25" customHeight="1">
      <c r="A2" s="2230"/>
      <c r="B2" s="1191" t="s">
        <v>2898</v>
      </c>
      <c r="C2" s="1191" t="s">
        <v>2898</v>
      </c>
      <c r="D2" s="1191" t="s">
        <v>2898</v>
      </c>
      <c r="E2" s="1191" t="s">
        <v>2899</v>
      </c>
      <c r="F2" s="2230"/>
      <c r="G2" s="2230"/>
    </row>
    <row r="3" spans="1:7" ht="14.25" customHeight="1">
      <c r="A3" s="2231"/>
      <c r="B3" s="1192">
        <v>1</v>
      </c>
      <c r="C3" s="1192">
        <v>2</v>
      </c>
      <c r="D3" s="1192">
        <v>3</v>
      </c>
      <c r="E3" s="1192">
        <v>4</v>
      </c>
      <c r="F3" s="2231"/>
      <c r="G3" s="2231"/>
    </row>
    <row r="4" spans="1:7" ht="14.25" customHeight="1">
      <c r="A4" s="1193" t="s">
        <v>2900</v>
      </c>
      <c r="B4" s="1194">
        <v>450000</v>
      </c>
      <c r="C4" s="1194">
        <f t="shared" ref="C4:E4" si="0">B4</f>
        <v>450000</v>
      </c>
      <c r="D4" s="1194">
        <f t="shared" si="0"/>
        <v>450000</v>
      </c>
      <c r="E4" s="1194">
        <f t="shared" si="0"/>
        <v>450000</v>
      </c>
      <c r="F4" s="1195" t="s">
        <v>2901</v>
      </c>
      <c r="G4" s="1195" t="s">
        <v>2902</v>
      </c>
    </row>
    <row r="5" spans="1:7" ht="14.25" customHeight="1">
      <c r="A5" s="1193" t="s">
        <v>2903</v>
      </c>
      <c r="B5" s="1194"/>
      <c r="C5" s="1194"/>
      <c r="D5" s="1194">
        <v>6200000</v>
      </c>
      <c r="E5" s="1194"/>
      <c r="F5" s="1195" t="s">
        <v>2901</v>
      </c>
      <c r="G5" s="1195" t="s">
        <v>2904</v>
      </c>
    </row>
    <row r="6" spans="1:7" ht="14.25" customHeight="1">
      <c r="A6" s="1193" t="s">
        <v>2905</v>
      </c>
      <c r="B6" s="1194">
        <v>1400000</v>
      </c>
      <c r="C6" s="1194">
        <f t="shared" ref="C6:E6" si="1">B6</f>
        <v>1400000</v>
      </c>
      <c r="D6" s="1194">
        <f t="shared" si="1"/>
        <v>1400000</v>
      </c>
      <c r="E6" s="1194">
        <f t="shared" si="1"/>
        <v>1400000</v>
      </c>
      <c r="F6" s="1195" t="s">
        <v>2901</v>
      </c>
      <c r="G6" s="1195" t="s">
        <v>2904</v>
      </c>
    </row>
    <row r="7" spans="1:7" ht="14.25" customHeight="1">
      <c r="A7" s="1193" t="s">
        <v>2906</v>
      </c>
      <c r="B7" s="1194"/>
      <c r="C7" s="1194"/>
      <c r="D7" s="1194"/>
      <c r="E7" s="1194">
        <v>15000000</v>
      </c>
      <c r="F7" s="1195" t="s">
        <v>2901</v>
      </c>
      <c r="G7" s="1195" t="s">
        <v>2904</v>
      </c>
    </row>
    <row r="8" spans="1:7" ht="14.25" customHeight="1">
      <c r="A8" s="1193" t="s">
        <v>2907</v>
      </c>
      <c r="B8" s="1194"/>
      <c r="C8" s="1194">
        <v>600000</v>
      </c>
      <c r="D8" s="1194"/>
      <c r="E8" s="1194">
        <f>C8</f>
        <v>600000</v>
      </c>
      <c r="F8" s="1195" t="s">
        <v>2901</v>
      </c>
      <c r="G8" s="1195" t="s">
        <v>2904</v>
      </c>
    </row>
    <row r="9" spans="1:7" ht="14.25" customHeight="1">
      <c r="A9" s="1193" t="s">
        <v>2908</v>
      </c>
      <c r="B9" s="1194"/>
      <c r="C9" s="1194">
        <v>400000</v>
      </c>
      <c r="D9" s="1194"/>
      <c r="E9" s="1194">
        <v>400000</v>
      </c>
      <c r="F9" s="1195" t="s">
        <v>2901</v>
      </c>
      <c r="G9" s="1195" t="s">
        <v>2904</v>
      </c>
    </row>
    <row r="10" spans="1:7" ht="14.25" customHeight="1">
      <c r="A10" s="1193" t="s">
        <v>2909</v>
      </c>
      <c r="B10" s="1194">
        <v>2000000</v>
      </c>
      <c r="C10" s="1194">
        <f t="shared" ref="C10:E10" si="2">B10</f>
        <v>2000000</v>
      </c>
      <c r="D10" s="1194">
        <f t="shared" si="2"/>
        <v>2000000</v>
      </c>
      <c r="E10" s="1194">
        <f t="shared" si="2"/>
        <v>2000000</v>
      </c>
      <c r="F10" s="1195" t="s">
        <v>2901</v>
      </c>
      <c r="G10" s="1195" t="s">
        <v>2904</v>
      </c>
    </row>
    <row r="11" spans="1:7" ht="14.25" customHeight="1">
      <c r="A11" s="1196" t="s">
        <v>2910</v>
      </c>
      <c r="B11" s="1194">
        <v>600000</v>
      </c>
      <c r="C11" s="1194">
        <f t="shared" ref="C11:E11" si="3">B11</f>
        <v>600000</v>
      </c>
      <c r="D11" s="1194">
        <f t="shared" si="3"/>
        <v>600000</v>
      </c>
      <c r="E11" s="1194">
        <f t="shared" si="3"/>
        <v>600000</v>
      </c>
      <c r="F11" s="1195" t="s">
        <v>2901</v>
      </c>
      <c r="G11" s="1195" t="s">
        <v>2904</v>
      </c>
    </row>
    <row r="12" spans="1:7" ht="14.25" customHeight="1">
      <c r="A12" s="1193" t="s">
        <v>2911</v>
      </c>
      <c r="B12" s="1194">
        <v>450000</v>
      </c>
      <c r="C12" s="1194">
        <f t="shared" ref="C12:E12" si="4">B12</f>
        <v>450000</v>
      </c>
      <c r="D12" s="1194">
        <f t="shared" si="4"/>
        <v>450000</v>
      </c>
      <c r="E12" s="1194">
        <f t="shared" si="4"/>
        <v>450000</v>
      </c>
      <c r="F12" s="1195" t="s">
        <v>2901</v>
      </c>
      <c r="G12" s="1195" t="s">
        <v>2904</v>
      </c>
    </row>
    <row r="13" spans="1:7" ht="14.25" customHeight="1">
      <c r="A13" s="1193" t="s">
        <v>2912</v>
      </c>
      <c r="B13" s="1194">
        <v>100000</v>
      </c>
      <c r="C13" s="1194">
        <v>100000</v>
      </c>
      <c r="D13" s="1194">
        <v>100000</v>
      </c>
      <c r="E13" s="1194">
        <v>100000</v>
      </c>
      <c r="F13" s="1195" t="s">
        <v>2901</v>
      </c>
      <c r="G13" s="1195" t="s">
        <v>2904</v>
      </c>
    </row>
    <row r="14" spans="1:7" ht="14.25" customHeight="1">
      <c r="A14" s="1193" t="s">
        <v>2913</v>
      </c>
      <c r="B14" s="1194"/>
      <c r="C14" s="1194">
        <v>650000</v>
      </c>
      <c r="D14" s="1194"/>
      <c r="E14" s="1194">
        <v>250000</v>
      </c>
      <c r="F14" s="1195" t="s">
        <v>2901</v>
      </c>
      <c r="G14" s="1195" t="s">
        <v>2904</v>
      </c>
    </row>
    <row r="15" spans="1:7" ht="14.25" customHeight="1">
      <c r="A15" s="1193" t="s">
        <v>2914</v>
      </c>
      <c r="B15" s="1194">
        <v>160000</v>
      </c>
      <c r="C15" s="1194">
        <v>160000</v>
      </c>
      <c r="D15" s="1194">
        <f t="shared" ref="D15:E15" si="5">C15</f>
        <v>160000</v>
      </c>
      <c r="E15" s="1194">
        <f t="shared" si="5"/>
        <v>160000</v>
      </c>
      <c r="F15" s="1195" t="s">
        <v>2901</v>
      </c>
      <c r="G15" s="1195" t="s">
        <v>2904</v>
      </c>
    </row>
    <row r="16" spans="1:7" ht="14.25" customHeight="1">
      <c r="A16" s="1193" t="s">
        <v>2915</v>
      </c>
      <c r="B16" s="1194"/>
      <c r="C16" s="1194">
        <v>380000</v>
      </c>
      <c r="D16" s="1194"/>
      <c r="E16" s="1194">
        <f>C16</f>
        <v>380000</v>
      </c>
      <c r="F16" s="1195" t="s">
        <v>2901</v>
      </c>
      <c r="G16" s="1195" t="s">
        <v>2904</v>
      </c>
    </row>
    <row r="17" spans="1:7" ht="14.25" customHeight="1">
      <c r="A17" s="1193" t="s">
        <v>2916</v>
      </c>
      <c r="B17" s="1194">
        <v>100000</v>
      </c>
      <c r="C17" s="1194">
        <f t="shared" ref="C17:E17" si="6">B17</f>
        <v>100000</v>
      </c>
      <c r="D17" s="1194">
        <f t="shared" si="6"/>
        <v>100000</v>
      </c>
      <c r="E17" s="1194">
        <f t="shared" si="6"/>
        <v>100000</v>
      </c>
      <c r="F17" s="1195" t="s">
        <v>2901</v>
      </c>
      <c r="G17" s="1195" t="s">
        <v>2904</v>
      </c>
    </row>
    <row r="18" spans="1:7" ht="14.25" customHeight="1">
      <c r="A18" s="1193" t="s">
        <v>2917</v>
      </c>
      <c r="B18" s="1194"/>
      <c r="C18" s="1194"/>
      <c r="D18" s="1194"/>
      <c r="E18" s="1194"/>
      <c r="F18" s="1195" t="s">
        <v>2901</v>
      </c>
      <c r="G18" s="1195" t="s">
        <v>2904</v>
      </c>
    </row>
    <row r="19" spans="1:7" ht="14.25" customHeight="1">
      <c r="A19" s="1193" t="s">
        <v>2918</v>
      </c>
      <c r="B19" s="1194"/>
      <c r="C19" s="1194"/>
      <c r="D19" s="1194"/>
      <c r="E19" s="1194"/>
      <c r="F19" s="1195" t="s">
        <v>2901</v>
      </c>
      <c r="G19" s="1195" t="s">
        <v>2904</v>
      </c>
    </row>
    <row r="20" spans="1:7" ht="14.25" customHeight="1">
      <c r="A20" s="1193" t="s">
        <v>2919</v>
      </c>
      <c r="B20" s="1194">
        <v>1300000</v>
      </c>
      <c r="C20" s="1194">
        <v>1300000</v>
      </c>
      <c r="D20" s="1194">
        <v>1300000</v>
      </c>
      <c r="E20" s="1194">
        <v>1300000</v>
      </c>
      <c r="F20" s="1195" t="s">
        <v>2901</v>
      </c>
      <c r="G20" s="1195" t="s">
        <v>2904</v>
      </c>
    </row>
    <row r="21" spans="1:7" ht="14.25" customHeight="1">
      <c r="A21" s="1193" t="s">
        <v>2920</v>
      </c>
      <c r="B21" s="1194">
        <v>850000</v>
      </c>
      <c r="C21" s="1194">
        <v>850000</v>
      </c>
      <c r="D21" s="1194">
        <v>850000</v>
      </c>
      <c r="E21" s="1194">
        <v>850000</v>
      </c>
      <c r="F21" s="1195" t="s">
        <v>2901</v>
      </c>
      <c r="G21" s="1195" t="s">
        <v>2904</v>
      </c>
    </row>
    <row r="22" spans="1:7" ht="14.25" customHeight="1">
      <c r="A22" s="1193" t="s">
        <v>2921</v>
      </c>
      <c r="B22" s="1194">
        <v>1200000</v>
      </c>
      <c r="C22" s="1194"/>
      <c r="D22" s="1194"/>
      <c r="E22" s="1194"/>
      <c r="F22" s="1195" t="s">
        <v>2901</v>
      </c>
      <c r="G22" s="1195" t="s">
        <v>2904</v>
      </c>
    </row>
    <row r="23" spans="1:7" ht="14.25" customHeight="1">
      <c r="A23" s="1193" t="s">
        <v>2922</v>
      </c>
      <c r="B23" s="1194">
        <v>950000</v>
      </c>
      <c r="C23" s="1194">
        <f t="shared" ref="C23:E23" si="7">B23</f>
        <v>950000</v>
      </c>
      <c r="D23" s="1194">
        <f t="shared" si="7"/>
        <v>950000</v>
      </c>
      <c r="E23" s="1194">
        <f t="shared" si="7"/>
        <v>950000</v>
      </c>
      <c r="F23" s="1195" t="s">
        <v>2901</v>
      </c>
      <c r="G23" s="1195" t="s">
        <v>2904</v>
      </c>
    </row>
    <row r="24" spans="1:7" ht="14.25" customHeight="1">
      <c r="A24" s="1193" t="s">
        <v>2923</v>
      </c>
      <c r="B24" s="1194">
        <v>450000</v>
      </c>
      <c r="C24" s="1194">
        <f t="shared" ref="C24:E24" si="8">B24</f>
        <v>450000</v>
      </c>
      <c r="D24" s="1194">
        <f t="shared" si="8"/>
        <v>450000</v>
      </c>
      <c r="E24" s="1194">
        <f t="shared" si="8"/>
        <v>450000</v>
      </c>
      <c r="F24" s="1195" t="s">
        <v>2901</v>
      </c>
      <c r="G24" s="1195" t="s">
        <v>2904</v>
      </c>
    </row>
    <row r="25" spans="1:7" ht="14.25" customHeight="1">
      <c r="A25" s="1193" t="s">
        <v>2924</v>
      </c>
      <c r="B25" s="1194">
        <v>1600000</v>
      </c>
      <c r="C25" s="1194">
        <v>1600000</v>
      </c>
      <c r="D25" s="1194">
        <v>1600000</v>
      </c>
      <c r="E25" s="1194">
        <v>1600000</v>
      </c>
      <c r="F25" s="1195" t="s">
        <v>2901</v>
      </c>
      <c r="G25" s="1195" t="s">
        <v>2904</v>
      </c>
    </row>
    <row r="26" spans="1:7" ht="14.25" customHeight="1">
      <c r="A26" s="1197" t="s">
        <v>2925</v>
      </c>
      <c r="B26" s="1198">
        <v>3000000</v>
      </c>
      <c r="C26" s="1198"/>
      <c r="D26" s="1198"/>
      <c r="E26" s="1198"/>
      <c r="F26" s="1195" t="s">
        <v>2901</v>
      </c>
      <c r="G26" s="1195" t="s">
        <v>2904</v>
      </c>
    </row>
    <row r="27" spans="1:7" ht="14.25" customHeight="1">
      <c r="A27" s="1199" t="s">
        <v>227</v>
      </c>
      <c r="B27" s="48">
        <f t="shared" ref="B27:E27" si="9">SUM(B4:B26)</f>
        <v>14610000</v>
      </c>
      <c r="C27" s="48">
        <f t="shared" si="9"/>
        <v>12440000</v>
      </c>
      <c r="D27" s="48">
        <f t="shared" si="9"/>
        <v>16610000</v>
      </c>
      <c r="E27" s="48">
        <f t="shared" si="9"/>
        <v>27040000</v>
      </c>
      <c r="F27" s="527"/>
      <c r="G27" s="527"/>
    </row>
  </sheetData>
  <mergeCells count="4">
    <mergeCell ref="A1:A3"/>
    <mergeCell ref="B1:E1"/>
    <mergeCell ref="F1:F3"/>
    <mergeCell ref="G1:G3"/>
  </mergeCells>
  <pageMargins left="0.7" right="0.7" top="0.75" bottom="0.75" header="0" footer="0"/>
  <pageSetup orientation="landscape"/>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7:G490"/>
  <sheetViews>
    <sheetView workbookViewId="0">
      <pane ySplit="5" topLeftCell="A6" activePane="bottomLeft" state="frozen"/>
      <selection pane="bottomLeft" activeCell="B7" sqref="B7"/>
    </sheetView>
  </sheetViews>
  <sheetFormatPr baseColWidth="10" defaultColWidth="14.44140625" defaultRowHeight="15" customHeight="1"/>
  <cols>
    <col min="1" max="1" width="24.109375" customWidth="1"/>
    <col min="2" max="2" width="10.6640625" customWidth="1"/>
    <col min="3" max="3" width="10.109375" customWidth="1"/>
    <col min="4" max="4" width="11.33203125" customWidth="1"/>
    <col min="5" max="5" width="11.88671875" customWidth="1"/>
    <col min="6" max="6" width="13.33203125" customWidth="1"/>
    <col min="7" max="7" width="11.6640625" customWidth="1"/>
    <col min="8" max="26" width="11.44140625" customWidth="1"/>
  </cols>
  <sheetData>
    <row r="7" spans="1:7" ht="29.25" customHeight="1">
      <c r="A7" s="1994" t="e">
        <f>+'MANO DE OBRA'!A7:E7</f>
        <v>#REF!</v>
      </c>
      <c r="B7" s="1616"/>
      <c r="C7" s="1624"/>
      <c r="D7" s="1990"/>
      <c r="E7" s="1616"/>
      <c r="F7" s="1616"/>
      <c r="G7" s="1624"/>
    </row>
    <row r="8" spans="1:7" ht="30.75" customHeight="1">
      <c r="A8" s="1971"/>
      <c r="B8" s="1817"/>
      <c r="C8" s="1972"/>
      <c r="D8" s="1971"/>
      <c r="E8" s="1817"/>
      <c r="F8" s="1817"/>
      <c r="G8" s="1972"/>
    </row>
    <row r="9" spans="1:7" ht="13.5" customHeight="1">
      <c r="A9" s="527"/>
      <c r="B9" s="527"/>
      <c r="C9" s="527"/>
      <c r="D9" s="527"/>
      <c r="E9" s="527"/>
      <c r="F9" s="527"/>
      <c r="G9" s="527"/>
    </row>
    <row r="10" spans="1:7" ht="55.5" customHeight="1">
      <c r="A10" s="1991" t="e">
        <f>#REF!</f>
        <v>#REF!</v>
      </c>
      <c r="B10" s="1601"/>
      <c r="C10" s="1602"/>
      <c r="D10" s="1975" t="s">
        <v>2926</v>
      </c>
      <c r="E10" s="1601"/>
      <c r="F10" s="1601"/>
      <c r="G10" s="1602"/>
    </row>
    <row r="11" spans="1:7" ht="13.5" customHeight="1">
      <c r="A11" s="418"/>
      <c r="B11" s="418"/>
      <c r="C11" s="418"/>
      <c r="D11" s="418"/>
      <c r="E11" s="418"/>
      <c r="F11" s="418"/>
      <c r="G11" s="418"/>
    </row>
    <row r="12" spans="1:7" ht="12.75" customHeight="1">
      <c r="A12" s="528"/>
      <c r="B12" s="527"/>
      <c r="C12" s="363"/>
      <c r="D12" s="421" t="s">
        <v>1553</v>
      </c>
      <c r="E12" s="422" t="s">
        <v>116</v>
      </c>
      <c r="F12" s="572"/>
      <c r="G12" s="572"/>
    </row>
    <row r="13" spans="1:7" ht="13.5" customHeight="1">
      <c r="A13" s="529" t="s">
        <v>1555</v>
      </c>
      <c r="B13" s="527"/>
      <c r="C13" s="527"/>
      <c r="D13" s="527"/>
      <c r="E13" s="527"/>
      <c r="F13" s="527"/>
      <c r="G13" s="527"/>
    </row>
    <row r="14" spans="1:7" ht="13.5" customHeight="1">
      <c r="A14" s="1975" t="s">
        <v>1556</v>
      </c>
      <c r="B14" s="1601"/>
      <c r="C14" s="1801"/>
      <c r="D14" s="530" t="s">
        <v>208</v>
      </c>
      <c r="E14" s="530" t="s">
        <v>1558</v>
      </c>
      <c r="F14" s="424" t="s">
        <v>1559</v>
      </c>
      <c r="G14" s="531"/>
    </row>
    <row r="15" spans="1:7" ht="13.5" customHeight="1">
      <c r="A15" s="1981" t="str">
        <f>+'LISTADO EQUIPOS'!$C$26</f>
        <v>MEZCLADORA DE CONCRETO 9 P3. - 1 1/2 SACO</v>
      </c>
      <c r="B15" s="1811"/>
      <c r="C15" s="1967"/>
      <c r="D15" s="543">
        <f>+'LISTADO EQUIPOS'!$E$26/8</f>
        <v>8250</v>
      </c>
      <c r="E15" s="533">
        <v>0.5</v>
      </c>
      <c r="F15" s="666">
        <f t="shared" ref="F15:F16" si="0">+D15/E15</f>
        <v>16500</v>
      </c>
      <c r="G15" s="535"/>
    </row>
    <row r="16" spans="1:7" ht="13.5" customHeight="1">
      <c r="A16" s="1982" t="str">
        <f>+'LISTADO EQUIPOS'!$C$22</f>
        <v>HERRAMIENTA MENOR.</v>
      </c>
      <c r="B16" s="1807"/>
      <c r="C16" s="1819"/>
      <c r="D16" s="536">
        <f>+'LISTADO EQUIPOS'!$E$22/8</f>
        <v>2850</v>
      </c>
      <c r="E16" s="537">
        <f>+E32</f>
        <v>0.5</v>
      </c>
      <c r="F16" s="550">
        <f t="shared" si="0"/>
        <v>5700</v>
      </c>
      <c r="G16" s="538"/>
    </row>
    <row r="17" spans="1:7" ht="13.5" customHeight="1">
      <c r="A17" s="1964" t="s">
        <v>1560</v>
      </c>
      <c r="B17" s="1601"/>
      <c r="C17" s="1601"/>
      <c r="D17" s="1601"/>
      <c r="E17" s="1601"/>
      <c r="F17" s="1801"/>
      <c r="G17" s="539">
        <f>SUM(F15:F16)</f>
        <v>22200</v>
      </c>
    </row>
    <row r="18" spans="1:7" ht="13.5" customHeight="1">
      <c r="A18" s="529" t="s">
        <v>1561</v>
      </c>
      <c r="B18" s="527"/>
      <c r="C18" s="527"/>
      <c r="D18" s="527"/>
      <c r="E18" s="527"/>
      <c r="F18" s="527"/>
      <c r="G18" s="540"/>
    </row>
    <row r="19" spans="1:7" ht="13.5" customHeight="1">
      <c r="A19" s="1975" t="s">
        <v>1556</v>
      </c>
      <c r="B19" s="1801"/>
      <c r="C19" s="424" t="s">
        <v>6</v>
      </c>
      <c r="D19" s="424" t="s">
        <v>1562</v>
      </c>
      <c r="E19" s="424" t="s">
        <v>7</v>
      </c>
      <c r="F19" s="424" t="s">
        <v>1559</v>
      </c>
      <c r="G19" s="541"/>
    </row>
    <row r="20" spans="1:7" ht="13.5" customHeight="1">
      <c r="A20" s="1981" t="str">
        <f>+'LISTADO MATERIALES'!$C$141</f>
        <v>CEMENTO GRIS</v>
      </c>
      <c r="B20" s="1967"/>
      <c r="C20" s="542" t="str">
        <f>+'LISTADO MATERIALES'!$D$141</f>
        <v>KG</v>
      </c>
      <c r="D20" s="546">
        <f>+'LISTADO MATERIALES'!$E$141</f>
        <v>600</v>
      </c>
      <c r="E20" s="542">
        <v>350</v>
      </c>
      <c r="F20" s="534">
        <f t="shared" ref="F20:F23" si="1">+E20*D20</f>
        <v>210000</v>
      </c>
      <c r="G20" s="544"/>
    </row>
    <row r="21" spans="1:7" ht="13.5" customHeight="1">
      <c r="A21" s="1988" t="str">
        <f>+'LISTADO MATERIALES'!$C$129</f>
        <v>ARENA</v>
      </c>
      <c r="B21" s="1611"/>
      <c r="C21" s="545" t="str">
        <f>+'LISTADO MATERIALES'!$D$129</f>
        <v>M3</v>
      </c>
      <c r="D21" s="546">
        <f>+'LISTADO MATERIALES'!$E$129</f>
        <v>59450</v>
      </c>
      <c r="E21" s="545">
        <v>0.56999999999999995</v>
      </c>
      <c r="F21" s="547">
        <f t="shared" si="1"/>
        <v>33886.5</v>
      </c>
      <c r="G21" s="548"/>
    </row>
    <row r="22" spans="1:7" ht="13.5" customHeight="1">
      <c r="A22" s="1988" t="str">
        <f>+'LISTADO MATERIALES'!$C$158</f>
        <v>GRAVILLA DE PLANTA</v>
      </c>
      <c r="B22" s="1611"/>
      <c r="C22" s="545" t="str">
        <f>+'LISTADO MATERIALES'!$D$158</f>
        <v>M3</v>
      </c>
      <c r="D22" s="546">
        <f>+'LISTADO MATERIALES'!$E$158</f>
        <v>86750</v>
      </c>
      <c r="E22" s="545">
        <v>0.84</v>
      </c>
      <c r="F22" s="547">
        <f t="shared" si="1"/>
        <v>72870</v>
      </c>
      <c r="G22" s="548"/>
    </row>
    <row r="23" spans="1:7" ht="13.5" customHeight="1">
      <c r="A23" s="1982" t="str">
        <f>+'LISTADO MATERIALES'!$C$723</f>
        <v>AGUA</v>
      </c>
      <c r="B23" s="1819"/>
      <c r="C23" s="549" t="str">
        <f>+'LISTADO MATERIALES'!$D$723</f>
        <v>LT</v>
      </c>
      <c r="D23" s="536">
        <f>+'LISTADO MATERIALES'!$E$723</f>
        <v>21</v>
      </c>
      <c r="E23" s="549">
        <v>210</v>
      </c>
      <c r="F23" s="550">
        <f t="shared" si="1"/>
        <v>4410</v>
      </c>
      <c r="G23" s="551"/>
    </row>
    <row r="24" spans="1:7" ht="13.5" customHeight="1">
      <c r="A24" s="1964" t="s">
        <v>1560</v>
      </c>
      <c r="B24" s="1601"/>
      <c r="C24" s="1601"/>
      <c r="D24" s="1601"/>
      <c r="E24" s="1601"/>
      <c r="F24" s="1801"/>
      <c r="G24" s="539">
        <f>SUM(F20:F23)</f>
        <v>321166.5</v>
      </c>
    </row>
    <row r="25" spans="1:7" ht="13.5" customHeight="1">
      <c r="A25" s="529" t="s">
        <v>1563</v>
      </c>
      <c r="B25" s="527"/>
      <c r="C25" s="527"/>
      <c r="D25" s="527"/>
      <c r="E25" s="527"/>
      <c r="F25" s="527"/>
      <c r="G25" s="540"/>
    </row>
    <row r="26" spans="1:7" ht="13.5" customHeight="1">
      <c r="A26" s="1965" t="s">
        <v>1556</v>
      </c>
      <c r="B26" s="1801"/>
      <c r="C26" s="530" t="s">
        <v>6</v>
      </c>
      <c r="D26" s="530" t="s">
        <v>1562</v>
      </c>
      <c r="E26" s="530" t="s">
        <v>7</v>
      </c>
      <c r="F26" s="530" t="s">
        <v>1559</v>
      </c>
      <c r="G26" s="552"/>
    </row>
    <row r="27" spans="1:7" ht="13.5" customHeight="1">
      <c r="A27" s="1981" t="str">
        <f>+'LISTADO EQUIPOS'!$C$117</f>
        <v>MIXXER DE 8M3</v>
      </c>
      <c r="B27" s="1967"/>
      <c r="C27" s="1200" t="str">
        <f>+'LISTADO EQUIPOS'!$D$117</f>
        <v>VJ</v>
      </c>
      <c r="D27" s="1201">
        <f>+'LISTADO EQUIPOS'!$E$117</f>
        <v>194500</v>
      </c>
      <c r="E27" s="1202">
        <v>0.15</v>
      </c>
      <c r="F27" s="547">
        <f>+E27*D27</f>
        <v>29175</v>
      </c>
      <c r="G27" s="544"/>
    </row>
    <row r="28" spans="1:7" ht="13.5" customHeight="1">
      <c r="A28" s="1980"/>
      <c r="B28" s="1819"/>
      <c r="C28" s="1200"/>
      <c r="D28" s="553"/>
      <c r="E28" s="536"/>
      <c r="F28" s="536"/>
      <c r="G28" s="555"/>
    </row>
    <row r="29" spans="1:7" ht="13.5" customHeight="1">
      <c r="A29" s="1964" t="s">
        <v>1560</v>
      </c>
      <c r="B29" s="1601"/>
      <c r="C29" s="1601"/>
      <c r="D29" s="1601"/>
      <c r="E29" s="1601"/>
      <c r="F29" s="1801"/>
      <c r="G29" s="539">
        <f>SUM(F27:F28)</f>
        <v>29175</v>
      </c>
    </row>
    <row r="30" spans="1:7" ht="13.5" customHeight="1">
      <c r="A30" s="529" t="s">
        <v>1564</v>
      </c>
      <c r="B30" s="527"/>
      <c r="C30" s="527"/>
      <c r="D30" s="527"/>
      <c r="E30" s="527"/>
      <c r="F30" s="527"/>
      <c r="G30" s="540"/>
    </row>
    <row r="31" spans="1:7" ht="13.5" customHeight="1">
      <c r="A31" s="1965" t="s">
        <v>1565</v>
      </c>
      <c r="B31" s="1801"/>
      <c r="C31" s="424" t="s">
        <v>1566</v>
      </c>
      <c r="D31" s="530" t="s">
        <v>7</v>
      </c>
      <c r="E31" s="530" t="s">
        <v>1558</v>
      </c>
      <c r="F31" s="530" t="s">
        <v>1559</v>
      </c>
      <c r="G31" s="557"/>
    </row>
    <row r="32" spans="1:7" ht="13.5" customHeight="1">
      <c r="A32" s="1983" t="str">
        <f>+'MANO DE OBRA'!$A$64</f>
        <v>Oficial (Incl. Prestaciones)</v>
      </c>
      <c r="B32" s="1888"/>
      <c r="C32" s="558">
        <f>+'MANO DE OBRA'!$E$64</f>
        <v>15031.25</v>
      </c>
      <c r="D32" s="559">
        <v>1</v>
      </c>
      <c r="E32" s="559">
        <v>0.5</v>
      </c>
      <c r="F32" s="560">
        <f t="shared" ref="F32:F33" si="2">+(C32*D32)/E32</f>
        <v>30062.5</v>
      </c>
      <c r="G32" s="544"/>
    </row>
    <row r="33" spans="1:7" ht="13.5" customHeight="1">
      <c r="A33" s="1968" t="str">
        <f>+'MANO DE OBRA'!$A$65</f>
        <v>Ayudante (Incl. Prestaciones)</v>
      </c>
      <c r="B33" s="1819"/>
      <c r="C33" s="561">
        <f>+'MANO DE OBRA'!$E$65</f>
        <v>10972.8125</v>
      </c>
      <c r="D33" s="562">
        <v>3</v>
      </c>
      <c r="E33" s="563">
        <f>E32</f>
        <v>0.5</v>
      </c>
      <c r="F33" s="564">
        <f t="shared" si="2"/>
        <v>65836.875</v>
      </c>
      <c r="G33" s="551"/>
    </row>
    <row r="34" spans="1:7" ht="13.5" customHeight="1">
      <c r="A34" s="1964" t="str">
        <f>+A29</f>
        <v>SUB-TOTAL</v>
      </c>
      <c r="B34" s="1601"/>
      <c r="C34" s="1601"/>
      <c r="D34" s="1601"/>
      <c r="E34" s="1601"/>
      <c r="F34" s="1801"/>
      <c r="G34" s="539">
        <f>SUM(F32:F33)</f>
        <v>95899.375</v>
      </c>
    </row>
    <row r="35" spans="1:7" ht="11.25" customHeight="1">
      <c r="A35" s="527"/>
      <c r="B35" s="527"/>
      <c r="C35" s="527"/>
      <c r="D35" s="527"/>
      <c r="E35" s="527"/>
      <c r="F35" s="565"/>
      <c r="G35" s="540"/>
    </row>
    <row r="36" spans="1:7" ht="21" customHeight="1">
      <c r="A36" s="1203" t="s">
        <v>2927</v>
      </c>
      <c r="B36" s="1204"/>
      <c r="C36" s="1204"/>
      <c r="D36" s="1204"/>
      <c r="E36" s="1204"/>
      <c r="F36" s="1205" t="s">
        <v>1567</v>
      </c>
      <c r="G36" s="607">
        <f>ROUND(G17+G24+G29+G34,0)</f>
        <v>468441</v>
      </c>
    </row>
    <row r="37" spans="1:7" ht="13.5" customHeight="1">
      <c r="A37" s="363"/>
      <c r="B37" s="363"/>
      <c r="C37" s="363"/>
      <c r="D37" s="363"/>
      <c r="E37" s="363"/>
      <c r="F37" s="363"/>
      <c r="G37" s="363"/>
    </row>
    <row r="38" spans="1:7" ht="13.5" customHeight="1">
      <c r="A38" s="363"/>
      <c r="B38" s="363"/>
      <c r="C38" s="363"/>
      <c r="D38" s="363"/>
      <c r="E38" s="363"/>
      <c r="F38" s="363"/>
      <c r="G38" s="363"/>
    </row>
    <row r="39" spans="1:7" ht="30" customHeight="1">
      <c r="A39" s="1994" t="e">
        <f>+$A$7</f>
        <v>#REF!</v>
      </c>
      <c r="B39" s="1616"/>
      <c r="C39" s="1624"/>
      <c r="D39" s="1990"/>
      <c r="E39" s="1616"/>
      <c r="F39" s="1616"/>
      <c r="G39" s="1624"/>
    </row>
    <row r="40" spans="1:7" ht="24" customHeight="1">
      <c r="A40" s="1971"/>
      <c r="B40" s="1817"/>
      <c r="C40" s="1972"/>
      <c r="D40" s="1971"/>
      <c r="E40" s="1817"/>
      <c r="F40" s="1817"/>
      <c r="G40" s="1972"/>
    </row>
    <row r="41" spans="1:7" ht="13.5" customHeight="1">
      <c r="A41" s="527"/>
      <c r="B41" s="527"/>
      <c r="C41" s="527"/>
      <c r="D41" s="527"/>
      <c r="E41" s="527"/>
      <c r="F41" s="527"/>
      <c r="G41" s="527"/>
    </row>
    <row r="42" spans="1:7" ht="64.5" customHeight="1">
      <c r="A42" s="1991" t="e">
        <f>A10</f>
        <v>#REF!</v>
      </c>
      <c r="B42" s="1601"/>
      <c r="C42" s="1602"/>
      <c r="D42" s="1975" t="s">
        <v>2928</v>
      </c>
      <c r="E42" s="1601"/>
      <c r="F42" s="1601"/>
      <c r="G42" s="1602"/>
    </row>
    <row r="43" spans="1:7" ht="13.5" customHeight="1">
      <c r="A43" s="418"/>
      <c r="B43" s="418"/>
      <c r="C43" s="418"/>
      <c r="D43" s="418"/>
      <c r="E43" s="418"/>
      <c r="F43" s="418"/>
      <c r="G43" s="418"/>
    </row>
    <row r="44" spans="1:7" ht="12.75" customHeight="1">
      <c r="A44" s="528"/>
      <c r="B44" s="527"/>
      <c r="C44" s="363"/>
      <c r="D44" s="421" t="s">
        <v>1553</v>
      </c>
      <c r="E44" s="717" t="s">
        <v>116</v>
      </c>
      <c r="F44" s="572"/>
      <c r="G44" s="572"/>
    </row>
    <row r="45" spans="1:7" ht="13.5" customHeight="1">
      <c r="A45" s="529" t="s">
        <v>1555</v>
      </c>
      <c r="B45" s="527"/>
      <c r="C45" s="527"/>
      <c r="D45" s="527"/>
      <c r="E45" s="527"/>
      <c r="F45" s="527"/>
      <c r="G45" s="527"/>
    </row>
    <row r="46" spans="1:7" ht="13.5" customHeight="1">
      <c r="A46" s="1975" t="s">
        <v>1556</v>
      </c>
      <c r="B46" s="1601"/>
      <c r="C46" s="1801"/>
      <c r="D46" s="530" t="s">
        <v>208</v>
      </c>
      <c r="E46" s="530" t="s">
        <v>1558</v>
      </c>
      <c r="F46" s="424" t="s">
        <v>1559</v>
      </c>
      <c r="G46" s="531"/>
    </row>
    <row r="47" spans="1:7" ht="13.5" customHeight="1">
      <c r="A47" s="1981" t="str">
        <f>+'LISTADO EQUIPOS'!$C$26</f>
        <v>MEZCLADORA DE CONCRETO 9 P3. - 1 1/2 SACO</v>
      </c>
      <c r="B47" s="1811"/>
      <c r="C47" s="1967"/>
      <c r="D47" s="543">
        <f>+'LISTADO EQUIPOS'!$E$26/8</f>
        <v>8250</v>
      </c>
      <c r="E47" s="533">
        <v>0.5</v>
      </c>
      <c r="F47" s="534">
        <f t="shared" ref="F47:F48" si="3">+D47/E47</f>
        <v>16500</v>
      </c>
      <c r="G47" s="535"/>
    </row>
    <row r="48" spans="1:7" ht="13.5" customHeight="1">
      <c r="A48" s="1982" t="str">
        <f>+'LISTADO EQUIPOS'!$C$22</f>
        <v>HERRAMIENTA MENOR.</v>
      </c>
      <c r="B48" s="1807"/>
      <c r="C48" s="1819"/>
      <c r="D48" s="536">
        <f>+'LISTADO EQUIPOS'!$E$22/8</f>
        <v>2850</v>
      </c>
      <c r="E48" s="537">
        <f>+E64</f>
        <v>0.35</v>
      </c>
      <c r="F48" s="550">
        <f t="shared" si="3"/>
        <v>8142.8571428571431</v>
      </c>
      <c r="G48" s="538"/>
    </row>
    <row r="49" spans="1:7" ht="13.5" customHeight="1">
      <c r="A49" s="1964" t="s">
        <v>1560</v>
      </c>
      <c r="B49" s="1601"/>
      <c r="C49" s="1601"/>
      <c r="D49" s="1601"/>
      <c r="E49" s="1601"/>
      <c r="F49" s="1801"/>
      <c r="G49" s="539">
        <f>SUM(F47:F48)</f>
        <v>24642.857142857145</v>
      </c>
    </row>
    <row r="50" spans="1:7" ht="13.5" customHeight="1">
      <c r="A50" s="529" t="s">
        <v>1561</v>
      </c>
      <c r="B50" s="527"/>
      <c r="C50" s="527"/>
      <c r="D50" s="527"/>
      <c r="E50" s="527"/>
      <c r="F50" s="527"/>
      <c r="G50" s="540"/>
    </row>
    <row r="51" spans="1:7" ht="13.5" customHeight="1">
      <c r="A51" s="1975" t="s">
        <v>1556</v>
      </c>
      <c r="B51" s="1801"/>
      <c r="C51" s="424" t="s">
        <v>6</v>
      </c>
      <c r="D51" s="424" t="s">
        <v>1562</v>
      </c>
      <c r="E51" s="424" t="s">
        <v>7</v>
      </c>
      <c r="F51" s="424" t="s">
        <v>1559</v>
      </c>
      <c r="G51" s="541"/>
    </row>
    <row r="52" spans="1:7" ht="13.5" customHeight="1">
      <c r="A52" s="1981" t="str">
        <f>+'LISTADO MATERIALES'!$C$141</f>
        <v>CEMENTO GRIS</v>
      </c>
      <c r="B52" s="1967"/>
      <c r="C52" s="542" t="str">
        <f>+'LISTADO MATERIALES'!$D$141</f>
        <v>KG</v>
      </c>
      <c r="D52" s="543">
        <f>+'LISTADO MATERIALES'!$E$141</f>
        <v>600</v>
      </c>
      <c r="E52" s="542">
        <v>420</v>
      </c>
      <c r="F52" s="534">
        <f t="shared" ref="F52:F55" si="4">+E52*D52</f>
        <v>252000</v>
      </c>
      <c r="G52" s="544"/>
    </row>
    <row r="53" spans="1:7" ht="13.5" customHeight="1">
      <c r="A53" s="1988" t="str">
        <f>+'LISTADO MATERIALES'!$C$129</f>
        <v>ARENA</v>
      </c>
      <c r="B53" s="1611"/>
      <c r="C53" s="545" t="str">
        <f>+'LISTADO MATERIALES'!$D$129</f>
        <v>M3</v>
      </c>
      <c r="D53" s="546">
        <f>+'LISTADO MATERIALES'!$E$129</f>
        <v>59450</v>
      </c>
      <c r="E53" s="545">
        <v>0.47699999999999998</v>
      </c>
      <c r="F53" s="547">
        <f t="shared" si="4"/>
        <v>28357.649999999998</v>
      </c>
      <c r="G53" s="548"/>
    </row>
    <row r="54" spans="1:7" ht="13.5" customHeight="1">
      <c r="A54" s="1988" t="str">
        <f>+'LISTADO MATERIALES'!$C$158</f>
        <v>GRAVILLA DE PLANTA</v>
      </c>
      <c r="B54" s="1611"/>
      <c r="C54" s="545" t="str">
        <f>+'LISTADO MATERIALES'!$D$158</f>
        <v>M3</v>
      </c>
      <c r="D54" s="546">
        <f>+'LISTADO MATERIALES'!$E$158</f>
        <v>86750</v>
      </c>
      <c r="E54" s="545">
        <v>0.77200000000000002</v>
      </c>
      <c r="F54" s="547">
        <f t="shared" si="4"/>
        <v>66971</v>
      </c>
      <c r="G54" s="548"/>
    </row>
    <row r="55" spans="1:7" ht="13.5" customHeight="1">
      <c r="A55" s="1982" t="str">
        <f>+'LISTADO MATERIALES'!$C$723</f>
        <v>AGUA</v>
      </c>
      <c r="B55" s="1819"/>
      <c r="C55" s="549" t="str">
        <f>+'LISTADO MATERIALES'!$D$723</f>
        <v>LT</v>
      </c>
      <c r="D55" s="536">
        <f>+'LISTADO MATERIALES'!$E$723</f>
        <v>21</v>
      </c>
      <c r="E55" s="549">
        <v>203</v>
      </c>
      <c r="F55" s="550">
        <f t="shared" si="4"/>
        <v>4263</v>
      </c>
      <c r="G55" s="551"/>
    </row>
    <row r="56" spans="1:7" ht="13.5" customHeight="1">
      <c r="A56" s="1964" t="s">
        <v>1560</v>
      </c>
      <c r="B56" s="1601"/>
      <c r="C56" s="1601"/>
      <c r="D56" s="1601"/>
      <c r="E56" s="1601"/>
      <c r="F56" s="1801"/>
      <c r="G56" s="539">
        <f>SUM(F52:F55)</f>
        <v>351591.65</v>
      </c>
    </row>
    <row r="57" spans="1:7" ht="13.5" customHeight="1">
      <c r="A57" s="529" t="s">
        <v>1563</v>
      </c>
      <c r="B57" s="527"/>
      <c r="C57" s="527"/>
      <c r="D57" s="527"/>
      <c r="E57" s="527"/>
      <c r="F57" s="527"/>
      <c r="G57" s="540"/>
    </row>
    <row r="58" spans="1:7" ht="13.5" customHeight="1">
      <c r="A58" s="1965" t="s">
        <v>1556</v>
      </c>
      <c r="B58" s="1801"/>
      <c r="C58" s="530" t="s">
        <v>6</v>
      </c>
      <c r="D58" s="530" t="s">
        <v>1562</v>
      </c>
      <c r="E58" s="530" t="s">
        <v>7</v>
      </c>
      <c r="F58" s="530" t="s">
        <v>1559</v>
      </c>
      <c r="G58" s="552"/>
    </row>
    <row r="59" spans="1:7" ht="12.75" customHeight="1">
      <c r="A59" s="1981" t="str">
        <f>+'LISTADO EQUIPOS'!$C$117</f>
        <v>MIXXER DE 8M3</v>
      </c>
      <c r="B59" s="1967"/>
      <c r="C59" s="1200" t="str">
        <f>+'LISTADO EQUIPOS'!$D$117</f>
        <v>VJ</v>
      </c>
      <c r="D59" s="1201">
        <f>+'LISTADO EQUIPOS'!$E$117</f>
        <v>194500</v>
      </c>
      <c r="E59" s="1202">
        <v>0.15</v>
      </c>
      <c r="F59" s="547">
        <f>+E59*D59</f>
        <v>29175</v>
      </c>
      <c r="G59" s="544"/>
    </row>
    <row r="60" spans="1:7" ht="13.5" customHeight="1">
      <c r="A60" s="1980"/>
      <c r="B60" s="1819"/>
      <c r="C60" s="1200"/>
      <c r="D60" s="553"/>
      <c r="E60" s="536"/>
      <c r="F60" s="536"/>
      <c r="G60" s="555"/>
    </row>
    <row r="61" spans="1:7" ht="13.5" customHeight="1">
      <c r="A61" s="1964" t="s">
        <v>1560</v>
      </c>
      <c r="B61" s="1601"/>
      <c r="C61" s="1601"/>
      <c r="D61" s="1601"/>
      <c r="E61" s="1601"/>
      <c r="F61" s="1801"/>
      <c r="G61" s="539">
        <f>SUM(F59:F60)</f>
        <v>29175</v>
      </c>
    </row>
    <row r="62" spans="1:7" ht="13.5" customHeight="1">
      <c r="A62" s="529" t="s">
        <v>1564</v>
      </c>
      <c r="B62" s="527"/>
      <c r="C62" s="527"/>
      <c r="D62" s="527"/>
      <c r="E62" s="527"/>
      <c r="F62" s="527"/>
      <c r="G62" s="540"/>
    </row>
    <row r="63" spans="1:7" ht="13.5" customHeight="1">
      <c r="A63" s="1965" t="s">
        <v>1565</v>
      </c>
      <c r="B63" s="1801"/>
      <c r="C63" s="424" t="s">
        <v>1566</v>
      </c>
      <c r="D63" s="530" t="s">
        <v>7</v>
      </c>
      <c r="E63" s="530" t="s">
        <v>1558</v>
      </c>
      <c r="F63" s="530" t="s">
        <v>1559</v>
      </c>
      <c r="G63" s="557"/>
    </row>
    <row r="64" spans="1:7" ht="13.5" customHeight="1">
      <c r="A64" s="1983" t="str">
        <f>+'MANO DE OBRA'!$A$64</f>
        <v>Oficial (Incl. Prestaciones)</v>
      </c>
      <c r="B64" s="1888"/>
      <c r="C64" s="558">
        <f>+'MANO DE OBRA'!$E$64</f>
        <v>15031.25</v>
      </c>
      <c r="D64" s="559">
        <v>1</v>
      </c>
      <c r="E64" s="559">
        <v>0.35</v>
      </c>
      <c r="F64" s="1206">
        <f t="shared" ref="F64:F65" si="5">+(C64*D64)/E64</f>
        <v>42946.428571428572</v>
      </c>
      <c r="G64" s="544"/>
    </row>
    <row r="65" spans="1:7" ht="13.5" customHeight="1">
      <c r="A65" s="1968" t="str">
        <f>+'MANO DE OBRA'!$A$65</f>
        <v>Ayudante (Incl. Prestaciones)</v>
      </c>
      <c r="B65" s="1819"/>
      <c r="C65" s="561">
        <f>+'MANO DE OBRA'!$E$65</f>
        <v>10972.8125</v>
      </c>
      <c r="D65" s="562">
        <v>3</v>
      </c>
      <c r="E65" s="563">
        <f>+E64</f>
        <v>0.35</v>
      </c>
      <c r="F65" s="1207">
        <f t="shared" si="5"/>
        <v>94052.67857142858</v>
      </c>
      <c r="G65" s="551"/>
    </row>
    <row r="66" spans="1:7" ht="13.5" customHeight="1">
      <c r="A66" s="1964" t="str">
        <f>+A61</f>
        <v>SUB-TOTAL</v>
      </c>
      <c r="B66" s="1601"/>
      <c r="C66" s="1601"/>
      <c r="D66" s="1601"/>
      <c r="E66" s="1601"/>
      <c r="F66" s="1801"/>
      <c r="G66" s="539">
        <f>SUM(F64:F65)</f>
        <v>136999.10714285716</v>
      </c>
    </row>
    <row r="67" spans="1:7" ht="11.25" customHeight="1">
      <c r="A67" s="527"/>
      <c r="B67" s="527"/>
      <c r="C67" s="527"/>
      <c r="D67" s="527"/>
      <c r="E67" s="527"/>
      <c r="F67" s="565"/>
      <c r="G67" s="540"/>
    </row>
    <row r="68" spans="1:7" ht="13.5" customHeight="1">
      <c r="A68" s="1208" t="s">
        <v>2929</v>
      </c>
      <c r="B68" s="1209"/>
      <c r="C68" s="1209"/>
      <c r="D68" s="1209"/>
      <c r="E68" s="1209"/>
      <c r="F68" s="1210" t="s">
        <v>1567</v>
      </c>
      <c r="G68" s="580">
        <f>ROUND(G49+G56+G61+G66,0)</f>
        <v>542409</v>
      </c>
    </row>
    <row r="69" spans="1:7" ht="13.5" customHeight="1">
      <c r="A69" s="363"/>
      <c r="B69" s="363"/>
      <c r="C69" s="363"/>
      <c r="D69" s="363"/>
      <c r="E69" s="363"/>
      <c r="F69" s="363"/>
      <c r="G69" s="363"/>
    </row>
    <row r="70" spans="1:7" ht="13.5" customHeight="1">
      <c r="A70" s="363"/>
      <c r="B70" s="363"/>
      <c r="C70" s="363"/>
      <c r="D70" s="363"/>
      <c r="E70" s="363"/>
      <c r="F70" s="363"/>
      <c r="G70" s="363"/>
    </row>
    <row r="71" spans="1:7" ht="27" customHeight="1">
      <c r="A71" s="1994" t="e">
        <f>+$A$7</f>
        <v>#REF!</v>
      </c>
      <c r="B71" s="1616"/>
      <c r="C71" s="1624"/>
      <c r="D71" s="1990"/>
      <c r="E71" s="1616"/>
      <c r="F71" s="1616"/>
      <c r="G71" s="1624"/>
    </row>
    <row r="72" spans="1:7" ht="24" customHeight="1">
      <c r="A72" s="1971"/>
      <c r="B72" s="1817"/>
      <c r="C72" s="1972"/>
      <c r="D72" s="1971"/>
      <c r="E72" s="1817"/>
      <c r="F72" s="1817"/>
      <c r="G72" s="1972"/>
    </row>
    <row r="73" spans="1:7" ht="13.5" customHeight="1">
      <c r="A73" s="527"/>
      <c r="B73" s="527"/>
      <c r="C73" s="527"/>
      <c r="D73" s="527"/>
      <c r="E73" s="527"/>
      <c r="F73" s="527"/>
      <c r="G73" s="527"/>
    </row>
    <row r="74" spans="1:7" ht="63" customHeight="1">
      <c r="A74" s="1991" t="e">
        <f>A10</f>
        <v>#REF!</v>
      </c>
      <c r="B74" s="1601"/>
      <c r="C74" s="1602"/>
      <c r="D74" s="1975" t="s">
        <v>2930</v>
      </c>
      <c r="E74" s="1601"/>
      <c r="F74" s="1601"/>
      <c r="G74" s="1602"/>
    </row>
    <row r="75" spans="1:7" ht="13.5" customHeight="1">
      <c r="A75" s="418"/>
      <c r="B75" s="418"/>
      <c r="C75" s="418"/>
      <c r="D75" s="418"/>
      <c r="E75" s="418"/>
      <c r="F75" s="418"/>
      <c r="G75" s="418"/>
    </row>
    <row r="76" spans="1:7" ht="12.75" customHeight="1">
      <c r="A76" s="528"/>
      <c r="B76" s="527"/>
      <c r="C76" s="363"/>
      <c r="D76" s="421" t="s">
        <v>1553</v>
      </c>
      <c r="E76" s="717" t="s">
        <v>116</v>
      </c>
      <c r="F76" s="572"/>
      <c r="G76" s="572"/>
    </row>
    <row r="77" spans="1:7" ht="13.5" customHeight="1">
      <c r="A77" s="529" t="s">
        <v>1555</v>
      </c>
      <c r="B77" s="527"/>
      <c r="C77" s="527"/>
      <c r="D77" s="527"/>
      <c r="E77" s="527"/>
      <c r="F77" s="527"/>
      <c r="G77" s="527"/>
    </row>
    <row r="78" spans="1:7" ht="13.5" customHeight="1">
      <c r="A78" s="1975" t="s">
        <v>1556</v>
      </c>
      <c r="B78" s="1601"/>
      <c r="C78" s="1801"/>
      <c r="D78" s="530" t="s">
        <v>208</v>
      </c>
      <c r="E78" s="530" t="s">
        <v>1558</v>
      </c>
      <c r="F78" s="424" t="s">
        <v>1559</v>
      </c>
      <c r="G78" s="531"/>
    </row>
    <row r="79" spans="1:7" ht="13.5" customHeight="1">
      <c r="A79" s="1981" t="str">
        <f>+'LISTADO EQUIPOS'!$C$26</f>
        <v>MEZCLADORA DE CONCRETO 9 P3. - 1 1/2 SACO</v>
      </c>
      <c r="B79" s="1811"/>
      <c r="C79" s="1967"/>
      <c r="D79" s="543">
        <f>+'LISTADO EQUIPOS'!$E$26/8</f>
        <v>8250</v>
      </c>
      <c r="E79" s="533">
        <f>+E47</f>
        <v>0.5</v>
      </c>
      <c r="F79" s="534">
        <f>+D79/E79</f>
        <v>16500</v>
      </c>
      <c r="G79" s="535"/>
    </row>
    <row r="80" spans="1:7" ht="13.5" customHeight="1">
      <c r="A80" s="1982" t="str">
        <f>+'LISTADO EQUIPOS'!$C$22</f>
        <v>HERRAMIENTA MENOR.</v>
      </c>
      <c r="B80" s="1807"/>
      <c r="C80" s="1819"/>
      <c r="D80" s="667" t="s">
        <v>1569</v>
      </c>
      <c r="E80" s="537">
        <v>1</v>
      </c>
      <c r="F80" s="550">
        <v>974</v>
      </c>
      <c r="G80" s="538"/>
    </row>
    <row r="81" spans="1:7" ht="13.5" customHeight="1">
      <c r="A81" s="1964" t="s">
        <v>1560</v>
      </c>
      <c r="B81" s="1601"/>
      <c r="C81" s="1601"/>
      <c r="D81" s="1601"/>
      <c r="E81" s="1601"/>
      <c r="F81" s="1801"/>
      <c r="G81" s="539">
        <f>SUM(F79:F80)</f>
        <v>17474</v>
      </c>
    </row>
    <row r="82" spans="1:7" ht="13.5" customHeight="1">
      <c r="A82" s="529" t="s">
        <v>1561</v>
      </c>
      <c r="B82" s="527"/>
      <c r="C82" s="527"/>
      <c r="D82" s="527"/>
      <c r="E82" s="527"/>
      <c r="F82" s="527"/>
      <c r="G82" s="540"/>
    </row>
    <row r="83" spans="1:7" ht="13.5" customHeight="1">
      <c r="A83" s="1975" t="s">
        <v>1556</v>
      </c>
      <c r="B83" s="1801"/>
      <c r="C83" s="424" t="s">
        <v>6</v>
      </c>
      <c r="D83" s="424" t="s">
        <v>1562</v>
      </c>
      <c r="E83" s="424" t="s">
        <v>7</v>
      </c>
      <c r="F83" s="424" t="s">
        <v>1559</v>
      </c>
      <c r="G83" s="541"/>
    </row>
    <row r="84" spans="1:7" ht="13.5" customHeight="1">
      <c r="A84" s="1981" t="str">
        <f>+'LISTADO MATERIALES'!$C$141</f>
        <v>CEMENTO GRIS</v>
      </c>
      <c r="B84" s="1967"/>
      <c r="C84" s="542" t="str">
        <f>+'LISTADO MATERIALES'!$D$141</f>
        <v>KG</v>
      </c>
      <c r="D84" s="543">
        <f>+'LISTADO MATERIALES'!$E$141</f>
        <v>600</v>
      </c>
      <c r="E84" s="542">
        <v>300</v>
      </c>
      <c r="F84" s="534">
        <f t="shared" ref="F84:F87" si="6">+E84*D84</f>
        <v>180000</v>
      </c>
      <c r="G84" s="544"/>
    </row>
    <row r="85" spans="1:7" ht="13.5" customHeight="1">
      <c r="A85" s="1988" t="str">
        <f>+'LISTADO MATERIALES'!$C$129</f>
        <v>ARENA</v>
      </c>
      <c r="B85" s="1611"/>
      <c r="C85" s="545" t="str">
        <f>+'LISTADO MATERIALES'!$D$129</f>
        <v>M3</v>
      </c>
      <c r="D85" s="546">
        <f>+'LISTADO MATERIALES'!$E$129</f>
        <v>59450</v>
      </c>
      <c r="E85" s="545">
        <v>0.75</v>
      </c>
      <c r="F85" s="547">
        <f t="shared" si="6"/>
        <v>44587.5</v>
      </c>
      <c r="G85" s="548"/>
    </row>
    <row r="86" spans="1:7" ht="13.5" customHeight="1">
      <c r="A86" s="1988" t="str">
        <f>+'LISTADO MATERIALES'!$C$158</f>
        <v>GRAVILLA DE PLANTA</v>
      </c>
      <c r="B86" s="1611"/>
      <c r="C86" s="545" t="str">
        <f>+'LISTADO MATERIALES'!$D$158</f>
        <v>M3</v>
      </c>
      <c r="D86" s="546">
        <f>+'LISTADO MATERIALES'!$E$158</f>
        <v>86750</v>
      </c>
      <c r="E86" s="545">
        <v>0.75</v>
      </c>
      <c r="F86" s="547">
        <f t="shared" si="6"/>
        <v>65062.5</v>
      </c>
      <c r="G86" s="548"/>
    </row>
    <row r="87" spans="1:7" ht="13.5" customHeight="1">
      <c r="A87" s="1982" t="str">
        <f>+'LISTADO MATERIALES'!$C$723</f>
        <v>AGUA</v>
      </c>
      <c r="B87" s="1819"/>
      <c r="C87" s="549" t="str">
        <f>+'LISTADO MATERIALES'!$D$723</f>
        <v>LT</v>
      </c>
      <c r="D87" s="536">
        <f>+'LISTADO MATERIALES'!$E$723</f>
        <v>21</v>
      </c>
      <c r="E87" s="549">
        <v>170</v>
      </c>
      <c r="F87" s="550">
        <f t="shared" si="6"/>
        <v>3570</v>
      </c>
      <c r="G87" s="551"/>
    </row>
    <row r="88" spans="1:7" ht="13.5" customHeight="1">
      <c r="A88" s="1964" t="s">
        <v>1560</v>
      </c>
      <c r="B88" s="1601"/>
      <c r="C88" s="1601"/>
      <c r="D88" s="1601"/>
      <c r="E88" s="1601"/>
      <c r="F88" s="1801"/>
      <c r="G88" s="539">
        <f>SUM(F84:F87)</f>
        <v>293220</v>
      </c>
    </row>
    <row r="89" spans="1:7" ht="13.5" customHeight="1">
      <c r="A89" s="529" t="s">
        <v>1563</v>
      </c>
      <c r="B89" s="527"/>
      <c r="C89" s="527"/>
      <c r="D89" s="527"/>
      <c r="E89" s="527"/>
      <c r="F89" s="527"/>
      <c r="G89" s="540"/>
    </row>
    <row r="90" spans="1:7" ht="13.5" customHeight="1">
      <c r="A90" s="1965" t="s">
        <v>1556</v>
      </c>
      <c r="B90" s="1801"/>
      <c r="C90" s="530" t="s">
        <v>6</v>
      </c>
      <c r="D90" s="530" t="s">
        <v>1562</v>
      </c>
      <c r="E90" s="530" t="s">
        <v>7</v>
      </c>
      <c r="F90" s="530" t="s">
        <v>1559</v>
      </c>
      <c r="G90" s="552"/>
    </row>
    <row r="91" spans="1:7" ht="12.75" customHeight="1">
      <c r="A91" s="1981" t="str">
        <f>+'LISTADO EQUIPOS'!$C$117</f>
        <v>MIXXER DE 8M3</v>
      </c>
      <c r="B91" s="1967"/>
      <c r="C91" s="1200" t="str">
        <f>+'LISTADO EQUIPOS'!$D$117</f>
        <v>VJ</v>
      </c>
      <c r="D91" s="1201">
        <f>+'LISTADO EQUIPOS'!$E$117</f>
        <v>194500</v>
      </c>
      <c r="E91" s="1202">
        <v>0.15</v>
      </c>
      <c r="F91" s="547">
        <f>+E91*D91</f>
        <v>29175</v>
      </c>
      <c r="G91" s="544"/>
    </row>
    <row r="92" spans="1:7" ht="13.5" customHeight="1">
      <c r="A92" s="1980"/>
      <c r="B92" s="1819"/>
      <c r="C92" s="1200"/>
      <c r="D92" s="553"/>
      <c r="E92" s="536"/>
      <c r="F92" s="536"/>
      <c r="G92" s="555"/>
    </row>
    <row r="93" spans="1:7" ht="13.5" customHeight="1">
      <c r="A93" s="1964" t="s">
        <v>1560</v>
      </c>
      <c r="B93" s="1601"/>
      <c r="C93" s="1601"/>
      <c r="D93" s="1601"/>
      <c r="E93" s="1601"/>
      <c r="F93" s="1801"/>
      <c r="G93" s="539">
        <f>SUM(F91:F92)</f>
        <v>29175</v>
      </c>
    </row>
    <row r="94" spans="1:7" ht="13.5" customHeight="1">
      <c r="A94" s="529" t="s">
        <v>1564</v>
      </c>
      <c r="B94" s="527"/>
      <c r="C94" s="527"/>
      <c r="D94" s="527"/>
      <c r="E94" s="527"/>
      <c r="F94" s="527"/>
      <c r="G94" s="540"/>
    </row>
    <row r="95" spans="1:7" ht="13.5" customHeight="1">
      <c r="A95" s="1965" t="s">
        <v>1565</v>
      </c>
      <c r="B95" s="1801"/>
      <c r="C95" s="424" t="s">
        <v>1566</v>
      </c>
      <c r="D95" s="530" t="s">
        <v>7</v>
      </c>
      <c r="E95" s="530" t="s">
        <v>1558</v>
      </c>
      <c r="F95" s="530" t="s">
        <v>1559</v>
      </c>
      <c r="G95" s="557"/>
    </row>
    <row r="96" spans="1:7" ht="13.5" customHeight="1">
      <c r="A96" s="1983" t="str">
        <f>+'MANO DE OBRA'!$A$64</f>
        <v>Oficial (Incl. Prestaciones)</v>
      </c>
      <c r="B96" s="1888"/>
      <c r="C96" s="558">
        <f>+'MANO DE OBRA'!$E$64</f>
        <v>15031.25</v>
      </c>
      <c r="D96" s="559">
        <v>1</v>
      </c>
      <c r="E96" s="559">
        <v>0.41</v>
      </c>
      <c r="F96" s="560">
        <f t="shared" ref="F96:F97" si="7">+(C96*D96)/E96</f>
        <v>36661.585365853658</v>
      </c>
      <c r="G96" s="544"/>
    </row>
    <row r="97" spans="1:7" ht="13.5" customHeight="1">
      <c r="A97" s="1968" t="str">
        <f>+'MANO DE OBRA'!$A$65</f>
        <v>Ayudante (Incl. Prestaciones)</v>
      </c>
      <c r="B97" s="1819"/>
      <c r="C97" s="561">
        <f>+'MANO DE OBRA'!$E$65</f>
        <v>10972.8125</v>
      </c>
      <c r="D97" s="562">
        <v>4</v>
      </c>
      <c r="E97" s="563">
        <f>+E96</f>
        <v>0.41</v>
      </c>
      <c r="F97" s="564">
        <f t="shared" si="7"/>
        <v>107051.82926829268</v>
      </c>
      <c r="G97" s="551"/>
    </row>
    <row r="98" spans="1:7" ht="13.5" customHeight="1">
      <c r="A98" s="1964" t="str">
        <f>+A93</f>
        <v>SUB-TOTAL</v>
      </c>
      <c r="B98" s="1601"/>
      <c r="C98" s="1601"/>
      <c r="D98" s="1601"/>
      <c r="E98" s="1601"/>
      <c r="F98" s="1801"/>
      <c r="G98" s="539">
        <f>SUM(F96:F97)</f>
        <v>143713.41463414635</v>
      </c>
    </row>
    <row r="99" spans="1:7" ht="11.25" customHeight="1">
      <c r="A99" s="527"/>
      <c r="B99" s="527"/>
      <c r="C99" s="527"/>
      <c r="D99" s="527"/>
      <c r="E99" s="527"/>
      <c r="F99" s="565"/>
      <c r="G99" s="540"/>
    </row>
    <row r="100" spans="1:7" ht="13.5" customHeight="1">
      <c r="A100" s="1208" t="s">
        <v>2931</v>
      </c>
      <c r="B100" s="1209"/>
      <c r="C100" s="1209"/>
      <c r="D100" s="1209"/>
      <c r="E100" s="1209"/>
      <c r="F100" s="1210" t="s">
        <v>1567</v>
      </c>
      <c r="G100" s="580">
        <f>ROUND(G81+G88+G93+G98,0)</f>
        <v>483582</v>
      </c>
    </row>
    <row r="101" spans="1:7" ht="13.5" customHeight="1">
      <c r="A101" s="363"/>
      <c r="B101" s="363"/>
      <c r="C101" s="363"/>
      <c r="D101" s="363"/>
      <c r="E101" s="363"/>
      <c r="F101" s="363"/>
      <c r="G101" s="363"/>
    </row>
    <row r="102" spans="1:7" ht="13.5" customHeight="1">
      <c r="A102" s="363"/>
      <c r="B102" s="363"/>
      <c r="C102" s="363"/>
      <c r="D102" s="363"/>
      <c r="E102" s="363"/>
      <c r="F102" s="363"/>
      <c r="G102" s="363"/>
    </row>
    <row r="103" spans="1:7" ht="26.25" customHeight="1">
      <c r="A103" s="1994" t="e">
        <f>+$A$7</f>
        <v>#REF!</v>
      </c>
      <c r="B103" s="1616"/>
      <c r="C103" s="1624"/>
      <c r="D103" s="1990"/>
      <c r="E103" s="1616"/>
      <c r="F103" s="1616"/>
      <c r="G103" s="1624"/>
    </row>
    <row r="104" spans="1:7" ht="29.25" customHeight="1">
      <c r="A104" s="1971"/>
      <c r="B104" s="1817"/>
      <c r="C104" s="1972"/>
      <c r="D104" s="1971"/>
      <c r="E104" s="1817"/>
      <c r="F104" s="1817"/>
      <c r="G104" s="1972"/>
    </row>
    <row r="105" spans="1:7" ht="13.5" customHeight="1">
      <c r="A105" s="527"/>
      <c r="B105" s="527"/>
      <c r="C105" s="527"/>
      <c r="D105" s="527"/>
      <c r="E105" s="527"/>
      <c r="F105" s="527"/>
      <c r="G105" s="527"/>
    </row>
    <row r="106" spans="1:7" ht="56.25" customHeight="1">
      <c r="A106" s="1991" t="e">
        <f>A10</f>
        <v>#REF!</v>
      </c>
      <c r="B106" s="1601"/>
      <c r="C106" s="1602"/>
      <c r="D106" s="1975" t="s">
        <v>2932</v>
      </c>
      <c r="E106" s="1601"/>
      <c r="F106" s="1601"/>
      <c r="G106" s="1602"/>
    </row>
    <row r="107" spans="1:7" ht="13.5" customHeight="1">
      <c r="A107" s="418"/>
      <c r="B107" s="418"/>
      <c r="C107" s="418"/>
      <c r="D107" s="418"/>
      <c r="E107" s="418"/>
      <c r="F107" s="418"/>
      <c r="G107" s="418"/>
    </row>
    <row r="108" spans="1:7" ht="12.75" customHeight="1">
      <c r="A108" s="528"/>
      <c r="B108" s="527"/>
      <c r="C108" s="363"/>
      <c r="D108" s="421" t="s">
        <v>1553</v>
      </c>
      <c r="E108" s="717" t="s">
        <v>116</v>
      </c>
      <c r="F108" s="572"/>
      <c r="G108" s="572"/>
    </row>
    <row r="109" spans="1:7" ht="13.5" customHeight="1">
      <c r="A109" s="529" t="s">
        <v>1555</v>
      </c>
      <c r="B109" s="527"/>
      <c r="C109" s="527"/>
      <c r="D109" s="527"/>
      <c r="E109" s="527"/>
      <c r="F109" s="527"/>
      <c r="G109" s="527"/>
    </row>
    <row r="110" spans="1:7" ht="13.5" customHeight="1">
      <c r="A110" s="1975" t="s">
        <v>1556</v>
      </c>
      <c r="B110" s="1601"/>
      <c r="C110" s="1801"/>
      <c r="D110" s="530" t="s">
        <v>208</v>
      </c>
      <c r="E110" s="530" t="s">
        <v>1558</v>
      </c>
      <c r="F110" s="424" t="s">
        <v>1559</v>
      </c>
      <c r="G110" s="531"/>
    </row>
    <row r="111" spans="1:7" ht="13.5" customHeight="1">
      <c r="A111" s="1981" t="str">
        <f>+'LISTADO EQUIPOS'!$C$26</f>
        <v>MEZCLADORA DE CONCRETO 9 P3. - 1 1/2 SACO</v>
      </c>
      <c r="B111" s="1811"/>
      <c r="C111" s="1967"/>
      <c r="D111" s="543">
        <f>+'LISTADO EQUIPOS'!$E$26/8</f>
        <v>8250</v>
      </c>
      <c r="E111" s="533">
        <f>+E79</f>
        <v>0.5</v>
      </c>
      <c r="F111" s="534">
        <f t="shared" ref="F111:F112" si="8">+E111*D111</f>
        <v>4125</v>
      </c>
      <c r="G111" s="535"/>
    </row>
    <row r="112" spans="1:7" ht="13.5" customHeight="1">
      <c r="A112" s="1982" t="str">
        <f>+'LISTADO EQUIPOS'!$C$22</f>
        <v>HERRAMIENTA MENOR.</v>
      </c>
      <c r="B112" s="1807"/>
      <c r="C112" s="1819"/>
      <c r="D112" s="536">
        <f>+'LISTADO EQUIPOS'!$E$22/8</f>
        <v>2850</v>
      </c>
      <c r="E112" s="537">
        <f>+E128</f>
        <v>0.95</v>
      </c>
      <c r="F112" s="550">
        <f t="shared" si="8"/>
        <v>2707.5</v>
      </c>
      <c r="G112" s="538"/>
    </row>
    <row r="113" spans="1:7" ht="13.5" customHeight="1">
      <c r="A113" s="1964" t="s">
        <v>1560</v>
      </c>
      <c r="B113" s="1601"/>
      <c r="C113" s="1601"/>
      <c r="D113" s="1601"/>
      <c r="E113" s="1601"/>
      <c r="F113" s="1801"/>
      <c r="G113" s="539">
        <f>SUM(F111:F112)</f>
        <v>6832.5</v>
      </c>
    </row>
    <row r="114" spans="1:7" ht="13.5" customHeight="1">
      <c r="A114" s="529" t="s">
        <v>1561</v>
      </c>
      <c r="B114" s="527"/>
      <c r="C114" s="527"/>
      <c r="D114" s="527"/>
      <c r="E114" s="527"/>
      <c r="F114" s="527"/>
      <c r="G114" s="540"/>
    </row>
    <row r="115" spans="1:7" ht="13.5" customHeight="1">
      <c r="A115" s="1975" t="s">
        <v>1556</v>
      </c>
      <c r="B115" s="1801"/>
      <c r="C115" s="424" t="s">
        <v>6</v>
      </c>
      <c r="D115" s="424" t="s">
        <v>1562</v>
      </c>
      <c r="E115" s="424" t="s">
        <v>7</v>
      </c>
      <c r="F115" s="424" t="s">
        <v>1559</v>
      </c>
      <c r="G115" s="541"/>
    </row>
    <row r="116" spans="1:7" ht="13.5" customHeight="1">
      <c r="A116" s="1981" t="str">
        <f>+'LISTADO MATERIALES'!$C$141</f>
        <v>CEMENTO GRIS</v>
      </c>
      <c r="B116" s="1967"/>
      <c r="C116" s="542" t="str">
        <f>+'LISTADO MATERIALES'!$D$141</f>
        <v>KG</v>
      </c>
      <c r="D116" s="543">
        <f>+'LISTADO MATERIALES'!$E$141</f>
        <v>600</v>
      </c>
      <c r="E116" s="542">
        <v>240</v>
      </c>
      <c r="F116" s="534">
        <f t="shared" ref="F116:F119" si="9">+E116*D116</f>
        <v>144000</v>
      </c>
      <c r="G116" s="544"/>
    </row>
    <row r="117" spans="1:7" ht="13.5" customHeight="1">
      <c r="A117" s="1988" t="str">
        <f>+'LISTADO MATERIALES'!$C$129</f>
        <v>ARENA</v>
      </c>
      <c r="B117" s="1611"/>
      <c r="C117" s="545" t="str">
        <f>+'LISTADO MATERIALES'!$D$129</f>
        <v>M3</v>
      </c>
      <c r="D117" s="546">
        <f>+'LISTADO MATERIALES'!$E$129</f>
        <v>59450</v>
      </c>
      <c r="E117" s="545">
        <v>0.85</v>
      </c>
      <c r="F117" s="547">
        <f t="shared" si="9"/>
        <v>50532.5</v>
      </c>
      <c r="G117" s="548"/>
    </row>
    <row r="118" spans="1:7" ht="13.5" customHeight="1">
      <c r="A118" s="1988" t="str">
        <f>+'LISTADO MATERIALES'!$C$158</f>
        <v>GRAVILLA DE PLANTA</v>
      </c>
      <c r="B118" s="1611"/>
      <c r="C118" s="545" t="str">
        <f>+'LISTADO MATERIALES'!$D$158</f>
        <v>M3</v>
      </c>
      <c r="D118" s="546">
        <f>+'LISTADO MATERIALES'!$E$158</f>
        <v>86750</v>
      </c>
      <c r="E118" s="545">
        <v>0.62</v>
      </c>
      <c r="F118" s="547">
        <f t="shared" si="9"/>
        <v>53785</v>
      </c>
      <c r="G118" s="548"/>
    </row>
    <row r="119" spans="1:7" ht="13.5" customHeight="1">
      <c r="A119" s="1982" t="str">
        <f>+'LISTADO MATERIALES'!$C$723</f>
        <v>AGUA</v>
      </c>
      <c r="B119" s="1819"/>
      <c r="C119" s="549" t="str">
        <f>+'LISTADO MATERIALES'!$D$723</f>
        <v>LT</v>
      </c>
      <c r="D119" s="536">
        <f>+'LISTADO MATERIALES'!$E$723</f>
        <v>21</v>
      </c>
      <c r="E119" s="549">
        <v>100</v>
      </c>
      <c r="F119" s="550">
        <f t="shared" si="9"/>
        <v>2100</v>
      </c>
      <c r="G119" s="551"/>
    </row>
    <row r="120" spans="1:7" ht="13.5" customHeight="1">
      <c r="A120" s="1964" t="s">
        <v>1560</v>
      </c>
      <c r="B120" s="1601"/>
      <c r="C120" s="1601"/>
      <c r="D120" s="1601"/>
      <c r="E120" s="1601"/>
      <c r="F120" s="1801"/>
      <c r="G120" s="539">
        <f>SUM(F116:F119)</f>
        <v>250417.5</v>
      </c>
    </row>
    <row r="121" spans="1:7" ht="13.5" customHeight="1">
      <c r="A121" s="529" t="s">
        <v>1563</v>
      </c>
      <c r="B121" s="527"/>
      <c r="C121" s="527"/>
      <c r="D121" s="527"/>
      <c r="E121" s="527"/>
      <c r="F121" s="527"/>
      <c r="G121" s="540"/>
    </row>
    <row r="122" spans="1:7" ht="13.5" customHeight="1">
      <c r="A122" s="1965" t="s">
        <v>1556</v>
      </c>
      <c r="B122" s="1801"/>
      <c r="C122" s="530" t="s">
        <v>6</v>
      </c>
      <c r="D122" s="530" t="s">
        <v>1562</v>
      </c>
      <c r="E122" s="530" t="s">
        <v>7</v>
      </c>
      <c r="F122" s="530" t="s">
        <v>1559</v>
      </c>
      <c r="G122" s="552"/>
    </row>
    <row r="123" spans="1:7" ht="12.75" customHeight="1">
      <c r="A123" s="1981" t="str">
        <f>+'LISTADO EQUIPOS'!$C$117</f>
        <v>MIXXER DE 8M3</v>
      </c>
      <c r="B123" s="1967"/>
      <c r="C123" s="1200" t="str">
        <f>+'LISTADO EQUIPOS'!$D$117</f>
        <v>VJ</v>
      </c>
      <c r="D123" s="1201">
        <f>+'LISTADO EQUIPOS'!$E$117</f>
        <v>194500</v>
      </c>
      <c r="E123" s="1202">
        <v>0.15</v>
      </c>
      <c r="F123" s="547">
        <f>+E123*D123</f>
        <v>29175</v>
      </c>
      <c r="G123" s="544"/>
    </row>
    <row r="124" spans="1:7" ht="13.5" customHeight="1">
      <c r="A124" s="1980"/>
      <c r="B124" s="1819"/>
      <c r="C124" s="1200"/>
      <c r="D124" s="553"/>
      <c r="E124" s="536"/>
      <c r="F124" s="536"/>
      <c r="G124" s="555"/>
    </row>
    <row r="125" spans="1:7" ht="13.5" customHeight="1">
      <c r="A125" s="1964" t="s">
        <v>1560</v>
      </c>
      <c r="B125" s="1601"/>
      <c r="C125" s="1601"/>
      <c r="D125" s="1601"/>
      <c r="E125" s="1601"/>
      <c r="F125" s="1801"/>
      <c r="G125" s="539">
        <f>SUM(F123:F124)</f>
        <v>29175</v>
      </c>
    </row>
    <row r="126" spans="1:7" ht="13.5" customHeight="1">
      <c r="A126" s="529" t="s">
        <v>1564</v>
      </c>
      <c r="B126" s="527"/>
      <c r="C126" s="527"/>
      <c r="D126" s="527"/>
      <c r="E126" s="527"/>
      <c r="F126" s="527"/>
      <c r="G126" s="540"/>
    </row>
    <row r="127" spans="1:7" ht="13.5" customHeight="1">
      <c r="A127" s="1965" t="s">
        <v>1565</v>
      </c>
      <c r="B127" s="1801"/>
      <c r="C127" s="424" t="s">
        <v>1566</v>
      </c>
      <c r="D127" s="530" t="s">
        <v>7</v>
      </c>
      <c r="E127" s="530" t="s">
        <v>1558</v>
      </c>
      <c r="F127" s="530" t="s">
        <v>1559</v>
      </c>
      <c r="G127" s="557"/>
    </row>
    <row r="128" spans="1:7" ht="13.5" customHeight="1">
      <c r="A128" s="1983" t="str">
        <f>+'MANO DE OBRA'!$A$64</f>
        <v>Oficial (Incl. Prestaciones)</v>
      </c>
      <c r="B128" s="1888"/>
      <c r="C128" s="558">
        <f>+'MANO DE OBRA'!$E$64</f>
        <v>15031.25</v>
      </c>
      <c r="D128" s="559">
        <v>1</v>
      </c>
      <c r="E128" s="559">
        <v>0.95</v>
      </c>
      <c r="F128" s="578">
        <f t="shared" ref="F128:F129" si="10">+(C128*D128)*E128</f>
        <v>14279.6875</v>
      </c>
      <c r="G128" s="544"/>
    </row>
    <row r="129" spans="1:7" ht="13.5" customHeight="1">
      <c r="A129" s="1968" t="str">
        <f>+'MANO DE OBRA'!$A$65</f>
        <v>Ayudante (Incl. Prestaciones)</v>
      </c>
      <c r="B129" s="1819"/>
      <c r="C129" s="561">
        <f>+'MANO DE OBRA'!$E$65</f>
        <v>10972.8125</v>
      </c>
      <c r="D129" s="562">
        <v>4</v>
      </c>
      <c r="E129" s="563">
        <f>+E128</f>
        <v>0.95</v>
      </c>
      <c r="F129" s="579">
        <f t="shared" si="10"/>
        <v>41696.6875</v>
      </c>
      <c r="G129" s="551"/>
    </row>
    <row r="130" spans="1:7" ht="13.5" customHeight="1">
      <c r="A130" s="1964" t="str">
        <f>+A125</f>
        <v>SUB-TOTAL</v>
      </c>
      <c r="B130" s="1601"/>
      <c r="C130" s="1601"/>
      <c r="D130" s="1601"/>
      <c r="E130" s="1601"/>
      <c r="F130" s="1801"/>
      <c r="G130" s="539">
        <f>SUM(F128:F129)</f>
        <v>55976.375</v>
      </c>
    </row>
    <row r="131" spans="1:7" ht="11.25" customHeight="1">
      <c r="A131" s="527"/>
      <c r="B131" s="527"/>
      <c r="C131" s="527"/>
      <c r="D131" s="527"/>
      <c r="E131" s="527"/>
      <c r="F131" s="565"/>
      <c r="G131" s="540"/>
    </row>
    <row r="132" spans="1:7" ht="13.5" customHeight="1">
      <c r="A132" s="1208" t="s">
        <v>2933</v>
      </c>
      <c r="B132" s="1209"/>
      <c r="C132" s="1209"/>
      <c r="D132" s="1209"/>
      <c r="E132" s="1209"/>
      <c r="F132" s="1210" t="s">
        <v>1567</v>
      </c>
      <c r="G132" s="580">
        <f>ROUND(G113+G120+G125+G130,0)</f>
        <v>342401</v>
      </c>
    </row>
    <row r="133" spans="1:7" ht="13.5" customHeight="1">
      <c r="A133" s="363"/>
      <c r="B133" s="363"/>
      <c r="C133" s="363"/>
      <c r="D133" s="363"/>
      <c r="E133" s="363"/>
      <c r="F133" s="363"/>
      <c r="G133" s="363"/>
    </row>
    <row r="134" spans="1:7" ht="13.5" customHeight="1">
      <c r="A134" s="363"/>
      <c r="B134" s="363"/>
      <c r="C134" s="363"/>
      <c r="D134" s="363"/>
      <c r="E134" s="363"/>
      <c r="F134" s="363"/>
      <c r="G134" s="363"/>
    </row>
    <row r="135" spans="1:7" ht="27" customHeight="1">
      <c r="A135" s="1994" t="e">
        <f>+$A$7</f>
        <v>#REF!</v>
      </c>
      <c r="B135" s="1616"/>
      <c r="C135" s="1624"/>
      <c r="D135" s="1990"/>
      <c r="E135" s="1616"/>
      <c r="F135" s="1616"/>
      <c r="G135" s="1624"/>
    </row>
    <row r="136" spans="1:7" ht="24" customHeight="1">
      <c r="A136" s="1971"/>
      <c r="B136" s="1817"/>
      <c r="C136" s="1972"/>
      <c r="D136" s="1971"/>
      <c r="E136" s="1817"/>
      <c r="F136" s="1817"/>
      <c r="G136" s="1972"/>
    </row>
    <row r="137" spans="1:7" ht="13.5" customHeight="1">
      <c r="A137" s="527"/>
      <c r="B137" s="527"/>
      <c r="C137" s="527"/>
      <c r="D137" s="527"/>
      <c r="E137" s="527"/>
      <c r="F137" s="527"/>
      <c r="G137" s="527"/>
    </row>
    <row r="138" spans="1:7" ht="53.25" customHeight="1">
      <c r="A138" s="1991" t="e">
        <f>A10</f>
        <v>#REF!</v>
      </c>
      <c r="B138" s="1601"/>
      <c r="C138" s="1602"/>
      <c r="D138" s="1975" t="s">
        <v>2934</v>
      </c>
      <c r="E138" s="1601"/>
      <c r="F138" s="1601"/>
      <c r="G138" s="1602"/>
    </row>
    <row r="139" spans="1:7" ht="13.5" customHeight="1">
      <c r="A139" s="418"/>
      <c r="B139" s="418"/>
      <c r="C139" s="418"/>
      <c r="D139" s="418"/>
      <c r="E139" s="418"/>
      <c r="F139" s="418"/>
      <c r="G139" s="418"/>
    </row>
    <row r="140" spans="1:7" ht="12.75" customHeight="1">
      <c r="A140" s="528"/>
      <c r="B140" s="527"/>
      <c r="C140" s="363"/>
      <c r="D140" s="421" t="s">
        <v>1553</v>
      </c>
      <c r="E140" s="717" t="s">
        <v>116</v>
      </c>
      <c r="F140" s="572"/>
      <c r="G140" s="572"/>
    </row>
    <row r="141" spans="1:7" ht="13.5" customHeight="1">
      <c r="A141" s="529" t="s">
        <v>1555</v>
      </c>
      <c r="B141" s="527"/>
      <c r="C141" s="527"/>
      <c r="D141" s="527"/>
      <c r="E141" s="527"/>
      <c r="F141" s="527"/>
      <c r="G141" s="527"/>
    </row>
    <row r="142" spans="1:7" ht="13.5" customHeight="1">
      <c r="A142" s="1975" t="s">
        <v>1556</v>
      </c>
      <c r="B142" s="1601"/>
      <c r="C142" s="1801"/>
      <c r="D142" s="530" t="s">
        <v>208</v>
      </c>
      <c r="E142" s="530" t="s">
        <v>1558</v>
      </c>
      <c r="F142" s="424" t="s">
        <v>1559</v>
      </c>
      <c r="G142" s="531"/>
    </row>
    <row r="143" spans="1:7" ht="12.75" customHeight="1">
      <c r="A143" s="1981" t="str">
        <f>+'LISTADO EQUIPOS'!$C$26</f>
        <v>MEZCLADORA DE CONCRETO 9 P3. - 1 1/2 SACO</v>
      </c>
      <c r="B143" s="1811"/>
      <c r="C143" s="1967"/>
      <c r="D143" s="543">
        <f>+'LISTADO EQUIPOS'!$E$26/8</f>
        <v>8250</v>
      </c>
      <c r="E143" s="533">
        <v>1.2</v>
      </c>
      <c r="F143" s="534">
        <f t="shared" ref="F143:F144" si="11">+D143/E143</f>
        <v>6875</v>
      </c>
      <c r="G143" s="535"/>
    </row>
    <row r="144" spans="1:7" ht="13.5" customHeight="1">
      <c r="A144" s="1982" t="str">
        <f>+'LISTADO EQUIPOS'!$C$22</f>
        <v>HERRAMIENTA MENOR.</v>
      </c>
      <c r="B144" s="1807"/>
      <c r="C144" s="1819"/>
      <c r="D144" s="536">
        <f>+'LISTADO EQUIPOS'!$E$22/8</f>
        <v>2850</v>
      </c>
      <c r="E144" s="537">
        <f>+E160</f>
        <v>0.54</v>
      </c>
      <c r="F144" s="550">
        <f t="shared" si="11"/>
        <v>5277.7777777777774</v>
      </c>
      <c r="G144" s="538"/>
    </row>
    <row r="145" spans="1:7" ht="13.5" customHeight="1">
      <c r="A145" s="1964" t="s">
        <v>1560</v>
      </c>
      <c r="B145" s="1601"/>
      <c r="C145" s="1601"/>
      <c r="D145" s="1601"/>
      <c r="E145" s="1601"/>
      <c r="F145" s="1801"/>
      <c r="G145" s="539">
        <f>SUM(F143:F144)</f>
        <v>12152.777777777777</v>
      </c>
    </row>
    <row r="146" spans="1:7" ht="13.5" customHeight="1">
      <c r="A146" s="529" t="s">
        <v>1561</v>
      </c>
      <c r="B146" s="527"/>
      <c r="C146" s="527"/>
      <c r="D146" s="527"/>
      <c r="E146" s="527"/>
      <c r="F146" s="527"/>
      <c r="G146" s="540"/>
    </row>
    <row r="147" spans="1:7" ht="13.5" customHeight="1">
      <c r="A147" s="1975" t="s">
        <v>1556</v>
      </c>
      <c r="B147" s="1801"/>
      <c r="C147" s="424" t="s">
        <v>6</v>
      </c>
      <c r="D147" s="424" t="s">
        <v>1562</v>
      </c>
      <c r="E147" s="424" t="s">
        <v>7</v>
      </c>
      <c r="F147" s="424" t="s">
        <v>1559</v>
      </c>
      <c r="G147" s="541"/>
    </row>
    <row r="148" spans="1:7" ht="13.5" customHeight="1">
      <c r="A148" s="1976" t="str">
        <f>+'LISTADO MATERIALES'!$C$141</f>
        <v>CEMENTO GRIS</v>
      </c>
      <c r="B148" s="1967"/>
      <c r="C148" s="581" t="str">
        <f>+'LISTADO MATERIALES'!$D$141</f>
        <v>KG</v>
      </c>
      <c r="D148" s="582">
        <f>+'LISTADO MATERIALES'!$E$141</f>
        <v>600</v>
      </c>
      <c r="E148" s="581">
        <v>445</v>
      </c>
      <c r="F148" s="604">
        <f t="shared" ref="F148:F150" si="12">+E148*D148</f>
        <v>267000</v>
      </c>
      <c r="G148" s="583"/>
    </row>
    <row r="149" spans="1:7" ht="15" customHeight="1">
      <c r="A149" s="1977" t="str">
        <f>+'LISTADO MATERIALES'!C133</f>
        <v>ARENA REBOQUE - FINA</v>
      </c>
      <c r="B149" s="1611"/>
      <c r="C149" s="584" t="str">
        <f>+'LISTADO MATERIALES'!$D$133</f>
        <v>M3</v>
      </c>
      <c r="D149" s="585">
        <f>+'LISTADO MATERIALES'!$E$133</f>
        <v>31500</v>
      </c>
      <c r="E149" s="584">
        <v>1.05</v>
      </c>
      <c r="F149" s="627">
        <f t="shared" si="12"/>
        <v>33075</v>
      </c>
      <c r="G149" s="586"/>
    </row>
    <row r="150" spans="1:7" ht="13.5" customHeight="1">
      <c r="A150" s="1977" t="str">
        <f>+'LISTADO MATERIALES'!$C$723</f>
        <v>AGUA</v>
      </c>
      <c r="B150" s="1611"/>
      <c r="C150" s="584" t="str">
        <f>+'LISTADO MATERIALES'!$D$723</f>
        <v>LT</v>
      </c>
      <c r="D150" s="585">
        <f>+'LISTADO MATERIALES'!$E$723</f>
        <v>21</v>
      </c>
      <c r="E150" s="584">
        <v>210</v>
      </c>
      <c r="F150" s="627">
        <f t="shared" si="12"/>
        <v>4410</v>
      </c>
      <c r="G150" s="586"/>
    </row>
    <row r="151" spans="1:7" ht="13.5" customHeight="1">
      <c r="A151" s="1978"/>
      <c r="B151" s="1819"/>
      <c r="C151" s="587"/>
      <c r="D151" s="588"/>
      <c r="E151" s="587"/>
      <c r="F151" s="588"/>
      <c r="G151" s="589"/>
    </row>
    <row r="152" spans="1:7" ht="13.5" customHeight="1">
      <c r="A152" s="1964" t="s">
        <v>1560</v>
      </c>
      <c r="B152" s="1601"/>
      <c r="C152" s="1601"/>
      <c r="D152" s="1601"/>
      <c r="E152" s="1601"/>
      <c r="F152" s="1801"/>
      <c r="G152" s="539">
        <f>SUM(F148:F151)</f>
        <v>304485</v>
      </c>
    </row>
    <row r="153" spans="1:7" ht="13.5" customHeight="1">
      <c r="A153" s="529" t="s">
        <v>1563</v>
      </c>
      <c r="B153" s="527"/>
      <c r="C153" s="527"/>
      <c r="D153" s="527"/>
      <c r="E153" s="527"/>
      <c r="F153" s="527"/>
      <c r="G153" s="540"/>
    </row>
    <row r="154" spans="1:7" ht="13.5" customHeight="1">
      <c r="A154" s="1965" t="s">
        <v>1556</v>
      </c>
      <c r="B154" s="1801"/>
      <c r="C154" s="530" t="s">
        <v>6</v>
      </c>
      <c r="D154" s="530" t="s">
        <v>1562</v>
      </c>
      <c r="E154" s="530" t="s">
        <v>7</v>
      </c>
      <c r="F154" s="530" t="s">
        <v>1559</v>
      </c>
      <c r="G154" s="552"/>
    </row>
    <row r="155" spans="1:7" ht="12.75" customHeight="1">
      <c r="A155" s="1981" t="str">
        <f>+'LISTADO EQUIPOS'!$C$117</f>
        <v>MIXXER DE 8M3</v>
      </c>
      <c r="B155" s="1967"/>
      <c r="C155" s="1200" t="str">
        <f>+'LISTADO EQUIPOS'!$D$117</f>
        <v>VJ</v>
      </c>
      <c r="D155" s="1201">
        <f>+'LISTADO EQUIPOS'!$E$117</f>
        <v>194500</v>
      </c>
      <c r="E155" s="1202">
        <v>0.15</v>
      </c>
      <c r="F155" s="547">
        <f>+E155*D155</f>
        <v>29175</v>
      </c>
      <c r="G155" s="544"/>
    </row>
    <row r="156" spans="1:7" ht="13.5" customHeight="1">
      <c r="A156" s="1980"/>
      <c r="B156" s="1819"/>
      <c r="C156" s="1200"/>
      <c r="D156" s="553"/>
      <c r="E156" s="536"/>
      <c r="F156" s="536"/>
      <c r="G156" s="555"/>
    </row>
    <row r="157" spans="1:7" ht="13.5" customHeight="1">
      <c r="A157" s="1964" t="s">
        <v>1560</v>
      </c>
      <c r="B157" s="1601"/>
      <c r="C157" s="1601"/>
      <c r="D157" s="1601"/>
      <c r="E157" s="1601"/>
      <c r="F157" s="1801"/>
      <c r="G157" s="539">
        <f>SUM(F155:F156)</f>
        <v>29175</v>
      </c>
    </row>
    <row r="158" spans="1:7" ht="13.5" customHeight="1">
      <c r="A158" s="529" t="s">
        <v>1564</v>
      </c>
      <c r="B158" s="527"/>
      <c r="C158" s="527"/>
      <c r="D158" s="527"/>
      <c r="E158" s="527"/>
      <c r="F158" s="527"/>
      <c r="G158" s="540"/>
    </row>
    <row r="159" spans="1:7" ht="13.5" customHeight="1">
      <c r="A159" s="1965" t="s">
        <v>1565</v>
      </c>
      <c r="B159" s="1801"/>
      <c r="C159" s="424" t="s">
        <v>1566</v>
      </c>
      <c r="D159" s="530" t="s">
        <v>7</v>
      </c>
      <c r="E159" s="530" t="s">
        <v>1558</v>
      </c>
      <c r="F159" s="530" t="s">
        <v>1559</v>
      </c>
      <c r="G159" s="557"/>
    </row>
    <row r="160" spans="1:7" ht="13.5" customHeight="1">
      <c r="A160" s="1983" t="str">
        <f>+'MANO DE OBRA'!$A$65</f>
        <v>Ayudante (Incl. Prestaciones)</v>
      </c>
      <c r="B160" s="1888"/>
      <c r="C160" s="778">
        <f>+'MANO DE OBRA'!$E$65</f>
        <v>10972.8125</v>
      </c>
      <c r="D160" s="559">
        <v>3</v>
      </c>
      <c r="E160" s="559">
        <v>0.54</v>
      </c>
      <c r="F160" s="560">
        <f t="shared" ref="F160:F161" si="13">+(C160*D160)/E160</f>
        <v>60960.069444444438</v>
      </c>
      <c r="G160" s="544"/>
    </row>
    <row r="161" spans="1:7" ht="13.5" customHeight="1">
      <c r="A161" s="1983" t="str">
        <f>+'MANO DE OBRA'!$A$64</f>
        <v>Oficial (Incl. Prestaciones)</v>
      </c>
      <c r="B161" s="1888"/>
      <c r="C161" s="1211">
        <f>+'MANO DE OBRA'!$E$64</f>
        <v>15031.25</v>
      </c>
      <c r="D161" s="562">
        <v>1</v>
      </c>
      <c r="E161" s="563">
        <f>E160</f>
        <v>0.54</v>
      </c>
      <c r="F161" s="564">
        <f t="shared" si="13"/>
        <v>27835.648148148146</v>
      </c>
      <c r="G161" s="551"/>
    </row>
    <row r="162" spans="1:7" ht="13.5" customHeight="1">
      <c r="A162" s="1964" t="str">
        <f>+A157</f>
        <v>SUB-TOTAL</v>
      </c>
      <c r="B162" s="1601"/>
      <c r="C162" s="1601"/>
      <c r="D162" s="1601"/>
      <c r="E162" s="1601"/>
      <c r="F162" s="1801"/>
      <c r="G162" s="539">
        <f>SUM(F160:F161)</f>
        <v>88795.717592592584</v>
      </c>
    </row>
    <row r="163" spans="1:7" ht="11.25" customHeight="1">
      <c r="A163" s="527"/>
      <c r="B163" s="527"/>
      <c r="C163" s="527"/>
      <c r="D163" s="527"/>
      <c r="E163" s="527"/>
      <c r="F163" s="565"/>
      <c r="G163" s="540"/>
    </row>
    <row r="164" spans="1:7" ht="13.5" customHeight="1">
      <c r="A164" s="1208" t="s">
        <v>2935</v>
      </c>
      <c r="B164" s="1209"/>
      <c r="C164" s="1209"/>
      <c r="D164" s="1209"/>
      <c r="E164" s="1209"/>
      <c r="F164" s="1210" t="s">
        <v>1567</v>
      </c>
      <c r="G164" s="580">
        <f>ROUND(G145+G152+G157+G162,0)</f>
        <v>434608</v>
      </c>
    </row>
    <row r="165" spans="1:7" ht="13.5" customHeight="1">
      <c r="A165" s="363"/>
      <c r="B165" s="363"/>
      <c r="C165" s="363"/>
      <c r="D165" s="363"/>
      <c r="E165" s="363"/>
      <c r="F165" s="363"/>
      <c r="G165" s="363"/>
    </row>
    <row r="166" spans="1:7" ht="13.5" customHeight="1">
      <c r="A166" s="363"/>
      <c r="B166" s="363"/>
      <c r="C166" s="363"/>
      <c r="D166" s="363"/>
      <c r="E166" s="363"/>
      <c r="F166" s="363"/>
      <c r="G166" s="363"/>
    </row>
    <row r="167" spans="1:7" ht="27.75" customHeight="1">
      <c r="A167" s="1994" t="e">
        <f>+$A$7</f>
        <v>#REF!</v>
      </c>
      <c r="B167" s="1616"/>
      <c r="C167" s="1624"/>
      <c r="D167" s="1990"/>
      <c r="E167" s="1616"/>
      <c r="F167" s="1616"/>
      <c r="G167" s="1624"/>
    </row>
    <row r="168" spans="1:7" ht="27" customHeight="1">
      <c r="A168" s="1971"/>
      <c r="B168" s="1817"/>
      <c r="C168" s="1972"/>
      <c r="D168" s="1971"/>
      <c r="E168" s="1817"/>
      <c r="F168" s="1817"/>
      <c r="G168" s="1972"/>
    </row>
    <row r="169" spans="1:7" ht="13.5" customHeight="1">
      <c r="A169" s="527"/>
      <c r="B169" s="527"/>
      <c r="C169" s="527"/>
      <c r="D169" s="527"/>
      <c r="E169" s="527"/>
      <c r="F169" s="527"/>
      <c r="G169" s="527"/>
    </row>
    <row r="170" spans="1:7" ht="60" customHeight="1">
      <c r="A170" s="1991" t="e">
        <f>A10</f>
        <v>#REF!</v>
      </c>
      <c r="B170" s="1601"/>
      <c r="C170" s="1602"/>
      <c r="D170" s="1975" t="s">
        <v>2936</v>
      </c>
      <c r="E170" s="1601"/>
      <c r="F170" s="1601"/>
      <c r="G170" s="1602"/>
    </row>
    <row r="171" spans="1:7" ht="13.5" customHeight="1">
      <c r="A171" s="418"/>
      <c r="B171" s="418"/>
      <c r="C171" s="418"/>
      <c r="D171" s="418"/>
      <c r="E171" s="418"/>
      <c r="F171" s="418"/>
      <c r="G171" s="418"/>
    </row>
    <row r="172" spans="1:7" ht="12.75" customHeight="1">
      <c r="A172" s="528"/>
      <c r="B172" s="527"/>
      <c r="C172" s="363"/>
      <c r="D172" s="421" t="s">
        <v>1553</v>
      </c>
      <c r="E172" s="717" t="s">
        <v>116</v>
      </c>
      <c r="F172" s="572"/>
      <c r="G172" s="572"/>
    </row>
    <row r="173" spans="1:7" ht="13.5" customHeight="1">
      <c r="A173" s="529" t="s">
        <v>1555</v>
      </c>
      <c r="B173" s="527"/>
      <c r="C173" s="527"/>
      <c r="D173" s="527"/>
      <c r="E173" s="527"/>
      <c r="F173" s="527"/>
      <c r="G173" s="527"/>
    </row>
    <row r="174" spans="1:7" ht="13.5" customHeight="1">
      <c r="A174" s="1975" t="s">
        <v>1556</v>
      </c>
      <c r="B174" s="1601"/>
      <c r="C174" s="1801"/>
      <c r="D174" s="530" t="s">
        <v>208</v>
      </c>
      <c r="E174" s="530" t="s">
        <v>1558</v>
      </c>
      <c r="F174" s="424" t="s">
        <v>1559</v>
      </c>
      <c r="G174" s="531"/>
    </row>
    <row r="175" spans="1:7" ht="12.75" customHeight="1">
      <c r="A175" s="1981" t="str">
        <f>+'LISTADO EQUIPOS'!$C$26</f>
        <v>MEZCLADORA DE CONCRETO 9 P3. - 1 1/2 SACO</v>
      </c>
      <c r="B175" s="1811"/>
      <c r="C175" s="1967"/>
      <c r="D175" s="543">
        <f>+'LISTADO EQUIPOS'!$E$26/8</f>
        <v>8250</v>
      </c>
      <c r="E175" s="533">
        <v>1.2</v>
      </c>
      <c r="F175" s="534">
        <f t="shared" ref="F175:F176" si="14">+D175/E175</f>
        <v>6875</v>
      </c>
      <c r="G175" s="535"/>
    </row>
    <row r="176" spans="1:7" ht="13.5" customHeight="1">
      <c r="A176" s="1982" t="str">
        <f>+'LISTADO EQUIPOS'!$C$22</f>
        <v>HERRAMIENTA MENOR.</v>
      </c>
      <c r="B176" s="1807"/>
      <c r="C176" s="1819"/>
      <c r="D176" s="536">
        <f>+'LISTADO EQUIPOS'!$E$22/8</f>
        <v>2850</v>
      </c>
      <c r="E176" s="537">
        <f>+E192</f>
        <v>0.54</v>
      </c>
      <c r="F176" s="550">
        <f t="shared" si="14"/>
        <v>5277.7777777777774</v>
      </c>
      <c r="G176" s="538"/>
    </row>
    <row r="177" spans="1:7" ht="13.5" customHeight="1">
      <c r="A177" s="1964" t="s">
        <v>1560</v>
      </c>
      <c r="B177" s="1601"/>
      <c r="C177" s="1601"/>
      <c r="D177" s="1601"/>
      <c r="E177" s="1601"/>
      <c r="F177" s="1801"/>
      <c r="G177" s="539">
        <f>SUM(F175:F176)</f>
        <v>12152.777777777777</v>
      </c>
    </row>
    <row r="178" spans="1:7" ht="13.5" customHeight="1">
      <c r="A178" s="529" t="s">
        <v>1561</v>
      </c>
      <c r="B178" s="527"/>
      <c r="C178" s="527"/>
      <c r="D178" s="527"/>
      <c r="E178" s="527"/>
      <c r="F178" s="527"/>
      <c r="G178" s="540"/>
    </row>
    <row r="179" spans="1:7" ht="13.5" customHeight="1">
      <c r="A179" s="1975" t="s">
        <v>1556</v>
      </c>
      <c r="B179" s="1801"/>
      <c r="C179" s="424" t="s">
        <v>6</v>
      </c>
      <c r="D179" s="424" t="s">
        <v>1562</v>
      </c>
      <c r="E179" s="424" t="s">
        <v>7</v>
      </c>
      <c r="F179" s="424" t="s">
        <v>1559</v>
      </c>
      <c r="G179" s="541"/>
    </row>
    <row r="180" spans="1:7" ht="13.5" customHeight="1">
      <c r="A180" s="1976" t="str">
        <f>+'LISTADO MATERIALES'!$C$141</f>
        <v>CEMENTO GRIS</v>
      </c>
      <c r="B180" s="1967"/>
      <c r="C180" s="581" t="str">
        <f>+'LISTADO MATERIALES'!$D$141</f>
        <v>KG</v>
      </c>
      <c r="D180" s="582">
        <f>+'LISTADO MATERIALES'!$E$141</f>
        <v>600</v>
      </c>
      <c r="E180" s="581">
        <v>445</v>
      </c>
      <c r="F180" s="604">
        <f t="shared" ref="F180:F183" si="15">+E180*D180</f>
        <v>267000</v>
      </c>
      <c r="G180" s="583"/>
    </row>
    <row r="181" spans="1:7" ht="15" customHeight="1">
      <c r="A181" s="1977" t="str">
        <f>+'LISTADO MATERIALES'!$C$133</f>
        <v>ARENA REBOQUE - FINA</v>
      </c>
      <c r="B181" s="1611"/>
      <c r="C181" s="584" t="str">
        <f>+'LISTADO MATERIALES'!$D$133</f>
        <v>M3</v>
      </c>
      <c r="D181" s="585">
        <f>+'LISTADO MATERIALES'!$E$133</f>
        <v>31500</v>
      </c>
      <c r="E181" s="584">
        <v>1.05</v>
      </c>
      <c r="F181" s="627">
        <f t="shared" si="15"/>
        <v>33075</v>
      </c>
      <c r="G181" s="586"/>
    </row>
    <row r="182" spans="1:7" ht="13.5" customHeight="1">
      <c r="A182" s="1977" t="str">
        <f>+'LISTADO MATERIALES'!$C$723</f>
        <v>AGUA</v>
      </c>
      <c r="B182" s="1611"/>
      <c r="C182" s="584" t="str">
        <f>+'LISTADO MATERIALES'!$D$723</f>
        <v>LT</v>
      </c>
      <c r="D182" s="585">
        <f>+'LISTADO MATERIALES'!$E$723</f>
        <v>21</v>
      </c>
      <c r="E182" s="584">
        <v>210</v>
      </c>
      <c r="F182" s="627">
        <f t="shared" si="15"/>
        <v>4410</v>
      </c>
      <c r="G182" s="586"/>
    </row>
    <row r="183" spans="1:7" ht="13.5" customHeight="1">
      <c r="A183" s="1978" t="str">
        <f>+'LISTADO MATERIALES'!C503</f>
        <v>SIKA- 1  ( 20 Kg )</v>
      </c>
      <c r="B183" s="1819"/>
      <c r="C183" s="587" t="s">
        <v>171</v>
      </c>
      <c r="D183" s="588">
        <f>+'LISTADO MATERIALES'!E503/20</f>
        <v>6825</v>
      </c>
      <c r="E183" s="587">
        <v>1.93</v>
      </c>
      <c r="F183" s="623">
        <f t="shared" si="15"/>
        <v>13172.25</v>
      </c>
      <c r="G183" s="589"/>
    </row>
    <row r="184" spans="1:7" ht="13.5" customHeight="1">
      <c r="A184" s="1964" t="s">
        <v>1560</v>
      </c>
      <c r="B184" s="1601"/>
      <c r="C184" s="1601"/>
      <c r="D184" s="1601"/>
      <c r="E184" s="1601"/>
      <c r="F184" s="1801"/>
      <c r="G184" s="539">
        <f>SUM(F180:F183)</f>
        <v>317657.25</v>
      </c>
    </row>
    <row r="185" spans="1:7" ht="13.5" customHeight="1">
      <c r="A185" s="529" t="s">
        <v>1563</v>
      </c>
      <c r="B185" s="527"/>
      <c r="C185" s="527"/>
      <c r="D185" s="527"/>
      <c r="E185" s="527"/>
      <c r="F185" s="527"/>
      <c r="G185" s="540"/>
    </row>
    <row r="186" spans="1:7" ht="13.5" customHeight="1">
      <c r="A186" s="1965" t="s">
        <v>1556</v>
      </c>
      <c r="B186" s="1801"/>
      <c r="C186" s="530" t="s">
        <v>6</v>
      </c>
      <c r="D186" s="530" t="s">
        <v>1562</v>
      </c>
      <c r="E186" s="530" t="s">
        <v>7</v>
      </c>
      <c r="F186" s="530" t="s">
        <v>1559</v>
      </c>
      <c r="G186" s="552"/>
    </row>
    <row r="187" spans="1:7" ht="12.75" customHeight="1">
      <c r="A187" s="1981" t="str">
        <f>+'LISTADO EQUIPOS'!$C$117</f>
        <v>MIXXER DE 8M3</v>
      </c>
      <c r="B187" s="1967"/>
      <c r="C187" s="1200" t="str">
        <f>+'LISTADO EQUIPOS'!$D$117</f>
        <v>VJ</v>
      </c>
      <c r="D187" s="1201">
        <f>+'LISTADO EQUIPOS'!$E$117</f>
        <v>194500</v>
      </c>
      <c r="E187" s="1202">
        <v>0.15</v>
      </c>
      <c r="F187" s="547">
        <f>+E187*D187</f>
        <v>29175</v>
      </c>
      <c r="G187" s="544"/>
    </row>
    <row r="188" spans="1:7" ht="13.5" customHeight="1">
      <c r="A188" s="1980"/>
      <c r="B188" s="1819"/>
      <c r="C188" s="1200"/>
      <c r="D188" s="553"/>
      <c r="E188" s="536"/>
      <c r="F188" s="536"/>
      <c r="G188" s="555"/>
    </row>
    <row r="189" spans="1:7" ht="13.5" customHeight="1">
      <c r="A189" s="1964" t="s">
        <v>1560</v>
      </c>
      <c r="B189" s="1601"/>
      <c r="C189" s="1601"/>
      <c r="D189" s="1601"/>
      <c r="E189" s="1601"/>
      <c r="F189" s="1801"/>
      <c r="G189" s="539">
        <f>SUM(F187:F188)</f>
        <v>29175</v>
      </c>
    </row>
    <row r="190" spans="1:7" ht="13.5" customHeight="1">
      <c r="A190" s="529" t="s">
        <v>1564</v>
      </c>
      <c r="B190" s="527"/>
      <c r="C190" s="527"/>
      <c r="D190" s="527"/>
      <c r="E190" s="527"/>
      <c r="F190" s="527"/>
      <c r="G190" s="540"/>
    </row>
    <row r="191" spans="1:7" ht="13.5" customHeight="1">
      <c r="A191" s="1965" t="s">
        <v>1565</v>
      </c>
      <c r="B191" s="1801"/>
      <c r="C191" s="424" t="s">
        <v>1566</v>
      </c>
      <c r="D191" s="530" t="s">
        <v>7</v>
      </c>
      <c r="E191" s="530" t="s">
        <v>1558</v>
      </c>
      <c r="F191" s="530" t="s">
        <v>1559</v>
      </c>
      <c r="G191" s="557"/>
    </row>
    <row r="192" spans="1:7" ht="13.5" customHeight="1">
      <c r="A192" s="1983" t="str">
        <f>+'MANO DE OBRA'!$A$65</f>
        <v>Ayudante (Incl. Prestaciones)</v>
      </c>
      <c r="B192" s="1888"/>
      <c r="C192" s="558">
        <f>+'MANO DE OBRA'!$E$65</f>
        <v>10972.8125</v>
      </c>
      <c r="D192" s="559">
        <v>3</v>
      </c>
      <c r="E192" s="559">
        <v>0.54</v>
      </c>
      <c r="F192" s="560">
        <f t="shared" ref="F192:F193" si="16">+(C192*D192)/E192</f>
        <v>60960.069444444438</v>
      </c>
      <c r="G192" s="544"/>
    </row>
    <row r="193" spans="1:7" ht="13.5" customHeight="1">
      <c r="A193" s="1983" t="str">
        <f>+'MANO DE OBRA'!$A$64</f>
        <v>Oficial (Incl. Prestaciones)</v>
      </c>
      <c r="B193" s="1888"/>
      <c r="C193" s="558">
        <f>+'MANO DE OBRA'!$E$64</f>
        <v>15031.25</v>
      </c>
      <c r="D193" s="562">
        <v>1</v>
      </c>
      <c r="E193" s="563">
        <f>E192</f>
        <v>0.54</v>
      </c>
      <c r="F193" s="564">
        <f t="shared" si="16"/>
        <v>27835.648148148146</v>
      </c>
      <c r="G193" s="551"/>
    </row>
    <row r="194" spans="1:7" ht="13.5" customHeight="1">
      <c r="A194" s="1964" t="str">
        <f>+A189</f>
        <v>SUB-TOTAL</v>
      </c>
      <c r="B194" s="1601"/>
      <c r="C194" s="1601"/>
      <c r="D194" s="1601"/>
      <c r="E194" s="1601"/>
      <c r="F194" s="1801"/>
      <c r="G194" s="539">
        <f>SUM(F192:F193)</f>
        <v>88795.717592592584</v>
      </c>
    </row>
    <row r="195" spans="1:7" ht="11.25" customHeight="1">
      <c r="A195" s="527"/>
      <c r="B195" s="527"/>
      <c r="C195" s="527"/>
      <c r="D195" s="527"/>
      <c r="E195" s="527"/>
      <c r="F195" s="565"/>
      <c r="G195" s="540"/>
    </row>
    <row r="196" spans="1:7" ht="13.5" customHeight="1">
      <c r="A196" s="1208" t="s">
        <v>2937</v>
      </c>
      <c r="B196" s="1209"/>
      <c r="C196" s="1209"/>
      <c r="D196" s="1209"/>
      <c r="E196" s="1209"/>
      <c r="F196" s="1210" t="s">
        <v>1567</v>
      </c>
      <c r="G196" s="580">
        <f>ROUND(G177+G184+G189+G194,0)</f>
        <v>447781</v>
      </c>
    </row>
    <row r="197" spans="1:7" ht="13.5" customHeight="1">
      <c r="A197" s="363"/>
      <c r="B197" s="363"/>
      <c r="C197" s="363"/>
      <c r="D197" s="363"/>
      <c r="E197" s="363"/>
      <c r="F197" s="363"/>
      <c r="G197" s="363"/>
    </row>
    <row r="198" spans="1:7" ht="13.5" customHeight="1">
      <c r="A198" s="363"/>
      <c r="B198" s="363"/>
      <c r="C198" s="363"/>
      <c r="D198" s="363"/>
      <c r="E198" s="363"/>
      <c r="F198" s="363"/>
      <c r="G198" s="363"/>
    </row>
    <row r="199" spans="1:7" ht="27" customHeight="1">
      <c r="A199" s="1994" t="e">
        <f>+$A$7</f>
        <v>#REF!</v>
      </c>
      <c r="B199" s="1616"/>
      <c r="C199" s="1624"/>
      <c r="D199" s="1990"/>
      <c r="E199" s="1616"/>
      <c r="F199" s="1616"/>
      <c r="G199" s="1624"/>
    </row>
    <row r="200" spans="1:7" ht="32.25" customHeight="1">
      <c r="A200" s="1971"/>
      <c r="B200" s="1817"/>
      <c r="C200" s="1972"/>
      <c r="D200" s="1971"/>
      <c r="E200" s="1817"/>
      <c r="F200" s="1817"/>
      <c r="G200" s="1972"/>
    </row>
    <row r="201" spans="1:7" ht="13.5" customHeight="1">
      <c r="A201" s="527"/>
      <c r="B201" s="527"/>
      <c r="C201" s="527"/>
      <c r="D201" s="527"/>
      <c r="E201" s="527"/>
      <c r="F201" s="527"/>
      <c r="G201" s="527"/>
    </row>
    <row r="202" spans="1:7" ht="57" customHeight="1">
      <c r="A202" s="1991" t="e">
        <f>A10</f>
        <v>#REF!</v>
      </c>
      <c r="B202" s="1601"/>
      <c r="C202" s="1602"/>
      <c r="D202" s="1975" t="s">
        <v>2938</v>
      </c>
      <c r="E202" s="1601"/>
      <c r="F202" s="1601"/>
      <c r="G202" s="1602"/>
    </row>
    <row r="203" spans="1:7" ht="13.5" customHeight="1">
      <c r="A203" s="418"/>
      <c r="B203" s="418"/>
      <c r="C203" s="418"/>
      <c r="D203" s="418"/>
      <c r="E203" s="418"/>
      <c r="F203" s="418"/>
      <c r="G203" s="418"/>
    </row>
    <row r="204" spans="1:7" ht="12.75" customHeight="1">
      <c r="A204" s="528"/>
      <c r="B204" s="527"/>
      <c r="C204" s="363"/>
      <c r="D204" s="421" t="s">
        <v>1553</v>
      </c>
      <c r="E204" s="422" t="s">
        <v>116</v>
      </c>
      <c r="F204" s="572"/>
      <c r="G204" s="572"/>
    </row>
    <row r="205" spans="1:7" ht="13.5" customHeight="1">
      <c r="A205" s="529" t="s">
        <v>1555</v>
      </c>
      <c r="B205" s="527"/>
      <c r="C205" s="527"/>
      <c r="D205" s="527"/>
      <c r="E205" s="527"/>
      <c r="F205" s="527"/>
      <c r="G205" s="527"/>
    </row>
    <row r="206" spans="1:7" ht="13.5" customHeight="1">
      <c r="A206" s="1975" t="s">
        <v>1556</v>
      </c>
      <c r="B206" s="1601"/>
      <c r="C206" s="1801"/>
      <c r="D206" s="530" t="s">
        <v>208</v>
      </c>
      <c r="E206" s="530" t="s">
        <v>1558</v>
      </c>
      <c r="F206" s="424" t="s">
        <v>1559</v>
      </c>
      <c r="G206" s="531"/>
    </row>
    <row r="207" spans="1:7" ht="12.75" customHeight="1">
      <c r="A207" s="1981" t="str">
        <f>+'LISTADO EQUIPOS'!$C$26</f>
        <v>MEZCLADORA DE CONCRETO 9 P3. - 1 1/2 SACO</v>
      </c>
      <c r="B207" s="1811"/>
      <c r="C207" s="1967"/>
      <c r="D207" s="543">
        <f>+'LISTADO EQUIPOS'!$E$26/8</f>
        <v>8250</v>
      </c>
      <c r="E207" s="533">
        <v>1</v>
      </c>
      <c r="F207" s="534">
        <f t="shared" ref="F207:F208" si="17">+D207/E207</f>
        <v>8250</v>
      </c>
      <c r="G207" s="535"/>
    </row>
    <row r="208" spans="1:7" ht="13.5" customHeight="1">
      <c r="A208" s="1982" t="str">
        <f>+'LISTADO EQUIPOS'!$C$22</f>
        <v>HERRAMIENTA MENOR.</v>
      </c>
      <c r="B208" s="1807"/>
      <c r="C208" s="1819"/>
      <c r="D208" s="536">
        <f>+'LISTADO EQUIPOS'!$E$22/8</f>
        <v>2850</v>
      </c>
      <c r="E208" s="537">
        <f>E224</f>
        <v>0.55000000000000004</v>
      </c>
      <c r="F208" s="550">
        <f t="shared" si="17"/>
        <v>5181.8181818181811</v>
      </c>
      <c r="G208" s="538"/>
    </row>
    <row r="209" spans="1:7" ht="13.5" customHeight="1">
      <c r="A209" s="1964" t="s">
        <v>1560</v>
      </c>
      <c r="B209" s="1601"/>
      <c r="C209" s="1601"/>
      <c r="D209" s="1601"/>
      <c r="E209" s="1601"/>
      <c r="F209" s="1801"/>
      <c r="G209" s="539">
        <f>SUM(F207:F208)</f>
        <v>13431.81818181818</v>
      </c>
    </row>
    <row r="210" spans="1:7" ht="13.5" customHeight="1">
      <c r="A210" s="529" t="s">
        <v>1561</v>
      </c>
      <c r="B210" s="527"/>
      <c r="C210" s="527"/>
      <c r="D210" s="527"/>
      <c r="E210" s="527"/>
      <c r="F210" s="527"/>
      <c r="G210" s="540"/>
    </row>
    <row r="211" spans="1:7" ht="13.5" customHeight="1">
      <c r="A211" s="1975" t="s">
        <v>1556</v>
      </c>
      <c r="B211" s="1801"/>
      <c r="C211" s="424" t="s">
        <v>6</v>
      </c>
      <c r="D211" s="424" t="s">
        <v>1562</v>
      </c>
      <c r="E211" s="424" t="s">
        <v>7</v>
      </c>
      <c r="F211" s="424" t="s">
        <v>1559</v>
      </c>
      <c r="G211" s="541"/>
    </row>
    <row r="212" spans="1:7" ht="13.5" customHeight="1">
      <c r="A212" s="1976" t="str">
        <f>+'LISTADO MATERIALES'!$C$141</f>
        <v>CEMENTO GRIS</v>
      </c>
      <c r="B212" s="1967"/>
      <c r="C212" s="581" t="str">
        <f>+'LISTADO MATERIALES'!$D$141</f>
        <v>KG</v>
      </c>
      <c r="D212" s="582">
        <f>+'LISTADO MATERIALES'!$E$141</f>
        <v>600</v>
      </c>
      <c r="E212" s="581">
        <v>358</v>
      </c>
      <c r="F212" s="604">
        <f t="shared" ref="F212:F214" si="18">+E212*D212</f>
        <v>214800</v>
      </c>
      <c r="G212" s="583"/>
    </row>
    <row r="213" spans="1:7" ht="15" customHeight="1">
      <c r="A213" s="1977" t="str">
        <f>+'LISTADO MATERIALES'!$C$133</f>
        <v>ARENA REBOQUE - FINA</v>
      </c>
      <c r="B213" s="1611"/>
      <c r="C213" s="584" t="str">
        <f>+'LISTADO MATERIALES'!$D$133</f>
        <v>M3</v>
      </c>
      <c r="D213" s="585">
        <f>+'LISTADO MATERIALES'!$E$133</f>
        <v>31500</v>
      </c>
      <c r="E213" s="584">
        <v>1.1499999999999999</v>
      </c>
      <c r="F213" s="627">
        <f t="shared" si="18"/>
        <v>36225</v>
      </c>
      <c r="G213" s="586"/>
    </row>
    <row r="214" spans="1:7" ht="13.5" customHeight="1">
      <c r="A214" s="1977" t="str">
        <f>+'LISTADO MATERIALES'!$C$723</f>
        <v>AGUA</v>
      </c>
      <c r="B214" s="1611"/>
      <c r="C214" s="584" t="str">
        <f>+'LISTADO MATERIALES'!$D$723</f>
        <v>LT</v>
      </c>
      <c r="D214" s="585">
        <f>+'LISTADO MATERIALES'!$E$723</f>
        <v>21</v>
      </c>
      <c r="E214" s="584">
        <v>183</v>
      </c>
      <c r="F214" s="627">
        <f t="shared" si="18"/>
        <v>3843</v>
      </c>
      <c r="G214" s="586"/>
    </row>
    <row r="215" spans="1:7" ht="13.5" customHeight="1">
      <c r="A215" s="1978"/>
      <c r="B215" s="1819"/>
      <c r="C215" s="587"/>
      <c r="D215" s="588"/>
      <c r="E215" s="587"/>
      <c r="F215" s="588"/>
      <c r="G215" s="589"/>
    </row>
    <row r="216" spans="1:7" ht="13.5" customHeight="1">
      <c r="A216" s="1964" t="s">
        <v>1560</v>
      </c>
      <c r="B216" s="1601"/>
      <c r="C216" s="1601"/>
      <c r="D216" s="1601"/>
      <c r="E216" s="1601"/>
      <c r="F216" s="1801"/>
      <c r="G216" s="539">
        <f>SUM(F212:F215)</f>
        <v>254868</v>
      </c>
    </row>
    <row r="217" spans="1:7" ht="13.5" customHeight="1">
      <c r="A217" s="529" t="s">
        <v>1563</v>
      </c>
      <c r="B217" s="527"/>
      <c r="C217" s="527"/>
      <c r="D217" s="527"/>
      <c r="E217" s="527"/>
      <c r="F217" s="527"/>
      <c r="G217" s="540"/>
    </row>
    <row r="218" spans="1:7" ht="13.5" customHeight="1">
      <c r="A218" s="1965" t="s">
        <v>1556</v>
      </c>
      <c r="B218" s="1801"/>
      <c r="C218" s="530" t="s">
        <v>6</v>
      </c>
      <c r="D218" s="530" t="s">
        <v>1562</v>
      </c>
      <c r="E218" s="530" t="s">
        <v>7</v>
      </c>
      <c r="F218" s="530" t="s">
        <v>1559</v>
      </c>
      <c r="G218" s="552"/>
    </row>
    <row r="219" spans="1:7" ht="12.75" customHeight="1">
      <c r="A219" s="1981" t="str">
        <f>+'LISTADO EQUIPOS'!$C$117</f>
        <v>MIXXER DE 8M3</v>
      </c>
      <c r="B219" s="1967"/>
      <c r="C219" s="1200" t="str">
        <f>+'LISTADO EQUIPOS'!$D$117</f>
        <v>VJ</v>
      </c>
      <c r="D219" s="1201">
        <f>+'LISTADO EQUIPOS'!$E$117</f>
        <v>194500</v>
      </c>
      <c r="E219" s="1202">
        <v>0.15</v>
      </c>
      <c r="F219" s="547">
        <f>+E219*D219</f>
        <v>29175</v>
      </c>
      <c r="G219" s="544"/>
    </row>
    <row r="220" spans="1:7" ht="13.5" customHeight="1">
      <c r="A220" s="1980"/>
      <c r="B220" s="1819"/>
      <c r="C220" s="1200"/>
      <c r="D220" s="553"/>
      <c r="E220" s="536"/>
      <c r="F220" s="536"/>
      <c r="G220" s="555"/>
    </row>
    <row r="221" spans="1:7" ht="13.5" customHeight="1">
      <c r="A221" s="1964" t="s">
        <v>1560</v>
      </c>
      <c r="B221" s="1601"/>
      <c r="C221" s="1601"/>
      <c r="D221" s="1601"/>
      <c r="E221" s="1601"/>
      <c r="F221" s="1801"/>
      <c r="G221" s="539">
        <f>SUM(F219:F220)</f>
        <v>29175</v>
      </c>
    </row>
    <row r="222" spans="1:7" ht="13.5" customHeight="1">
      <c r="A222" s="529" t="s">
        <v>1564</v>
      </c>
      <c r="B222" s="527"/>
      <c r="C222" s="527"/>
      <c r="D222" s="527"/>
      <c r="E222" s="527"/>
      <c r="F222" s="527"/>
      <c r="G222" s="540"/>
    </row>
    <row r="223" spans="1:7" ht="13.5" customHeight="1">
      <c r="A223" s="1965" t="s">
        <v>1565</v>
      </c>
      <c r="B223" s="1801"/>
      <c r="C223" s="424" t="s">
        <v>1566</v>
      </c>
      <c r="D223" s="530" t="s">
        <v>7</v>
      </c>
      <c r="E223" s="530" t="s">
        <v>1558</v>
      </c>
      <c r="F223" s="530" t="s">
        <v>1559</v>
      </c>
      <c r="G223" s="557"/>
    </row>
    <row r="224" spans="1:7" ht="13.5" customHeight="1">
      <c r="A224" s="1983" t="str">
        <f>+'MANO DE OBRA'!$A$65</f>
        <v>Ayudante (Incl. Prestaciones)</v>
      </c>
      <c r="B224" s="1888"/>
      <c r="C224" s="558">
        <f>+'MANO DE OBRA'!$E$65</f>
        <v>10972.8125</v>
      </c>
      <c r="D224" s="559">
        <v>3</v>
      </c>
      <c r="E224" s="559">
        <v>0.55000000000000004</v>
      </c>
      <c r="F224" s="560">
        <f t="shared" ref="F224:F225" si="19">+(C224*D224)/E224</f>
        <v>59851.704545454544</v>
      </c>
      <c r="G224" s="544"/>
    </row>
    <row r="225" spans="1:7" ht="13.5" customHeight="1">
      <c r="A225" s="1983" t="str">
        <f>+'MANO DE OBRA'!$A$64</f>
        <v>Oficial (Incl. Prestaciones)</v>
      </c>
      <c r="B225" s="1888"/>
      <c r="C225" s="558">
        <f>+'MANO DE OBRA'!$E$64</f>
        <v>15031.25</v>
      </c>
      <c r="D225" s="562">
        <v>1</v>
      </c>
      <c r="E225" s="563">
        <f>E224</f>
        <v>0.55000000000000004</v>
      </c>
      <c r="F225" s="564">
        <f t="shared" si="19"/>
        <v>27329.545454545452</v>
      </c>
      <c r="G225" s="551"/>
    </row>
    <row r="226" spans="1:7" ht="13.5" customHeight="1">
      <c r="A226" s="1964" t="str">
        <f>+A221</f>
        <v>SUB-TOTAL</v>
      </c>
      <c r="B226" s="1601"/>
      <c r="C226" s="1601"/>
      <c r="D226" s="1601"/>
      <c r="E226" s="1601"/>
      <c r="F226" s="1801"/>
      <c r="G226" s="539">
        <f>SUM(F224:F225)</f>
        <v>87181.25</v>
      </c>
    </row>
    <row r="227" spans="1:7" ht="11.25" customHeight="1">
      <c r="A227" s="527"/>
      <c r="B227" s="527"/>
      <c r="C227" s="527"/>
      <c r="D227" s="527"/>
      <c r="E227" s="527"/>
      <c r="F227" s="565"/>
      <c r="G227" s="540"/>
    </row>
    <row r="228" spans="1:7" ht="13.5" customHeight="1">
      <c r="A228" s="1208" t="s">
        <v>2939</v>
      </c>
      <c r="B228" s="1209"/>
      <c r="C228" s="1209"/>
      <c r="D228" s="1209"/>
      <c r="E228" s="1209"/>
      <c r="F228" s="1210" t="s">
        <v>1567</v>
      </c>
      <c r="G228" s="580">
        <f>ROUND(G209+G216+G221+G226,0)</f>
        <v>384656</v>
      </c>
    </row>
    <row r="229" spans="1:7" ht="13.5" customHeight="1">
      <c r="A229" s="363"/>
      <c r="B229" s="363"/>
      <c r="C229" s="363"/>
      <c r="D229" s="363"/>
      <c r="E229" s="363"/>
      <c r="F229" s="363"/>
      <c r="G229" s="363"/>
    </row>
    <row r="230" spans="1:7" ht="13.5" customHeight="1">
      <c r="A230" s="363"/>
      <c r="B230" s="363"/>
      <c r="C230" s="363"/>
      <c r="D230" s="363"/>
      <c r="E230" s="363"/>
      <c r="F230" s="363"/>
      <c r="G230" s="363"/>
    </row>
    <row r="231" spans="1:7" ht="30.75" customHeight="1">
      <c r="A231" s="1994" t="e">
        <f>+$A$7</f>
        <v>#REF!</v>
      </c>
      <c r="B231" s="1616"/>
      <c r="C231" s="1624"/>
      <c r="D231" s="1990"/>
      <c r="E231" s="1616"/>
      <c r="F231" s="1616"/>
      <c r="G231" s="1624"/>
    </row>
    <row r="232" spans="1:7" ht="21.75" customHeight="1">
      <c r="A232" s="1971"/>
      <c r="B232" s="1817"/>
      <c r="C232" s="1972"/>
      <c r="D232" s="1971"/>
      <c r="E232" s="1817"/>
      <c r="F232" s="1817"/>
      <c r="G232" s="1972"/>
    </row>
    <row r="233" spans="1:7" ht="13.5" customHeight="1">
      <c r="A233" s="527"/>
      <c r="B233" s="527"/>
      <c r="C233" s="527"/>
      <c r="D233" s="527"/>
      <c r="E233" s="527"/>
      <c r="F233" s="527"/>
      <c r="G233" s="527"/>
    </row>
    <row r="234" spans="1:7" ht="64.5" customHeight="1">
      <c r="A234" s="1991" t="e">
        <f>A10</f>
        <v>#REF!</v>
      </c>
      <c r="B234" s="1601"/>
      <c r="C234" s="1602"/>
      <c r="D234" s="1975" t="s">
        <v>2940</v>
      </c>
      <c r="E234" s="1601"/>
      <c r="F234" s="1601"/>
      <c r="G234" s="1602"/>
    </row>
    <row r="235" spans="1:7" ht="13.5" customHeight="1">
      <c r="A235" s="418"/>
      <c r="B235" s="418"/>
      <c r="C235" s="418"/>
      <c r="D235" s="418"/>
      <c r="E235" s="418"/>
      <c r="F235" s="418"/>
      <c r="G235" s="418"/>
    </row>
    <row r="236" spans="1:7" ht="12.75" customHeight="1">
      <c r="A236" s="528"/>
      <c r="B236" s="527"/>
      <c r="C236" s="363"/>
      <c r="D236" s="421" t="s">
        <v>1553</v>
      </c>
      <c r="E236" s="717" t="s">
        <v>116</v>
      </c>
      <c r="F236" s="572"/>
      <c r="G236" s="572"/>
    </row>
    <row r="237" spans="1:7" ht="13.5" customHeight="1">
      <c r="A237" s="529" t="s">
        <v>1555</v>
      </c>
      <c r="B237" s="527"/>
      <c r="C237" s="527"/>
      <c r="D237" s="527"/>
      <c r="E237" s="527"/>
      <c r="F237" s="527"/>
      <c r="G237" s="527"/>
    </row>
    <row r="238" spans="1:7" ht="13.5" customHeight="1">
      <c r="A238" s="1975" t="s">
        <v>1556</v>
      </c>
      <c r="B238" s="1601"/>
      <c r="C238" s="1801"/>
      <c r="D238" s="530" t="s">
        <v>208</v>
      </c>
      <c r="E238" s="530" t="s">
        <v>1558</v>
      </c>
      <c r="F238" s="424" t="s">
        <v>1559</v>
      </c>
      <c r="G238" s="531"/>
    </row>
    <row r="239" spans="1:7" ht="12.75" customHeight="1">
      <c r="A239" s="1981" t="str">
        <f>+'LISTADO EQUIPOS'!$C$26</f>
        <v>MEZCLADORA DE CONCRETO 9 P3. - 1 1/2 SACO</v>
      </c>
      <c r="B239" s="1811"/>
      <c r="C239" s="1967"/>
      <c r="D239" s="543">
        <f>+'LISTADO EQUIPOS'!$E$26/8</f>
        <v>8250</v>
      </c>
      <c r="E239" s="533">
        <v>1</v>
      </c>
      <c r="F239" s="534">
        <f t="shared" ref="F239:F240" si="20">+D239/E239</f>
        <v>8250</v>
      </c>
      <c r="G239" s="535"/>
    </row>
    <row r="240" spans="1:7" ht="13.5" customHeight="1">
      <c r="A240" s="1982" t="str">
        <f>+'LISTADO EQUIPOS'!$C$22</f>
        <v>HERRAMIENTA MENOR.</v>
      </c>
      <c r="B240" s="1807"/>
      <c r="C240" s="1819"/>
      <c r="D240" s="536">
        <f>+'LISTADO EQUIPOS'!$E$22/8</f>
        <v>2850</v>
      </c>
      <c r="E240" s="537">
        <f>+E256</f>
        <v>0.5</v>
      </c>
      <c r="F240" s="550">
        <f t="shared" si="20"/>
        <v>5700</v>
      </c>
      <c r="G240" s="538"/>
    </row>
    <row r="241" spans="1:7" ht="13.5" customHeight="1">
      <c r="A241" s="1964" t="s">
        <v>1560</v>
      </c>
      <c r="B241" s="1601"/>
      <c r="C241" s="1601"/>
      <c r="D241" s="1601"/>
      <c r="E241" s="1601"/>
      <c r="F241" s="1801"/>
      <c r="G241" s="539">
        <f>SUM(F239:F240)</f>
        <v>13950</v>
      </c>
    </row>
    <row r="242" spans="1:7" ht="13.5" customHeight="1">
      <c r="A242" s="529" t="s">
        <v>1561</v>
      </c>
      <c r="B242" s="527"/>
      <c r="C242" s="527"/>
      <c r="D242" s="527"/>
      <c r="E242" s="527"/>
      <c r="F242" s="527"/>
      <c r="G242" s="540"/>
    </row>
    <row r="243" spans="1:7" ht="13.5" customHeight="1">
      <c r="A243" s="1975" t="s">
        <v>1556</v>
      </c>
      <c r="B243" s="1801"/>
      <c r="C243" s="424" t="s">
        <v>6</v>
      </c>
      <c r="D243" s="424" t="s">
        <v>1562</v>
      </c>
      <c r="E243" s="424" t="s">
        <v>7</v>
      </c>
      <c r="F243" s="424" t="s">
        <v>1559</v>
      </c>
      <c r="G243" s="541"/>
    </row>
    <row r="244" spans="1:7" ht="13.5" customHeight="1">
      <c r="A244" s="1976" t="str">
        <f>+'LISTADO MATERIALES'!$C$141</f>
        <v>CEMENTO GRIS</v>
      </c>
      <c r="B244" s="1967"/>
      <c r="C244" s="581" t="str">
        <f>+'LISTADO MATERIALES'!$D$141</f>
        <v>KG</v>
      </c>
      <c r="D244" s="582">
        <f>+'LISTADO MATERIALES'!$E$141</f>
        <v>600</v>
      </c>
      <c r="E244" s="581">
        <v>358</v>
      </c>
      <c r="F244" s="604">
        <f t="shared" ref="F244:F247" si="21">+E244*D244</f>
        <v>214800</v>
      </c>
      <c r="G244" s="583"/>
    </row>
    <row r="245" spans="1:7" ht="15" customHeight="1">
      <c r="A245" s="1977" t="str">
        <f>+'LISTADO MATERIALES'!$C$133</f>
        <v>ARENA REBOQUE - FINA</v>
      </c>
      <c r="B245" s="1611"/>
      <c r="C245" s="584" t="str">
        <f>+'LISTADO MATERIALES'!$D$133</f>
        <v>M3</v>
      </c>
      <c r="D245" s="585">
        <f>+'LISTADO MATERIALES'!$E$133</f>
        <v>31500</v>
      </c>
      <c r="E245" s="584">
        <f>+E213</f>
        <v>1.1499999999999999</v>
      </c>
      <c r="F245" s="627">
        <f t="shared" si="21"/>
        <v>36225</v>
      </c>
      <c r="G245" s="586"/>
    </row>
    <row r="246" spans="1:7" ht="13.5" customHeight="1">
      <c r="A246" s="1977" t="str">
        <f>+'LISTADO MATERIALES'!$C$723</f>
        <v>AGUA</v>
      </c>
      <c r="B246" s="1611"/>
      <c r="C246" s="584" t="str">
        <f>+'LISTADO MATERIALES'!$D$723</f>
        <v>LT</v>
      </c>
      <c r="D246" s="585">
        <f>+'LISTADO MATERIALES'!$E$723</f>
        <v>21</v>
      </c>
      <c r="E246" s="584">
        <v>183</v>
      </c>
      <c r="F246" s="627">
        <f t="shared" si="21"/>
        <v>3843</v>
      </c>
      <c r="G246" s="586"/>
    </row>
    <row r="247" spans="1:7" ht="13.5" customHeight="1">
      <c r="A247" s="1978" t="str">
        <f>+'LISTADO MATERIALES'!C503</f>
        <v>SIKA- 1  ( 20 Kg )</v>
      </c>
      <c r="B247" s="1819"/>
      <c r="C247" s="587" t="s">
        <v>171</v>
      </c>
      <c r="D247" s="588">
        <f>+'LISTADO MATERIALES'!E503/20</f>
        <v>6825</v>
      </c>
      <c r="E247" s="587">
        <v>1.93</v>
      </c>
      <c r="F247" s="623">
        <f t="shared" si="21"/>
        <v>13172.25</v>
      </c>
      <c r="G247" s="589"/>
    </row>
    <row r="248" spans="1:7" ht="13.5" customHeight="1">
      <c r="A248" s="1964" t="s">
        <v>1560</v>
      </c>
      <c r="B248" s="1601"/>
      <c r="C248" s="1601"/>
      <c r="D248" s="1601"/>
      <c r="E248" s="1601"/>
      <c r="F248" s="1801"/>
      <c r="G248" s="539">
        <f>SUM(F244:F247)</f>
        <v>268040.25</v>
      </c>
    </row>
    <row r="249" spans="1:7" ht="13.5" customHeight="1">
      <c r="A249" s="529" t="s">
        <v>1563</v>
      </c>
      <c r="B249" s="527"/>
      <c r="C249" s="527"/>
      <c r="D249" s="527"/>
      <c r="E249" s="527"/>
      <c r="F249" s="527"/>
      <c r="G249" s="540"/>
    </row>
    <row r="250" spans="1:7" ht="13.5" customHeight="1">
      <c r="A250" s="1965" t="s">
        <v>1556</v>
      </c>
      <c r="B250" s="1801"/>
      <c r="C250" s="530" t="s">
        <v>6</v>
      </c>
      <c r="D250" s="530" t="s">
        <v>1562</v>
      </c>
      <c r="E250" s="530" t="s">
        <v>7</v>
      </c>
      <c r="F250" s="530" t="s">
        <v>1559</v>
      </c>
      <c r="G250" s="552"/>
    </row>
    <row r="251" spans="1:7" ht="12.75" customHeight="1">
      <c r="A251" s="1981" t="str">
        <f>+'LISTADO EQUIPOS'!$C$117</f>
        <v>MIXXER DE 8M3</v>
      </c>
      <c r="B251" s="1967"/>
      <c r="C251" s="1200" t="str">
        <f>+'LISTADO EQUIPOS'!$D$117</f>
        <v>VJ</v>
      </c>
      <c r="D251" s="1201">
        <f>+'LISTADO EQUIPOS'!$E$117</f>
        <v>194500</v>
      </c>
      <c r="E251" s="1202">
        <v>0.15</v>
      </c>
      <c r="F251" s="547">
        <f>+E251*D251</f>
        <v>29175</v>
      </c>
      <c r="G251" s="544"/>
    </row>
    <row r="252" spans="1:7" ht="13.5" customHeight="1">
      <c r="A252" s="1980"/>
      <c r="B252" s="1819"/>
      <c r="C252" s="1200"/>
      <c r="D252" s="553"/>
      <c r="E252" s="536"/>
      <c r="F252" s="536"/>
      <c r="G252" s="555"/>
    </row>
    <row r="253" spans="1:7" ht="13.5" customHeight="1">
      <c r="A253" s="1964" t="s">
        <v>1560</v>
      </c>
      <c r="B253" s="1601"/>
      <c r="C253" s="1601"/>
      <c r="D253" s="1601"/>
      <c r="E253" s="1601"/>
      <c r="F253" s="1801"/>
      <c r="G253" s="539">
        <f>SUM(F256:F257)</f>
        <v>95899.375</v>
      </c>
    </row>
    <row r="254" spans="1:7" ht="13.5" customHeight="1">
      <c r="A254" s="529" t="s">
        <v>1564</v>
      </c>
      <c r="B254" s="527"/>
      <c r="C254" s="527"/>
      <c r="D254" s="527"/>
      <c r="E254" s="527"/>
      <c r="F254" s="527"/>
      <c r="G254" s="540"/>
    </row>
    <row r="255" spans="1:7" ht="13.5" customHeight="1">
      <c r="A255" s="1965" t="s">
        <v>1565</v>
      </c>
      <c r="B255" s="1801"/>
      <c r="C255" s="424" t="s">
        <v>1566</v>
      </c>
      <c r="D255" s="530" t="s">
        <v>7</v>
      </c>
      <c r="E255" s="530" t="s">
        <v>1558</v>
      </c>
      <c r="F255" s="530" t="s">
        <v>1559</v>
      </c>
      <c r="G255" s="557"/>
    </row>
    <row r="256" spans="1:7" ht="13.5" customHeight="1">
      <c r="A256" s="1983" t="str">
        <f>+'MANO DE OBRA'!$A$65</f>
        <v>Ayudante (Incl. Prestaciones)</v>
      </c>
      <c r="B256" s="1888"/>
      <c r="C256" s="778">
        <f>+'MANO DE OBRA'!$E$65</f>
        <v>10972.8125</v>
      </c>
      <c r="D256" s="559">
        <v>3</v>
      </c>
      <c r="E256" s="559">
        <v>0.5</v>
      </c>
      <c r="F256" s="560">
        <f t="shared" ref="F256:F257" si="22">+(C256*D256)/E256</f>
        <v>65836.875</v>
      </c>
      <c r="G256" s="544"/>
    </row>
    <row r="257" spans="1:7" ht="13.5" customHeight="1">
      <c r="A257" s="1983" t="str">
        <f>+'MANO DE OBRA'!$A$64</f>
        <v>Oficial (Incl. Prestaciones)</v>
      </c>
      <c r="B257" s="1888"/>
      <c r="C257" s="1211">
        <f>+'MANO DE OBRA'!$E$64</f>
        <v>15031.25</v>
      </c>
      <c r="D257" s="562">
        <v>1</v>
      </c>
      <c r="E257" s="563">
        <f>E256</f>
        <v>0.5</v>
      </c>
      <c r="F257" s="564">
        <f t="shared" si="22"/>
        <v>30062.5</v>
      </c>
      <c r="G257" s="551"/>
    </row>
    <row r="258" spans="1:7" ht="13.5" customHeight="1">
      <c r="A258" s="1964" t="str">
        <f>+A253</f>
        <v>SUB-TOTAL</v>
      </c>
      <c r="B258" s="1601"/>
      <c r="C258" s="1601"/>
      <c r="D258" s="1601"/>
      <c r="E258" s="1601"/>
      <c r="F258" s="1801"/>
      <c r="G258" s="539">
        <f>SUM(F256:F257)</f>
        <v>95899.375</v>
      </c>
    </row>
    <row r="259" spans="1:7" ht="11.25" customHeight="1">
      <c r="A259" s="527"/>
      <c r="B259" s="527"/>
      <c r="C259" s="527"/>
      <c r="D259" s="527"/>
      <c r="E259" s="527"/>
      <c r="F259" s="565"/>
      <c r="G259" s="540"/>
    </row>
    <row r="260" spans="1:7" ht="13.5" customHeight="1">
      <c r="A260" s="1208" t="s">
        <v>2941</v>
      </c>
      <c r="B260" s="1209"/>
      <c r="C260" s="1209"/>
      <c r="D260" s="1209"/>
      <c r="E260" s="1209"/>
      <c r="F260" s="1210" t="s">
        <v>1567</v>
      </c>
      <c r="G260" s="580">
        <f>ROUND(G241+G248+G253+G258,0)</f>
        <v>473789</v>
      </c>
    </row>
    <row r="261" spans="1:7" ht="13.5" customHeight="1">
      <c r="A261" s="363"/>
      <c r="B261" s="363"/>
      <c r="C261" s="363"/>
      <c r="D261" s="363"/>
      <c r="E261" s="363"/>
      <c r="F261" s="363"/>
      <c r="G261" s="363"/>
    </row>
    <row r="262" spans="1:7" ht="13.5" customHeight="1">
      <c r="A262" s="363"/>
      <c r="B262" s="363"/>
      <c r="C262" s="363"/>
      <c r="D262" s="363"/>
      <c r="E262" s="363"/>
      <c r="F262" s="363"/>
      <c r="G262" s="363"/>
    </row>
    <row r="263" spans="1:7" ht="23.25" customHeight="1">
      <c r="A263" s="1994" t="e">
        <f>+$A$7</f>
        <v>#REF!</v>
      </c>
      <c r="B263" s="1616"/>
      <c r="C263" s="1624"/>
      <c r="D263" s="1990"/>
      <c r="E263" s="1616"/>
      <c r="F263" s="1616"/>
      <c r="G263" s="1624"/>
    </row>
    <row r="264" spans="1:7" ht="37.5" customHeight="1">
      <c r="A264" s="1971"/>
      <c r="B264" s="1817"/>
      <c r="C264" s="1972"/>
      <c r="D264" s="1971"/>
      <c r="E264" s="1817"/>
      <c r="F264" s="1817"/>
      <c r="G264" s="1972"/>
    </row>
    <row r="265" spans="1:7" ht="13.5" customHeight="1">
      <c r="A265" s="527"/>
      <c r="B265" s="527"/>
      <c r="C265" s="527"/>
      <c r="D265" s="527"/>
      <c r="E265" s="527"/>
      <c r="F265" s="527"/>
      <c r="G265" s="527"/>
    </row>
    <row r="266" spans="1:7" ht="60.75" customHeight="1">
      <c r="A266" s="1991" t="e">
        <f>A10</f>
        <v>#REF!</v>
      </c>
      <c r="B266" s="1601"/>
      <c r="C266" s="1602"/>
      <c r="D266" s="1975" t="s">
        <v>2942</v>
      </c>
      <c r="E266" s="1601"/>
      <c r="F266" s="1601"/>
      <c r="G266" s="1602"/>
    </row>
    <row r="267" spans="1:7" ht="13.5" customHeight="1">
      <c r="A267" s="418"/>
      <c r="B267" s="418"/>
      <c r="C267" s="418"/>
      <c r="D267" s="418"/>
      <c r="E267" s="418"/>
      <c r="F267" s="418"/>
      <c r="G267" s="418"/>
    </row>
    <row r="268" spans="1:7" ht="12.75" customHeight="1">
      <c r="A268" s="528"/>
      <c r="B268" s="527"/>
      <c r="C268" s="363"/>
      <c r="D268" s="421" t="s">
        <v>1553</v>
      </c>
      <c r="E268" s="717" t="s">
        <v>228</v>
      </c>
      <c r="F268" s="572"/>
      <c r="G268" s="572"/>
    </row>
    <row r="269" spans="1:7" ht="13.5" customHeight="1">
      <c r="A269" s="529" t="s">
        <v>1555</v>
      </c>
      <c r="B269" s="527"/>
      <c r="C269" s="527"/>
      <c r="D269" s="527"/>
      <c r="E269" s="527"/>
      <c r="F269" s="527"/>
      <c r="G269" s="527"/>
    </row>
    <row r="270" spans="1:7" ht="13.5" customHeight="1">
      <c r="A270" s="1975" t="s">
        <v>1556</v>
      </c>
      <c r="B270" s="1601"/>
      <c r="C270" s="1801"/>
      <c r="D270" s="530" t="s">
        <v>208</v>
      </c>
      <c r="E270" s="530" t="s">
        <v>1558</v>
      </c>
      <c r="F270" s="424" t="s">
        <v>1559</v>
      </c>
      <c r="G270" s="531"/>
    </row>
    <row r="271" spans="1:7" ht="12.75" customHeight="1">
      <c r="A271" s="2234" t="str">
        <f>+'LISTADO EQUIPOS'!$C$22</f>
        <v>HERRAMIENTA MENOR.</v>
      </c>
      <c r="B271" s="1616"/>
      <c r="C271" s="1932"/>
      <c r="D271" s="1212">
        <f>+'LISTADO EQUIPOS'!$E$22/8</f>
        <v>2850</v>
      </c>
      <c r="E271" s="1213">
        <f>+E288</f>
        <v>0.58785219522085086</v>
      </c>
      <c r="F271" s="665">
        <f>+E271*D271</f>
        <v>1675.3787563794249</v>
      </c>
      <c r="G271" s="1214"/>
    </row>
    <row r="272" spans="1:7" ht="13.5" customHeight="1">
      <c r="A272" s="1982"/>
      <c r="B272" s="1807"/>
      <c r="C272" s="1819"/>
      <c r="D272" s="536"/>
      <c r="E272" s="537"/>
      <c r="F272" s="536"/>
      <c r="G272" s="538"/>
    </row>
    <row r="273" spans="1:7" ht="13.5" customHeight="1">
      <c r="A273" s="1964" t="s">
        <v>1560</v>
      </c>
      <c r="B273" s="1601"/>
      <c r="C273" s="1601"/>
      <c r="D273" s="1601"/>
      <c r="E273" s="1601"/>
      <c r="F273" s="1801"/>
      <c r="G273" s="539">
        <f>SUM(F271:F272)</f>
        <v>1675.3787563794249</v>
      </c>
    </row>
    <row r="274" spans="1:7" ht="13.5" customHeight="1">
      <c r="A274" s="529" t="s">
        <v>1561</v>
      </c>
      <c r="B274" s="527"/>
      <c r="C274" s="527"/>
      <c r="D274" s="527"/>
      <c r="E274" s="527"/>
      <c r="F274" s="527"/>
      <c r="G274" s="540"/>
    </row>
    <row r="275" spans="1:7" ht="13.5" customHeight="1">
      <c r="A275" s="1975" t="s">
        <v>1556</v>
      </c>
      <c r="B275" s="1801"/>
      <c r="C275" s="424" t="s">
        <v>6</v>
      </c>
      <c r="D275" s="424" t="s">
        <v>1562</v>
      </c>
      <c r="E275" s="424" t="s">
        <v>7</v>
      </c>
      <c r="F275" s="424" t="s">
        <v>1559</v>
      </c>
      <c r="G275" s="541"/>
    </row>
    <row r="276" spans="1:7" ht="13.5" customHeight="1">
      <c r="A276" s="1976" t="str">
        <f>+'LISTADO MATERIALES'!C741</f>
        <v>ESTERILLA</v>
      </c>
      <c r="B276" s="1967"/>
      <c r="C276" s="581" t="str">
        <f>+'LISTADO MATERIALES'!$D$741</f>
        <v>UND</v>
      </c>
      <c r="D276" s="582">
        <f>+'LISTADO MATERIALES'!$E$741</f>
        <v>3360</v>
      </c>
      <c r="E276" s="581">
        <v>2.82</v>
      </c>
      <c r="F276" s="604">
        <f t="shared" ref="F276:F279" si="23">+E276*D276</f>
        <v>9475.1999999999989</v>
      </c>
      <c r="G276" s="583"/>
    </row>
    <row r="277" spans="1:7" ht="21.75" customHeight="1">
      <c r="A277" s="1977" t="str">
        <f>+'LISTADO MATERIALES'!C120</f>
        <v>VARILLON ESQUELETO 1" x 2" (2,5 x 5,0 cm)</v>
      </c>
      <c r="B277" s="1611"/>
      <c r="C277" s="584" t="str">
        <f>+'LISTADO MATERIALES'!$D$120</f>
        <v>ML</v>
      </c>
      <c r="D277" s="585">
        <f>+'LISTADO MATERIALES'!$E$120</f>
        <v>1208</v>
      </c>
      <c r="E277" s="584">
        <v>5.5</v>
      </c>
      <c r="F277" s="627">
        <f t="shared" si="23"/>
        <v>6644</v>
      </c>
      <c r="G277" s="586"/>
    </row>
    <row r="278" spans="1:7" ht="15" customHeight="1">
      <c r="A278" s="1977" t="str">
        <f>+'LISTADO MATERIALES'!$C$82</f>
        <v>PUNTILLA 1 1/2" a 3"</v>
      </c>
      <c r="B278" s="1611"/>
      <c r="C278" s="584" t="str">
        <f>+'LISTADO MATERIALES'!$D$82</f>
        <v>LB</v>
      </c>
      <c r="D278" s="585">
        <f>+'LISTADO MATERIALES'!$E$82</f>
        <v>2100</v>
      </c>
      <c r="E278" s="584">
        <v>0.25</v>
      </c>
      <c r="F278" s="627">
        <f t="shared" si="23"/>
        <v>525</v>
      </c>
      <c r="G278" s="586"/>
    </row>
    <row r="279" spans="1:7" ht="13.5" customHeight="1">
      <c r="A279" s="1977" t="str">
        <f>+'LISTADO MATERIALES'!$C$16</f>
        <v>ALAMBRE NEGRO No. 18</v>
      </c>
      <c r="B279" s="1611"/>
      <c r="C279" s="584" t="str">
        <f>+'LISTADO MATERIALES'!$D$16</f>
        <v>KG</v>
      </c>
      <c r="D279" s="585">
        <f>+'LISTADO MATERIALES'!$E$16</f>
        <v>3150</v>
      </c>
      <c r="E279" s="584">
        <v>0.15</v>
      </c>
      <c r="F279" s="627">
        <f t="shared" si="23"/>
        <v>472.5</v>
      </c>
      <c r="G279" s="586"/>
    </row>
    <row r="280" spans="1:7" ht="13.5" customHeight="1">
      <c r="A280" s="1964" t="s">
        <v>1560</v>
      </c>
      <c r="B280" s="1601"/>
      <c r="C280" s="1601"/>
      <c r="D280" s="1601"/>
      <c r="E280" s="1601"/>
      <c r="F280" s="1801"/>
      <c r="G280" s="539">
        <f>SUM(F276:F279)</f>
        <v>17116.699999999997</v>
      </c>
    </row>
    <row r="281" spans="1:7" ht="13.5" customHeight="1">
      <c r="A281" s="529" t="s">
        <v>1563</v>
      </c>
      <c r="B281" s="527"/>
      <c r="C281" s="527"/>
      <c r="D281" s="527"/>
      <c r="E281" s="527"/>
      <c r="F281" s="527"/>
      <c r="G281" s="540"/>
    </row>
    <row r="282" spans="1:7" ht="13.5" customHeight="1">
      <c r="A282" s="1965" t="s">
        <v>1556</v>
      </c>
      <c r="B282" s="1801"/>
      <c r="C282" s="530" t="s">
        <v>6</v>
      </c>
      <c r="D282" s="530" t="s">
        <v>1562</v>
      </c>
      <c r="E282" s="530" t="s">
        <v>7</v>
      </c>
      <c r="F282" s="530" t="s">
        <v>1559</v>
      </c>
      <c r="G282" s="552"/>
    </row>
    <row r="283" spans="1:7" ht="13.5" customHeight="1">
      <c r="A283" s="1979"/>
      <c r="B283" s="1967"/>
      <c r="C283" s="1200"/>
      <c r="D283" s="553"/>
      <c r="E283" s="546"/>
      <c r="F283" s="546"/>
      <c r="G283" s="544"/>
    </row>
    <row r="284" spans="1:7" ht="13.5" customHeight="1">
      <c r="A284" s="1980"/>
      <c r="B284" s="1819"/>
      <c r="C284" s="1200"/>
      <c r="D284" s="553"/>
      <c r="E284" s="536"/>
      <c r="F284" s="536"/>
      <c r="G284" s="555"/>
    </row>
    <row r="285" spans="1:7" ht="13.5" customHeight="1">
      <c r="A285" s="1964" t="s">
        <v>1560</v>
      </c>
      <c r="B285" s="1601"/>
      <c r="C285" s="1601"/>
      <c r="D285" s="1601"/>
      <c r="E285" s="1601"/>
      <c r="F285" s="1801"/>
      <c r="G285" s="539"/>
    </row>
    <row r="286" spans="1:7" ht="13.5" customHeight="1">
      <c r="A286" s="529" t="s">
        <v>1564</v>
      </c>
      <c r="B286" s="527"/>
      <c r="C286" s="527"/>
      <c r="D286" s="527"/>
      <c r="E286" s="527"/>
      <c r="F286" s="527"/>
      <c r="G286" s="540"/>
    </row>
    <row r="287" spans="1:7" ht="13.5" customHeight="1">
      <c r="A287" s="1965" t="s">
        <v>1565</v>
      </c>
      <c r="B287" s="1801"/>
      <c r="C287" s="424" t="s">
        <v>1566</v>
      </c>
      <c r="D287" s="530" t="s">
        <v>7</v>
      </c>
      <c r="E287" s="530" t="s">
        <v>1558</v>
      </c>
      <c r="F287" s="530" t="s">
        <v>1559</v>
      </c>
      <c r="G287" s="557"/>
    </row>
    <row r="288" spans="1:7" ht="13.5" customHeight="1">
      <c r="A288" s="1983" t="str">
        <f>+'MANO DE OBRA'!$A$64</f>
        <v>Oficial (Incl. Prestaciones)</v>
      </c>
      <c r="B288" s="1888"/>
      <c r="C288" s="558">
        <f>+'MANO DE OBRA'!$E$64</f>
        <v>15031.25</v>
      </c>
      <c r="D288" s="559">
        <v>1</v>
      </c>
      <c r="E288" s="559">
        <v>0.58785219522085086</v>
      </c>
      <c r="F288" s="578">
        <f t="shared" ref="F288:F289" si="24">+(C288*D288)*E288</f>
        <v>8836.1533094134138</v>
      </c>
      <c r="G288" s="544"/>
    </row>
    <row r="289" spans="1:7" ht="13.5" customHeight="1">
      <c r="A289" s="1968" t="str">
        <f>+'MANO DE OBRA'!$A$65</f>
        <v>Ayudante (Incl. Prestaciones)</v>
      </c>
      <c r="B289" s="1819"/>
      <c r="C289" s="561">
        <f>+'MANO DE OBRA'!$E$65</f>
        <v>10972.8125</v>
      </c>
      <c r="D289" s="562">
        <v>2</v>
      </c>
      <c r="E289" s="563">
        <f>+E288</f>
        <v>0.58785219522085086</v>
      </c>
      <c r="F289" s="579">
        <f t="shared" si="24"/>
        <v>12900.783831743585</v>
      </c>
      <c r="G289" s="551"/>
    </row>
    <row r="290" spans="1:7" ht="13.5" customHeight="1">
      <c r="A290" s="1964" t="str">
        <f>+A285</f>
        <v>SUB-TOTAL</v>
      </c>
      <c r="B290" s="1601"/>
      <c r="C290" s="1601"/>
      <c r="D290" s="1601"/>
      <c r="E290" s="1601"/>
      <c r="F290" s="1801"/>
      <c r="G290" s="539">
        <f>SUM(F288:F289)</f>
        <v>21736.937141156999</v>
      </c>
    </row>
    <row r="291" spans="1:7" ht="11.25" customHeight="1">
      <c r="A291" s="527"/>
      <c r="B291" s="527"/>
      <c r="C291" s="527"/>
      <c r="D291" s="527"/>
      <c r="E291" s="527"/>
      <c r="F291" s="565"/>
      <c r="G291" s="540"/>
    </row>
    <row r="292" spans="1:7" ht="13.5" customHeight="1">
      <c r="A292" s="1208" t="s">
        <v>2943</v>
      </c>
      <c r="B292" s="1209"/>
      <c r="C292" s="1209"/>
      <c r="D292" s="1209"/>
      <c r="E292" s="1209"/>
      <c r="F292" s="1210" t="s">
        <v>1567</v>
      </c>
      <c r="G292" s="580">
        <f>ROUND(G273+G280+G285+G290,0)</f>
        <v>40529</v>
      </c>
    </row>
    <row r="293" spans="1:7" ht="13.5" customHeight="1">
      <c r="A293" s="363"/>
      <c r="B293" s="363"/>
      <c r="C293" s="363"/>
      <c r="D293" s="363"/>
      <c r="E293" s="363"/>
      <c r="F293" s="363"/>
      <c r="G293" s="363"/>
    </row>
    <row r="294" spans="1:7" ht="13.5" customHeight="1">
      <c r="A294" s="363"/>
      <c r="B294" s="363"/>
      <c r="C294" s="363"/>
      <c r="D294" s="363"/>
      <c r="E294" s="363"/>
      <c r="F294" s="363"/>
      <c r="G294" s="363"/>
    </row>
    <row r="295" spans="1:7" ht="23.25" customHeight="1">
      <c r="A295" s="1994" t="e">
        <f>+$A$7</f>
        <v>#REF!</v>
      </c>
      <c r="B295" s="1616"/>
      <c r="C295" s="1624"/>
      <c r="D295" s="1990"/>
      <c r="E295" s="1616"/>
      <c r="F295" s="1616"/>
      <c r="G295" s="1624"/>
    </row>
    <row r="296" spans="1:7" ht="32.25" customHeight="1">
      <c r="A296" s="1971"/>
      <c r="B296" s="1817"/>
      <c r="C296" s="1972"/>
      <c r="D296" s="1971"/>
      <c r="E296" s="1817"/>
      <c r="F296" s="1817"/>
      <c r="G296" s="1972"/>
    </row>
    <row r="297" spans="1:7" ht="13.5" customHeight="1">
      <c r="A297" s="527"/>
      <c r="B297" s="527"/>
      <c r="C297" s="527"/>
      <c r="D297" s="527"/>
      <c r="E297" s="527"/>
      <c r="F297" s="527"/>
      <c r="G297" s="527"/>
    </row>
    <row r="298" spans="1:7" ht="62.25" customHeight="1">
      <c r="A298" s="1991" t="e">
        <f>A10</f>
        <v>#REF!</v>
      </c>
      <c r="B298" s="1601"/>
      <c r="C298" s="1602"/>
      <c r="D298" s="1975" t="s">
        <v>2944</v>
      </c>
      <c r="E298" s="1601"/>
      <c r="F298" s="1601"/>
      <c r="G298" s="1602"/>
    </row>
    <row r="299" spans="1:7" ht="13.5" customHeight="1">
      <c r="A299" s="418"/>
      <c r="B299" s="418"/>
      <c r="C299" s="418"/>
      <c r="D299" s="418"/>
      <c r="E299" s="418"/>
      <c r="F299" s="418"/>
      <c r="G299" s="418"/>
    </row>
    <row r="300" spans="1:7" ht="12.75" customHeight="1">
      <c r="A300" s="528"/>
      <c r="B300" s="527"/>
      <c r="C300" s="363"/>
      <c r="D300" s="421" t="s">
        <v>1553</v>
      </c>
      <c r="E300" s="717" t="s">
        <v>228</v>
      </c>
      <c r="F300" s="572"/>
      <c r="G300" s="572"/>
    </row>
    <row r="301" spans="1:7" ht="13.5" customHeight="1">
      <c r="A301" s="529" t="s">
        <v>1555</v>
      </c>
      <c r="B301" s="527"/>
      <c r="C301" s="527"/>
      <c r="D301" s="527"/>
      <c r="E301" s="527"/>
      <c r="F301" s="527"/>
      <c r="G301" s="527"/>
    </row>
    <row r="302" spans="1:7" ht="13.5" customHeight="1">
      <c r="A302" s="1975" t="s">
        <v>1556</v>
      </c>
      <c r="B302" s="1601"/>
      <c r="C302" s="1801"/>
      <c r="D302" s="530" t="s">
        <v>208</v>
      </c>
      <c r="E302" s="530" t="s">
        <v>1558</v>
      </c>
      <c r="F302" s="424" t="s">
        <v>1559</v>
      </c>
      <c r="G302" s="531"/>
    </row>
    <row r="303" spans="1:7" ht="12.75" customHeight="1">
      <c r="A303" s="2234" t="str">
        <f>+'LISTADO EQUIPOS'!$C$22</f>
        <v>HERRAMIENTA MENOR.</v>
      </c>
      <c r="B303" s="1616"/>
      <c r="C303" s="1932"/>
      <c r="D303" s="1212">
        <f>+'LISTADO EQUIPOS'!$E$22/8</f>
        <v>2850</v>
      </c>
      <c r="E303" s="1213">
        <f>+E324</f>
        <v>0.3</v>
      </c>
      <c r="F303" s="1212">
        <f>+E303*D303</f>
        <v>855</v>
      </c>
      <c r="G303" s="1214"/>
    </row>
    <row r="304" spans="1:7" ht="13.5" customHeight="1">
      <c r="A304" s="1982"/>
      <c r="B304" s="1807"/>
      <c r="C304" s="1819"/>
      <c r="D304" s="536"/>
      <c r="E304" s="537"/>
      <c r="F304" s="536"/>
      <c r="G304" s="538"/>
    </row>
    <row r="305" spans="1:7" ht="13.5" customHeight="1">
      <c r="A305" s="1964" t="s">
        <v>1560</v>
      </c>
      <c r="B305" s="1601"/>
      <c r="C305" s="1601"/>
      <c r="D305" s="1601"/>
      <c r="E305" s="1601"/>
      <c r="F305" s="1801"/>
      <c r="G305" s="556">
        <f>SUM(F303:F304)</f>
        <v>855</v>
      </c>
    </row>
    <row r="306" spans="1:7" ht="13.5" customHeight="1">
      <c r="A306" s="529" t="s">
        <v>1561</v>
      </c>
      <c r="B306" s="527"/>
      <c r="C306" s="527"/>
      <c r="D306" s="527"/>
      <c r="E306" s="527"/>
      <c r="F306" s="527"/>
      <c r="G306" s="527"/>
    </row>
    <row r="307" spans="1:7" ht="13.5" customHeight="1">
      <c r="A307" s="1975" t="s">
        <v>1556</v>
      </c>
      <c r="B307" s="1801"/>
      <c r="C307" s="424" t="s">
        <v>6</v>
      </c>
      <c r="D307" s="424" t="s">
        <v>1562</v>
      </c>
      <c r="E307" s="424" t="s">
        <v>7</v>
      </c>
      <c r="F307" s="424" t="s">
        <v>1559</v>
      </c>
      <c r="G307" s="531"/>
    </row>
    <row r="308" spans="1:7" ht="13.5" customHeight="1">
      <c r="A308" s="1976" t="str">
        <f>+'LISTADO EQUIPOS'!C48</f>
        <v>CAMILLA MADERA. FORMALETA (20 dias)</v>
      </c>
      <c r="B308" s="1967"/>
      <c r="C308" s="581" t="str">
        <f>+'LISTADO EQUIPOS'!$D$48</f>
        <v>UND</v>
      </c>
      <c r="D308" s="582">
        <f>+'LISTADO EQUIPOS'!$E$48</f>
        <v>4500</v>
      </c>
      <c r="E308" s="581">
        <v>1</v>
      </c>
      <c r="F308" s="582">
        <f t="shared" ref="F308:F315" si="25">+E308*D308</f>
        <v>4500</v>
      </c>
      <c r="G308" s="594"/>
    </row>
    <row r="309" spans="1:7" ht="13.5" customHeight="1">
      <c r="A309" s="1977" t="str">
        <f>+'LISTADO EQUIPOS'!C49</f>
        <v>CERCHA METALICA FORMALETA (20 dias)</v>
      </c>
      <c r="B309" s="1611"/>
      <c r="C309" s="584" t="str">
        <f>+'LISTADO EQUIPOS'!$D$49</f>
        <v>UND</v>
      </c>
      <c r="D309" s="585">
        <f>+'LISTADO EQUIPOS'!$E$49</f>
        <v>4150</v>
      </c>
      <c r="E309" s="584">
        <v>0.25</v>
      </c>
      <c r="F309" s="585">
        <f t="shared" si="25"/>
        <v>1037.5</v>
      </c>
      <c r="G309" s="595"/>
    </row>
    <row r="310" spans="1:7" ht="13.5" customHeight="1">
      <c r="A310" s="1977" t="str">
        <f>+'LISTADO EQUIPOS'!C75</f>
        <v>PARAL MET. FORMALETA (20 dias)</v>
      </c>
      <c r="B310" s="1611"/>
      <c r="C310" s="584" t="str">
        <f>+'LISTADO EQUIPOS'!$D$75</f>
        <v>UND</v>
      </c>
      <c r="D310" s="585">
        <f>+'LISTADO EQUIPOS'!$E$75</f>
        <v>4150</v>
      </c>
      <c r="E310" s="584">
        <v>0.3</v>
      </c>
      <c r="F310" s="585">
        <f t="shared" si="25"/>
        <v>1245</v>
      </c>
      <c r="G310" s="595"/>
    </row>
    <row r="311" spans="1:7" ht="13.5" customHeight="1">
      <c r="A311" s="1977" t="str">
        <f>+'LISTADO EQUIPOS'!C53</f>
        <v>CRUCETA LARGA FORMALETA (20 dias)</v>
      </c>
      <c r="B311" s="1611"/>
      <c r="C311" s="584" t="str">
        <f>+'LISTADO EQUIPOS'!$D$53</f>
        <v>UND</v>
      </c>
      <c r="D311" s="585">
        <f>+'LISTADO EQUIPOS'!$E$53</f>
        <v>1750</v>
      </c>
      <c r="E311" s="584">
        <v>0.25</v>
      </c>
      <c r="F311" s="585">
        <f t="shared" si="25"/>
        <v>437.5</v>
      </c>
      <c r="G311" s="595"/>
    </row>
    <row r="312" spans="1:7" ht="15.75" customHeight="1">
      <c r="A312" s="1977" t="str">
        <f>+'LISTADO EQUIPOS'!C52</f>
        <v>CRUCETA CORTA FORMALTEA (20 dias)</v>
      </c>
      <c r="B312" s="1611"/>
      <c r="C312" s="584" t="str">
        <f>+'LISTADO EQUIPOS'!$D$52</f>
        <v>UND</v>
      </c>
      <c r="D312" s="585">
        <f>+'LISTADO EQUIPOS'!$E$52</f>
        <v>1750</v>
      </c>
      <c r="E312" s="584">
        <v>0.25</v>
      </c>
      <c r="F312" s="585">
        <f t="shared" si="25"/>
        <v>437.5</v>
      </c>
      <c r="G312" s="595"/>
    </row>
    <row r="313" spans="1:7" ht="13.5" customHeight="1">
      <c r="A313" s="1977" t="str">
        <f>+'LISTADO EQUIPOS'!C76</f>
        <v>SEPARADOR FORMALETA (20 dias)</v>
      </c>
      <c r="B313" s="1611"/>
      <c r="C313" s="584" t="str">
        <f>+'LISTADO EQUIPOS'!$D$76</f>
        <v>UND</v>
      </c>
      <c r="D313" s="585">
        <f>+'LISTADO EQUIPOS'!$E$76</f>
        <v>1500</v>
      </c>
      <c r="E313" s="584">
        <v>0.25</v>
      </c>
      <c r="F313" s="585">
        <f t="shared" si="25"/>
        <v>375</v>
      </c>
      <c r="G313" s="595"/>
    </row>
    <row r="314" spans="1:7" ht="15" customHeight="1">
      <c r="A314" s="1977" t="str">
        <f>+'LISTADO MATERIALES'!$C$82</f>
        <v>PUNTILLA 1 1/2" a 3"</v>
      </c>
      <c r="B314" s="1611"/>
      <c r="C314" s="584" t="str">
        <f>+'LISTADO MATERIALES'!$D$82</f>
        <v>LB</v>
      </c>
      <c r="D314" s="585">
        <f>+'LISTADO MATERIALES'!$E$82</f>
        <v>2100</v>
      </c>
      <c r="E314" s="584">
        <v>0.02</v>
      </c>
      <c r="F314" s="585">
        <f t="shared" si="25"/>
        <v>42</v>
      </c>
      <c r="G314" s="595"/>
    </row>
    <row r="315" spans="1:7" ht="13.5" customHeight="1">
      <c r="A315" s="1977" t="str">
        <f>+'LISTADO MATERIALES'!$C$16</f>
        <v>ALAMBRE NEGRO No. 18</v>
      </c>
      <c r="B315" s="1611"/>
      <c r="C315" s="584" t="str">
        <f>+'LISTADO MATERIALES'!$D$16</f>
        <v>KG</v>
      </c>
      <c r="D315" s="585">
        <f>+'LISTADO MATERIALES'!$E$16</f>
        <v>3150</v>
      </c>
      <c r="E315" s="584">
        <v>0.01</v>
      </c>
      <c r="F315" s="585">
        <f t="shared" si="25"/>
        <v>31.5</v>
      </c>
      <c r="G315" s="595"/>
    </row>
    <row r="316" spans="1:7" ht="13.5" customHeight="1">
      <c r="A316" s="1964" t="s">
        <v>1560</v>
      </c>
      <c r="B316" s="1601"/>
      <c r="C316" s="1601"/>
      <c r="D316" s="1601"/>
      <c r="E316" s="1601"/>
      <c r="F316" s="1801"/>
      <c r="G316" s="556">
        <f>SUM(F308:F315)</f>
        <v>8106</v>
      </c>
    </row>
    <row r="317" spans="1:7" ht="13.5" customHeight="1">
      <c r="A317" s="529" t="s">
        <v>1563</v>
      </c>
      <c r="B317" s="527"/>
      <c r="C317" s="527"/>
      <c r="D317" s="527"/>
      <c r="E317" s="527"/>
      <c r="F317" s="527"/>
      <c r="G317" s="527"/>
    </row>
    <row r="318" spans="1:7" ht="13.5" customHeight="1">
      <c r="A318" s="1965" t="s">
        <v>1556</v>
      </c>
      <c r="B318" s="1801"/>
      <c r="C318" s="530" t="s">
        <v>6</v>
      </c>
      <c r="D318" s="530" t="s">
        <v>1562</v>
      </c>
      <c r="E318" s="530" t="s">
        <v>7</v>
      </c>
      <c r="F318" s="530" t="s">
        <v>1559</v>
      </c>
      <c r="G318" s="597"/>
    </row>
    <row r="319" spans="1:7" ht="13.5" customHeight="1">
      <c r="A319" s="1979"/>
      <c r="B319" s="1967"/>
      <c r="C319" s="1200"/>
      <c r="D319" s="553"/>
      <c r="E319" s="546"/>
      <c r="F319" s="546"/>
      <c r="G319" s="535"/>
    </row>
    <row r="320" spans="1:7" ht="13.5" customHeight="1">
      <c r="A320" s="1980"/>
      <c r="B320" s="1819"/>
      <c r="C320" s="1200"/>
      <c r="D320" s="553"/>
      <c r="E320" s="536"/>
      <c r="F320" s="536"/>
      <c r="G320" s="598"/>
    </row>
    <row r="321" spans="1:7" ht="13.5" customHeight="1">
      <c r="A321" s="1964" t="s">
        <v>1560</v>
      </c>
      <c r="B321" s="1601"/>
      <c r="C321" s="1601"/>
      <c r="D321" s="1601"/>
      <c r="E321" s="1601"/>
      <c r="F321" s="1801"/>
      <c r="G321" s="556"/>
    </row>
    <row r="322" spans="1:7" ht="13.5" customHeight="1">
      <c r="A322" s="529" t="s">
        <v>1564</v>
      </c>
      <c r="B322" s="527"/>
      <c r="C322" s="527"/>
      <c r="D322" s="527"/>
      <c r="E322" s="527"/>
      <c r="F322" s="527"/>
      <c r="G322" s="527"/>
    </row>
    <row r="323" spans="1:7" ht="13.5" customHeight="1">
      <c r="A323" s="1965" t="s">
        <v>1565</v>
      </c>
      <c r="B323" s="1801"/>
      <c r="C323" s="424" t="s">
        <v>1566</v>
      </c>
      <c r="D323" s="530" t="s">
        <v>7</v>
      </c>
      <c r="E323" s="530" t="s">
        <v>1558</v>
      </c>
      <c r="F323" s="530" t="s">
        <v>1559</v>
      </c>
      <c r="G323" s="599"/>
    </row>
    <row r="324" spans="1:7" ht="13.5" customHeight="1">
      <c r="A324" s="1983" t="str">
        <f>+'MANO DE OBRA'!$A$64</f>
        <v>Oficial (Incl. Prestaciones)</v>
      </c>
      <c r="B324" s="1888"/>
      <c r="C324" s="558">
        <f>+'MANO DE OBRA'!$E$64</f>
        <v>15031.25</v>
      </c>
      <c r="D324" s="559">
        <v>1</v>
      </c>
      <c r="E324" s="559">
        <v>0.3</v>
      </c>
      <c r="F324" s="605">
        <f t="shared" ref="F324:F325" si="26">+(C324*D324)*E324</f>
        <v>4509.375</v>
      </c>
      <c r="G324" s="535"/>
    </row>
    <row r="325" spans="1:7" ht="13.5" customHeight="1">
      <c r="A325" s="1968" t="str">
        <f>+'MANO DE OBRA'!$A$65</f>
        <v>Ayudante (Incl. Prestaciones)</v>
      </c>
      <c r="B325" s="1819"/>
      <c r="C325" s="561">
        <f>+'MANO DE OBRA'!$E$65</f>
        <v>10972.8125</v>
      </c>
      <c r="D325" s="562">
        <v>2</v>
      </c>
      <c r="E325" s="563">
        <f>+E324</f>
        <v>0.3</v>
      </c>
      <c r="F325" s="593">
        <f t="shared" si="26"/>
        <v>6583.6875</v>
      </c>
      <c r="G325" s="538"/>
    </row>
    <row r="326" spans="1:7" ht="13.5" customHeight="1">
      <c r="A326" s="1965" t="str">
        <f>+A321</f>
        <v>SUB-TOTAL</v>
      </c>
      <c r="B326" s="1801"/>
      <c r="C326" s="530"/>
      <c r="D326" s="530"/>
      <c r="E326" s="530"/>
      <c r="F326" s="530" t="s">
        <v>1629</v>
      </c>
      <c r="G326" s="556">
        <f>SUM(F324:F325)</f>
        <v>11093.0625</v>
      </c>
    </row>
    <row r="327" spans="1:7" ht="11.25" customHeight="1">
      <c r="A327" s="527"/>
      <c r="B327" s="527"/>
      <c r="C327" s="527"/>
      <c r="D327" s="527"/>
      <c r="E327" s="527"/>
      <c r="F327" s="565"/>
      <c r="G327" s="527"/>
    </row>
    <row r="328" spans="1:7" ht="13.5" customHeight="1">
      <c r="A328" s="1208" t="s">
        <v>2945</v>
      </c>
      <c r="B328" s="1209"/>
      <c r="C328" s="1209"/>
      <c r="D328" s="1209"/>
      <c r="E328" s="1209"/>
      <c r="F328" s="1210" t="s">
        <v>1567</v>
      </c>
      <c r="G328" s="1215">
        <f>ROUND(G309+G316+G321+G326,0)</f>
        <v>19199</v>
      </c>
    </row>
    <row r="329" spans="1:7" ht="13.5" customHeight="1">
      <c r="A329" s="363"/>
      <c r="B329" s="363"/>
      <c r="C329" s="363"/>
      <c r="D329" s="363"/>
      <c r="E329" s="363"/>
      <c r="F329" s="363"/>
      <c r="G329" s="363"/>
    </row>
    <row r="330" spans="1:7" ht="13.5" customHeight="1">
      <c r="A330" s="363"/>
      <c r="B330" s="363"/>
      <c r="C330" s="363"/>
      <c r="D330" s="363"/>
      <c r="E330" s="363"/>
      <c r="F330" s="363"/>
      <c r="G330" s="363"/>
    </row>
    <row r="331" spans="1:7" ht="23.25" customHeight="1">
      <c r="A331" s="1994" t="e">
        <f>+$A$7</f>
        <v>#REF!</v>
      </c>
      <c r="B331" s="1616"/>
      <c r="C331" s="1624"/>
      <c r="D331" s="1990"/>
      <c r="E331" s="1616"/>
      <c r="F331" s="1616"/>
      <c r="G331" s="1624"/>
    </row>
    <row r="332" spans="1:7" ht="36" customHeight="1">
      <c r="A332" s="1971"/>
      <c r="B332" s="1817"/>
      <c r="C332" s="1972"/>
      <c r="D332" s="1971"/>
      <c r="E332" s="1817"/>
      <c r="F332" s="1817"/>
      <c r="G332" s="1972"/>
    </row>
    <row r="333" spans="1:7" ht="13.5" customHeight="1">
      <c r="A333" s="527"/>
      <c r="B333" s="527"/>
      <c r="C333" s="527"/>
      <c r="D333" s="527"/>
      <c r="E333" s="527"/>
      <c r="F333" s="527"/>
      <c r="G333" s="527"/>
    </row>
    <row r="334" spans="1:7" ht="60" customHeight="1">
      <c r="A334" s="1991" t="e">
        <f>A10</f>
        <v>#REF!</v>
      </c>
      <c r="B334" s="1601"/>
      <c r="C334" s="1602"/>
      <c r="D334" s="1975" t="s">
        <v>2946</v>
      </c>
      <c r="E334" s="1601"/>
      <c r="F334" s="1601"/>
      <c r="G334" s="1602"/>
    </row>
    <row r="335" spans="1:7" ht="13.5" customHeight="1">
      <c r="A335" s="418"/>
      <c r="B335" s="418"/>
      <c r="C335" s="418"/>
      <c r="D335" s="418"/>
      <c r="E335" s="418"/>
      <c r="F335" s="418"/>
      <c r="G335" s="418"/>
    </row>
    <row r="336" spans="1:7" ht="12.75" customHeight="1">
      <c r="A336" s="528"/>
      <c r="B336" s="527"/>
      <c r="C336" s="363"/>
      <c r="D336" s="421" t="s">
        <v>1553</v>
      </c>
      <c r="E336" s="717" t="s">
        <v>228</v>
      </c>
      <c r="F336" s="572"/>
      <c r="G336" s="572"/>
    </row>
    <row r="337" spans="1:7" ht="13.5" customHeight="1">
      <c r="A337" s="529" t="s">
        <v>1555</v>
      </c>
      <c r="B337" s="527"/>
      <c r="C337" s="527"/>
      <c r="D337" s="527"/>
      <c r="E337" s="527"/>
      <c r="F337" s="527"/>
      <c r="G337" s="527"/>
    </row>
    <row r="338" spans="1:7" ht="13.5" customHeight="1">
      <c r="A338" s="1975" t="s">
        <v>1556</v>
      </c>
      <c r="B338" s="1601"/>
      <c r="C338" s="1801"/>
      <c r="D338" s="530" t="s">
        <v>208</v>
      </c>
      <c r="E338" s="530" t="s">
        <v>1558</v>
      </c>
      <c r="F338" s="424" t="s">
        <v>1559</v>
      </c>
      <c r="G338" s="531"/>
    </row>
    <row r="339" spans="1:7" ht="12.75" customHeight="1">
      <c r="A339" s="2234" t="str">
        <f>+'LISTADO EQUIPOS'!$C$22</f>
        <v>HERRAMIENTA MENOR.</v>
      </c>
      <c r="B339" s="1616"/>
      <c r="C339" s="1932"/>
      <c r="D339" s="1212" t="s">
        <v>1569</v>
      </c>
      <c r="E339" s="1213">
        <v>1</v>
      </c>
      <c r="F339" s="1212">
        <v>200</v>
      </c>
      <c r="G339" s="1214"/>
    </row>
    <row r="340" spans="1:7" ht="13.5" customHeight="1">
      <c r="A340" s="1982"/>
      <c r="B340" s="1807"/>
      <c r="C340" s="1819"/>
      <c r="D340" s="536"/>
      <c r="E340" s="537"/>
      <c r="F340" s="536"/>
      <c r="G340" s="538"/>
    </row>
    <row r="341" spans="1:7" ht="13.5" customHeight="1">
      <c r="A341" s="1964" t="s">
        <v>1560</v>
      </c>
      <c r="B341" s="1601"/>
      <c r="C341" s="1601"/>
      <c r="D341" s="1601"/>
      <c r="E341" s="1601"/>
      <c r="F341" s="1801"/>
      <c r="G341" s="556">
        <f>SUM(F339:F340)</f>
        <v>200</v>
      </c>
    </row>
    <row r="342" spans="1:7" ht="13.5" customHeight="1">
      <c r="A342" s="529" t="s">
        <v>1561</v>
      </c>
      <c r="B342" s="527"/>
      <c r="C342" s="527"/>
      <c r="D342" s="527"/>
      <c r="E342" s="527"/>
      <c r="F342" s="527"/>
      <c r="G342" s="527"/>
    </row>
    <row r="343" spans="1:7" ht="13.5" customHeight="1">
      <c r="A343" s="1975" t="s">
        <v>1556</v>
      </c>
      <c r="B343" s="1801"/>
      <c r="C343" s="424" t="s">
        <v>6</v>
      </c>
      <c r="D343" s="424" t="s">
        <v>1562</v>
      </c>
      <c r="E343" s="424" t="s">
        <v>7</v>
      </c>
      <c r="F343" s="424" t="s">
        <v>1559</v>
      </c>
      <c r="G343" s="531"/>
    </row>
    <row r="344" spans="1:7" ht="13.5" customHeight="1">
      <c r="A344" s="1976" t="str">
        <f>+'LISTADO MATERIALES'!$C$762</f>
        <v>TABLA (0,025x0,25X3,0)</v>
      </c>
      <c r="B344" s="1967"/>
      <c r="C344" s="581" t="str">
        <f>+'LISTADO MATERIALES'!$D$762</f>
        <v>ML</v>
      </c>
      <c r="D344" s="582">
        <f>+'LISTADO MATERIALES'!$E$762</f>
        <v>3570</v>
      </c>
      <c r="E344" s="581">
        <v>4</v>
      </c>
      <c r="F344" s="582">
        <f t="shared" ref="F344:F347" si="27">+E344*D344</f>
        <v>14280</v>
      </c>
      <c r="G344" s="594"/>
    </row>
    <row r="345" spans="1:7" ht="24" customHeight="1">
      <c r="A345" s="1977" t="str">
        <f>+'LISTADO MATERIALES'!$C$120</f>
        <v>VARILLON ESQUELETO 1" x 2" (2,5 x 5,0 cm)</v>
      </c>
      <c r="B345" s="1611"/>
      <c r="C345" s="584" t="str">
        <f>+'LISTADO MATERIALES'!$D$120</f>
        <v>ML</v>
      </c>
      <c r="D345" s="585">
        <f>+'LISTADO MATERIALES'!$E$120</f>
        <v>1208</v>
      </c>
      <c r="E345" s="584">
        <v>5</v>
      </c>
      <c r="F345" s="585">
        <f t="shared" si="27"/>
        <v>6040</v>
      </c>
      <c r="G345" s="595"/>
    </row>
    <row r="346" spans="1:7" ht="13.5" customHeight="1">
      <c r="A346" s="1977" t="str">
        <f>+'LISTADO MATERIALES'!$C$738</f>
        <v>CUARTON  DE 5X10</v>
      </c>
      <c r="B346" s="1611"/>
      <c r="C346" s="584" t="str">
        <f>+'LISTADO MATERIALES'!$D$738</f>
        <v>ML</v>
      </c>
      <c r="D346" s="585">
        <f>+'LISTADO MATERIALES'!$E$738</f>
        <v>3360</v>
      </c>
      <c r="E346" s="584">
        <v>3.5</v>
      </c>
      <c r="F346" s="585">
        <f t="shared" si="27"/>
        <v>11760</v>
      </c>
      <c r="G346" s="595"/>
    </row>
    <row r="347" spans="1:7" ht="15" customHeight="1">
      <c r="A347" s="1977" t="str">
        <f>+'LISTADO MATERIALES'!$C$82</f>
        <v>PUNTILLA 1 1/2" a 3"</v>
      </c>
      <c r="B347" s="1611"/>
      <c r="C347" s="584" t="str">
        <f>+'LISTADO MATERIALES'!$D$82</f>
        <v>LB</v>
      </c>
      <c r="D347" s="585">
        <f>+'LISTADO MATERIALES'!$E$82</f>
        <v>2100</v>
      </c>
      <c r="E347" s="584">
        <v>0.5</v>
      </c>
      <c r="F347" s="585">
        <f t="shared" si="27"/>
        <v>1050</v>
      </c>
      <c r="G347" s="595"/>
    </row>
    <row r="348" spans="1:7" ht="13.5" customHeight="1">
      <c r="A348" s="1964" t="s">
        <v>1560</v>
      </c>
      <c r="B348" s="1601"/>
      <c r="C348" s="1601"/>
      <c r="D348" s="1601"/>
      <c r="E348" s="1601"/>
      <c r="F348" s="1801"/>
      <c r="G348" s="556">
        <f>SUM(F344:F347)</f>
        <v>33130</v>
      </c>
    </row>
    <row r="349" spans="1:7" ht="13.5" customHeight="1">
      <c r="A349" s="529" t="s">
        <v>1563</v>
      </c>
      <c r="B349" s="527"/>
      <c r="C349" s="527"/>
      <c r="D349" s="527"/>
      <c r="E349" s="527"/>
      <c r="F349" s="527"/>
      <c r="G349" s="527"/>
    </row>
    <row r="350" spans="1:7" ht="13.5" customHeight="1">
      <c r="A350" s="1965" t="s">
        <v>1556</v>
      </c>
      <c r="B350" s="1801"/>
      <c r="C350" s="530" t="s">
        <v>6</v>
      </c>
      <c r="D350" s="530" t="s">
        <v>1562</v>
      </c>
      <c r="E350" s="530" t="s">
        <v>7</v>
      </c>
      <c r="F350" s="530" t="s">
        <v>1559</v>
      </c>
      <c r="G350" s="597"/>
    </row>
    <row r="351" spans="1:7" ht="13.5" customHeight="1">
      <c r="A351" s="1979"/>
      <c r="B351" s="1967"/>
      <c r="C351" s="1200"/>
      <c r="D351" s="553"/>
      <c r="E351" s="546"/>
      <c r="F351" s="546"/>
      <c r="G351" s="535"/>
    </row>
    <row r="352" spans="1:7" ht="13.5" customHeight="1">
      <c r="A352" s="1980"/>
      <c r="B352" s="1819"/>
      <c r="C352" s="1200"/>
      <c r="D352" s="553"/>
      <c r="E352" s="536"/>
      <c r="F352" s="536"/>
      <c r="G352" s="598"/>
    </row>
    <row r="353" spans="1:7" ht="13.5" customHeight="1">
      <c r="A353" s="1964" t="s">
        <v>1560</v>
      </c>
      <c r="B353" s="1601"/>
      <c r="C353" s="1601"/>
      <c r="D353" s="1601"/>
      <c r="E353" s="1601"/>
      <c r="F353" s="1801"/>
      <c r="G353" s="556"/>
    </row>
    <row r="354" spans="1:7" ht="13.5" customHeight="1">
      <c r="A354" s="529" t="s">
        <v>1564</v>
      </c>
      <c r="B354" s="527"/>
      <c r="C354" s="527"/>
      <c r="D354" s="527"/>
      <c r="E354" s="527"/>
      <c r="F354" s="527"/>
      <c r="G354" s="527"/>
    </row>
    <row r="355" spans="1:7" ht="13.5" customHeight="1">
      <c r="A355" s="1965" t="s">
        <v>1565</v>
      </c>
      <c r="B355" s="1801"/>
      <c r="C355" s="424" t="s">
        <v>1566</v>
      </c>
      <c r="D355" s="530" t="s">
        <v>7</v>
      </c>
      <c r="E355" s="530" t="s">
        <v>1558</v>
      </c>
      <c r="F355" s="530" t="s">
        <v>1559</v>
      </c>
      <c r="G355" s="599"/>
    </row>
    <row r="356" spans="1:7" ht="13.5" customHeight="1">
      <c r="A356" s="1983" t="str">
        <f>+'MANO DE OBRA'!$A$64</f>
        <v>Oficial (Incl. Prestaciones)</v>
      </c>
      <c r="B356" s="1888"/>
      <c r="C356" s="558">
        <f>+'MANO DE OBRA'!$E$64</f>
        <v>15031.25</v>
      </c>
      <c r="D356" s="559">
        <v>1</v>
      </c>
      <c r="E356" s="559">
        <v>3</v>
      </c>
      <c r="F356" s="605">
        <f t="shared" ref="F356:F357" si="28">+(C356*D356)/E356</f>
        <v>5010.416666666667</v>
      </c>
      <c r="G356" s="535"/>
    </row>
    <row r="357" spans="1:7" ht="13.5" customHeight="1">
      <c r="A357" s="1968" t="str">
        <f>+'MANO DE OBRA'!$A$65</f>
        <v>Ayudante (Incl. Prestaciones)</v>
      </c>
      <c r="B357" s="1819"/>
      <c r="C357" s="561">
        <f>+'MANO DE OBRA'!$E$65</f>
        <v>10972.8125</v>
      </c>
      <c r="D357" s="562">
        <v>1</v>
      </c>
      <c r="E357" s="563">
        <f>+E356</f>
        <v>3</v>
      </c>
      <c r="F357" s="593">
        <f t="shared" si="28"/>
        <v>3657.6041666666665</v>
      </c>
      <c r="G357" s="538"/>
    </row>
    <row r="358" spans="1:7" ht="13.5" customHeight="1">
      <c r="A358" s="1964" t="str">
        <f>+A353</f>
        <v>SUB-TOTAL</v>
      </c>
      <c r="B358" s="1601"/>
      <c r="C358" s="1601"/>
      <c r="D358" s="1601"/>
      <c r="E358" s="1601"/>
      <c r="F358" s="1801"/>
      <c r="G358" s="556">
        <f>SUM(F356:F357)</f>
        <v>8668.0208333333339</v>
      </c>
    </row>
    <row r="359" spans="1:7" ht="11.25" customHeight="1">
      <c r="A359" s="527"/>
      <c r="B359" s="527"/>
      <c r="C359" s="527"/>
      <c r="D359" s="527"/>
      <c r="E359" s="527"/>
      <c r="F359" s="565"/>
      <c r="G359" s="527"/>
    </row>
    <row r="360" spans="1:7" ht="13.5" customHeight="1">
      <c r="A360" s="1208" t="s">
        <v>2947</v>
      </c>
      <c r="B360" s="1209"/>
      <c r="C360" s="1209"/>
      <c r="D360" s="1209"/>
      <c r="E360" s="1209"/>
      <c r="F360" s="1210" t="s">
        <v>1567</v>
      </c>
      <c r="G360" s="1215">
        <f>ROUND(G341+G348+G353+G358,0)</f>
        <v>41998</v>
      </c>
    </row>
    <row r="361" spans="1:7" ht="13.5" customHeight="1">
      <c r="A361" s="1216"/>
      <c r="B361" s="419"/>
      <c r="C361" s="419"/>
      <c r="D361" s="419"/>
      <c r="E361" s="419"/>
      <c r="F361" s="662"/>
      <c r="G361" s="664"/>
    </row>
    <row r="362" spans="1:7" ht="13.5" customHeight="1">
      <c r="A362" s="363"/>
      <c r="B362" s="363"/>
      <c r="C362" s="363"/>
      <c r="D362" s="363"/>
      <c r="E362" s="363"/>
      <c r="F362" s="363"/>
      <c r="G362" s="363"/>
    </row>
    <row r="363" spans="1:7" ht="25.5" customHeight="1">
      <c r="A363" s="1994" t="e">
        <f>+$A$7</f>
        <v>#REF!</v>
      </c>
      <c r="B363" s="1616"/>
      <c r="C363" s="1624"/>
      <c r="D363" s="1990"/>
      <c r="E363" s="1616"/>
      <c r="F363" s="1616"/>
      <c r="G363" s="1624"/>
    </row>
    <row r="364" spans="1:7" ht="33.75" customHeight="1">
      <c r="A364" s="1971"/>
      <c r="B364" s="1817"/>
      <c r="C364" s="1972"/>
      <c r="D364" s="1971"/>
      <c r="E364" s="1817"/>
      <c r="F364" s="1817"/>
      <c r="G364" s="1972"/>
    </row>
    <row r="365" spans="1:7" ht="13.5" customHeight="1">
      <c r="A365" s="527"/>
      <c r="B365" s="527"/>
      <c r="C365" s="527"/>
      <c r="D365" s="527"/>
      <c r="E365" s="527"/>
      <c r="F365" s="527"/>
      <c r="G365" s="527"/>
    </row>
    <row r="366" spans="1:7" ht="59.25" customHeight="1">
      <c r="A366" s="1991" t="e">
        <f>A10</f>
        <v>#REF!</v>
      </c>
      <c r="B366" s="1601"/>
      <c r="C366" s="1602"/>
      <c r="D366" s="1975" t="s">
        <v>2948</v>
      </c>
      <c r="E366" s="1601"/>
      <c r="F366" s="1601"/>
      <c r="G366" s="1602"/>
    </row>
    <row r="367" spans="1:7" ht="13.5" customHeight="1">
      <c r="A367" s="418"/>
      <c r="B367" s="418"/>
      <c r="C367" s="418"/>
      <c r="D367" s="418"/>
      <c r="E367" s="418"/>
      <c r="F367" s="418"/>
      <c r="G367" s="418"/>
    </row>
    <row r="368" spans="1:7" ht="12.75" customHeight="1">
      <c r="A368" s="528"/>
      <c r="B368" s="527"/>
      <c r="C368" s="363"/>
      <c r="D368" s="421" t="s">
        <v>1553</v>
      </c>
      <c r="E368" s="717" t="s">
        <v>116</v>
      </c>
      <c r="F368" s="572"/>
      <c r="G368" s="572"/>
    </row>
    <row r="369" spans="1:7" ht="13.5" customHeight="1">
      <c r="A369" s="529" t="s">
        <v>1555</v>
      </c>
      <c r="B369" s="527"/>
      <c r="C369" s="527"/>
      <c r="D369" s="527"/>
      <c r="E369" s="527"/>
      <c r="F369" s="527"/>
      <c r="G369" s="527"/>
    </row>
    <row r="370" spans="1:7" ht="13.5" customHeight="1">
      <c r="A370" s="1975" t="s">
        <v>1556</v>
      </c>
      <c r="B370" s="1601"/>
      <c r="C370" s="1801"/>
      <c r="D370" s="530" t="s">
        <v>208</v>
      </c>
      <c r="E370" s="530" t="s">
        <v>1558</v>
      </c>
      <c r="F370" s="424" t="s">
        <v>1559</v>
      </c>
      <c r="G370" s="531"/>
    </row>
    <row r="371" spans="1:7" ht="12.75" customHeight="1">
      <c r="A371" s="1981" t="str">
        <f>+'LISTADO EQUIPOS'!$C$26</f>
        <v>MEZCLADORA DE CONCRETO 9 P3. - 1 1/2 SACO</v>
      </c>
      <c r="B371" s="1811"/>
      <c r="C371" s="1967"/>
      <c r="D371" s="543">
        <f>+'LISTADO EQUIPOS'!$E$26/8</f>
        <v>8250</v>
      </c>
      <c r="E371" s="533">
        <v>0.5</v>
      </c>
      <c r="F371" s="543">
        <f t="shared" ref="F371:F372" si="29">+E371*D371</f>
        <v>4125</v>
      </c>
      <c r="G371" s="535"/>
    </row>
    <row r="372" spans="1:7" ht="13.5" customHeight="1">
      <c r="A372" s="1982" t="str">
        <f>+'LISTADO EQUIPOS'!$C$22</f>
        <v>HERRAMIENTA MENOR.</v>
      </c>
      <c r="B372" s="1807"/>
      <c r="C372" s="1819"/>
      <c r="D372" s="536">
        <f>+'LISTADO EQUIPOS'!$E$22/8</f>
        <v>2850</v>
      </c>
      <c r="E372" s="537">
        <f>+E387</f>
        <v>0.3</v>
      </c>
      <c r="F372" s="536">
        <f t="shared" si="29"/>
        <v>855</v>
      </c>
      <c r="G372" s="538"/>
    </row>
    <row r="373" spans="1:7" ht="13.5" customHeight="1">
      <c r="A373" s="1964" t="s">
        <v>1560</v>
      </c>
      <c r="B373" s="1601"/>
      <c r="C373" s="1601"/>
      <c r="D373" s="1601"/>
      <c r="E373" s="1601"/>
      <c r="F373" s="1801"/>
      <c r="G373" s="556">
        <f>SUM(F371:F372)</f>
        <v>4980</v>
      </c>
    </row>
    <row r="374" spans="1:7" ht="13.5" customHeight="1">
      <c r="A374" s="529" t="s">
        <v>1561</v>
      </c>
      <c r="B374" s="527"/>
      <c r="C374" s="527"/>
      <c r="D374" s="527"/>
      <c r="E374" s="527"/>
      <c r="F374" s="527"/>
      <c r="G374" s="527"/>
    </row>
    <row r="375" spans="1:7" ht="13.5" customHeight="1">
      <c r="A375" s="1975" t="s">
        <v>1556</v>
      </c>
      <c r="B375" s="1801"/>
      <c r="C375" s="424" t="s">
        <v>6</v>
      </c>
      <c r="D375" s="424" t="s">
        <v>1562</v>
      </c>
      <c r="E375" s="424" t="s">
        <v>7</v>
      </c>
      <c r="F375" s="424" t="s">
        <v>1559</v>
      </c>
      <c r="G375" s="531"/>
    </row>
    <row r="376" spans="1:7" ht="13.5" customHeight="1">
      <c r="A376" s="1976" t="str">
        <f>+'LISTADO MATERIALES'!$C$141</f>
        <v>CEMENTO GRIS</v>
      </c>
      <c r="B376" s="1967"/>
      <c r="C376" s="581" t="str">
        <f>+'LISTADO MATERIALES'!$D$141</f>
        <v>KG</v>
      </c>
      <c r="D376" s="582">
        <f>+'LISTADO MATERIALES'!$E$141</f>
        <v>600</v>
      </c>
      <c r="E376" s="581">
        <v>260</v>
      </c>
      <c r="F376" s="582">
        <f t="shared" ref="F376:F378" si="30">+E376*D376</f>
        <v>156000</v>
      </c>
      <c r="G376" s="594"/>
    </row>
    <row r="377" spans="1:7" ht="13.5" customHeight="1">
      <c r="A377" s="1977" t="str">
        <f>+'LISTADO MATERIALES'!$C$723</f>
        <v>AGUA</v>
      </c>
      <c r="B377" s="1611"/>
      <c r="C377" s="584" t="str">
        <f>+'LISTADO MATERIALES'!$D$723</f>
        <v>LT</v>
      </c>
      <c r="D377" s="585">
        <f>+'LISTADO MATERIALES'!$E$723</f>
        <v>21</v>
      </c>
      <c r="E377" s="584">
        <v>150</v>
      </c>
      <c r="F377" s="585">
        <f t="shared" si="30"/>
        <v>3150</v>
      </c>
      <c r="G377" s="595"/>
    </row>
    <row r="378" spans="1:7" ht="13.5" customHeight="1">
      <c r="A378" s="1977" t="str">
        <f>+'LISTADO MATERIALES'!$C$133</f>
        <v>ARENA REBOQUE - FINA</v>
      </c>
      <c r="B378" s="1611"/>
      <c r="C378" s="584" t="str">
        <f>+'LISTADO MATERIALES'!$D$133</f>
        <v>M3</v>
      </c>
      <c r="D378" s="585">
        <f>+'LISTADO MATERIALES'!$E$133</f>
        <v>31500</v>
      </c>
      <c r="E378" s="584">
        <v>1.1499999999999999</v>
      </c>
      <c r="F378" s="585">
        <f t="shared" si="30"/>
        <v>36225</v>
      </c>
      <c r="G378" s="596"/>
    </row>
    <row r="379" spans="1:7" ht="13.5" customHeight="1">
      <c r="A379" s="1964" t="s">
        <v>1560</v>
      </c>
      <c r="B379" s="1601"/>
      <c r="C379" s="1601"/>
      <c r="D379" s="1601"/>
      <c r="E379" s="1601"/>
      <c r="F379" s="1801"/>
      <c r="G379" s="556">
        <f>SUM(F376:F378)</f>
        <v>195375</v>
      </c>
    </row>
    <row r="380" spans="1:7" ht="13.5" customHeight="1">
      <c r="A380" s="529" t="s">
        <v>1563</v>
      </c>
      <c r="B380" s="527"/>
      <c r="C380" s="527"/>
      <c r="D380" s="527"/>
      <c r="E380" s="527"/>
      <c r="F380" s="527"/>
      <c r="G380" s="527"/>
    </row>
    <row r="381" spans="1:7" ht="13.5" customHeight="1">
      <c r="A381" s="1965" t="s">
        <v>1556</v>
      </c>
      <c r="B381" s="1801"/>
      <c r="C381" s="530" t="s">
        <v>6</v>
      </c>
      <c r="D381" s="530" t="s">
        <v>1562</v>
      </c>
      <c r="E381" s="530" t="s">
        <v>7</v>
      </c>
      <c r="F381" s="530" t="s">
        <v>1559</v>
      </c>
      <c r="G381" s="597"/>
    </row>
    <row r="382" spans="1:7" ht="12.75" customHeight="1">
      <c r="A382" s="1981" t="str">
        <f>+'LISTADO EQUIPOS'!$C$117</f>
        <v>MIXXER DE 8M3</v>
      </c>
      <c r="B382" s="1967"/>
      <c r="C382" s="1200" t="str">
        <f>+'LISTADO EQUIPOS'!$D$117</f>
        <v>VJ</v>
      </c>
      <c r="D382" s="1201">
        <f>+'LISTADO EQUIPOS'!$E$117</f>
        <v>194500</v>
      </c>
      <c r="E382" s="1202">
        <v>0.15</v>
      </c>
      <c r="F382" s="547">
        <f>+E382*D382</f>
        <v>29175</v>
      </c>
      <c r="G382" s="535"/>
    </row>
    <row r="383" spans="1:7" ht="13.5" customHeight="1">
      <c r="A383" s="1980"/>
      <c r="B383" s="1819"/>
      <c r="C383" s="1200"/>
      <c r="D383" s="553"/>
      <c r="E383" s="536"/>
      <c r="F383" s="536"/>
      <c r="G383" s="598"/>
    </row>
    <row r="384" spans="1:7" ht="13.5" customHeight="1">
      <c r="A384" s="1964" t="s">
        <v>1560</v>
      </c>
      <c r="B384" s="1601"/>
      <c r="C384" s="1601"/>
      <c r="D384" s="1601"/>
      <c r="E384" s="1601"/>
      <c r="F384" s="1801"/>
      <c r="G384" s="556"/>
    </row>
    <row r="385" spans="1:7" ht="13.5" customHeight="1">
      <c r="A385" s="529" t="s">
        <v>1564</v>
      </c>
      <c r="B385" s="527"/>
      <c r="C385" s="527"/>
      <c r="D385" s="527"/>
      <c r="E385" s="527"/>
      <c r="F385" s="527"/>
      <c r="G385" s="527"/>
    </row>
    <row r="386" spans="1:7" ht="13.5" customHeight="1">
      <c r="A386" s="1965" t="s">
        <v>1565</v>
      </c>
      <c r="B386" s="1801"/>
      <c r="C386" s="424" t="s">
        <v>1566</v>
      </c>
      <c r="D386" s="530" t="s">
        <v>7</v>
      </c>
      <c r="E386" s="530" t="s">
        <v>1558</v>
      </c>
      <c r="F386" s="530" t="s">
        <v>1559</v>
      </c>
      <c r="G386" s="599"/>
    </row>
    <row r="387" spans="1:7" ht="13.5" customHeight="1">
      <c r="A387" s="1983" t="str">
        <f>+'MANO DE OBRA'!$A$65</f>
        <v>Ayudante (Incl. Prestaciones)</v>
      </c>
      <c r="B387" s="1888"/>
      <c r="C387" s="558">
        <f>+'MANO DE OBRA'!$E$65</f>
        <v>10972.8125</v>
      </c>
      <c r="D387" s="559">
        <v>2</v>
      </c>
      <c r="E387" s="559">
        <v>0.3</v>
      </c>
      <c r="F387" s="605">
        <f t="shared" ref="F387:F388" si="31">+(C387*D387)/E387</f>
        <v>73152.083333333343</v>
      </c>
      <c r="G387" s="535"/>
    </row>
    <row r="388" spans="1:7" ht="13.5" customHeight="1">
      <c r="A388" s="1983" t="str">
        <f>+'MANO DE OBRA'!$A$64</f>
        <v>Oficial (Incl. Prestaciones)</v>
      </c>
      <c r="B388" s="1888"/>
      <c r="C388" s="1211">
        <f>+'MANO DE OBRA'!$E$64</f>
        <v>15031.25</v>
      </c>
      <c r="D388" s="562">
        <v>1</v>
      </c>
      <c r="E388" s="563">
        <f>E387</f>
        <v>0.3</v>
      </c>
      <c r="F388" s="1217">
        <f t="shared" si="31"/>
        <v>50104.166666666672</v>
      </c>
      <c r="G388" s="538"/>
    </row>
    <row r="389" spans="1:7" ht="13.5" customHeight="1">
      <c r="A389" s="1964" t="str">
        <f>+A384</f>
        <v>SUB-TOTAL</v>
      </c>
      <c r="B389" s="1601"/>
      <c r="C389" s="1601"/>
      <c r="D389" s="1601"/>
      <c r="E389" s="1601"/>
      <c r="F389" s="1801"/>
      <c r="G389" s="556">
        <f>SUM(F387:F388)</f>
        <v>123256.25000000001</v>
      </c>
    </row>
    <row r="390" spans="1:7" ht="11.25" customHeight="1">
      <c r="A390" s="527"/>
      <c r="B390" s="527"/>
      <c r="C390" s="527"/>
      <c r="D390" s="527"/>
      <c r="E390" s="527"/>
      <c r="F390" s="565"/>
      <c r="G390" s="527"/>
    </row>
    <row r="391" spans="1:7" ht="13.5" customHeight="1">
      <c r="A391" s="1208" t="s">
        <v>2468</v>
      </c>
      <c r="B391" s="1209"/>
      <c r="C391" s="1209"/>
      <c r="D391" s="1209"/>
      <c r="E391" s="1209"/>
      <c r="F391" s="1210" t="s">
        <v>1567</v>
      </c>
      <c r="G391" s="1215">
        <f>ROUND(G373+G379+G384+G389,0)</f>
        <v>323611</v>
      </c>
    </row>
    <row r="392" spans="1:7" ht="13.5" customHeight="1">
      <c r="A392" s="363"/>
      <c r="B392" s="363"/>
      <c r="C392" s="363"/>
      <c r="D392" s="363"/>
      <c r="E392" s="363"/>
      <c r="F392" s="363"/>
      <c r="G392" s="363"/>
    </row>
    <row r="393" spans="1:7" ht="13.5" customHeight="1">
      <c r="A393" s="363"/>
      <c r="B393" s="363"/>
      <c r="C393" s="363"/>
      <c r="D393" s="363"/>
      <c r="E393" s="363"/>
      <c r="F393" s="363"/>
      <c r="G393" s="363"/>
    </row>
    <row r="394" spans="1:7" ht="25.5" customHeight="1">
      <c r="A394" s="1994" t="e">
        <f>+$A$7</f>
        <v>#REF!</v>
      </c>
      <c r="B394" s="1616"/>
      <c r="C394" s="1624"/>
      <c r="D394" s="1990"/>
      <c r="E394" s="1616"/>
      <c r="F394" s="1616"/>
      <c r="G394" s="1624"/>
    </row>
    <row r="395" spans="1:7" ht="36" customHeight="1">
      <c r="A395" s="1971"/>
      <c r="B395" s="1817"/>
      <c r="C395" s="1972"/>
      <c r="D395" s="1971"/>
      <c r="E395" s="1817"/>
      <c r="F395" s="1817"/>
      <c r="G395" s="1972"/>
    </row>
    <row r="396" spans="1:7" ht="13.5" customHeight="1">
      <c r="A396" s="527"/>
      <c r="B396" s="527"/>
      <c r="C396" s="527"/>
      <c r="D396" s="527"/>
      <c r="E396" s="527"/>
      <c r="F396" s="527"/>
      <c r="G396" s="527"/>
    </row>
    <row r="397" spans="1:7" ht="66.75" customHeight="1">
      <c r="A397" s="1991" t="e">
        <f>A10</f>
        <v>#REF!</v>
      </c>
      <c r="B397" s="1601"/>
      <c r="C397" s="1602"/>
      <c r="D397" s="1975" t="s">
        <v>2949</v>
      </c>
      <c r="E397" s="1601"/>
      <c r="F397" s="1601"/>
      <c r="G397" s="1602"/>
    </row>
    <row r="398" spans="1:7" ht="13.5" customHeight="1">
      <c r="A398" s="418"/>
      <c r="B398" s="418"/>
      <c r="C398" s="418"/>
      <c r="D398" s="418"/>
      <c r="E398" s="418"/>
      <c r="F398" s="418"/>
      <c r="G398" s="418"/>
    </row>
    <row r="399" spans="1:7" ht="13.5" customHeight="1">
      <c r="A399" s="528"/>
      <c r="B399" s="527"/>
      <c r="C399" s="363"/>
      <c r="D399" s="421" t="s">
        <v>1553</v>
      </c>
      <c r="E399" s="422" t="s">
        <v>127</v>
      </c>
      <c r="F399" s="572"/>
      <c r="G399" s="572"/>
    </row>
    <row r="400" spans="1:7" ht="13.5" customHeight="1">
      <c r="A400" s="529" t="s">
        <v>1555</v>
      </c>
      <c r="B400" s="527"/>
      <c r="C400" s="527"/>
      <c r="D400" s="527"/>
      <c r="E400" s="527"/>
      <c r="F400" s="527"/>
      <c r="G400" s="527"/>
    </row>
    <row r="401" spans="1:7" ht="13.5" customHeight="1">
      <c r="A401" s="1975" t="s">
        <v>1556</v>
      </c>
      <c r="B401" s="1601"/>
      <c r="C401" s="1801"/>
      <c r="D401" s="530" t="s">
        <v>208</v>
      </c>
      <c r="E401" s="530" t="s">
        <v>1558</v>
      </c>
      <c r="F401" s="424" t="s">
        <v>1559</v>
      </c>
      <c r="G401" s="531"/>
    </row>
    <row r="402" spans="1:7" ht="13.5" customHeight="1">
      <c r="A402" s="1981"/>
      <c r="B402" s="1811"/>
      <c r="C402" s="1967"/>
      <c r="D402" s="543"/>
      <c r="E402" s="533"/>
      <c r="F402" s="543"/>
      <c r="G402" s="535"/>
    </row>
    <row r="403" spans="1:7" ht="13.5" customHeight="1">
      <c r="A403" s="1982"/>
      <c r="B403" s="1807"/>
      <c r="C403" s="1819"/>
      <c r="D403" s="536"/>
      <c r="E403" s="537"/>
      <c r="F403" s="536"/>
      <c r="G403" s="538"/>
    </row>
    <row r="404" spans="1:7" ht="13.5" customHeight="1">
      <c r="A404" s="1964" t="s">
        <v>1560</v>
      </c>
      <c r="B404" s="1601"/>
      <c r="C404" s="1601"/>
      <c r="D404" s="1601"/>
      <c r="E404" s="1601"/>
      <c r="F404" s="1801"/>
      <c r="G404" s="556"/>
    </row>
    <row r="405" spans="1:7" ht="13.5" customHeight="1">
      <c r="A405" s="529" t="s">
        <v>1561</v>
      </c>
      <c r="B405" s="527"/>
      <c r="C405" s="527"/>
      <c r="D405" s="527"/>
      <c r="E405" s="527"/>
      <c r="F405" s="527"/>
      <c r="G405" s="527"/>
    </row>
    <row r="406" spans="1:7" ht="13.5" customHeight="1">
      <c r="A406" s="1975" t="s">
        <v>1556</v>
      </c>
      <c r="B406" s="1801"/>
      <c r="C406" s="424" t="s">
        <v>6</v>
      </c>
      <c r="D406" s="424" t="s">
        <v>1562</v>
      </c>
      <c r="E406" s="424" t="s">
        <v>7</v>
      </c>
      <c r="F406" s="424" t="s">
        <v>1559</v>
      </c>
      <c r="G406" s="531"/>
    </row>
    <row r="407" spans="1:7" ht="13.5" customHeight="1">
      <c r="A407" s="1976" t="s">
        <v>2950</v>
      </c>
      <c r="B407" s="1967"/>
      <c r="C407" s="581" t="s">
        <v>127</v>
      </c>
      <c r="D407" s="582">
        <v>16071</v>
      </c>
      <c r="E407" s="581">
        <v>1</v>
      </c>
      <c r="F407" s="582">
        <f>+E407*D407</f>
        <v>16071</v>
      </c>
      <c r="G407" s="594"/>
    </row>
    <row r="408" spans="1:7" ht="13.5" customHeight="1">
      <c r="A408" s="1977"/>
      <c r="B408" s="1611"/>
      <c r="C408" s="584"/>
      <c r="D408" s="585"/>
      <c r="E408" s="584"/>
      <c r="F408" s="585"/>
      <c r="G408" s="595"/>
    </row>
    <row r="409" spans="1:7" ht="13.5" customHeight="1">
      <c r="A409" s="1977"/>
      <c r="B409" s="1611"/>
      <c r="C409" s="584"/>
      <c r="D409" s="585"/>
      <c r="E409" s="584"/>
      <c r="F409" s="585"/>
      <c r="G409" s="595"/>
    </row>
    <row r="410" spans="1:7" ht="13.5" customHeight="1">
      <c r="A410" s="1978"/>
      <c r="B410" s="1819"/>
      <c r="C410" s="587"/>
      <c r="D410" s="588"/>
      <c r="E410" s="587"/>
      <c r="F410" s="588"/>
      <c r="G410" s="596"/>
    </row>
    <row r="411" spans="1:7" ht="13.5" customHeight="1">
      <c r="A411" s="1964" t="s">
        <v>1560</v>
      </c>
      <c r="B411" s="1601"/>
      <c r="C411" s="1601"/>
      <c r="D411" s="1601"/>
      <c r="E411" s="1601"/>
      <c r="F411" s="1801"/>
      <c r="G411" s="556">
        <f>F407</f>
        <v>16071</v>
      </c>
    </row>
    <row r="412" spans="1:7" ht="13.5" customHeight="1">
      <c r="A412" s="529" t="s">
        <v>1563</v>
      </c>
      <c r="B412" s="527"/>
      <c r="C412" s="527"/>
      <c r="D412" s="527"/>
      <c r="E412" s="527"/>
      <c r="F412" s="527"/>
      <c r="G412" s="527"/>
    </row>
    <row r="413" spans="1:7" ht="13.5" customHeight="1">
      <c r="A413" s="1965" t="s">
        <v>1556</v>
      </c>
      <c r="B413" s="1801"/>
      <c r="C413" s="530" t="s">
        <v>6</v>
      </c>
      <c r="D413" s="530" t="s">
        <v>1562</v>
      </c>
      <c r="E413" s="530" t="s">
        <v>7</v>
      </c>
      <c r="F413" s="530" t="s">
        <v>1559</v>
      </c>
      <c r="G413" s="597"/>
    </row>
    <row r="414" spans="1:7" ht="13.5" customHeight="1">
      <c r="A414" s="1979"/>
      <c r="B414" s="1967"/>
      <c r="C414" s="1200"/>
      <c r="D414" s="553"/>
      <c r="E414" s="546"/>
      <c r="F414" s="546"/>
      <c r="G414" s="535"/>
    </row>
    <row r="415" spans="1:7" ht="13.5" customHeight="1">
      <c r="A415" s="1980"/>
      <c r="B415" s="1819"/>
      <c r="C415" s="1200"/>
      <c r="D415" s="553"/>
      <c r="E415" s="536"/>
      <c r="F415" s="536"/>
      <c r="G415" s="598"/>
    </row>
    <row r="416" spans="1:7" ht="13.5" customHeight="1">
      <c r="A416" s="1964" t="s">
        <v>1560</v>
      </c>
      <c r="B416" s="1601"/>
      <c r="C416" s="1601"/>
      <c r="D416" s="1601"/>
      <c r="E416" s="1601"/>
      <c r="F416" s="1801"/>
      <c r="G416" s="556"/>
    </row>
    <row r="417" spans="1:7" ht="13.5" customHeight="1">
      <c r="A417" s="529" t="s">
        <v>1564</v>
      </c>
      <c r="B417" s="527"/>
      <c r="C417" s="527"/>
      <c r="D417" s="527"/>
      <c r="E417" s="527"/>
      <c r="F417" s="527"/>
      <c r="G417" s="527"/>
    </row>
    <row r="418" spans="1:7" ht="13.5" customHeight="1">
      <c r="A418" s="1965" t="s">
        <v>1565</v>
      </c>
      <c r="B418" s="1801"/>
      <c r="C418" s="424" t="s">
        <v>1566</v>
      </c>
      <c r="D418" s="530" t="s">
        <v>7</v>
      </c>
      <c r="E418" s="530" t="s">
        <v>1558</v>
      </c>
      <c r="F418" s="530" t="s">
        <v>1559</v>
      </c>
      <c r="G418" s="599"/>
    </row>
    <row r="419" spans="1:7" ht="13.5" customHeight="1">
      <c r="A419" s="1983" t="str">
        <f>+'MANO DE OBRA'!$A$65</f>
        <v>Ayudante (Incl. Prestaciones)</v>
      </c>
      <c r="B419" s="1888"/>
      <c r="C419" s="558">
        <f>+'MANO DE OBRA'!$E$65</f>
        <v>10972.8125</v>
      </c>
      <c r="D419" s="559">
        <v>2</v>
      </c>
      <c r="E419" s="559">
        <v>1.3143510938644118</v>
      </c>
      <c r="F419" s="605">
        <f>+(C419*D419)*E419</f>
        <v>28844.256224288183</v>
      </c>
      <c r="G419" s="535"/>
    </row>
    <row r="420" spans="1:7" ht="13.5" customHeight="1">
      <c r="A420" s="1968"/>
      <c r="B420" s="1819"/>
      <c r="C420" s="561"/>
      <c r="D420" s="562"/>
      <c r="E420" s="563"/>
      <c r="F420" s="593"/>
      <c r="G420" s="538"/>
    </row>
    <row r="421" spans="1:7" ht="13.5" customHeight="1">
      <c r="A421" s="1964" t="str">
        <f>+A416</f>
        <v>SUB-TOTAL</v>
      </c>
      <c r="B421" s="1601"/>
      <c r="C421" s="1601"/>
      <c r="D421" s="1601"/>
      <c r="E421" s="1601"/>
      <c r="F421" s="1801"/>
      <c r="G421" s="556">
        <f>SUM(F419:F420)</f>
        <v>28844.256224288183</v>
      </c>
    </row>
    <row r="422" spans="1:7" ht="13.5" customHeight="1">
      <c r="A422" s="527"/>
      <c r="B422" s="527"/>
      <c r="C422" s="527"/>
      <c r="D422" s="527"/>
      <c r="E422" s="527"/>
      <c r="F422" s="565"/>
      <c r="G422" s="527"/>
    </row>
    <row r="423" spans="1:7" ht="13.5" customHeight="1">
      <c r="A423" s="1208" t="s">
        <v>2468</v>
      </c>
      <c r="B423" s="1209"/>
      <c r="C423" s="1209"/>
      <c r="D423" s="1209"/>
      <c r="E423" s="1209"/>
      <c r="F423" s="1210" t="s">
        <v>1567</v>
      </c>
      <c r="G423" s="1215">
        <f>ROUND(G404+G411+G416+G421,0)</f>
        <v>44915</v>
      </c>
    </row>
    <row r="424" spans="1:7" ht="13.5" customHeight="1">
      <c r="A424" s="363"/>
      <c r="B424" s="363"/>
      <c r="C424" s="363"/>
      <c r="D424" s="363"/>
      <c r="E424" s="363"/>
      <c r="F424" s="363"/>
      <c r="G424" s="363"/>
    </row>
    <row r="425" spans="1:7" ht="13.5" customHeight="1">
      <c r="A425" s="363"/>
      <c r="B425" s="363"/>
      <c r="C425" s="363"/>
      <c r="D425" s="363"/>
      <c r="E425" s="363"/>
      <c r="F425" s="363"/>
      <c r="G425" s="363"/>
    </row>
    <row r="426" spans="1:7" ht="27.75" customHeight="1">
      <c r="A426" s="1994" t="e">
        <f>+$A$7</f>
        <v>#REF!</v>
      </c>
      <c r="B426" s="1616"/>
      <c r="C426" s="1624"/>
      <c r="D426" s="1990"/>
      <c r="E426" s="1616"/>
      <c r="F426" s="1616"/>
      <c r="G426" s="1624"/>
    </row>
    <row r="427" spans="1:7" ht="26.25" customHeight="1">
      <c r="A427" s="1971"/>
      <c r="B427" s="1817"/>
      <c r="C427" s="1972"/>
      <c r="D427" s="1971"/>
      <c r="E427" s="1817"/>
      <c r="F427" s="1817"/>
      <c r="G427" s="1972"/>
    </row>
    <row r="428" spans="1:7" ht="13.5" customHeight="1">
      <c r="A428" s="527"/>
      <c r="B428" s="527"/>
      <c r="C428" s="527"/>
      <c r="D428" s="527"/>
      <c r="E428" s="527"/>
      <c r="F428" s="527"/>
      <c r="G428" s="527"/>
    </row>
    <row r="429" spans="1:7" ht="61.5" customHeight="1">
      <c r="A429" s="1991" t="e">
        <f>A10</f>
        <v>#REF!</v>
      </c>
      <c r="B429" s="1601"/>
      <c r="C429" s="1602"/>
      <c r="D429" s="1974" t="s">
        <v>2951</v>
      </c>
      <c r="E429" s="1601"/>
      <c r="F429" s="1601"/>
      <c r="G429" s="1602"/>
    </row>
    <row r="430" spans="1:7" ht="13.5" customHeight="1">
      <c r="A430" s="418"/>
      <c r="B430" s="418"/>
      <c r="C430" s="418"/>
      <c r="D430" s="418"/>
      <c r="E430" s="418"/>
      <c r="F430" s="418"/>
      <c r="G430" s="418"/>
    </row>
    <row r="431" spans="1:7" ht="13.5" customHeight="1">
      <c r="A431" s="528"/>
      <c r="B431" s="527"/>
      <c r="C431" s="363"/>
      <c r="D431" s="421" t="s">
        <v>1553</v>
      </c>
      <c r="E431" s="422" t="s">
        <v>116</v>
      </c>
      <c r="F431" s="572"/>
      <c r="G431" s="572"/>
    </row>
    <row r="432" spans="1:7" ht="13.5" customHeight="1">
      <c r="A432" s="529" t="s">
        <v>1555</v>
      </c>
      <c r="B432" s="527"/>
      <c r="C432" s="527"/>
      <c r="D432" s="527"/>
      <c r="E432" s="527"/>
      <c r="F432" s="527"/>
      <c r="G432" s="527"/>
    </row>
    <row r="433" spans="1:7" ht="13.5" customHeight="1">
      <c r="A433" s="1975" t="s">
        <v>1556</v>
      </c>
      <c r="B433" s="1601"/>
      <c r="C433" s="1801"/>
      <c r="D433" s="530" t="s">
        <v>208</v>
      </c>
      <c r="E433" s="530" t="s">
        <v>1558</v>
      </c>
      <c r="F433" s="424" t="s">
        <v>1559</v>
      </c>
      <c r="G433" s="531"/>
    </row>
    <row r="434" spans="1:7" ht="15.75" customHeight="1">
      <c r="A434" s="1987"/>
      <c r="B434" s="1811"/>
      <c r="C434" s="1967"/>
      <c r="D434" s="582"/>
      <c r="E434" s="610"/>
      <c r="F434" s="789"/>
      <c r="G434" s="535"/>
    </row>
    <row r="435" spans="1:7" ht="16.5" customHeight="1">
      <c r="A435" s="1996" t="str">
        <f>+'LISTADO EQUIPOS'!$C$22</f>
        <v>HERRAMIENTA MENOR.</v>
      </c>
      <c r="B435" s="1807"/>
      <c r="C435" s="1819"/>
      <c r="D435" s="588"/>
      <c r="E435" s="622"/>
      <c r="F435" s="623">
        <v>7640</v>
      </c>
      <c r="G435" s="538"/>
    </row>
    <row r="436" spans="1:7" ht="13.5" customHeight="1">
      <c r="A436" s="1964" t="s">
        <v>1560</v>
      </c>
      <c r="B436" s="1601"/>
      <c r="C436" s="1601"/>
      <c r="D436" s="1601"/>
      <c r="E436" s="1601"/>
      <c r="F436" s="1801"/>
      <c r="G436" s="539">
        <f>SUM(F434:F435)</f>
        <v>7640</v>
      </c>
    </row>
    <row r="437" spans="1:7" ht="13.5" customHeight="1">
      <c r="A437" s="529" t="s">
        <v>1561</v>
      </c>
      <c r="B437" s="527"/>
      <c r="C437" s="527"/>
      <c r="D437" s="527"/>
      <c r="E437" s="527"/>
      <c r="F437" s="527"/>
      <c r="G437" s="540"/>
    </row>
    <row r="438" spans="1:7" ht="13.5" customHeight="1">
      <c r="A438" s="1975" t="s">
        <v>1556</v>
      </c>
      <c r="B438" s="1801"/>
      <c r="C438" s="424" t="s">
        <v>6</v>
      </c>
      <c r="D438" s="424" t="s">
        <v>1562</v>
      </c>
      <c r="E438" s="424" t="s">
        <v>7</v>
      </c>
      <c r="F438" s="424" t="s">
        <v>1559</v>
      </c>
      <c r="G438" s="541"/>
    </row>
    <row r="439" spans="1:7" ht="13.5" customHeight="1">
      <c r="A439" s="1981" t="str">
        <f>+'LISTADO MATERIALES'!$C$141</f>
        <v>CEMENTO GRIS</v>
      </c>
      <c r="B439" s="1967"/>
      <c r="C439" s="542" t="str">
        <f>+'LISTADO MATERIALES'!$D$141</f>
        <v>KG</v>
      </c>
      <c r="D439" s="543">
        <f>+'LISTADO MATERIALES'!$E$141</f>
        <v>600</v>
      </c>
      <c r="E439" s="542">
        <v>350</v>
      </c>
      <c r="F439" s="534">
        <f t="shared" ref="F439:F443" si="32">+E439*D439</f>
        <v>210000</v>
      </c>
      <c r="G439" s="544"/>
    </row>
    <row r="440" spans="1:7" ht="13.5" customHeight="1">
      <c r="A440" s="1988" t="str">
        <f>+'LISTADO MATERIALES'!$C$129</f>
        <v>ARENA</v>
      </c>
      <c r="B440" s="1611"/>
      <c r="C440" s="545" t="str">
        <f>+'LISTADO MATERIALES'!$D$129</f>
        <v>M3</v>
      </c>
      <c r="D440" s="546">
        <f>+'LISTADO MATERIALES'!$E$129</f>
        <v>59450</v>
      </c>
      <c r="E440" s="545">
        <v>0.56999999999999995</v>
      </c>
      <c r="F440" s="547">
        <f t="shared" si="32"/>
        <v>33886.5</v>
      </c>
      <c r="G440" s="548"/>
    </row>
    <row r="441" spans="1:7" ht="13.5" customHeight="1">
      <c r="A441" s="1988" t="str">
        <f>+'LISTADO MATERIALES'!$C$158</f>
        <v>GRAVILLA DE PLANTA</v>
      </c>
      <c r="B441" s="1611"/>
      <c r="C441" s="545" t="str">
        <f>+'LISTADO MATERIALES'!$D$158</f>
        <v>M3</v>
      </c>
      <c r="D441" s="546">
        <f>+'LISTADO MATERIALES'!$E$158</f>
        <v>86750</v>
      </c>
      <c r="E441" s="545">
        <v>0.84</v>
      </c>
      <c r="F441" s="547">
        <f t="shared" si="32"/>
        <v>72870</v>
      </c>
      <c r="G441" s="548"/>
    </row>
    <row r="442" spans="1:7" ht="13.5" customHeight="1">
      <c r="A442" s="1988" t="str">
        <f>+'LISTADO MATERIALES'!$C$723</f>
        <v>AGUA</v>
      </c>
      <c r="B442" s="1611"/>
      <c r="C442" s="545" t="str">
        <f>+'LISTADO MATERIALES'!$D$723</f>
        <v>LT</v>
      </c>
      <c r="D442" s="546">
        <f>+'LISTADO MATERIALES'!$E$723</f>
        <v>21</v>
      </c>
      <c r="E442" s="545">
        <v>210</v>
      </c>
      <c r="F442" s="547">
        <f t="shared" si="32"/>
        <v>4410</v>
      </c>
      <c r="G442" s="1218"/>
    </row>
    <row r="443" spans="1:7" ht="13.5" customHeight="1">
      <c r="A443" s="1988" t="str">
        <f>'LISTADO MATERIALES'!$C$720</f>
        <v>ACELERANTE</v>
      </c>
      <c r="B443" s="1611"/>
      <c r="C443" s="545" t="str">
        <f>'LISTADO MATERIALES'!$D$720</f>
        <v>KG</v>
      </c>
      <c r="D443" s="546">
        <f>'LISTADO MATERIALES'!$E$720</f>
        <v>17850</v>
      </c>
      <c r="E443" s="592">
        <v>3</v>
      </c>
      <c r="F443" s="547">
        <f t="shared" si="32"/>
        <v>53550</v>
      </c>
      <c r="G443" s="1218"/>
    </row>
    <row r="444" spans="1:7" ht="13.5" customHeight="1">
      <c r="A444" s="1982"/>
      <c r="B444" s="1819"/>
      <c r="C444" s="549"/>
      <c r="D444" s="536"/>
      <c r="E444" s="549"/>
      <c r="F444" s="536"/>
      <c r="G444" s="551"/>
    </row>
    <row r="445" spans="1:7" ht="13.5" customHeight="1">
      <c r="A445" s="1964" t="s">
        <v>1560</v>
      </c>
      <c r="B445" s="1601"/>
      <c r="C445" s="1601"/>
      <c r="D445" s="1601"/>
      <c r="E445" s="1601"/>
      <c r="F445" s="1801"/>
      <c r="G445" s="539">
        <f>SUM(F439:F444)</f>
        <v>374716.5</v>
      </c>
    </row>
    <row r="446" spans="1:7" ht="13.5" customHeight="1">
      <c r="A446" s="529" t="s">
        <v>1563</v>
      </c>
      <c r="B446" s="527"/>
      <c r="C446" s="527"/>
      <c r="D446" s="527"/>
      <c r="E446" s="527"/>
      <c r="F446" s="527"/>
      <c r="G446" s="540"/>
    </row>
    <row r="447" spans="1:7" ht="13.5" customHeight="1">
      <c r="A447" s="1965" t="s">
        <v>1556</v>
      </c>
      <c r="B447" s="1801"/>
      <c r="C447" s="530" t="s">
        <v>6</v>
      </c>
      <c r="D447" s="530" t="s">
        <v>1562</v>
      </c>
      <c r="E447" s="530" t="s">
        <v>7</v>
      </c>
      <c r="F447" s="530" t="s">
        <v>1559</v>
      </c>
      <c r="G447" s="552"/>
    </row>
    <row r="448" spans="1:7" ht="13.5" customHeight="1">
      <c r="A448" s="1981" t="str">
        <f>+'LISTADO EQUIPOS'!$C$117</f>
        <v>MIXXER DE 8M3</v>
      </c>
      <c r="B448" s="1967"/>
      <c r="C448" s="1200" t="str">
        <f>+'LISTADO EQUIPOS'!$D$117</f>
        <v>VJ</v>
      </c>
      <c r="D448" s="1201">
        <f>+'LISTADO EQUIPOS'!$E$117</f>
        <v>194500</v>
      </c>
      <c r="E448" s="1202">
        <v>0.15</v>
      </c>
      <c r="F448" s="547">
        <f>+E448*D448</f>
        <v>29175</v>
      </c>
      <c r="G448" s="544"/>
    </row>
    <row r="449" spans="1:7" ht="13.5" customHeight="1">
      <c r="A449" s="1980"/>
      <c r="B449" s="1819"/>
      <c r="C449" s="1200"/>
      <c r="D449" s="553"/>
      <c r="E449" s="536"/>
      <c r="F449" s="536"/>
      <c r="G449" s="555"/>
    </row>
    <row r="450" spans="1:7" ht="13.5" customHeight="1">
      <c r="A450" s="1964" t="s">
        <v>1560</v>
      </c>
      <c r="B450" s="1601"/>
      <c r="C450" s="1601"/>
      <c r="D450" s="1601"/>
      <c r="E450" s="1601"/>
      <c r="F450" s="1801"/>
      <c r="G450" s="539">
        <f>SUM(F448:F449)</f>
        <v>29175</v>
      </c>
    </row>
    <row r="451" spans="1:7" ht="13.5" customHeight="1">
      <c r="A451" s="529" t="s">
        <v>1564</v>
      </c>
      <c r="B451" s="527"/>
      <c r="C451" s="527"/>
      <c r="D451" s="527"/>
      <c r="E451" s="527"/>
      <c r="F451" s="527"/>
      <c r="G451" s="540"/>
    </row>
    <row r="452" spans="1:7" ht="13.5" customHeight="1">
      <c r="A452" s="1965" t="s">
        <v>1565</v>
      </c>
      <c r="B452" s="1801"/>
      <c r="C452" s="424" t="s">
        <v>1566</v>
      </c>
      <c r="D452" s="530" t="s">
        <v>7</v>
      </c>
      <c r="E452" s="530" t="s">
        <v>1558</v>
      </c>
      <c r="F452" s="530" t="s">
        <v>1559</v>
      </c>
      <c r="G452" s="557"/>
    </row>
    <row r="453" spans="1:7" ht="13.5" customHeight="1">
      <c r="A453" s="1983" t="str">
        <f>+'MANO DE OBRA'!$A$64</f>
        <v>Oficial (Incl. Prestaciones)</v>
      </c>
      <c r="B453" s="1888"/>
      <c r="C453" s="558">
        <f>+'MANO DE OBRA'!$E$64</f>
        <v>15031.25</v>
      </c>
      <c r="D453" s="559">
        <v>1</v>
      </c>
      <c r="E453" s="559">
        <v>0.31</v>
      </c>
      <c r="F453" s="560">
        <f t="shared" ref="F453:F454" si="33">+(C453*D453)/E453</f>
        <v>48487.903225806454</v>
      </c>
      <c r="G453" s="544"/>
    </row>
    <row r="454" spans="1:7" ht="13.5" customHeight="1">
      <c r="A454" s="1968" t="str">
        <f>+'MANO DE OBRA'!$A$65</f>
        <v>Ayudante (Incl. Prestaciones)</v>
      </c>
      <c r="B454" s="1819"/>
      <c r="C454" s="561">
        <f>+'MANO DE OBRA'!$E$65</f>
        <v>10972.8125</v>
      </c>
      <c r="D454" s="562">
        <v>3</v>
      </c>
      <c r="E454" s="563">
        <f>E453</f>
        <v>0.31</v>
      </c>
      <c r="F454" s="564">
        <f t="shared" si="33"/>
        <v>106188.50806451614</v>
      </c>
      <c r="G454" s="551"/>
    </row>
    <row r="455" spans="1:7" ht="13.5" customHeight="1">
      <c r="A455" s="1964" t="str">
        <f>+A450</f>
        <v>SUB-TOTAL</v>
      </c>
      <c r="B455" s="1601"/>
      <c r="C455" s="1601"/>
      <c r="D455" s="1601"/>
      <c r="E455" s="1601"/>
      <c r="F455" s="1801"/>
      <c r="G455" s="539">
        <f>SUM(F453:F454)</f>
        <v>154676.41129032261</v>
      </c>
    </row>
    <row r="456" spans="1:7" ht="13.5" customHeight="1">
      <c r="A456" s="527"/>
      <c r="B456" s="527"/>
      <c r="C456" s="527"/>
      <c r="D456" s="527"/>
      <c r="E456" s="527"/>
      <c r="F456" s="565"/>
      <c r="G456" s="540"/>
    </row>
    <row r="457" spans="1:7" ht="15.75" customHeight="1">
      <c r="A457" s="1203" t="s">
        <v>2952</v>
      </c>
      <c r="B457" s="1204"/>
      <c r="C457" s="1204"/>
      <c r="D457" s="1204"/>
      <c r="E457" s="1204"/>
      <c r="F457" s="1205" t="s">
        <v>1567</v>
      </c>
      <c r="G457" s="607">
        <f>ROUND(G436+G445+G450+G455,0)</f>
        <v>566208</v>
      </c>
    </row>
    <row r="458" spans="1:7" ht="13.5" customHeight="1">
      <c r="A458" s="363"/>
      <c r="B458" s="363"/>
      <c r="C458" s="363"/>
      <c r="D458" s="363"/>
      <c r="E458" s="363"/>
      <c r="F458" s="363"/>
      <c r="G458" s="363"/>
    </row>
    <row r="459" spans="1:7" ht="13.5" customHeight="1">
      <c r="A459" s="363"/>
      <c r="B459" s="363"/>
      <c r="C459" s="363"/>
      <c r="D459" s="363"/>
      <c r="E459" s="363"/>
      <c r="F459" s="363"/>
      <c r="G459" s="363"/>
    </row>
    <row r="460" spans="1:7" ht="27.75" customHeight="1">
      <c r="A460" s="1994" t="e">
        <f>+$A$7</f>
        <v>#REF!</v>
      </c>
      <c r="B460" s="1616"/>
      <c r="C460" s="1624"/>
      <c r="D460" s="1990"/>
      <c r="E460" s="1616"/>
      <c r="F460" s="1616"/>
      <c r="G460" s="1624"/>
    </row>
    <row r="461" spans="1:7" ht="33" customHeight="1">
      <c r="A461" s="1971"/>
      <c r="B461" s="1817"/>
      <c r="C461" s="1972"/>
      <c r="D461" s="1971"/>
      <c r="E461" s="1817"/>
      <c r="F461" s="1817"/>
      <c r="G461" s="1972"/>
    </row>
    <row r="462" spans="1:7" ht="13.5" customHeight="1">
      <c r="A462" s="527"/>
      <c r="B462" s="527"/>
      <c r="C462" s="527"/>
      <c r="D462" s="527"/>
      <c r="E462" s="527"/>
      <c r="F462" s="527"/>
      <c r="G462" s="527"/>
    </row>
    <row r="463" spans="1:7" ht="75.75" customHeight="1">
      <c r="A463" s="1991" t="e">
        <f>A10</f>
        <v>#REF!</v>
      </c>
      <c r="B463" s="1601"/>
      <c r="C463" s="1602"/>
      <c r="D463" s="1975" t="s">
        <v>2953</v>
      </c>
      <c r="E463" s="1601"/>
      <c r="F463" s="1601"/>
      <c r="G463" s="1602"/>
    </row>
    <row r="465" spans="1:7" ht="13.5" customHeight="1">
      <c r="A465" s="528"/>
      <c r="B465" s="527"/>
      <c r="C465" s="363"/>
      <c r="D465" s="421" t="s">
        <v>1553</v>
      </c>
      <c r="E465" s="717" t="s">
        <v>116</v>
      </c>
      <c r="F465" s="572"/>
      <c r="G465" s="572"/>
    </row>
    <row r="466" spans="1:7" ht="13.5" customHeight="1">
      <c r="A466" s="529" t="s">
        <v>1555</v>
      </c>
      <c r="B466" s="527"/>
      <c r="C466" s="527"/>
      <c r="D466" s="527"/>
      <c r="E466" s="527"/>
      <c r="F466" s="527"/>
      <c r="G466" s="527"/>
    </row>
    <row r="467" spans="1:7" ht="13.5" customHeight="1">
      <c r="A467" s="1975" t="s">
        <v>1556</v>
      </c>
      <c r="B467" s="1601"/>
      <c r="C467" s="1801"/>
      <c r="D467" s="530" t="s">
        <v>208</v>
      </c>
      <c r="E467" s="530" t="s">
        <v>1558</v>
      </c>
      <c r="F467" s="424" t="s">
        <v>1559</v>
      </c>
      <c r="G467" s="531"/>
    </row>
    <row r="468" spans="1:7" ht="14.25" customHeight="1">
      <c r="A468" s="1981" t="str">
        <f>+'LISTADO EQUIPOS'!$C$26</f>
        <v>MEZCLADORA DE CONCRETO 9 P3. - 1 1/2 SACO</v>
      </c>
      <c r="B468" s="1811"/>
      <c r="C468" s="1967"/>
      <c r="D468" s="543">
        <f>+'LISTADO EQUIPOS'!$E$26/8</f>
        <v>8250</v>
      </c>
      <c r="E468" s="533">
        <v>1</v>
      </c>
      <c r="F468" s="534">
        <f>+D468/E468</f>
        <v>8250</v>
      </c>
      <c r="G468" s="535"/>
    </row>
    <row r="469" spans="1:7" ht="15.75" customHeight="1">
      <c r="A469" s="1982" t="str">
        <f>+'LISTADO EQUIPOS'!$C$22</f>
        <v>HERRAMIENTA MENOR.</v>
      </c>
      <c r="B469" s="1807"/>
      <c r="C469" s="1819"/>
      <c r="D469" s="667" t="s">
        <v>1569</v>
      </c>
      <c r="E469" s="537">
        <v>1</v>
      </c>
      <c r="F469" s="550">
        <v>974</v>
      </c>
      <c r="G469" s="538"/>
    </row>
    <row r="470" spans="1:7" ht="13.5" customHeight="1">
      <c r="A470" s="1964" t="s">
        <v>1560</v>
      </c>
      <c r="B470" s="1601"/>
      <c r="C470" s="1601"/>
      <c r="D470" s="1601"/>
      <c r="E470" s="1601"/>
      <c r="F470" s="1801"/>
      <c r="G470" s="539">
        <f>SUM(F468:F469)</f>
        <v>9224</v>
      </c>
    </row>
    <row r="471" spans="1:7" ht="13.5" customHeight="1">
      <c r="A471" s="529" t="s">
        <v>1561</v>
      </c>
      <c r="B471" s="527"/>
      <c r="C471" s="527"/>
      <c r="D471" s="527"/>
      <c r="E471" s="527"/>
      <c r="F471" s="527"/>
      <c r="G471" s="540"/>
    </row>
    <row r="472" spans="1:7" ht="13.5" customHeight="1">
      <c r="A472" s="1975" t="s">
        <v>1556</v>
      </c>
      <c r="B472" s="1801"/>
      <c r="C472" s="424" t="s">
        <v>6</v>
      </c>
      <c r="D472" s="424" t="s">
        <v>1562</v>
      </c>
      <c r="E472" s="424" t="s">
        <v>7</v>
      </c>
      <c r="F472" s="424" t="s">
        <v>1559</v>
      </c>
      <c r="G472" s="541"/>
    </row>
    <row r="473" spans="1:7" ht="13.5" customHeight="1">
      <c r="A473" s="1981" t="str">
        <f>+'LISTADO MATERIALES'!$C$141</f>
        <v>CEMENTO GRIS</v>
      </c>
      <c r="B473" s="1967"/>
      <c r="C473" s="542" t="str">
        <f>+'LISTADO MATERIALES'!$D$141</f>
        <v>KG</v>
      </c>
      <c r="D473" s="543">
        <f>+'LISTADO MATERIALES'!$E$141</f>
        <v>600</v>
      </c>
      <c r="E473" s="542">
        <f>300*0.6</f>
        <v>180</v>
      </c>
      <c r="F473" s="534">
        <f t="shared" ref="F473:F477" si="34">+E473*D473</f>
        <v>108000</v>
      </c>
      <c r="G473" s="544"/>
    </row>
    <row r="474" spans="1:7" ht="13.5" customHeight="1">
      <c r="A474" s="1988" t="str">
        <f>+'LISTADO MATERIALES'!$C$129</f>
        <v>ARENA</v>
      </c>
      <c r="B474" s="1611"/>
      <c r="C474" s="545" t="str">
        <f>+'LISTADO MATERIALES'!$D$129</f>
        <v>M3</v>
      </c>
      <c r="D474" s="546">
        <f>+'LISTADO MATERIALES'!$E$129</f>
        <v>59450</v>
      </c>
      <c r="E474" s="545">
        <f t="shared" ref="E474:E475" si="35">0.75*0.6</f>
        <v>0.44999999999999996</v>
      </c>
      <c r="F474" s="547">
        <f t="shared" si="34"/>
        <v>26752.499999999996</v>
      </c>
      <c r="G474" s="548"/>
    </row>
    <row r="475" spans="1:7" ht="13.5" customHeight="1">
      <c r="A475" s="1995" t="str">
        <f>+'LISTADO MATERIALES'!$C$158</f>
        <v>GRAVILLA DE PLANTA</v>
      </c>
      <c r="B475" s="1611"/>
      <c r="C475" s="545" t="str">
        <f>+'LISTADO MATERIALES'!$D$158</f>
        <v>M3</v>
      </c>
      <c r="D475" s="546">
        <f>+'LISTADO MATERIALES'!$E$158</f>
        <v>86750</v>
      </c>
      <c r="E475" s="545">
        <f t="shared" si="35"/>
        <v>0.44999999999999996</v>
      </c>
      <c r="F475" s="547">
        <f t="shared" si="34"/>
        <v>39037.499999999993</v>
      </c>
      <c r="G475" s="548"/>
    </row>
    <row r="476" spans="1:7" ht="18.75" customHeight="1">
      <c r="A476" s="1995" t="str">
        <f>'LISTADO MATERIALES'!$C$172</f>
        <v>PIEDRA ZONGA Y/O MEDIA ZONGA(6"-10")</v>
      </c>
      <c r="B476" s="1611"/>
      <c r="C476" s="1219" t="str">
        <f>'LISTADO MATERIALES'!$D$172</f>
        <v>M3</v>
      </c>
      <c r="D476" s="1220">
        <f>'LISTADO MATERIALES'!$E$172</f>
        <v>36750</v>
      </c>
      <c r="E476" s="1219">
        <v>0.4</v>
      </c>
      <c r="F476" s="627">
        <f t="shared" si="34"/>
        <v>14700</v>
      </c>
      <c r="G476" s="1218"/>
    </row>
    <row r="477" spans="1:7" ht="17.25" customHeight="1">
      <c r="A477" s="1996" t="str">
        <f>+'LISTADO MATERIALES'!$C$723</f>
        <v>AGUA</v>
      </c>
      <c r="B477" s="1819"/>
      <c r="C477" s="587" t="str">
        <f>+'LISTADO MATERIALES'!$D$723</f>
        <v>LT</v>
      </c>
      <c r="D477" s="588">
        <f>+'LISTADO MATERIALES'!$E$723</f>
        <v>21</v>
      </c>
      <c r="E477" s="587">
        <f>170*0.4</f>
        <v>68</v>
      </c>
      <c r="F477" s="623">
        <f t="shared" si="34"/>
        <v>1428</v>
      </c>
      <c r="G477" s="551"/>
    </row>
    <row r="478" spans="1:7" ht="13.5" customHeight="1">
      <c r="A478" s="1964" t="s">
        <v>1560</v>
      </c>
      <c r="B478" s="1601"/>
      <c r="C478" s="1601"/>
      <c r="D478" s="1601"/>
      <c r="E478" s="1601"/>
      <c r="F478" s="1801"/>
      <c r="G478" s="539">
        <f>SUM(F473:F477)</f>
        <v>189918</v>
      </c>
    </row>
    <row r="479" spans="1:7" ht="13.5" customHeight="1">
      <c r="A479" s="529" t="s">
        <v>1563</v>
      </c>
      <c r="B479" s="527"/>
      <c r="C479" s="527"/>
      <c r="D479" s="527"/>
      <c r="E479" s="527"/>
      <c r="F479" s="527"/>
      <c r="G479" s="540"/>
    </row>
    <row r="480" spans="1:7" ht="13.5" customHeight="1">
      <c r="A480" s="1965" t="s">
        <v>1556</v>
      </c>
      <c r="B480" s="1801"/>
      <c r="C480" s="530" t="s">
        <v>6</v>
      </c>
      <c r="D480" s="530" t="s">
        <v>1562</v>
      </c>
      <c r="E480" s="530" t="s">
        <v>7</v>
      </c>
      <c r="F480" s="530" t="s">
        <v>1559</v>
      </c>
      <c r="G480" s="552"/>
    </row>
    <row r="481" spans="1:7" ht="12.75" customHeight="1">
      <c r="A481" s="1981" t="str">
        <f>+'LISTADO EQUIPOS'!$C$117</f>
        <v>MIXXER DE 8M3</v>
      </c>
      <c r="B481" s="1967"/>
      <c r="C481" s="1200" t="str">
        <f>+'LISTADO EQUIPOS'!$D$117</f>
        <v>VJ</v>
      </c>
      <c r="D481" s="1201">
        <f>+'LISTADO EQUIPOS'!$E$117</f>
        <v>194500</v>
      </c>
      <c r="E481" s="1202">
        <v>0.15</v>
      </c>
      <c r="F481" s="547">
        <f>+E481*D481</f>
        <v>29175</v>
      </c>
      <c r="G481" s="544"/>
    </row>
    <row r="482" spans="1:7" ht="13.5" customHeight="1">
      <c r="A482" s="1980"/>
      <c r="B482" s="1819"/>
      <c r="C482" s="1200"/>
      <c r="D482" s="553"/>
      <c r="E482" s="536"/>
      <c r="F482" s="536"/>
      <c r="G482" s="555"/>
    </row>
    <row r="483" spans="1:7" ht="13.5" customHeight="1">
      <c r="A483" s="1964" t="s">
        <v>1560</v>
      </c>
      <c r="B483" s="1601"/>
      <c r="C483" s="1601"/>
      <c r="D483" s="1601"/>
      <c r="E483" s="1601"/>
      <c r="F483" s="1801"/>
      <c r="G483" s="539">
        <f>SUM(F481:F482)</f>
        <v>29175</v>
      </c>
    </row>
    <row r="484" spans="1:7" ht="13.5" customHeight="1">
      <c r="A484" s="529" t="s">
        <v>1564</v>
      </c>
      <c r="B484" s="527"/>
      <c r="C484" s="527"/>
      <c r="D484" s="527"/>
      <c r="E484" s="527"/>
      <c r="F484" s="527"/>
      <c r="G484" s="540"/>
    </row>
    <row r="485" spans="1:7" ht="13.5" customHeight="1">
      <c r="A485" s="1965" t="s">
        <v>1565</v>
      </c>
      <c r="B485" s="1801"/>
      <c r="C485" s="424" t="s">
        <v>1566</v>
      </c>
      <c r="D485" s="530" t="s">
        <v>7</v>
      </c>
      <c r="E485" s="530" t="s">
        <v>1558</v>
      </c>
      <c r="F485" s="530" t="s">
        <v>1559</v>
      </c>
      <c r="G485" s="557"/>
    </row>
    <row r="486" spans="1:7" ht="13.5" customHeight="1">
      <c r="A486" s="1983" t="str">
        <f>+'MANO DE OBRA'!$A$64</f>
        <v>Oficial (Incl. Prestaciones)</v>
      </c>
      <c r="B486" s="1888"/>
      <c r="C486" s="558">
        <f>+'MANO DE OBRA'!$E$64</f>
        <v>15031.25</v>
      </c>
      <c r="D486" s="559">
        <v>1</v>
      </c>
      <c r="E486" s="559">
        <v>0.41</v>
      </c>
      <c r="F486" s="560">
        <f t="shared" ref="F486:F487" si="36">+(C486*D486)/E486</f>
        <v>36661.585365853658</v>
      </c>
      <c r="G486" s="544"/>
    </row>
    <row r="487" spans="1:7" ht="13.5" customHeight="1">
      <c r="A487" s="1968" t="str">
        <f>+'MANO DE OBRA'!$A$65</f>
        <v>Ayudante (Incl. Prestaciones)</v>
      </c>
      <c r="B487" s="1819"/>
      <c r="C487" s="561">
        <f>+'MANO DE OBRA'!$E$65</f>
        <v>10972.8125</v>
      </c>
      <c r="D487" s="562">
        <v>4</v>
      </c>
      <c r="E487" s="563">
        <f>+E486</f>
        <v>0.41</v>
      </c>
      <c r="F487" s="564">
        <f t="shared" si="36"/>
        <v>107051.82926829268</v>
      </c>
      <c r="G487" s="551"/>
    </row>
    <row r="488" spans="1:7" ht="13.5" customHeight="1">
      <c r="A488" s="1964" t="str">
        <f>+A483</f>
        <v>SUB-TOTAL</v>
      </c>
      <c r="B488" s="1601"/>
      <c r="C488" s="1601"/>
      <c r="D488" s="1601"/>
      <c r="E488" s="1601"/>
      <c r="F488" s="1801"/>
      <c r="G488" s="539">
        <f>SUM(F486:F487)</f>
        <v>143713.41463414635</v>
      </c>
    </row>
    <row r="489" spans="1:7" ht="13.5" customHeight="1">
      <c r="A489" s="527"/>
      <c r="B489" s="527"/>
      <c r="C489" s="527"/>
      <c r="D489" s="527"/>
      <c r="E489" s="527"/>
      <c r="F489" s="565"/>
      <c r="G489" s="540"/>
    </row>
    <row r="490" spans="1:7" ht="13.5" customHeight="1">
      <c r="A490" s="1208" t="s">
        <v>2954</v>
      </c>
      <c r="B490" s="1209"/>
      <c r="C490" s="1209"/>
      <c r="D490" s="1209"/>
      <c r="E490" s="1209"/>
      <c r="F490" s="1210" t="s">
        <v>1567</v>
      </c>
      <c r="G490" s="580">
        <f>ROUND(G470+G478+G483+G488,0)</f>
        <v>372030</v>
      </c>
    </row>
  </sheetData>
  <mergeCells count="336">
    <mergeCell ref="A353:F353"/>
    <mergeCell ref="A358:F358"/>
    <mergeCell ref="D363:G364"/>
    <mergeCell ref="D366:G366"/>
    <mergeCell ref="A363:C364"/>
    <mergeCell ref="A366:C366"/>
    <mergeCell ref="A370:C370"/>
    <mergeCell ref="A371:C371"/>
    <mergeCell ref="A372:C372"/>
    <mergeCell ref="A373:F373"/>
    <mergeCell ref="A375:B375"/>
    <mergeCell ref="A376:B376"/>
    <mergeCell ref="A377:B377"/>
    <mergeCell ref="A378:B378"/>
    <mergeCell ref="A379:F379"/>
    <mergeCell ref="A381:B381"/>
    <mergeCell ref="A382:B382"/>
    <mergeCell ref="A384:F384"/>
    <mergeCell ref="A389:F389"/>
    <mergeCell ref="A383:B383"/>
    <mergeCell ref="A386:B386"/>
    <mergeCell ref="A387:B387"/>
    <mergeCell ref="A388:B388"/>
    <mergeCell ref="A394:C395"/>
    <mergeCell ref="D394:G395"/>
    <mergeCell ref="D397:G397"/>
    <mergeCell ref="A397:C397"/>
    <mergeCell ref="A401:C401"/>
    <mergeCell ref="A402:C402"/>
    <mergeCell ref="A403:C403"/>
    <mergeCell ref="A404:F404"/>
    <mergeCell ref="A406:B406"/>
    <mergeCell ref="A407:B407"/>
    <mergeCell ref="A408:B408"/>
    <mergeCell ref="A409:B409"/>
    <mergeCell ref="A410:B410"/>
    <mergeCell ref="A411:F411"/>
    <mergeCell ref="A413:B413"/>
    <mergeCell ref="A414:B414"/>
    <mergeCell ref="A416:F416"/>
    <mergeCell ref="A415:B415"/>
    <mergeCell ref="A418:B418"/>
    <mergeCell ref="A419:B419"/>
    <mergeCell ref="A420:B420"/>
    <mergeCell ref="A421:F421"/>
    <mergeCell ref="A469:C469"/>
    <mergeCell ref="A470:F470"/>
    <mergeCell ref="A472:B472"/>
    <mergeCell ref="A473:B473"/>
    <mergeCell ref="A467:C467"/>
    <mergeCell ref="A468:C468"/>
    <mergeCell ref="A439:B439"/>
    <mergeCell ref="A440:B440"/>
    <mergeCell ref="A441:B441"/>
    <mergeCell ref="A442:B442"/>
    <mergeCell ref="A443:B443"/>
    <mergeCell ref="A444:B444"/>
    <mergeCell ref="A445:F445"/>
    <mergeCell ref="A447:B447"/>
    <mergeCell ref="A448:B448"/>
    <mergeCell ref="A474:B474"/>
    <mergeCell ref="A475:B475"/>
    <mergeCell ref="A476:B476"/>
    <mergeCell ref="A486:B486"/>
    <mergeCell ref="A487:B487"/>
    <mergeCell ref="A488:F488"/>
    <mergeCell ref="A477:B477"/>
    <mergeCell ref="A478:F478"/>
    <mergeCell ref="A480:B480"/>
    <mergeCell ref="A481:B481"/>
    <mergeCell ref="A482:B482"/>
    <mergeCell ref="A483:F483"/>
    <mergeCell ref="A485:B485"/>
    <mergeCell ref="A308:B308"/>
    <mergeCell ref="A309:B309"/>
    <mergeCell ref="A310:B310"/>
    <mergeCell ref="A311:B311"/>
    <mergeCell ref="A312:B312"/>
    <mergeCell ref="A313:B313"/>
    <mergeCell ref="A314:B314"/>
    <mergeCell ref="A284:B284"/>
    <mergeCell ref="A285:F285"/>
    <mergeCell ref="A287:B287"/>
    <mergeCell ref="A288:B288"/>
    <mergeCell ref="A289:B289"/>
    <mergeCell ref="A290:F290"/>
    <mergeCell ref="D295:G296"/>
    <mergeCell ref="D298:G298"/>
    <mergeCell ref="A295:C296"/>
    <mergeCell ref="A298:C298"/>
    <mergeCell ref="A347:B347"/>
    <mergeCell ref="A350:B350"/>
    <mergeCell ref="A334:C334"/>
    <mergeCell ref="D334:G334"/>
    <mergeCell ref="A338:C338"/>
    <mergeCell ref="A339:C339"/>
    <mergeCell ref="A340:C340"/>
    <mergeCell ref="A341:F341"/>
    <mergeCell ref="A343:B343"/>
    <mergeCell ref="A344:B344"/>
    <mergeCell ref="A345:B345"/>
    <mergeCell ref="A346:B346"/>
    <mergeCell ref="A348:F348"/>
    <mergeCell ref="A351:B351"/>
    <mergeCell ref="A352:B352"/>
    <mergeCell ref="A355:B355"/>
    <mergeCell ref="A356:B356"/>
    <mergeCell ref="A357:B357"/>
    <mergeCell ref="A454:B454"/>
    <mergeCell ref="A460:C461"/>
    <mergeCell ref="D460:G461"/>
    <mergeCell ref="A463:C463"/>
    <mergeCell ref="D463:G463"/>
    <mergeCell ref="A449:B449"/>
    <mergeCell ref="A450:F450"/>
    <mergeCell ref="A452:B452"/>
    <mergeCell ref="A453:B453"/>
    <mergeCell ref="A455:F455"/>
    <mergeCell ref="A426:C427"/>
    <mergeCell ref="D426:G427"/>
    <mergeCell ref="A429:C429"/>
    <mergeCell ref="D429:G429"/>
    <mergeCell ref="A433:C433"/>
    <mergeCell ref="A434:C434"/>
    <mergeCell ref="A435:C435"/>
    <mergeCell ref="A436:F436"/>
    <mergeCell ref="A438:B438"/>
    <mergeCell ref="A66:F66"/>
    <mergeCell ref="D71:G72"/>
    <mergeCell ref="D74:G74"/>
    <mergeCell ref="A71:C72"/>
    <mergeCell ref="A74:C74"/>
    <mergeCell ref="A78:C78"/>
    <mergeCell ref="A79:C79"/>
    <mergeCell ref="A80:C80"/>
    <mergeCell ref="A64:B64"/>
    <mergeCell ref="A65:B65"/>
    <mergeCell ref="A81:F81"/>
    <mergeCell ref="A83:B83"/>
    <mergeCell ref="A7:C8"/>
    <mergeCell ref="D7:G8"/>
    <mergeCell ref="A10:C10"/>
    <mergeCell ref="D10:G10"/>
    <mergeCell ref="A14:C14"/>
    <mergeCell ref="A15:C15"/>
    <mergeCell ref="A17:F17"/>
    <mergeCell ref="A16:C16"/>
    <mergeCell ref="A19:B19"/>
    <mergeCell ref="A20:B20"/>
    <mergeCell ref="A21:B21"/>
    <mergeCell ref="A22:B22"/>
    <mergeCell ref="A23:B23"/>
    <mergeCell ref="A24:F24"/>
    <mergeCell ref="A26:B26"/>
    <mergeCell ref="A27:B27"/>
    <mergeCell ref="A28:B28"/>
    <mergeCell ref="A29:F29"/>
    <mergeCell ref="A31:B31"/>
    <mergeCell ref="A32:B32"/>
    <mergeCell ref="A34:F34"/>
    <mergeCell ref="A33:B33"/>
    <mergeCell ref="A39:C40"/>
    <mergeCell ref="D39:G40"/>
    <mergeCell ref="A42:C42"/>
    <mergeCell ref="D42:G42"/>
    <mergeCell ref="A46:C46"/>
    <mergeCell ref="A47:C47"/>
    <mergeCell ref="A48:C48"/>
    <mergeCell ref="A49:F49"/>
    <mergeCell ref="A51:B51"/>
    <mergeCell ref="A52:B52"/>
    <mergeCell ref="A53:B53"/>
    <mergeCell ref="A54:B54"/>
    <mergeCell ref="A56:F56"/>
    <mergeCell ref="A55:B55"/>
    <mergeCell ref="A58:B58"/>
    <mergeCell ref="A59:B59"/>
    <mergeCell ref="A60:B60"/>
    <mergeCell ref="A63:B63"/>
    <mergeCell ref="A61:F61"/>
    <mergeCell ref="A84:B84"/>
    <mergeCell ref="A85:B85"/>
    <mergeCell ref="A86:B86"/>
    <mergeCell ref="A87:B87"/>
    <mergeCell ref="A88:F88"/>
    <mergeCell ref="A90:B90"/>
    <mergeCell ref="A91:B91"/>
    <mergeCell ref="A156:B156"/>
    <mergeCell ref="A157:F157"/>
    <mergeCell ref="A122:B122"/>
    <mergeCell ref="A123:B123"/>
    <mergeCell ref="A124:B124"/>
    <mergeCell ref="A125:F125"/>
    <mergeCell ref="A127:B127"/>
    <mergeCell ref="A128:B128"/>
    <mergeCell ref="A129:B129"/>
    <mergeCell ref="A130:F130"/>
    <mergeCell ref="D135:G136"/>
    <mergeCell ref="D138:G138"/>
    <mergeCell ref="A135:C136"/>
    <mergeCell ref="A138:C138"/>
    <mergeCell ref="A142:C142"/>
    <mergeCell ref="A143:C143"/>
    <mergeCell ref="A144:C144"/>
    <mergeCell ref="A159:B159"/>
    <mergeCell ref="A160:B160"/>
    <mergeCell ref="A161:B161"/>
    <mergeCell ref="A162:F162"/>
    <mergeCell ref="D167:G168"/>
    <mergeCell ref="D170:G170"/>
    <mergeCell ref="A167:C168"/>
    <mergeCell ref="A170:C170"/>
    <mergeCell ref="A174:C174"/>
    <mergeCell ref="A175:C175"/>
    <mergeCell ref="A176:C176"/>
    <mergeCell ref="A177:F177"/>
    <mergeCell ref="A179:B179"/>
    <mergeCell ref="A92:B92"/>
    <mergeCell ref="A93:F93"/>
    <mergeCell ref="A95:B95"/>
    <mergeCell ref="A96:B96"/>
    <mergeCell ref="A97:B97"/>
    <mergeCell ref="A98:F98"/>
    <mergeCell ref="D103:G104"/>
    <mergeCell ref="D106:G106"/>
    <mergeCell ref="A103:C104"/>
    <mergeCell ref="A106:C106"/>
    <mergeCell ref="A110:C110"/>
    <mergeCell ref="A111:C111"/>
    <mergeCell ref="A112:C112"/>
    <mergeCell ref="A113:F113"/>
    <mergeCell ref="A115:B115"/>
    <mergeCell ref="A116:B116"/>
    <mergeCell ref="A117:B117"/>
    <mergeCell ref="A118:B118"/>
    <mergeCell ref="A119:B119"/>
    <mergeCell ref="A120:F120"/>
    <mergeCell ref="A145:F145"/>
    <mergeCell ref="A147:B147"/>
    <mergeCell ref="A148:B148"/>
    <mergeCell ref="A149:B149"/>
    <mergeCell ref="A150:B150"/>
    <mergeCell ref="A151:B151"/>
    <mergeCell ref="A152:F152"/>
    <mergeCell ref="A154:B154"/>
    <mergeCell ref="A155:B155"/>
    <mergeCell ref="A180:B180"/>
    <mergeCell ref="A181:B181"/>
    <mergeCell ref="A182:B182"/>
    <mergeCell ref="A183:B183"/>
    <mergeCell ref="A184:F184"/>
    <mergeCell ref="A186:B186"/>
    <mergeCell ref="A187:B187"/>
    <mergeCell ref="A252:B252"/>
    <mergeCell ref="A253:F253"/>
    <mergeCell ref="A218:B218"/>
    <mergeCell ref="A219:B219"/>
    <mergeCell ref="A220:B220"/>
    <mergeCell ref="A221:F221"/>
    <mergeCell ref="A223:B223"/>
    <mergeCell ref="A224:B224"/>
    <mergeCell ref="A225:B225"/>
    <mergeCell ref="A226:F226"/>
    <mergeCell ref="D231:G232"/>
    <mergeCell ref="D234:G234"/>
    <mergeCell ref="A231:C232"/>
    <mergeCell ref="A234:C234"/>
    <mergeCell ref="A238:C238"/>
    <mergeCell ref="A239:C239"/>
    <mergeCell ref="A240:C240"/>
    <mergeCell ref="A255:B255"/>
    <mergeCell ref="A256:B256"/>
    <mergeCell ref="A257:B257"/>
    <mergeCell ref="A258:F258"/>
    <mergeCell ref="D263:G264"/>
    <mergeCell ref="D266:G266"/>
    <mergeCell ref="A263:C264"/>
    <mergeCell ref="A266:C266"/>
    <mergeCell ref="A270:C270"/>
    <mergeCell ref="A271:C271"/>
    <mergeCell ref="A272:C272"/>
    <mergeCell ref="A273:F273"/>
    <mergeCell ref="A275:B275"/>
    <mergeCell ref="A188:B188"/>
    <mergeCell ref="A189:F189"/>
    <mergeCell ref="A191:B191"/>
    <mergeCell ref="A192:B192"/>
    <mergeCell ref="A193:B193"/>
    <mergeCell ref="A194:F194"/>
    <mergeCell ref="D199:G200"/>
    <mergeCell ref="D202:G202"/>
    <mergeCell ref="A199:C200"/>
    <mergeCell ref="A202:C202"/>
    <mergeCell ref="A206:C206"/>
    <mergeCell ref="A207:C207"/>
    <mergeCell ref="A208:C208"/>
    <mergeCell ref="A209:F209"/>
    <mergeCell ref="A211:B211"/>
    <mergeCell ref="A212:B212"/>
    <mergeCell ref="A213:B213"/>
    <mergeCell ref="A214:B214"/>
    <mergeCell ref="A215:B215"/>
    <mergeCell ref="A216:F216"/>
    <mergeCell ref="A241:F241"/>
    <mergeCell ref="A243:B243"/>
    <mergeCell ref="A244:B244"/>
    <mergeCell ref="A245:B245"/>
    <mergeCell ref="A246:B246"/>
    <mergeCell ref="A247:B247"/>
    <mergeCell ref="A248:F248"/>
    <mergeCell ref="A250:B250"/>
    <mergeCell ref="A251:B251"/>
    <mergeCell ref="A276:B276"/>
    <mergeCell ref="A277:B277"/>
    <mergeCell ref="A278:B278"/>
    <mergeCell ref="A279:B279"/>
    <mergeCell ref="A280:F280"/>
    <mergeCell ref="A282:B282"/>
    <mergeCell ref="A283:B283"/>
    <mergeCell ref="A326:B326"/>
    <mergeCell ref="A331:C332"/>
    <mergeCell ref="D331:G332"/>
    <mergeCell ref="A318:B318"/>
    <mergeCell ref="A319:B319"/>
    <mergeCell ref="A320:B320"/>
    <mergeCell ref="A321:F321"/>
    <mergeCell ref="A323:B323"/>
    <mergeCell ref="A324:B324"/>
    <mergeCell ref="A325:B325"/>
    <mergeCell ref="A302:C302"/>
    <mergeCell ref="A303:C303"/>
    <mergeCell ref="A304:C304"/>
    <mergeCell ref="A305:F305"/>
    <mergeCell ref="A307:B307"/>
    <mergeCell ref="A315:B315"/>
    <mergeCell ref="A316:F316"/>
  </mergeCells>
  <printOptions horizontalCentered="1"/>
  <pageMargins left="0.70866141732283472" right="0.70866141732283472" top="0.74803149606299213" bottom="0.74803149606299213" header="0" footer="0"/>
  <pageSetup orientation="portrait"/>
  <rowBreaks count="14" manualBreakCount="14">
    <brk id="165" man="1"/>
    <brk id="261" man="1"/>
    <brk id="133" man="1"/>
    <brk id="229" man="1"/>
    <brk id="101" man="1"/>
    <brk id="197" man="1"/>
    <brk id="293" man="1"/>
    <brk id="69" man="1"/>
    <brk id="37" man="1"/>
    <brk id="392" man="1"/>
    <brk id="424" man="1"/>
    <brk id="329" man="1"/>
    <brk id="361" man="1"/>
    <brk id="458" man="1"/>
  </rowBreaks>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L795"/>
  <sheetViews>
    <sheetView workbookViewId="0"/>
  </sheetViews>
  <sheetFormatPr baseColWidth="10" defaultColWidth="14.44140625" defaultRowHeight="15" customHeight="1"/>
  <cols>
    <col min="1" max="1" width="6.44140625" customWidth="1"/>
    <col min="2" max="2" width="9.44140625" customWidth="1"/>
    <col min="3" max="3" width="56" customWidth="1"/>
    <col min="4" max="4" width="8.33203125" customWidth="1"/>
    <col min="5" max="5" width="16.44140625" customWidth="1"/>
    <col min="6" max="6" width="11.6640625" customWidth="1"/>
    <col min="7" max="8" width="11.44140625" customWidth="1"/>
    <col min="9" max="9" width="16.44140625" customWidth="1"/>
    <col min="10" max="26" width="11.44140625" customWidth="1"/>
  </cols>
  <sheetData>
    <row r="1" spans="1:10" ht="13.5" customHeight="1">
      <c r="A1" s="2121" t="e">
        <f>+'10-ACABADOS'!A163</f>
        <v>#REF!</v>
      </c>
      <c r="B1" s="1616"/>
      <c r="C1" s="1616"/>
      <c r="D1" s="1616"/>
      <c r="E1" s="1624"/>
      <c r="F1" s="162"/>
      <c r="G1" s="162"/>
      <c r="H1" s="162"/>
      <c r="I1" s="162"/>
      <c r="J1" s="162"/>
    </row>
    <row r="2" spans="1:10" ht="18" customHeight="1">
      <c r="A2" s="2122" t="s">
        <v>2654</v>
      </c>
      <c r="B2" s="1817"/>
      <c r="C2" s="1817"/>
      <c r="D2" s="1817"/>
      <c r="E2" s="1972"/>
      <c r="F2" s="162"/>
      <c r="G2" s="162"/>
      <c r="H2" s="162"/>
      <c r="I2" s="162"/>
      <c r="J2" s="162"/>
    </row>
    <row r="3" spans="1:10" ht="12" customHeight="1">
      <c r="A3" s="2236"/>
      <c r="B3" s="1605"/>
      <c r="C3" s="1605"/>
      <c r="D3" s="1605"/>
      <c r="E3" s="1606"/>
      <c r="F3" s="162"/>
      <c r="G3" s="162"/>
      <c r="H3" s="162"/>
      <c r="I3" s="162"/>
      <c r="J3" s="162"/>
    </row>
    <row r="4" spans="1:10" ht="16.5" customHeight="1">
      <c r="A4" s="2236" t="s">
        <v>2955</v>
      </c>
      <c r="B4" s="1605"/>
      <c r="C4" s="1605"/>
      <c r="D4" s="1605"/>
      <c r="E4" s="1606"/>
      <c r="F4" s="162"/>
      <c r="G4" s="162"/>
      <c r="H4" s="162"/>
      <c r="I4" s="162"/>
      <c r="J4" s="162"/>
    </row>
    <row r="5" spans="1:10" ht="12" customHeight="1">
      <c r="A5" s="2237"/>
      <c r="B5" s="1817"/>
      <c r="C5" s="1817"/>
      <c r="D5" s="1817"/>
      <c r="E5" s="1972"/>
      <c r="F5" s="162"/>
      <c r="G5" s="162"/>
      <c r="H5" s="162"/>
      <c r="I5" s="162"/>
      <c r="J5" s="162"/>
    </row>
    <row r="6" spans="1:10" ht="27.75" customHeight="1">
      <c r="A6" s="2238" t="s">
        <v>2956</v>
      </c>
      <c r="B6" s="1601"/>
      <c r="C6" s="1601"/>
      <c r="D6" s="1601"/>
      <c r="E6" s="1602"/>
      <c r="F6" s="162"/>
      <c r="G6" s="162"/>
      <c r="H6" s="162"/>
      <c r="I6" s="162"/>
      <c r="J6" s="162"/>
    </row>
    <row r="7" spans="1:10" ht="24.75" customHeight="1">
      <c r="A7" s="1221" t="s">
        <v>2957</v>
      </c>
      <c r="B7" s="1222" t="s">
        <v>375</v>
      </c>
      <c r="C7" s="1223" t="s">
        <v>376</v>
      </c>
      <c r="D7" s="1224" t="s">
        <v>127</v>
      </c>
      <c r="E7" s="1225" t="s">
        <v>377</v>
      </c>
      <c r="F7" s="162"/>
      <c r="G7" s="162"/>
      <c r="H7" s="162"/>
      <c r="I7" s="1225" t="s">
        <v>377</v>
      </c>
      <c r="J7" s="162"/>
    </row>
    <row r="8" spans="1:10" ht="13.5" customHeight="1">
      <c r="A8" s="1226" t="s">
        <v>2958</v>
      </c>
      <c r="B8" s="1227">
        <v>1</v>
      </c>
      <c r="C8" s="1228" t="s">
        <v>2959</v>
      </c>
      <c r="D8" s="1229"/>
      <c r="E8" s="1230"/>
      <c r="F8" s="162"/>
      <c r="G8" s="162"/>
      <c r="H8" s="162"/>
      <c r="I8" s="1230"/>
      <c r="J8" s="162">
        <v>1.05</v>
      </c>
    </row>
    <row r="9" spans="1:10" ht="13.5" customHeight="1">
      <c r="A9" s="1231"/>
      <c r="B9" s="1232" t="s">
        <v>11</v>
      </c>
      <c r="C9" s="1233" t="s">
        <v>1728</v>
      </c>
      <c r="D9" s="1234" t="s">
        <v>171</v>
      </c>
      <c r="E9" s="1235">
        <v>2800</v>
      </c>
      <c r="F9" s="162"/>
      <c r="G9" s="162"/>
      <c r="H9" s="162"/>
      <c r="I9" s="1235">
        <v>2600</v>
      </c>
      <c r="J9" s="162">
        <f t="shared" ref="J9:J263" si="0">+ROUND(I9*$J$8,0)</f>
        <v>2730</v>
      </c>
    </row>
    <row r="10" spans="1:10" ht="13.5" customHeight="1">
      <c r="A10" s="1236"/>
      <c r="B10" s="1237" t="s">
        <v>14</v>
      </c>
      <c r="C10" s="1238" t="s">
        <v>174</v>
      </c>
      <c r="D10" s="1239" t="s">
        <v>171</v>
      </c>
      <c r="E10" s="1240">
        <v>2800</v>
      </c>
      <c r="F10" s="162"/>
      <c r="G10" s="162"/>
      <c r="H10" s="162"/>
      <c r="I10" s="1240">
        <v>2400</v>
      </c>
      <c r="J10" s="162">
        <f t="shared" si="0"/>
        <v>2520</v>
      </c>
    </row>
    <row r="11" spans="1:10" ht="13.5" customHeight="1">
      <c r="A11" s="1236"/>
      <c r="B11" s="1237" t="s">
        <v>380</v>
      </c>
      <c r="C11" s="1238" t="s">
        <v>1704</v>
      </c>
      <c r="D11" s="1239" t="s">
        <v>171</v>
      </c>
      <c r="E11" s="1240">
        <v>2550</v>
      </c>
      <c r="F11" s="162"/>
      <c r="G11" s="162"/>
      <c r="H11" s="162"/>
      <c r="I11" s="1240">
        <v>600</v>
      </c>
      <c r="J11" s="162">
        <f t="shared" si="0"/>
        <v>630</v>
      </c>
    </row>
    <row r="12" spans="1:10" ht="13.5" customHeight="1">
      <c r="A12" s="1236"/>
      <c r="B12" s="1237" t="s">
        <v>380</v>
      </c>
      <c r="C12" s="1238" t="s">
        <v>2960</v>
      </c>
      <c r="D12" s="1239" t="s">
        <v>120</v>
      </c>
      <c r="E12" s="1240">
        <f t="shared" ref="E12:E43" si="1">+J12</f>
        <v>630</v>
      </c>
      <c r="F12" s="162"/>
      <c r="G12" s="162"/>
      <c r="H12" s="162"/>
      <c r="I12" s="1240">
        <v>600</v>
      </c>
      <c r="J12" s="162">
        <f t="shared" si="0"/>
        <v>630</v>
      </c>
    </row>
    <row r="13" spans="1:10" ht="13.5" customHeight="1">
      <c r="A13" s="1236"/>
      <c r="B13" s="1237" t="s">
        <v>381</v>
      </c>
      <c r="C13" s="1238" t="s">
        <v>2961</v>
      </c>
      <c r="D13" s="1239" t="s">
        <v>171</v>
      </c>
      <c r="E13" s="1240">
        <f t="shared" si="1"/>
        <v>4410</v>
      </c>
      <c r="F13" s="162"/>
      <c r="G13" s="162"/>
      <c r="H13" s="162"/>
      <c r="I13" s="1240">
        <v>4200</v>
      </c>
      <c r="J13" s="162">
        <f t="shared" si="0"/>
        <v>4410</v>
      </c>
    </row>
    <row r="14" spans="1:10" ht="13.5" customHeight="1">
      <c r="A14" s="1236"/>
      <c r="B14" s="1237" t="s">
        <v>382</v>
      </c>
      <c r="C14" s="1238" t="s">
        <v>2962</v>
      </c>
      <c r="D14" s="1239" t="s">
        <v>171</v>
      </c>
      <c r="E14" s="1240">
        <f t="shared" si="1"/>
        <v>4305</v>
      </c>
      <c r="F14" s="162"/>
      <c r="G14" s="162"/>
      <c r="H14" s="162"/>
      <c r="I14" s="1240">
        <v>4100</v>
      </c>
      <c r="J14" s="162">
        <f t="shared" si="0"/>
        <v>4305</v>
      </c>
    </row>
    <row r="15" spans="1:10" ht="13.5" customHeight="1">
      <c r="A15" s="1236"/>
      <c r="B15" s="1237" t="s">
        <v>383</v>
      </c>
      <c r="C15" s="1238" t="s">
        <v>2963</v>
      </c>
      <c r="D15" s="1239" t="s">
        <v>171</v>
      </c>
      <c r="E15" s="1240">
        <f t="shared" si="1"/>
        <v>4725</v>
      </c>
      <c r="F15" s="162"/>
      <c r="G15" s="162"/>
      <c r="H15" s="162"/>
      <c r="I15" s="1240">
        <v>4500</v>
      </c>
      <c r="J15" s="162">
        <f t="shared" si="0"/>
        <v>4725</v>
      </c>
    </row>
    <row r="16" spans="1:10" ht="13.5" customHeight="1">
      <c r="A16" s="1236"/>
      <c r="B16" s="1237" t="s">
        <v>384</v>
      </c>
      <c r="C16" s="1238" t="s">
        <v>175</v>
      </c>
      <c r="D16" s="1239" t="s">
        <v>171</v>
      </c>
      <c r="E16" s="1240">
        <f t="shared" si="1"/>
        <v>3150</v>
      </c>
      <c r="F16" s="162"/>
      <c r="G16" s="162"/>
      <c r="H16" s="162"/>
      <c r="I16" s="1241">
        <v>3000</v>
      </c>
      <c r="J16" s="162">
        <f t="shared" si="0"/>
        <v>3150</v>
      </c>
    </row>
    <row r="17" spans="1:10" ht="13.5" customHeight="1">
      <c r="A17" s="1236"/>
      <c r="B17" s="1237" t="s">
        <v>385</v>
      </c>
      <c r="C17" s="1238" t="s">
        <v>1693</v>
      </c>
      <c r="D17" s="1239" t="s">
        <v>127</v>
      </c>
      <c r="E17" s="1240">
        <f t="shared" si="1"/>
        <v>105</v>
      </c>
      <c r="F17" s="162"/>
      <c r="G17" s="162"/>
      <c r="H17" s="162"/>
      <c r="I17" s="1240">
        <v>100</v>
      </c>
      <c r="J17" s="162">
        <f t="shared" si="0"/>
        <v>105</v>
      </c>
    </row>
    <row r="18" spans="1:10" ht="13.5" customHeight="1">
      <c r="A18" s="1236"/>
      <c r="B18" s="1237" t="s">
        <v>386</v>
      </c>
      <c r="C18" s="1238" t="s">
        <v>2964</v>
      </c>
      <c r="D18" s="1239" t="s">
        <v>120</v>
      </c>
      <c r="E18" s="1240">
        <f t="shared" si="1"/>
        <v>7560</v>
      </c>
      <c r="F18" s="162"/>
      <c r="G18" s="162"/>
      <c r="H18" s="162"/>
      <c r="I18" s="1240">
        <v>7200</v>
      </c>
      <c r="J18" s="162">
        <f t="shared" si="0"/>
        <v>7560</v>
      </c>
    </row>
    <row r="19" spans="1:10" ht="13.5" customHeight="1">
      <c r="A19" s="1236"/>
      <c r="B19" s="1237" t="s">
        <v>1391</v>
      </c>
      <c r="C19" s="1238" t="s">
        <v>2965</v>
      </c>
      <c r="D19" s="1239" t="s">
        <v>120</v>
      </c>
      <c r="E19" s="1240">
        <f t="shared" si="1"/>
        <v>4725</v>
      </c>
      <c r="F19" s="162"/>
      <c r="G19" s="162"/>
      <c r="H19" s="162"/>
      <c r="I19" s="1240">
        <v>4500</v>
      </c>
      <c r="J19" s="162">
        <f t="shared" si="0"/>
        <v>4725</v>
      </c>
    </row>
    <row r="20" spans="1:10" ht="13.5" customHeight="1">
      <c r="A20" s="1236"/>
      <c r="B20" s="1237" t="s">
        <v>1393</v>
      </c>
      <c r="C20" s="1238" t="s">
        <v>2966</v>
      </c>
      <c r="D20" s="1239" t="s">
        <v>120</v>
      </c>
      <c r="E20" s="1240">
        <f t="shared" si="1"/>
        <v>6825</v>
      </c>
      <c r="F20" s="162"/>
      <c r="G20" s="162"/>
      <c r="H20" s="162"/>
      <c r="I20" s="1240">
        <v>6500</v>
      </c>
      <c r="J20" s="162">
        <f t="shared" si="0"/>
        <v>6825</v>
      </c>
    </row>
    <row r="21" spans="1:10" ht="13.5" customHeight="1">
      <c r="A21" s="1236"/>
      <c r="B21" s="1237" t="s">
        <v>1395</v>
      </c>
      <c r="C21" s="1238" t="s">
        <v>2967</v>
      </c>
      <c r="D21" s="1239" t="s">
        <v>120</v>
      </c>
      <c r="E21" s="1240">
        <f t="shared" si="1"/>
        <v>2048</v>
      </c>
      <c r="F21" s="162"/>
      <c r="G21" s="162"/>
      <c r="H21" s="162"/>
      <c r="I21" s="1240">
        <v>1950</v>
      </c>
      <c r="J21" s="162">
        <f t="shared" si="0"/>
        <v>2048</v>
      </c>
    </row>
    <row r="22" spans="1:10" ht="13.5" customHeight="1">
      <c r="A22" s="1236"/>
      <c r="B22" s="1237" t="s">
        <v>1397</v>
      </c>
      <c r="C22" s="1238" t="s">
        <v>2968</v>
      </c>
      <c r="D22" s="1239" t="s">
        <v>120</v>
      </c>
      <c r="E22" s="1240">
        <f t="shared" si="1"/>
        <v>3486</v>
      </c>
      <c r="F22" s="162"/>
      <c r="G22" s="162"/>
      <c r="H22" s="162"/>
      <c r="I22" s="1240">
        <v>3320</v>
      </c>
      <c r="J22" s="162">
        <f t="shared" si="0"/>
        <v>3486</v>
      </c>
    </row>
    <row r="23" spans="1:10" ht="13.5" customHeight="1">
      <c r="A23" s="1236"/>
      <c r="B23" s="1237" t="s">
        <v>1399</v>
      </c>
      <c r="C23" s="1238" t="s">
        <v>2969</v>
      </c>
      <c r="D23" s="1239" t="s">
        <v>120</v>
      </c>
      <c r="E23" s="1240">
        <f t="shared" si="1"/>
        <v>7350</v>
      </c>
      <c r="F23" s="162"/>
      <c r="G23" s="162"/>
      <c r="H23" s="162"/>
      <c r="I23" s="1240">
        <v>7000</v>
      </c>
      <c r="J23" s="162">
        <f t="shared" si="0"/>
        <v>7350</v>
      </c>
    </row>
    <row r="24" spans="1:10" ht="13.5" customHeight="1">
      <c r="A24" s="1236"/>
      <c r="B24" s="1237" t="s">
        <v>1401</v>
      </c>
      <c r="C24" s="1238" t="s">
        <v>2970</v>
      </c>
      <c r="D24" s="1239" t="s">
        <v>120</v>
      </c>
      <c r="E24" s="1240">
        <f t="shared" si="1"/>
        <v>7140</v>
      </c>
      <c r="F24" s="162"/>
      <c r="G24" s="162"/>
      <c r="H24" s="162"/>
      <c r="I24" s="1240">
        <v>6800</v>
      </c>
      <c r="J24" s="162">
        <f t="shared" si="0"/>
        <v>7140</v>
      </c>
    </row>
    <row r="25" spans="1:10" ht="13.5" customHeight="1">
      <c r="A25" s="1236"/>
      <c r="B25" s="1237" t="s">
        <v>1403</v>
      </c>
      <c r="C25" s="1238" t="s">
        <v>2971</v>
      </c>
      <c r="D25" s="1239" t="s">
        <v>120</v>
      </c>
      <c r="E25" s="1240">
        <f t="shared" si="1"/>
        <v>8610</v>
      </c>
      <c r="F25" s="162"/>
      <c r="G25" s="162"/>
      <c r="H25" s="162"/>
      <c r="I25" s="1240">
        <v>8200</v>
      </c>
      <c r="J25" s="162">
        <f t="shared" si="0"/>
        <v>8610</v>
      </c>
    </row>
    <row r="26" spans="1:10" ht="13.5" customHeight="1">
      <c r="A26" s="1236"/>
      <c r="B26" s="1237" t="s">
        <v>2972</v>
      </c>
      <c r="C26" s="1238" t="s">
        <v>2973</v>
      </c>
      <c r="D26" s="1239" t="s">
        <v>120</v>
      </c>
      <c r="E26" s="1240">
        <f t="shared" si="1"/>
        <v>3919</v>
      </c>
      <c r="F26" s="162"/>
      <c r="G26" s="162"/>
      <c r="H26" s="162"/>
      <c r="I26" s="1240">
        <v>3732</v>
      </c>
      <c r="J26" s="162">
        <f t="shared" si="0"/>
        <v>3919</v>
      </c>
    </row>
    <row r="27" spans="1:10" ht="13.5" customHeight="1">
      <c r="A27" s="1236"/>
      <c r="B27" s="1237" t="s">
        <v>2974</v>
      </c>
      <c r="C27" s="1238" t="s">
        <v>2975</v>
      </c>
      <c r="D27" s="1239" t="s">
        <v>120</v>
      </c>
      <c r="E27" s="1240">
        <f t="shared" si="1"/>
        <v>4725</v>
      </c>
      <c r="F27" s="162"/>
      <c r="G27" s="162"/>
      <c r="H27" s="162"/>
      <c r="I27" s="1240">
        <v>4500</v>
      </c>
      <c r="J27" s="162">
        <f t="shared" si="0"/>
        <v>4725</v>
      </c>
    </row>
    <row r="28" spans="1:10" ht="13.5" customHeight="1">
      <c r="A28" s="1236"/>
      <c r="B28" s="1237" t="s">
        <v>2976</v>
      </c>
      <c r="C28" s="1238" t="s">
        <v>2977</v>
      </c>
      <c r="D28" s="1239" t="s">
        <v>120</v>
      </c>
      <c r="E28" s="1240">
        <f t="shared" si="1"/>
        <v>6825</v>
      </c>
      <c r="F28" s="162"/>
      <c r="G28" s="162"/>
      <c r="H28" s="162"/>
      <c r="I28" s="1240">
        <v>6500</v>
      </c>
      <c r="J28" s="162">
        <f t="shared" si="0"/>
        <v>6825</v>
      </c>
    </row>
    <row r="29" spans="1:10" ht="13.5" customHeight="1">
      <c r="A29" s="1236"/>
      <c r="B29" s="1237" t="s">
        <v>2978</v>
      </c>
      <c r="C29" s="1238" t="s">
        <v>2979</v>
      </c>
      <c r="D29" s="1239" t="s">
        <v>127</v>
      </c>
      <c r="E29" s="1240">
        <f t="shared" si="1"/>
        <v>2205</v>
      </c>
      <c r="F29" s="162"/>
      <c r="G29" s="162"/>
      <c r="H29" s="162"/>
      <c r="I29" s="1240">
        <v>2100</v>
      </c>
      <c r="J29" s="162">
        <f t="shared" si="0"/>
        <v>2205</v>
      </c>
    </row>
    <row r="30" spans="1:10" ht="13.5" customHeight="1">
      <c r="A30" s="1236"/>
      <c r="B30" s="1237" t="s">
        <v>2980</v>
      </c>
      <c r="C30" s="1238" t="s">
        <v>2981</v>
      </c>
      <c r="D30" s="1239" t="s">
        <v>127</v>
      </c>
      <c r="E30" s="1240">
        <f t="shared" si="1"/>
        <v>2310</v>
      </c>
      <c r="F30" s="162"/>
      <c r="G30" s="162"/>
      <c r="H30" s="162"/>
      <c r="I30" s="1240">
        <v>2200</v>
      </c>
      <c r="J30" s="162">
        <f t="shared" si="0"/>
        <v>2310</v>
      </c>
    </row>
    <row r="31" spans="1:10" ht="13.5" customHeight="1">
      <c r="A31" s="1236"/>
      <c r="B31" s="1237" t="s">
        <v>2982</v>
      </c>
      <c r="C31" s="1238" t="s">
        <v>2983</v>
      </c>
      <c r="D31" s="1239" t="s">
        <v>127</v>
      </c>
      <c r="E31" s="1240">
        <f t="shared" si="1"/>
        <v>2363</v>
      </c>
      <c r="F31" s="162"/>
      <c r="G31" s="162"/>
      <c r="H31" s="162"/>
      <c r="I31" s="1240">
        <v>2250</v>
      </c>
      <c r="J31" s="162">
        <f t="shared" si="0"/>
        <v>2363</v>
      </c>
    </row>
    <row r="32" spans="1:10" ht="13.5" customHeight="1">
      <c r="A32" s="1236"/>
      <c r="B32" s="1237" t="s">
        <v>2984</v>
      </c>
      <c r="C32" s="1238" t="s">
        <v>2985</v>
      </c>
      <c r="D32" s="1239" t="s">
        <v>166</v>
      </c>
      <c r="E32" s="1240">
        <f t="shared" si="1"/>
        <v>3728</v>
      </c>
      <c r="F32" s="162"/>
      <c r="G32" s="162"/>
      <c r="H32" s="162"/>
      <c r="I32" s="1240">
        <v>3550</v>
      </c>
      <c r="J32" s="162">
        <f t="shared" si="0"/>
        <v>3728</v>
      </c>
    </row>
    <row r="33" spans="1:10" ht="13.5" customHeight="1">
      <c r="A33" s="1236"/>
      <c r="B33" s="1237" t="s">
        <v>2986</v>
      </c>
      <c r="C33" s="1238" t="s">
        <v>2987</v>
      </c>
      <c r="D33" s="1239" t="s">
        <v>127</v>
      </c>
      <c r="E33" s="1240">
        <f t="shared" si="1"/>
        <v>24150</v>
      </c>
      <c r="F33" s="162"/>
      <c r="G33" s="162"/>
      <c r="H33" s="162"/>
      <c r="I33" s="1240">
        <v>23000</v>
      </c>
      <c r="J33" s="162">
        <f t="shared" si="0"/>
        <v>24150</v>
      </c>
    </row>
    <row r="34" spans="1:10" ht="13.5" customHeight="1">
      <c r="A34" s="1236"/>
      <c r="B34" s="1237" t="s">
        <v>2988</v>
      </c>
      <c r="C34" s="1238" t="s">
        <v>2989</v>
      </c>
      <c r="D34" s="1239" t="s">
        <v>127</v>
      </c>
      <c r="E34" s="1240">
        <f t="shared" si="1"/>
        <v>40425</v>
      </c>
      <c r="F34" s="162"/>
      <c r="G34" s="162"/>
      <c r="H34" s="162"/>
      <c r="I34" s="1240">
        <v>38500</v>
      </c>
      <c r="J34" s="162">
        <f t="shared" si="0"/>
        <v>40425</v>
      </c>
    </row>
    <row r="35" spans="1:10" ht="13.5" customHeight="1">
      <c r="A35" s="1236"/>
      <c r="B35" s="1237" t="s">
        <v>2990</v>
      </c>
      <c r="C35" s="1238" t="s">
        <v>2991</v>
      </c>
      <c r="D35" s="1239" t="s">
        <v>127</v>
      </c>
      <c r="E35" s="1240">
        <f t="shared" si="1"/>
        <v>60900</v>
      </c>
      <c r="F35" s="162"/>
      <c r="G35" s="162"/>
      <c r="H35" s="162"/>
      <c r="I35" s="1240">
        <v>58000</v>
      </c>
      <c r="J35" s="162">
        <f t="shared" si="0"/>
        <v>60900</v>
      </c>
    </row>
    <row r="36" spans="1:10" ht="13.5" customHeight="1">
      <c r="A36" s="1236"/>
      <c r="B36" s="1237" t="s">
        <v>2992</v>
      </c>
      <c r="C36" s="1238" t="s">
        <v>2993</v>
      </c>
      <c r="D36" s="1239" t="s">
        <v>127</v>
      </c>
      <c r="E36" s="1240">
        <f t="shared" si="1"/>
        <v>180600</v>
      </c>
      <c r="F36" s="162"/>
      <c r="G36" s="162"/>
      <c r="H36" s="162"/>
      <c r="I36" s="1240">
        <v>172000</v>
      </c>
      <c r="J36" s="162">
        <f t="shared" si="0"/>
        <v>180600</v>
      </c>
    </row>
    <row r="37" spans="1:10" ht="13.5" customHeight="1">
      <c r="A37" s="1236"/>
      <c r="B37" s="1237" t="s">
        <v>2994</v>
      </c>
      <c r="C37" s="1238" t="s">
        <v>2995</v>
      </c>
      <c r="D37" s="1239" t="s">
        <v>127</v>
      </c>
      <c r="E37" s="1240">
        <f t="shared" si="1"/>
        <v>372960</v>
      </c>
      <c r="F37" s="162"/>
      <c r="G37" s="162"/>
      <c r="H37" s="162"/>
      <c r="I37" s="1240">
        <v>355200</v>
      </c>
      <c r="J37" s="162">
        <f t="shared" si="0"/>
        <v>372960</v>
      </c>
    </row>
    <row r="38" spans="1:10" ht="13.5" customHeight="1">
      <c r="A38" s="1236"/>
      <c r="B38" s="1237" t="s">
        <v>2996</v>
      </c>
      <c r="C38" s="1238" t="s">
        <v>2997</v>
      </c>
      <c r="D38" s="1239" t="s">
        <v>127</v>
      </c>
      <c r="E38" s="1240">
        <f t="shared" si="1"/>
        <v>236250</v>
      </c>
      <c r="F38" s="162"/>
      <c r="G38" s="162"/>
      <c r="H38" s="162"/>
      <c r="I38" s="1240">
        <v>225000</v>
      </c>
      <c r="J38" s="162">
        <f t="shared" si="0"/>
        <v>236250</v>
      </c>
    </row>
    <row r="39" spans="1:10" ht="13.5" customHeight="1">
      <c r="A39" s="1236"/>
      <c r="B39" s="1237" t="s">
        <v>2998</v>
      </c>
      <c r="C39" s="1238" t="s">
        <v>2999</v>
      </c>
      <c r="D39" s="1239" t="s">
        <v>127</v>
      </c>
      <c r="E39" s="1240">
        <f t="shared" si="1"/>
        <v>273000</v>
      </c>
      <c r="F39" s="162"/>
      <c r="G39" s="162"/>
      <c r="H39" s="162"/>
      <c r="I39" s="1240">
        <v>260000</v>
      </c>
      <c r="J39" s="162">
        <f t="shared" si="0"/>
        <v>273000</v>
      </c>
    </row>
    <row r="40" spans="1:10" ht="13.5" customHeight="1">
      <c r="A40" s="1236"/>
      <c r="B40" s="1237" t="s">
        <v>3000</v>
      </c>
      <c r="C40" s="1238" t="s">
        <v>3001</v>
      </c>
      <c r="D40" s="1239" t="s">
        <v>1614</v>
      </c>
      <c r="E40" s="1240">
        <f t="shared" si="1"/>
        <v>2940</v>
      </c>
      <c r="F40" s="162"/>
      <c r="G40" s="162"/>
      <c r="H40" s="162"/>
      <c r="I40" s="1240">
        <v>2800</v>
      </c>
      <c r="J40" s="162">
        <f t="shared" si="0"/>
        <v>2940</v>
      </c>
    </row>
    <row r="41" spans="1:10" ht="13.5" customHeight="1">
      <c r="A41" s="1236"/>
      <c r="B41" s="1237" t="s">
        <v>3002</v>
      </c>
      <c r="C41" s="1238" t="s">
        <v>3003</v>
      </c>
      <c r="D41" s="1239" t="s">
        <v>127</v>
      </c>
      <c r="E41" s="1240">
        <f t="shared" si="1"/>
        <v>10500</v>
      </c>
      <c r="F41" s="162"/>
      <c r="G41" s="162"/>
      <c r="H41" s="162"/>
      <c r="I41" s="1240">
        <v>10000</v>
      </c>
      <c r="J41" s="162">
        <f t="shared" si="0"/>
        <v>10500</v>
      </c>
    </row>
    <row r="42" spans="1:10" ht="13.5" customHeight="1">
      <c r="A42" s="1236"/>
      <c r="B42" s="1237" t="s">
        <v>3004</v>
      </c>
      <c r="C42" s="1238" t="s">
        <v>3005</v>
      </c>
      <c r="D42" s="1239" t="s">
        <v>127</v>
      </c>
      <c r="E42" s="1240">
        <f t="shared" si="1"/>
        <v>945</v>
      </c>
      <c r="F42" s="162"/>
      <c r="G42" s="162"/>
      <c r="H42" s="162"/>
      <c r="I42" s="1240">
        <v>900</v>
      </c>
      <c r="J42" s="162">
        <f t="shared" si="0"/>
        <v>945</v>
      </c>
    </row>
    <row r="43" spans="1:10" ht="13.5" customHeight="1">
      <c r="A43" s="1236"/>
      <c r="B43" s="1237" t="s">
        <v>3006</v>
      </c>
      <c r="C43" s="1238" t="s">
        <v>1694</v>
      </c>
      <c r="D43" s="1239" t="s">
        <v>127</v>
      </c>
      <c r="E43" s="1240">
        <f t="shared" si="1"/>
        <v>315</v>
      </c>
      <c r="F43" s="162"/>
      <c r="G43" s="162"/>
      <c r="H43" s="162"/>
      <c r="I43" s="1240">
        <v>300</v>
      </c>
      <c r="J43" s="162">
        <f t="shared" si="0"/>
        <v>315</v>
      </c>
    </row>
    <row r="44" spans="1:10" ht="13.5" customHeight="1">
      <c r="A44" s="1236"/>
      <c r="B44" s="1237" t="s">
        <v>3007</v>
      </c>
      <c r="C44" s="1238" t="s">
        <v>3008</v>
      </c>
      <c r="D44" s="1239" t="s">
        <v>228</v>
      </c>
      <c r="E44" s="1240">
        <v>137450</v>
      </c>
      <c r="F44" s="162"/>
      <c r="G44" s="162"/>
      <c r="H44" s="162"/>
      <c r="I44" s="1240">
        <v>92500</v>
      </c>
      <c r="J44" s="162">
        <f t="shared" si="0"/>
        <v>97125</v>
      </c>
    </row>
    <row r="45" spans="1:10" ht="13.5" customHeight="1">
      <c r="A45" s="1236"/>
      <c r="B45" s="1237" t="s">
        <v>3009</v>
      </c>
      <c r="C45" s="1238" t="s">
        <v>3010</v>
      </c>
      <c r="D45" s="1239" t="s">
        <v>127</v>
      </c>
      <c r="E45" s="1240">
        <f t="shared" ref="E45:E124" si="2">+J45</f>
        <v>81947</v>
      </c>
      <c r="F45" s="162"/>
      <c r="G45" s="162"/>
      <c r="H45" s="162"/>
      <c r="I45" s="1240">
        <v>78044.799999999988</v>
      </c>
      <c r="J45" s="162">
        <f t="shared" si="0"/>
        <v>81947</v>
      </c>
    </row>
    <row r="46" spans="1:10" ht="13.5" customHeight="1">
      <c r="A46" s="1236"/>
      <c r="B46" s="1237" t="s">
        <v>3011</v>
      </c>
      <c r="C46" s="1238" t="s">
        <v>3012</v>
      </c>
      <c r="D46" s="1239" t="s">
        <v>127</v>
      </c>
      <c r="E46" s="1240">
        <f t="shared" si="2"/>
        <v>69300</v>
      </c>
      <c r="F46" s="162"/>
      <c r="G46" s="162"/>
      <c r="H46" s="162"/>
      <c r="I46" s="1240">
        <v>66000</v>
      </c>
      <c r="J46" s="162">
        <f t="shared" si="0"/>
        <v>69300</v>
      </c>
    </row>
    <row r="47" spans="1:10" ht="13.5" customHeight="1">
      <c r="A47" s="1236"/>
      <c r="B47" s="1237" t="s">
        <v>3013</v>
      </c>
      <c r="C47" s="1238" t="s">
        <v>3014</v>
      </c>
      <c r="D47" s="1239" t="s">
        <v>127</v>
      </c>
      <c r="E47" s="1240">
        <f t="shared" si="2"/>
        <v>64575</v>
      </c>
      <c r="F47" s="162"/>
      <c r="G47" s="162"/>
      <c r="H47" s="162"/>
      <c r="I47" s="1240">
        <v>61500</v>
      </c>
      <c r="J47" s="162">
        <f t="shared" si="0"/>
        <v>64575</v>
      </c>
    </row>
    <row r="48" spans="1:10" ht="13.5" customHeight="1">
      <c r="A48" s="1236"/>
      <c r="B48" s="1237" t="s">
        <v>3015</v>
      </c>
      <c r="C48" s="1238" t="s">
        <v>3016</v>
      </c>
      <c r="D48" s="1239" t="s">
        <v>228</v>
      </c>
      <c r="E48" s="1240">
        <f t="shared" si="2"/>
        <v>2625</v>
      </c>
      <c r="F48" s="162"/>
      <c r="G48" s="162"/>
      <c r="H48" s="162"/>
      <c r="I48" s="1240">
        <v>2500</v>
      </c>
      <c r="J48" s="162">
        <f t="shared" si="0"/>
        <v>2625</v>
      </c>
    </row>
    <row r="49" spans="1:10" ht="13.5" customHeight="1">
      <c r="A49" s="1236"/>
      <c r="B49" s="1237" t="s">
        <v>3017</v>
      </c>
      <c r="C49" s="1238" t="s">
        <v>3018</v>
      </c>
      <c r="D49" s="1239" t="s">
        <v>228</v>
      </c>
      <c r="E49" s="1240">
        <f t="shared" si="2"/>
        <v>28684</v>
      </c>
      <c r="F49" s="162"/>
      <c r="G49" s="162"/>
      <c r="H49" s="162"/>
      <c r="I49" s="1240">
        <v>27318.027704640193</v>
      </c>
      <c r="J49" s="162">
        <f t="shared" si="0"/>
        <v>28684</v>
      </c>
    </row>
    <row r="50" spans="1:10" ht="13.5" customHeight="1">
      <c r="A50" s="1236"/>
      <c r="B50" s="1237" t="s">
        <v>3019</v>
      </c>
      <c r="C50" s="1238" t="s">
        <v>3020</v>
      </c>
      <c r="D50" s="1239" t="s">
        <v>228</v>
      </c>
      <c r="E50" s="1240">
        <f t="shared" si="2"/>
        <v>5775</v>
      </c>
      <c r="F50" s="162"/>
      <c r="G50" s="162"/>
      <c r="H50" s="162"/>
      <c r="I50" s="1240">
        <v>5500</v>
      </c>
      <c r="J50" s="162">
        <f t="shared" si="0"/>
        <v>5775</v>
      </c>
    </row>
    <row r="51" spans="1:10" ht="13.5" customHeight="1">
      <c r="A51" s="1236"/>
      <c r="B51" s="1237" t="s">
        <v>3021</v>
      </c>
      <c r="C51" s="1238" t="s">
        <v>3022</v>
      </c>
      <c r="D51" s="1239" t="s">
        <v>228</v>
      </c>
      <c r="E51" s="1240">
        <f t="shared" si="2"/>
        <v>15750</v>
      </c>
      <c r="F51" s="162"/>
      <c r="G51" s="162"/>
      <c r="H51" s="162"/>
      <c r="I51" s="1240">
        <v>15000</v>
      </c>
      <c r="J51" s="162">
        <f t="shared" si="0"/>
        <v>15750</v>
      </c>
    </row>
    <row r="52" spans="1:10" ht="13.5" customHeight="1">
      <c r="A52" s="1236"/>
      <c r="B52" s="1237" t="s">
        <v>3023</v>
      </c>
      <c r="C52" s="1238" t="s">
        <v>3024</v>
      </c>
      <c r="D52" s="1239" t="s">
        <v>127</v>
      </c>
      <c r="E52" s="1240">
        <f t="shared" si="2"/>
        <v>60900</v>
      </c>
      <c r="F52" s="162"/>
      <c r="G52" s="162"/>
      <c r="H52" s="162"/>
      <c r="I52" s="1240">
        <v>58000</v>
      </c>
      <c r="J52" s="162">
        <f t="shared" si="0"/>
        <v>60900</v>
      </c>
    </row>
    <row r="53" spans="1:10" ht="13.5" customHeight="1">
      <c r="A53" s="1236"/>
      <c r="B53" s="1237" t="s">
        <v>3025</v>
      </c>
      <c r="C53" s="1238" t="s">
        <v>3026</v>
      </c>
      <c r="D53" s="1239" t="s">
        <v>127</v>
      </c>
      <c r="E53" s="1240">
        <f t="shared" si="2"/>
        <v>47250</v>
      </c>
      <c r="F53" s="162"/>
      <c r="G53" s="162"/>
      <c r="H53" s="162"/>
      <c r="I53" s="1240">
        <v>45000</v>
      </c>
      <c r="J53" s="162">
        <f t="shared" si="0"/>
        <v>47250</v>
      </c>
    </row>
    <row r="54" spans="1:10" ht="13.5" customHeight="1">
      <c r="A54" s="1236"/>
      <c r="B54" s="1237" t="s">
        <v>3027</v>
      </c>
      <c r="C54" s="1238" t="s">
        <v>3028</v>
      </c>
      <c r="D54" s="1242" t="s">
        <v>3029</v>
      </c>
      <c r="E54" s="1240">
        <f t="shared" si="2"/>
        <v>10500</v>
      </c>
      <c r="F54" s="162"/>
      <c r="G54" s="162"/>
      <c r="H54" s="162"/>
      <c r="I54" s="1240">
        <v>10000</v>
      </c>
      <c r="J54" s="162">
        <f t="shared" si="0"/>
        <v>10500</v>
      </c>
    </row>
    <row r="55" spans="1:10" ht="13.5" customHeight="1">
      <c r="A55" s="1236"/>
      <c r="B55" s="1237" t="s">
        <v>3030</v>
      </c>
      <c r="C55" s="1238" t="s">
        <v>3031</v>
      </c>
      <c r="D55" s="1239" t="s">
        <v>120</v>
      </c>
      <c r="E55" s="1240">
        <f t="shared" si="2"/>
        <v>6825</v>
      </c>
      <c r="F55" s="162"/>
      <c r="G55" s="162"/>
      <c r="H55" s="162"/>
      <c r="I55" s="1240">
        <v>6500</v>
      </c>
      <c r="J55" s="162">
        <f t="shared" si="0"/>
        <v>6825</v>
      </c>
    </row>
    <row r="56" spans="1:10" ht="13.5" customHeight="1">
      <c r="A56" s="1236"/>
      <c r="B56" s="1237" t="s">
        <v>3032</v>
      </c>
      <c r="C56" s="1238" t="s">
        <v>3033</v>
      </c>
      <c r="D56" s="1239" t="s">
        <v>120</v>
      </c>
      <c r="E56" s="1240">
        <f t="shared" si="2"/>
        <v>14606</v>
      </c>
      <c r="F56" s="162"/>
      <c r="G56" s="162"/>
      <c r="H56" s="162"/>
      <c r="I56" s="1240">
        <v>13910</v>
      </c>
      <c r="J56" s="162">
        <f t="shared" si="0"/>
        <v>14606</v>
      </c>
    </row>
    <row r="57" spans="1:10" ht="13.5" customHeight="1">
      <c r="A57" s="1236"/>
      <c r="B57" s="1237" t="s">
        <v>3034</v>
      </c>
      <c r="C57" s="1238" t="s">
        <v>3035</v>
      </c>
      <c r="D57" s="1239" t="s">
        <v>120</v>
      </c>
      <c r="E57" s="1240">
        <f t="shared" si="2"/>
        <v>11958</v>
      </c>
      <c r="F57" s="162"/>
      <c r="G57" s="162"/>
      <c r="H57" s="162"/>
      <c r="I57" s="1240">
        <f>11100*1.026</f>
        <v>11388.6</v>
      </c>
      <c r="J57" s="162">
        <f t="shared" si="0"/>
        <v>11958</v>
      </c>
    </row>
    <row r="58" spans="1:10" ht="13.5" customHeight="1">
      <c r="A58" s="1236"/>
      <c r="B58" s="1237" t="s">
        <v>3036</v>
      </c>
      <c r="C58" s="1238" t="s">
        <v>3037</v>
      </c>
      <c r="D58" s="1239" t="s">
        <v>120</v>
      </c>
      <c r="E58" s="1240">
        <f t="shared" si="2"/>
        <v>7875</v>
      </c>
      <c r="F58" s="162"/>
      <c r="G58" s="162"/>
      <c r="H58" s="162"/>
      <c r="I58" s="1240">
        <v>7500</v>
      </c>
      <c r="J58" s="162">
        <f t="shared" si="0"/>
        <v>7875</v>
      </c>
    </row>
    <row r="59" spans="1:10" ht="13.5" customHeight="1">
      <c r="A59" s="1236"/>
      <c r="B59" s="1237" t="s">
        <v>3038</v>
      </c>
      <c r="C59" s="1238" t="s">
        <v>3039</v>
      </c>
      <c r="D59" s="1239" t="s">
        <v>120</v>
      </c>
      <c r="E59" s="1240">
        <f t="shared" si="2"/>
        <v>31290</v>
      </c>
      <c r="F59" s="162"/>
      <c r="G59" s="162"/>
      <c r="H59" s="162"/>
      <c r="I59" s="1240">
        <v>29800</v>
      </c>
      <c r="J59" s="162">
        <f t="shared" si="0"/>
        <v>31290</v>
      </c>
    </row>
    <row r="60" spans="1:10" ht="13.5" customHeight="1">
      <c r="A60" s="1236"/>
      <c r="B60" s="1237" t="s">
        <v>3040</v>
      </c>
      <c r="C60" s="1238" t="s">
        <v>1696</v>
      </c>
      <c r="D60" s="1239" t="s">
        <v>120</v>
      </c>
      <c r="E60" s="1240">
        <f t="shared" si="2"/>
        <v>12075</v>
      </c>
      <c r="F60" s="162"/>
      <c r="G60" s="162"/>
      <c r="H60" s="162"/>
      <c r="I60" s="1240">
        <v>11500</v>
      </c>
      <c r="J60" s="162">
        <f t="shared" si="0"/>
        <v>12075</v>
      </c>
    </row>
    <row r="61" spans="1:10" ht="13.5" customHeight="1">
      <c r="A61" s="1236"/>
      <c r="B61" s="1237" t="s">
        <v>3041</v>
      </c>
      <c r="C61" s="1238" t="s">
        <v>3042</v>
      </c>
      <c r="D61" s="1239" t="s">
        <v>120</v>
      </c>
      <c r="E61" s="1240">
        <f t="shared" si="2"/>
        <v>8820</v>
      </c>
      <c r="F61" s="162"/>
      <c r="G61" s="162"/>
      <c r="H61" s="162"/>
      <c r="I61" s="1240">
        <v>8400</v>
      </c>
      <c r="J61" s="162">
        <f t="shared" si="0"/>
        <v>8820</v>
      </c>
    </row>
    <row r="62" spans="1:10" ht="13.5" customHeight="1">
      <c r="A62" s="1236"/>
      <c r="B62" s="1237" t="s">
        <v>3043</v>
      </c>
      <c r="C62" s="1238" t="s">
        <v>3044</v>
      </c>
      <c r="D62" s="1239" t="s">
        <v>120</v>
      </c>
      <c r="E62" s="1240">
        <f t="shared" si="2"/>
        <v>12915</v>
      </c>
      <c r="F62" s="162"/>
      <c r="G62" s="162"/>
      <c r="H62" s="162"/>
      <c r="I62" s="1240">
        <v>12300</v>
      </c>
      <c r="J62" s="162">
        <f t="shared" si="0"/>
        <v>12915</v>
      </c>
    </row>
    <row r="63" spans="1:10" ht="13.5" customHeight="1">
      <c r="A63" s="1236"/>
      <c r="B63" s="1237" t="s">
        <v>3045</v>
      </c>
      <c r="C63" s="1238" t="s">
        <v>3046</v>
      </c>
      <c r="D63" s="1239" t="s">
        <v>120</v>
      </c>
      <c r="E63" s="1240">
        <f t="shared" si="2"/>
        <v>9975</v>
      </c>
      <c r="F63" s="162"/>
      <c r="G63" s="162"/>
      <c r="H63" s="162"/>
      <c r="I63" s="1240">
        <v>9500</v>
      </c>
      <c r="J63" s="162">
        <f t="shared" si="0"/>
        <v>9975</v>
      </c>
    </row>
    <row r="64" spans="1:10" ht="13.5" customHeight="1">
      <c r="A64" s="1236"/>
      <c r="B64" s="1237" t="s">
        <v>3047</v>
      </c>
      <c r="C64" s="1238" t="s">
        <v>3048</v>
      </c>
      <c r="D64" s="1239" t="s">
        <v>120</v>
      </c>
      <c r="E64" s="1240">
        <f t="shared" si="2"/>
        <v>8400</v>
      </c>
      <c r="F64" s="162"/>
      <c r="G64" s="162"/>
      <c r="H64" s="162"/>
      <c r="I64" s="1240">
        <v>8000</v>
      </c>
      <c r="J64" s="162">
        <f t="shared" si="0"/>
        <v>8400</v>
      </c>
    </row>
    <row r="65" spans="1:10" ht="13.5" customHeight="1">
      <c r="A65" s="1236"/>
      <c r="B65" s="1237" t="s">
        <v>3049</v>
      </c>
      <c r="C65" s="1238" t="s">
        <v>3050</v>
      </c>
      <c r="D65" s="1239" t="s">
        <v>120</v>
      </c>
      <c r="E65" s="1240">
        <f t="shared" si="2"/>
        <v>15225</v>
      </c>
      <c r="F65" s="162"/>
      <c r="G65" s="162"/>
      <c r="H65" s="162"/>
      <c r="I65" s="1240">
        <v>14500</v>
      </c>
      <c r="J65" s="162">
        <f t="shared" si="0"/>
        <v>15225</v>
      </c>
    </row>
    <row r="66" spans="1:10" ht="13.5" customHeight="1">
      <c r="A66" s="1236"/>
      <c r="B66" s="1237" t="s">
        <v>3051</v>
      </c>
      <c r="C66" s="1238" t="s">
        <v>3052</v>
      </c>
      <c r="D66" s="1239" t="s">
        <v>120</v>
      </c>
      <c r="E66" s="1240">
        <f t="shared" si="2"/>
        <v>7350</v>
      </c>
      <c r="F66" s="162"/>
      <c r="G66" s="162"/>
      <c r="H66" s="162"/>
      <c r="I66" s="1240">
        <v>7000</v>
      </c>
      <c r="J66" s="162">
        <f t="shared" si="0"/>
        <v>7350</v>
      </c>
    </row>
    <row r="67" spans="1:10" ht="13.5" customHeight="1">
      <c r="A67" s="1236"/>
      <c r="B67" s="1237" t="s">
        <v>3053</v>
      </c>
      <c r="C67" s="1238" t="s">
        <v>3054</v>
      </c>
      <c r="D67" s="1239" t="s">
        <v>120</v>
      </c>
      <c r="E67" s="1240">
        <f t="shared" si="2"/>
        <v>12600</v>
      </c>
      <c r="F67" s="162"/>
      <c r="G67" s="162"/>
      <c r="H67" s="162"/>
      <c r="I67" s="1240">
        <v>12000</v>
      </c>
      <c r="J67" s="162">
        <f t="shared" si="0"/>
        <v>12600</v>
      </c>
    </row>
    <row r="68" spans="1:10" ht="13.5" customHeight="1">
      <c r="A68" s="1236"/>
      <c r="B68" s="1237" t="s">
        <v>3055</v>
      </c>
      <c r="C68" s="1238" t="s">
        <v>3056</v>
      </c>
      <c r="D68" s="1239" t="s">
        <v>120</v>
      </c>
      <c r="E68" s="1240">
        <f t="shared" si="2"/>
        <v>6825</v>
      </c>
      <c r="F68" s="162"/>
      <c r="G68" s="162"/>
      <c r="H68" s="162"/>
      <c r="I68" s="1240">
        <v>6500</v>
      </c>
      <c r="J68" s="162">
        <f t="shared" si="0"/>
        <v>6825</v>
      </c>
    </row>
    <row r="69" spans="1:10" ht="13.5" customHeight="1">
      <c r="A69" s="1236"/>
      <c r="B69" s="1237" t="s">
        <v>3057</v>
      </c>
      <c r="C69" s="1238" t="s">
        <v>3058</v>
      </c>
      <c r="D69" s="1239" t="s">
        <v>120</v>
      </c>
      <c r="E69" s="1240">
        <f t="shared" si="2"/>
        <v>10500</v>
      </c>
      <c r="F69" s="162"/>
      <c r="G69" s="162"/>
      <c r="H69" s="162"/>
      <c r="I69" s="1240">
        <v>10000</v>
      </c>
      <c r="J69" s="162">
        <f t="shared" si="0"/>
        <v>10500</v>
      </c>
    </row>
    <row r="70" spans="1:10" ht="13.5" customHeight="1">
      <c r="A70" s="1236"/>
      <c r="B70" s="1237" t="s">
        <v>3059</v>
      </c>
      <c r="C70" s="1238" t="s">
        <v>3060</v>
      </c>
      <c r="D70" s="1239" t="s">
        <v>120</v>
      </c>
      <c r="E70" s="1240">
        <f t="shared" si="2"/>
        <v>33600</v>
      </c>
      <c r="F70" s="162"/>
      <c r="G70" s="162"/>
      <c r="H70" s="162"/>
      <c r="I70" s="1240">
        <v>32000</v>
      </c>
      <c r="J70" s="162">
        <f t="shared" si="0"/>
        <v>33600</v>
      </c>
    </row>
    <row r="71" spans="1:10" ht="13.5" customHeight="1">
      <c r="A71" s="1236"/>
      <c r="B71" s="1237" t="s">
        <v>3061</v>
      </c>
      <c r="C71" s="1238" t="s">
        <v>3062</v>
      </c>
      <c r="D71" s="1239" t="s">
        <v>120</v>
      </c>
      <c r="E71" s="1240">
        <f t="shared" si="2"/>
        <v>12937</v>
      </c>
      <c r="F71" s="162"/>
      <c r="G71" s="162"/>
      <c r="H71" s="162"/>
      <c r="I71" s="1240">
        <v>12321</v>
      </c>
      <c r="J71" s="162">
        <f t="shared" si="0"/>
        <v>12937</v>
      </c>
    </row>
    <row r="72" spans="1:10" ht="13.5" customHeight="1">
      <c r="A72" s="1236"/>
      <c r="B72" s="1237" t="s">
        <v>3063</v>
      </c>
      <c r="C72" s="1238" t="s">
        <v>3064</v>
      </c>
      <c r="D72" s="1239" t="s">
        <v>120</v>
      </c>
      <c r="E72" s="1240">
        <f t="shared" si="2"/>
        <v>9450</v>
      </c>
      <c r="F72" s="162"/>
      <c r="G72" s="162"/>
      <c r="H72" s="162"/>
      <c r="I72" s="1240">
        <v>9000</v>
      </c>
      <c r="J72" s="162">
        <f t="shared" si="0"/>
        <v>9450</v>
      </c>
    </row>
    <row r="73" spans="1:10" ht="13.5" customHeight="1">
      <c r="A73" s="1236"/>
      <c r="B73" s="1237" t="s">
        <v>3065</v>
      </c>
      <c r="C73" s="1238" t="s">
        <v>3066</v>
      </c>
      <c r="D73" s="1239" t="s">
        <v>120</v>
      </c>
      <c r="E73" s="1240">
        <f t="shared" si="2"/>
        <v>7560</v>
      </c>
      <c r="F73" s="162"/>
      <c r="G73" s="162"/>
      <c r="H73" s="162"/>
      <c r="I73" s="1240">
        <v>7200</v>
      </c>
      <c r="J73" s="162">
        <f t="shared" si="0"/>
        <v>7560</v>
      </c>
    </row>
    <row r="74" spans="1:10" ht="13.5" customHeight="1">
      <c r="A74" s="1236"/>
      <c r="B74" s="1237" t="s">
        <v>3067</v>
      </c>
      <c r="C74" s="1238" t="s">
        <v>3068</v>
      </c>
      <c r="D74" s="1239" t="s">
        <v>120</v>
      </c>
      <c r="E74" s="1240">
        <f t="shared" si="2"/>
        <v>7875</v>
      </c>
      <c r="F74" s="162"/>
      <c r="G74" s="162"/>
      <c r="H74" s="162"/>
      <c r="I74" s="1240">
        <v>7500</v>
      </c>
      <c r="J74" s="162">
        <f t="shared" si="0"/>
        <v>7875</v>
      </c>
    </row>
    <row r="75" spans="1:10" ht="13.5" customHeight="1">
      <c r="A75" s="1236"/>
      <c r="B75" s="1237" t="s">
        <v>3069</v>
      </c>
      <c r="C75" s="1238" t="s">
        <v>3070</v>
      </c>
      <c r="D75" s="1239" t="s">
        <v>120</v>
      </c>
      <c r="E75" s="1240">
        <f t="shared" si="2"/>
        <v>5460</v>
      </c>
      <c r="F75" s="162"/>
      <c r="G75" s="162"/>
      <c r="H75" s="162"/>
      <c r="I75" s="1240">
        <v>5200</v>
      </c>
      <c r="J75" s="162">
        <f t="shared" si="0"/>
        <v>5460</v>
      </c>
    </row>
    <row r="76" spans="1:10" ht="13.5" customHeight="1">
      <c r="A76" s="1236"/>
      <c r="B76" s="1237" t="s">
        <v>3071</v>
      </c>
      <c r="C76" s="1238" t="s">
        <v>3072</v>
      </c>
      <c r="D76" s="1239" t="s">
        <v>120</v>
      </c>
      <c r="E76" s="1240">
        <f t="shared" si="2"/>
        <v>2048</v>
      </c>
      <c r="F76" s="162"/>
      <c r="G76" s="162"/>
      <c r="H76" s="162"/>
      <c r="I76" s="1240">
        <v>1950</v>
      </c>
      <c r="J76" s="162">
        <f t="shared" si="0"/>
        <v>2048</v>
      </c>
    </row>
    <row r="77" spans="1:10" ht="13.5" customHeight="1">
      <c r="A77" s="1236"/>
      <c r="B77" s="1237" t="s">
        <v>3073</v>
      </c>
      <c r="C77" s="1238" t="s">
        <v>1722</v>
      </c>
      <c r="D77" s="1239" t="s">
        <v>120</v>
      </c>
      <c r="E77" s="1240">
        <f t="shared" si="2"/>
        <v>4515</v>
      </c>
      <c r="F77" s="162"/>
      <c r="G77" s="162"/>
      <c r="H77" s="162"/>
      <c r="I77" s="1240">
        <v>4300</v>
      </c>
      <c r="J77" s="162">
        <f t="shared" si="0"/>
        <v>4515</v>
      </c>
    </row>
    <row r="78" spans="1:10" ht="13.5" customHeight="1">
      <c r="A78" s="1236"/>
      <c r="B78" s="1237" t="s">
        <v>3074</v>
      </c>
      <c r="C78" s="1238" t="s">
        <v>3075</v>
      </c>
      <c r="D78" s="1239" t="s">
        <v>120</v>
      </c>
      <c r="E78" s="1240">
        <f t="shared" si="2"/>
        <v>8925</v>
      </c>
      <c r="F78" s="162"/>
      <c r="G78" s="162"/>
      <c r="H78" s="162"/>
      <c r="I78" s="1240">
        <v>8500</v>
      </c>
      <c r="J78" s="162">
        <f t="shared" si="0"/>
        <v>8925</v>
      </c>
    </row>
    <row r="79" spans="1:10" ht="13.5" customHeight="1">
      <c r="A79" s="1236"/>
      <c r="B79" s="1237" t="s">
        <v>3076</v>
      </c>
      <c r="C79" s="1238" t="s">
        <v>3077</v>
      </c>
      <c r="D79" s="1239" t="s">
        <v>120</v>
      </c>
      <c r="E79" s="1240">
        <f t="shared" si="2"/>
        <v>15750</v>
      </c>
      <c r="F79" s="162"/>
      <c r="G79" s="162"/>
      <c r="H79" s="162"/>
      <c r="I79" s="1240">
        <v>15000</v>
      </c>
      <c r="J79" s="162">
        <f t="shared" si="0"/>
        <v>15750</v>
      </c>
    </row>
    <row r="80" spans="1:10" ht="13.5" customHeight="1">
      <c r="A80" s="1236"/>
      <c r="B80" s="1237" t="s">
        <v>3078</v>
      </c>
      <c r="C80" s="1238" t="s">
        <v>3079</v>
      </c>
      <c r="D80" s="1239" t="s">
        <v>120</v>
      </c>
      <c r="E80" s="1240">
        <f t="shared" si="2"/>
        <v>5250</v>
      </c>
      <c r="F80" s="162"/>
      <c r="G80" s="162"/>
      <c r="H80" s="162"/>
      <c r="I80" s="1240">
        <v>5000</v>
      </c>
      <c r="J80" s="162">
        <f t="shared" si="0"/>
        <v>5250</v>
      </c>
    </row>
    <row r="81" spans="1:12" ht="13.5" customHeight="1">
      <c r="A81" s="1236"/>
      <c r="B81" s="1237" t="s">
        <v>3080</v>
      </c>
      <c r="C81" s="1238" t="s">
        <v>3081</v>
      </c>
      <c r="D81" s="1239" t="s">
        <v>166</v>
      </c>
      <c r="E81" s="1240">
        <f t="shared" si="2"/>
        <v>8925</v>
      </c>
      <c r="F81" s="162"/>
      <c r="G81" s="162"/>
      <c r="H81" s="162"/>
      <c r="I81" s="1240">
        <v>8500</v>
      </c>
      <c r="J81" s="162">
        <f t="shared" si="0"/>
        <v>8925</v>
      </c>
      <c r="K81" s="162"/>
      <c r="L81" s="162"/>
    </row>
    <row r="82" spans="1:12" ht="13.5" customHeight="1">
      <c r="A82" s="1236"/>
      <c r="B82" s="1237" t="s">
        <v>3082</v>
      </c>
      <c r="C82" s="1238" t="s">
        <v>165</v>
      </c>
      <c r="D82" s="1239" t="s">
        <v>166</v>
      </c>
      <c r="E82" s="1240">
        <f t="shared" si="2"/>
        <v>2100</v>
      </c>
      <c r="F82" s="162"/>
      <c r="G82" s="162"/>
      <c r="H82" s="162"/>
      <c r="I82" s="1240">
        <v>2000</v>
      </c>
      <c r="J82" s="162">
        <f t="shared" si="0"/>
        <v>2100</v>
      </c>
      <c r="K82" s="162"/>
      <c r="L82" s="162"/>
    </row>
    <row r="83" spans="1:12" ht="13.5" customHeight="1">
      <c r="A83" s="1236"/>
      <c r="B83" s="1237" t="s">
        <v>3083</v>
      </c>
      <c r="C83" s="1238" t="s">
        <v>3084</v>
      </c>
      <c r="D83" s="1239" t="s">
        <v>166</v>
      </c>
      <c r="E83" s="1240">
        <f t="shared" si="2"/>
        <v>4200</v>
      </c>
      <c r="F83" s="162"/>
      <c r="G83" s="162"/>
      <c r="H83" s="162"/>
      <c r="I83" s="1240">
        <v>4000</v>
      </c>
      <c r="J83" s="162">
        <f t="shared" si="0"/>
        <v>4200</v>
      </c>
      <c r="K83" s="162"/>
      <c r="L83" s="162"/>
    </row>
    <row r="84" spans="1:12" ht="13.5" customHeight="1">
      <c r="A84" s="1236"/>
      <c r="B84" s="1237" t="s">
        <v>3085</v>
      </c>
      <c r="C84" s="1238" t="s">
        <v>3086</v>
      </c>
      <c r="D84" s="1239" t="s">
        <v>127</v>
      </c>
      <c r="E84" s="1240">
        <f t="shared" si="2"/>
        <v>3570</v>
      </c>
      <c r="F84" s="162"/>
      <c r="G84" s="162"/>
      <c r="H84" s="162"/>
      <c r="I84" s="1240">
        <v>3400</v>
      </c>
      <c r="J84" s="162">
        <f t="shared" si="0"/>
        <v>3570</v>
      </c>
      <c r="K84" s="162"/>
      <c r="L84" s="162"/>
    </row>
    <row r="85" spans="1:12" ht="13.5" customHeight="1">
      <c r="A85" s="1236"/>
      <c r="B85" s="1237" t="s">
        <v>3087</v>
      </c>
      <c r="C85" s="1238" t="s">
        <v>1705</v>
      </c>
      <c r="D85" s="1239" t="s">
        <v>171</v>
      </c>
      <c r="E85" s="1240">
        <f t="shared" si="2"/>
        <v>16380</v>
      </c>
      <c r="F85" s="162"/>
      <c r="G85" s="162"/>
      <c r="H85" s="162"/>
      <c r="I85" s="1240">
        <v>15600</v>
      </c>
      <c r="J85" s="162">
        <f t="shared" si="0"/>
        <v>16380</v>
      </c>
      <c r="K85" s="162"/>
      <c r="L85" s="162"/>
    </row>
    <row r="86" spans="1:12" ht="13.5" customHeight="1">
      <c r="A86" s="1236"/>
      <c r="B86" s="1237" t="s">
        <v>3088</v>
      </c>
      <c r="C86" s="1238" t="s">
        <v>3089</v>
      </c>
      <c r="D86" s="1239" t="s">
        <v>171</v>
      </c>
      <c r="E86" s="1240">
        <f t="shared" si="2"/>
        <v>9975</v>
      </c>
      <c r="F86" s="162"/>
      <c r="G86" s="162"/>
      <c r="H86" s="162"/>
      <c r="I86" s="1240">
        <v>9500</v>
      </c>
      <c r="J86" s="162">
        <f t="shared" si="0"/>
        <v>9975</v>
      </c>
      <c r="K86" s="162"/>
      <c r="L86" s="162"/>
    </row>
    <row r="87" spans="1:12" ht="13.5" customHeight="1">
      <c r="A87" s="1236"/>
      <c r="B87" s="1237" t="s">
        <v>3090</v>
      </c>
      <c r="C87" s="1238" t="s">
        <v>3091</v>
      </c>
      <c r="D87" s="1239" t="s">
        <v>228</v>
      </c>
      <c r="E87" s="1240">
        <f t="shared" si="2"/>
        <v>38640</v>
      </c>
      <c r="F87" s="162"/>
      <c r="G87" s="162"/>
      <c r="H87" s="162"/>
      <c r="I87" s="1240">
        <v>36800</v>
      </c>
      <c r="J87" s="162">
        <f t="shared" si="0"/>
        <v>38640</v>
      </c>
      <c r="K87" s="162"/>
      <c r="L87" s="162"/>
    </row>
    <row r="88" spans="1:12" ht="13.5" customHeight="1">
      <c r="A88" s="1236"/>
      <c r="B88" s="1237" t="s">
        <v>3092</v>
      </c>
      <c r="C88" s="1238" t="s">
        <v>1691</v>
      </c>
      <c r="D88" s="1239" t="s">
        <v>127</v>
      </c>
      <c r="E88" s="1240">
        <f t="shared" si="2"/>
        <v>24150</v>
      </c>
      <c r="F88" s="162"/>
      <c r="G88" s="162"/>
      <c r="H88" s="162"/>
      <c r="I88" s="1240">
        <v>23000</v>
      </c>
      <c r="J88" s="162">
        <f t="shared" si="0"/>
        <v>24150</v>
      </c>
      <c r="K88" s="162"/>
      <c r="L88" s="162"/>
    </row>
    <row r="89" spans="1:12" ht="13.5" customHeight="1">
      <c r="A89" s="1236"/>
      <c r="B89" s="1237" t="s">
        <v>3093</v>
      </c>
      <c r="C89" s="1238" t="s">
        <v>3094</v>
      </c>
      <c r="D89" s="1239" t="s">
        <v>127</v>
      </c>
      <c r="E89" s="1240">
        <f t="shared" si="2"/>
        <v>27090</v>
      </c>
      <c r="F89" s="162"/>
      <c r="G89" s="162"/>
      <c r="H89" s="162"/>
      <c r="I89" s="1240">
        <v>25800</v>
      </c>
      <c r="J89" s="162">
        <f t="shared" si="0"/>
        <v>27090</v>
      </c>
      <c r="K89" s="162"/>
      <c r="L89" s="162"/>
    </row>
    <row r="90" spans="1:12" ht="13.5" customHeight="1">
      <c r="A90" s="1236"/>
      <c r="B90" s="1237" t="s">
        <v>3095</v>
      </c>
      <c r="C90" s="1238" t="s">
        <v>3096</v>
      </c>
      <c r="D90" s="1239" t="s">
        <v>127</v>
      </c>
      <c r="E90" s="1240">
        <f t="shared" si="2"/>
        <v>30975</v>
      </c>
      <c r="F90" s="162"/>
      <c r="G90" s="162"/>
      <c r="H90" s="162"/>
      <c r="I90" s="1240">
        <v>29500</v>
      </c>
      <c r="J90" s="162">
        <f t="shared" si="0"/>
        <v>30975</v>
      </c>
      <c r="K90" s="162"/>
      <c r="L90" s="162"/>
    </row>
    <row r="91" spans="1:12" ht="13.5" customHeight="1">
      <c r="A91" s="1236"/>
      <c r="B91" s="1237" t="s">
        <v>3097</v>
      </c>
      <c r="C91" s="1238" t="s">
        <v>3098</v>
      </c>
      <c r="D91" s="1239" t="s">
        <v>228</v>
      </c>
      <c r="E91" s="1240">
        <f t="shared" si="2"/>
        <v>17850</v>
      </c>
      <c r="F91" s="162"/>
      <c r="G91" s="162"/>
      <c r="H91" s="162"/>
      <c r="I91" s="1240">
        <v>17000</v>
      </c>
      <c r="J91" s="162">
        <f t="shared" si="0"/>
        <v>17850</v>
      </c>
      <c r="K91" s="162"/>
      <c r="L91" s="162"/>
    </row>
    <row r="92" spans="1:12" ht="13.5" customHeight="1">
      <c r="A92" s="1236"/>
      <c r="B92" s="1237" t="s">
        <v>3099</v>
      </c>
      <c r="C92" s="1238" t="s">
        <v>3100</v>
      </c>
      <c r="D92" s="1239" t="s">
        <v>127</v>
      </c>
      <c r="E92" s="1240">
        <f t="shared" si="2"/>
        <v>30923</v>
      </c>
      <c r="F92" s="162"/>
      <c r="G92" s="162"/>
      <c r="H92" s="162"/>
      <c r="I92" s="1240">
        <v>29450</v>
      </c>
      <c r="J92" s="162">
        <f t="shared" si="0"/>
        <v>30923</v>
      </c>
      <c r="K92" s="162"/>
      <c r="L92" s="162"/>
    </row>
    <row r="93" spans="1:12" ht="13.5" customHeight="1">
      <c r="A93" s="1236"/>
      <c r="B93" s="1237" t="s">
        <v>3101</v>
      </c>
      <c r="C93" s="1238" t="s">
        <v>3102</v>
      </c>
      <c r="D93" s="1239" t="s">
        <v>127</v>
      </c>
      <c r="E93" s="1240">
        <f t="shared" si="2"/>
        <v>683</v>
      </c>
      <c r="F93" s="162"/>
      <c r="G93" s="162"/>
      <c r="H93" s="162"/>
      <c r="I93" s="1240">
        <v>650</v>
      </c>
      <c r="J93" s="162">
        <f t="shared" si="0"/>
        <v>683</v>
      </c>
      <c r="K93" s="162"/>
      <c r="L93" s="162"/>
    </row>
    <row r="94" spans="1:12" ht="13.5" customHeight="1">
      <c r="A94" s="1236"/>
      <c r="B94" s="1237" t="s">
        <v>3103</v>
      </c>
      <c r="C94" s="1238" t="s">
        <v>3104</v>
      </c>
      <c r="D94" s="1239" t="s">
        <v>228</v>
      </c>
      <c r="E94" s="1240">
        <f t="shared" si="2"/>
        <v>40425</v>
      </c>
      <c r="F94" s="162"/>
      <c r="G94" s="162"/>
      <c r="H94" s="162"/>
      <c r="I94" s="1240">
        <v>38500</v>
      </c>
      <c r="J94" s="162">
        <f t="shared" si="0"/>
        <v>40425</v>
      </c>
      <c r="K94" s="162"/>
      <c r="L94" s="162"/>
    </row>
    <row r="95" spans="1:12" ht="13.5" customHeight="1">
      <c r="A95" s="1236"/>
      <c r="B95" s="1237" t="s">
        <v>3105</v>
      </c>
      <c r="C95" s="1238" t="s">
        <v>3106</v>
      </c>
      <c r="D95" s="1239" t="s">
        <v>228</v>
      </c>
      <c r="E95" s="1240">
        <f t="shared" si="2"/>
        <v>30450</v>
      </c>
      <c r="F95" s="162"/>
      <c r="G95" s="162"/>
      <c r="H95" s="162"/>
      <c r="I95" s="1240">
        <v>29000</v>
      </c>
      <c r="J95" s="162">
        <f t="shared" si="0"/>
        <v>30450</v>
      </c>
      <c r="K95" s="162"/>
      <c r="L95" s="162"/>
    </row>
    <row r="96" spans="1:12" ht="13.5" customHeight="1">
      <c r="A96" s="1236"/>
      <c r="B96" s="1237" t="s">
        <v>3105</v>
      </c>
      <c r="C96" s="1238" t="s">
        <v>3107</v>
      </c>
      <c r="D96" s="1239" t="s">
        <v>228</v>
      </c>
      <c r="E96" s="1240">
        <f t="shared" si="2"/>
        <v>30450</v>
      </c>
      <c r="F96" s="162"/>
      <c r="G96" s="162"/>
      <c r="H96" s="162"/>
      <c r="I96" s="1240">
        <v>29000</v>
      </c>
      <c r="J96" s="162">
        <f t="shared" si="0"/>
        <v>30450</v>
      </c>
      <c r="K96" s="162"/>
      <c r="L96" s="162">
        <f>1.13*5.9</f>
        <v>6.6669999999999998</v>
      </c>
    </row>
    <row r="97" spans="1:12" ht="13.5" customHeight="1">
      <c r="A97" s="1236"/>
      <c r="B97" s="1237" t="s">
        <v>3108</v>
      </c>
      <c r="C97" s="1238" t="s">
        <v>1698</v>
      </c>
      <c r="D97" s="1239" t="s">
        <v>228</v>
      </c>
      <c r="E97" s="1240">
        <f t="shared" si="2"/>
        <v>12600</v>
      </c>
      <c r="F97" s="162"/>
      <c r="G97" s="162"/>
      <c r="H97" s="162"/>
      <c r="I97" s="1240">
        <v>12000</v>
      </c>
      <c r="J97" s="162">
        <f t="shared" si="0"/>
        <v>12600</v>
      </c>
      <c r="K97" s="162"/>
      <c r="L97" s="162">
        <v>191900</v>
      </c>
    </row>
    <row r="98" spans="1:12" ht="13.5" customHeight="1">
      <c r="A98" s="1236"/>
      <c r="B98" s="1237" t="s">
        <v>3109</v>
      </c>
      <c r="C98" s="1238" t="s">
        <v>3110</v>
      </c>
      <c r="D98" s="1239" t="s">
        <v>228</v>
      </c>
      <c r="E98" s="1240">
        <f t="shared" si="2"/>
        <v>23835</v>
      </c>
      <c r="F98" s="162"/>
      <c r="G98" s="162"/>
      <c r="H98" s="162"/>
      <c r="I98" s="1240">
        <v>22700</v>
      </c>
      <c r="J98" s="162">
        <f t="shared" si="0"/>
        <v>23835</v>
      </c>
      <c r="K98" s="162"/>
      <c r="L98" s="162">
        <f>+L97/L96</f>
        <v>28783.560821958901</v>
      </c>
    </row>
    <row r="99" spans="1:12" ht="13.5" customHeight="1">
      <c r="A99" s="1236"/>
      <c r="B99" s="1237" t="s">
        <v>3111</v>
      </c>
      <c r="C99" s="1238" t="s">
        <v>3112</v>
      </c>
      <c r="D99" s="1239" t="s">
        <v>127</v>
      </c>
      <c r="E99" s="1240">
        <f t="shared" si="2"/>
        <v>735</v>
      </c>
      <c r="F99" s="162"/>
      <c r="G99" s="162"/>
      <c r="H99" s="162"/>
      <c r="I99" s="1240">
        <v>700</v>
      </c>
      <c r="J99" s="162">
        <f t="shared" si="0"/>
        <v>735</v>
      </c>
      <c r="K99" s="162"/>
      <c r="L99" s="162">
        <f>+L98*1.19</f>
        <v>34252.437378131093</v>
      </c>
    </row>
    <row r="100" spans="1:12" ht="13.5" customHeight="1">
      <c r="A100" s="1236"/>
      <c r="B100" s="1237" t="s">
        <v>3113</v>
      </c>
      <c r="C100" s="1238" t="s">
        <v>3114</v>
      </c>
      <c r="D100" s="1239" t="s">
        <v>127</v>
      </c>
      <c r="E100" s="1240">
        <f t="shared" si="2"/>
        <v>3518</v>
      </c>
      <c r="F100" s="162"/>
      <c r="G100" s="162"/>
      <c r="H100" s="162"/>
      <c r="I100" s="1240">
        <v>3350</v>
      </c>
      <c r="J100" s="162">
        <f t="shared" si="0"/>
        <v>3518</v>
      </c>
      <c r="K100" s="162"/>
      <c r="L100" s="162"/>
    </row>
    <row r="101" spans="1:12" ht="13.5" customHeight="1">
      <c r="A101" s="1236"/>
      <c r="B101" s="1237" t="s">
        <v>3115</v>
      </c>
      <c r="C101" s="1238" t="s">
        <v>3116</v>
      </c>
      <c r="D101" s="1239" t="s">
        <v>127</v>
      </c>
      <c r="E101" s="1240">
        <f t="shared" si="2"/>
        <v>2100</v>
      </c>
      <c r="F101" s="162"/>
      <c r="G101" s="162"/>
      <c r="H101" s="162"/>
      <c r="I101" s="1240">
        <v>2000</v>
      </c>
      <c r="J101" s="162">
        <f t="shared" si="0"/>
        <v>2100</v>
      </c>
      <c r="K101" s="162"/>
      <c r="L101" s="162"/>
    </row>
    <row r="102" spans="1:12" ht="13.5" customHeight="1">
      <c r="A102" s="1236"/>
      <c r="B102" s="1237" t="s">
        <v>3117</v>
      </c>
      <c r="C102" s="1238" t="s">
        <v>3118</v>
      </c>
      <c r="D102" s="1239" t="s">
        <v>127</v>
      </c>
      <c r="E102" s="1240">
        <f t="shared" si="2"/>
        <v>683</v>
      </c>
      <c r="F102" s="162"/>
      <c r="G102" s="162"/>
      <c r="H102" s="162"/>
      <c r="I102" s="1240">
        <v>650</v>
      </c>
      <c r="J102" s="162">
        <f t="shared" si="0"/>
        <v>683</v>
      </c>
      <c r="K102" s="162"/>
      <c r="L102" s="162"/>
    </row>
    <row r="103" spans="1:12" ht="13.5" customHeight="1">
      <c r="A103" s="1236"/>
      <c r="B103" s="1237" t="s">
        <v>3119</v>
      </c>
      <c r="C103" s="1238" t="s">
        <v>3120</v>
      </c>
      <c r="D103" s="1239" t="s">
        <v>127</v>
      </c>
      <c r="E103" s="1240">
        <f t="shared" si="2"/>
        <v>158</v>
      </c>
      <c r="F103" s="162"/>
      <c r="G103" s="162"/>
      <c r="H103" s="162"/>
      <c r="I103" s="1240">
        <v>150</v>
      </c>
      <c r="J103" s="162">
        <f t="shared" si="0"/>
        <v>158</v>
      </c>
      <c r="K103" s="162"/>
      <c r="L103" s="162"/>
    </row>
    <row r="104" spans="1:12" ht="13.5" customHeight="1">
      <c r="A104" s="1236"/>
      <c r="B104" s="1237" t="s">
        <v>3121</v>
      </c>
      <c r="C104" s="1238" t="s">
        <v>1754</v>
      </c>
      <c r="D104" s="1239" t="s">
        <v>120</v>
      </c>
      <c r="E104" s="1240">
        <f t="shared" si="2"/>
        <v>17325</v>
      </c>
      <c r="F104" s="162"/>
      <c r="G104" s="162"/>
      <c r="H104" s="162"/>
      <c r="I104" s="1240">
        <v>16500</v>
      </c>
      <c r="J104" s="162">
        <f t="shared" si="0"/>
        <v>17325</v>
      </c>
      <c r="K104" s="162"/>
      <c r="L104" s="162"/>
    </row>
    <row r="105" spans="1:12" ht="13.5" customHeight="1">
      <c r="A105" s="1236"/>
      <c r="B105" s="1237" t="s">
        <v>3122</v>
      </c>
      <c r="C105" s="1238" t="s">
        <v>3123</v>
      </c>
      <c r="D105" s="1239" t="s">
        <v>120</v>
      </c>
      <c r="E105" s="1240">
        <f t="shared" si="2"/>
        <v>68250</v>
      </c>
      <c r="F105" s="162"/>
      <c r="G105" s="162"/>
      <c r="H105" s="162"/>
      <c r="I105" s="1240">
        <v>65000</v>
      </c>
      <c r="J105" s="162">
        <f t="shared" si="0"/>
        <v>68250</v>
      </c>
      <c r="K105" s="162"/>
      <c r="L105" s="162"/>
    </row>
    <row r="106" spans="1:12" ht="13.5" customHeight="1">
      <c r="A106" s="1236"/>
      <c r="B106" s="1237" t="s">
        <v>3124</v>
      </c>
      <c r="C106" s="1238" t="s">
        <v>3125</v>
      </c>
      <c r="D106" s="1239" t="s">
        <v>127</v>
      </c>
      <c r="E106" s="1240">
        <f t="shared" si="2"/>
        <v>15881</v>
      </c>
      <c r="F106" s="162"/>
      <c r="G106" s="162"/>
      <c r="H106" s="162"/>
      <c r="I106" s="1240">
        <v>15125</v>
      </c>
      <c r="J106" s="162">
        <f t="shared" si="0"/>
        <v>15881</v>
      </c>
      <c r="K106" s="162"/>
      <c r="L106" s="162"/>
    </row>
    <row r="107" spans="1:12" ht="13.5" customHeight="1">
      <c r="A107" s="1236"/>
      <c r="B107" s="1237" t="s">
        <v>3126</v>
      </c>
      <c r="C107" s="1238" t="s">
        <v>3127</v>
      </c>
      <c r="D107" s="1239" t="s">
        <v>120</v>
      </c>
      <c r="E107" s="1240">
        <f t="shared" si="2"/>
        <v>6668</v>
      </c>
      <c r="F107" s="162"/>
      <c r="G107" s="162"/>
      <c r="H107" s="162"/>
      <c r="I107" s="1240">
        <v>6350</v>
      </c>
      <c r="J107" s="162">
        <f t="shared" si="0"/>
        <v>6668</v>
      </c>
      <c r="K107" s="162"/>
      <c r="L107" s="162"/>
    </row>
    <row r="108" spans="1:12" ht="13.5" customHeight="1">
      <c r="A108" s="1236"/>
      <c r="B108" s="1237" t="s">
        <v>3128</v>
      </c>
      <c r="C108" s="1238" t="s">
        <v>3129</v>
      </c>
      <c r="D108" s="1239" t="s">
        <v>120</v>
      </c>
      <c r="E108" s="1240">
        <f t="shared" si="2"/>
        <v>5775</v>
      </c>
      <c r="F108" s="162"/>
      <c r="G108" s="162"/>
      <c r="H108" s="162"/>
      <c r="I108" s="1240">
        <v>5500</v>
      </c>
      <c r="J108" s="162">
        <f t="shared" si="0"/>
        <v>5775</v>
      </c>
      <c r="K108" s="162"/>
      <c r="L108" s="162"/>
    </row>
    <row r="109" spans="1:12" ht="13.5" customHeight="1">
      <c r="A109" s="1236"/>
      <c r="B109" s="1237" t="s">
        <v>3130</v>
      </c>
      <c r="C109" s="1238" t="s">
        <v>3131</v>
      </c>
      <c r="D109" s="1239" t="s">
        <v>120</v>
      </c>
      <c r="E109" s="1240">
        <f t="shared" si="2"/>
        <v>13440</v>
      </c>
      <c r="F109" s="162"/>
      <c r="G109" s="162"/>
      <c r="H109" s="162"/>
      <c r="I109" s="1240">
        <v>12800</v>
      </c>
      <c r="J109" s="162">
        <f t="shared" si="0"/>
        <v>13440</v>
      </c>
      <c r="K109" s="162"/>
      <c r="L109" s="162"/>
    </row>
    <row r="110" spans="1:12" ht="13.5" customHeight="1">
      <c r="A110" s="1236"/>
      <c r="B110" s="1237" t="s">
        <v>3132</v>
      </c>
      <c r="C110" s="1238" t="s">
        <v>3133</v>
      </c>
      <c r="D110" s="1239" t="s">
        <v>120</v>
      </c>
      <c r="E110" s="1240">
        <f t="shared" si="2"/>
        <v>12600</v>
      </c>
      <c r="F110" s="162"/>
      <c r="G110" s="162"/>
      <c r="H110" s="162"/>
      <c r="I110" s="1240">
        <v>12000</v>
      </c>
      <c r="J110" s="162">
        <f t="shared" si="0"/>
        <v>12600</v>
      </c>
      <c r="K110" s="162"/>
      <c r="L110" s="162"/>
    </row>
    <row r="111" spans="1:12" ht="13.5" customHeight="1">
      <c r="A111" s="1236"/>
      <c r="B111" s="1237" t="s">
        <v>3134</v>
      </c>
      <c r="C111" s="1238" t="s">
        <v>3135</v>
      </c>
      <c r="D111" s="1239" t="s">
        <v>120</v>
      </c>
      <c r="E111" s="1240">
        <f t="shared" si="2"/>
        <v>9975</v>
      </c>
      <c r="F111" s="162"/>
      <c r="G111" s="162"/>
      <c r="H111" s="162"/>
      <c r="I111" s="1240">
        <v>9500</v>
      </c>
      <c r="J111" s="162">
        <f t="shared" si="0"/>
        <v>9975</v>
      </c>
      <c r="K111" s="162"/>
      <c r="L111" s="162"/>
    </row>
    <row r="112" spans="1:12" ht="13.5" customHeight="1">
      <c r="A112" s="1236"/>
      <c r="B112" s="1237" t="s">
        <v>3136</v>
      </c>
      <c r="C112" s="1238" t="s">
        <v>3137</v>
      </c>
      <c r="D112" s="1239" t="s">
        <v>120</v>
      </c>
      <c r="E112" s="1240">
        <f t="shared" si="2"/>
        <v>9660</v>
      </c>
      <c r="F112" s="162"/>
      <c r="G112" s="162"/>
      <c r="H112" s="162"/>
      <c r="I112" s="1240">
        <v>9200</v>
      </c>
      <c r="J112" s="162">
        <f t="shared" si="0"/>
        <v>9660</v>
      </c>
      <c r="K112" s="162"/>
      <c r="L112" s="162"/>
    </row>
    <row r="113" spans="1:10" ht="13.5" customHeight="1">
      <c r="A113" s="1236"/>
      <c r="B113" s="1237" t="s">
        <v>3138</v>
      </c>
      <c r="C113" s="1238" t="s">
        <v>3139</v>
      </c>
      <c r="D113" s="1239" t="s">
        <v>120</v>
      </c>
      <c r="E113" s="1240">
        <f t="shared" si="2"/>
        <v>9135</v>
      </c>
      <c r="F113" s="162"/>
      <c r="G113" s="162"/>
      <c r="H113" s="162"/>
      <c r="I113" s="1240">
        <v>8700</v>
      </c>
      <c r="J113" s="162">
        <f t="shared" si="0"/>
        <v>9135</v>
      </c>
    </row>
    <row r="114" spans="1:10" ht="13.5" customHeight="1">
      <c r="A114" s="1236"/>
      <c r="B114" s="1237" t="s">
        <v>3140</v>
      </c>
      <c r="C114" s="1238" t="s">
        <v>3141</v>
      </c>
      <c r="D114" s="1239" t="s">
        <v>120</v>
      </c>
      <c r="E114" s="1240">
        <f t="shared" si="2"/>
        <v>2520</v>
      </c>
      <c r="F114" s="162"/>
      <c r="G114" s="162"/>
      <c r="H114" s="162"/>
      <c r="I114" s="1240">
        <v>2400</v>
      </c>
      <c r="J114" s="162">
        <f t="shared" si="0"/>
        <v>2520</v>
      </c>
    </row>
    <row r="115" spans="1:10" ht="13.5" customHeight="1">
      <c r="A115" s="1236"/>
      <c r="B115" s="1237" t="s">
        <v>3142</v>
      </c>
      <c r="C115" s="1238" t="s">
        <v>1721</v>
      </c>
      <c r="D115" s="1239" t="s">
        <v>120</v>
      </c>
      <c r="E115" s="1240">
        <f t="shared" si="2"/>
        <v>1785</v>
      </c>
      <c r="F115" s="162"/>
      <c r="G115" s="162"/>
      <c r="H115" s="162"/>
      <c r="I115" s="1240">
        <v>1700</v>
      </c>
      <c r="J115" s="162">
        <f t="shared" si="0"/>
        <v>1785</v>
      </c>
    </row>
    <row r="116" spans="1:10" ht="13.5" customHeight="1">
      <c r="A116" s="1236"/>
      <c r="B116" s="1237" t="s">
        <v>3143</v>
      </c>
      <c r="C116" s="1238" t="s">
        <v>3144</v>
      </c>
      <c r="D116" s="1239" t="s">
        <v>120</v>
      </c>
      <c r="E116" s="1240">
        <f t="shared" si="2"/>
        <v>4568</v>
      </c>
      <c r="F116" s="162"/>
      <c r="G116" s="162"/>
      <c r="H116" s="162"/>
      <c r="I116" s="1240">
        <v>4350</v>
      </c>
      <c r="J116" s="162">
        <f t="shared" si="0"/>
        <v>4568</v>
      </c>
    </row>
    <row r="117" spans="1:10" ht="13.5" customHeight="1">
      <c r="A117" s="1236"/>
      <c r="B117" s="1237" t="s">
        <v>3145</v>
      </c>
      <c r="C117" s="1243" t="s">
        <v>3146</v>
      </c>
      <c r="D117" s="1239" t="s">
        <v>127</v>
      </c>
      <c r="E117" s="1240">
        <f t="shared" si="2"/>
        <v>70350</v>
      </c>
      <c r="F117" s="162"/>
      <c r="G117" s="162"/>
      <c r="H117" s="162"/>
      <c r="I117" s="1240">
        <v>67000</v>
      </c>
      <c r="J117" s="162">
        <f t="shared" si="0"/>
        <v>70350</v>
      </c>
    </row>
    <row r="118" spans="1:10" ht="13.5" customHeight="1">
      <c r="A118" s="1236"/>
      <c r="B118" s="1237" t="s">
        <v>3147</v>
      </c>
      <c r="C118" s="1243" t="s">
        <v>3148</v>
      </c>
      <c r="D118" s="1239" t="s">
        <v>127</v>
      </c>
      <c r="E118" s="1240">
        <f t="shared" si="2"/>
        <v>23520</v>
      </c>
      <c r="F118" s="162"/>
      <c r="G118" s="162"/>
      <c r="H118" s="162"/>
      <c r="I118" s="1240">
        <v>22400</v>
      </c>
      <c r="J118" s="162">
        <f t="shared" si="0"/>
        <v>23520</v>
      </c>
    </row>
    <row r="119" spans="1:10" ht="13.5" customHeight="1">
      <c r="A119" s="1236"/>
      <c r="B119" s="1237" t="s">
        <v>3149</v>
      </c>
      <c r="C119" s="1243" t="s">
        <v>3150</v>
      </c>
      <c r="D119" s="1239" t="s">
        <v>127</v>
      </c>
      <c r="E119" s="1240">
        <f t="shared" si="2"/>
        <v>51870</v>
      </c>
      <c r="F119" s="162"/>
      <c r="G119" s="162"/>
      <c r="H119" s="162"/>
      <c r="I119" s="1240">
        <v>49400</v>
      </c>
      <c r="J119" s="162">
        <f t="shared" si="0"/>
        <v>51870</v>
      </c>
    </row>
    <row r="120" spans="1:10" ht="13.5" customHeight="1">
      <c r="A120" s="1236"/>
      <c r="B120" s="1237" t="s">
        <v>3151</v>
      </c>
      <c r="C120" s="1243" t="s">
        <v>3152</v>
      </c>
      <c r="D120" s="1239" t="s">
        <v>120</v>
      </c>
      <c r="E120" s="1240">
        <f t="shared" si="2"/>
        <v>1208</v>
      </c>
      <c r="F120" s="162"/>
      <c r="G120" s="162"/>
      <c r="H120" s="162"/>
      <c r="I120" s="1240">
        <v>1150</v>
      </c>
      <c r="J120" s="162">
        <f t="shared" si="0"/>
        <v>1208</v>
      </c>
    </row>
    <row r="121" spans="1:10" ht="13.5" customHeight="1">
      <c r="A121" s="1244"/>
      <c r="B121" s="1237" t="s">
        <v>3153</v>
      </c>
      <c r="C121" s="1245" t="s">
        <v>3154</v>
      </c>
      <c r="D121" s="1246" t="s">
        <v>120</v>
      </c>
      <c r="E121" s="1240">
        <f t="shared" si="2"/>
        <v>4725</v>
      </c>
      <c r="F121" s="162"/>
      <c r="G121" s="162"/>
      <c r="H121" s="162"/>
      <c r="I121" s="1247">
        <v>4500</v>
      </c>
      <c r="J121" s="162">
        <f t="shared" si="0"/>
        <v>4725</v>
      </c>
    </row>
    <row r="122" spans="1:10" ht="13.5" customHeight="1">
      <c r="A122" s="1244"/>
      <c r="B122" s="1237" t="s">
        <v>3155</v>
      </c>
      <c r="C122" s="1245" t="s">
        <v>3156</v>
      </c>
      <c r="D122" s="1246" t="s">
        <v>1614</v>
      </c>
      <c r="E122" s="1240">
        <f t="shared" si="2"/>
        <v>2100</v>
      </c>
      <c r="F122" s="162"/>
      <c r="G122" s="162"/>
      <c r="H122" s="162"/>
      <c r="I122" s="1247">
        <v>2000</v>
      </c>
      <c r="J122" s="162">
        <f t="shared" si="0"/>
        <v>2100</v>
      </c>
    </row>
    <row r="123" spans="1:10" ht="13.5" customHeight="1">
      <c r="A123" s="1244"/>
      <c r="B123" s="1237" t="s">
        <v>3157</v>
      </c>
      <c r="C123" s="1245" t="s">
        <v>3158</v>
      </c>
      <c r="D123" s="1246" t="s">
        <v>120</v>
      </c>
      <c r="E123" s="1240">
        <f t="shared" si="2"/>
        <v>2940</v>
      </c>
      <c r="F123" s="162"/>
      <c r="G123" s="162"/>
      <c r="H123" s="162"/>
      <c r="I123" s="1247">
        <v>2800</v>
      </c>
      <c r="J123" s="162">
        <f t="shared" si="0"/>
        <v>2940</v>
      </c>
    </row>
    <row r="124" spans="1:10" ht="13.5" customHeight="1">
      <c r="A124" s="1244"/>
      <c r="B124" s="1237" t="s">
        <v>3159</v>
      </c>
      <c r="C124" s="1245" t="s">
        <v>3160</v>
      </c>
      <c r="D124" s="1246" t="s">
        <v>127</v>
      </c>
      <c r="E124" s="1240">
        <f t="shared" si="2"/>
        <v>21000</v>
      </c>
      <c r="F124" s="162"/>
      <c r="G124" s="162"/>
      <c r="H124" s="162"/>
      <c r="I124" s="1247">
        <v>20000</v>
      </c>
      <c r="J124" s="162">
        <f t="shared" si="0"/>
        <v>21000</v>
      </c>
    </row>
    <row r="125" spans="1:10" ht="13.5" customHeight="1">
      <c r="A125" s="1248"/>
      <c r="B125" s="1249"/>
      <c r="C125" s="1250"/>
      <c r="D125" s="1251"/>
      <c r="E125" s="1252"/>
      <c r="F125" s="162"/>
      <c r="G125" s="162"/>
      <c r="H125" s="162"/>
      <c r="I125" s="1252"/>
      <c r="J125" s="162">
        <f t="shared" si="0"/>
        <v>0</v>
      </c>
    </row>
    <row r="126" spans="1:10" ht="13.5" customHeight="1">
      <c r="A126" s="1253"/>
      <c r="B126" s="1227"/>
      <c r="C126" s="2235"/>
      <c r="D126" s="1601"/>
      <c r="E126" s="1602"/>
      <c r="F126" s="162"/>
      <c r="G126" s="162"/>
      <c r="H126" s="162"/>
      <c r="I126" s="162"/>
      <c r="J126" s="162">
        <f t="shared" si="0"/>
        <v>0</v>
      </c>
    </row>
    <row r="127" spans="1:10" ht="3.75" customHeight="1">
      <c r="A127" s="1254"/>
      <c r="B127" s="1255"/>
      <c r="C127" s="1256"/>
      <c r="D127" s="1257"/>
      <c r="E127" s="1258"/>
      <c r="F127" s="162"/>
      <c r="G127" s="162"/>
      <c r="H127" s="162"/>
      <c r="I127" s="1258"/>
      <c r="J127" s="162">
        <f t="shared" si="0"/>
        <v>0</v>
      </c>
    </row>
    <row r="128" spans="1:10" ht="13.5" customHeight="1">
      <c r="A128" s="1226" t="s">
        <v>3161</v>
      </c>
      <c r="B128" s="1227">
        <v>2</v>
      </c>
      <c r="C128" s="1228" t="s">
        <v>3162</v>
      </c>
      <c r="D128" s="1229"/>
      <c r="E128" s="1230"/>
      <c r="F128" s="162"/>
      <c r="G128" s="162"/>
      <c r="H128" s="162"/>
      <c r="I128" s="1230"/>
      <c r="J128" s="162">
        <f t="shared" si="0"/>
        <v>0</v>
      </c>
    </row>
    <row r="129" spans="1:10" ht="13.5" customHeight="1">
      <c r="A129" s="1231"/>
      <c r="B129" s="1259" t="s">
        <v>18</v>
      </c>
      <c r="C129" s="1233" t="s">
        <v>179</v>
      </c>
      <c r="D129" s="1260" t="s">
        <v>116</v>
      </c>
      <c r="E129" s="1235">
        <v>59450</v>
      </c>
      <c r="F129" s="162"/>
      <c r="G129" s="162"/>
      <c r="H129" s="162"/>
      <c r="I129" s="1235">
        <v>45000</v>
      </c>
      <c r="J129" s="162">
        <f t="shared" si="0"/>
        <v>47250</v>
      </c>
    </row>
    <row r="130" spans="1:10" ht="13.5" customHeight="1">
      <c r="A130" s="1236"/>
      <c r="B130" s="1261" t="s">
        <v>21</v>
      </c>
      <c r="C130" s="1238" t="s">
        <v>3163</v>
      </c>
      <c r="D130" s="1262" t="s">
        <v>1707</v>
      </c>
      <c r="E130" s="1240">
        <f t="shared" ref="E130:E140" si="3">+J130</f>
        <v>9135</v>
      </c>
      <c r="F130" s="162"/>
      <c r="G130" s="162"/>
      <c r="H130" s="162"/>
      <c r="I130" s="1263">
        <v>8700</v>
      </c>
      <c r="J130" s="162">
        <f t="shared" si="0"/>
        <v>9135</v>
      </c>
    </row>
    <row r="131" spans="1:10" ht="13.5" customHeight="1">
      <c r="A131" s="1236"/>
      <c r="B131" s="1261" t="s">
        <v>23</v>
      </c>
      <c r="C131" s="1238" t="s">
        <v>3164</v>
      </c>
      <c r="D131" s="1262" t="s">
        <v>171</v>
      </c>
      <c r="E131" s="1240">
        <f t="shared" si="3"/>
        <v>5355</v>
      </c>
      <c r="F131" s="162"/>
      <c r="G131" s="162"/>
      <c r="H131" s="162"/>
      <c r="I131" s="1263">
        <v>5100</v>
      </c>
      <c r="J131" s="162">
        <f t="shared" si="0"/>
        <v>5355</v>
      </c>
    </row>
    <row r="132" spans="1:10" ht="13.5" customHeight="1">
      <c r="A132" s="1236"/>
      <c r="B132" s="1261" t="s">
        <v>25</v>
      </c>
      <c r="C132" s="1238" t="s">
        <v>3165</v>
      </c>
      <c r="D132" s="1262" t="s">
        <v>116</v>
      </c>
      <c r="E132" s="1240">
        <f t="shared" si="3"/>
        <v>31500</v>
      </c>
      <c r="F132" s="162"/>
      <c r="G132" s="162"/>
      <c r="H132" s="162"/>
      <c r="I132" s="1263">
        <v>30000</v>
      </c>
      <c r="J132" s="162">
        <f t="shared" si="0"/>
        <v>31500</v>
      </c>
    </row>
    <row r="133" spans="1:10" ht="13.5" customHeight="1">
      <c r="A133" s="1236"/>
      <c r="B133" s="1261" t="s">
        <v>27</v>
      </c>
      <c r="C133" s="1238" t="s">
        <v>3166</v>
      </c>
      <c r="D133" s="1262" t="s">
        <v>116</v>
      </c>
      <c r="E133" s="1240">
        <f t="shared" si="3"/>
        <v>31500</v>
      </c>
      <c r="F133" s="162"/>
      <c r="G133" s="162"/>
      <c r="H133" s="162"/>
      <c r="I133" s="1263">
        <v>30000</v>
      </c>
      <c r="J133" s="162">
        <f t="shared" si="0"/>
        <v>31500</v>
      </c>
    </row>
    <row r="134" spans="1:10" ht="13.5" customHeight="1">
      <c r="A134" s="1236"/>
      <c r="B134" s="1261" t="s">
        <v>29</v>
      </c>
      <c r="C134" s="1238" t="s">
        <v>3167</v>
      </c>
      <c r="D134" s="1262" t="s">
        <v>171</v>
      </c>
      <c r="E134" s="1240">
        <f t="shared" si="3"/>
        <v>1103</v>
      </c>
      <c r="F134" s="162"/>
      <c r="G134" s="162"/>
      <c r="H134" s="162"/>
      <c r="I134" s="1263">
        <v>1050</v>
      </c>
      <c r="J134" s="162">
        <f t="shared" si="0"/>
        <v>1103</v>
      </c>
    </row>
    <row r="135" spans="1:10" ht="13.5" customHeight="1">
      <c r="A135" s="1236"/>
      <c r="B135" s="1261" t="s">
        <v>31</v>
      </c>
      <c r="C135" s="1238" t="s">
        <v>3168</v>
      </c>
      <c r="D135" s="1262" t="s">
        <v>116</v>
      </c>
      <c r="E135" s="1240">
        <f t="shared" si="3"/>
        <v>40163</v>
      </c>
      <c r="F135" s="162"/>
      <c r="G135" s="162"/>
      <c r="H135" s="162"/>
      <c r="I135" s="1263">
        <v>38250</v>
      </c>
      <c r="J135" s="162">
        <f t="shared" si="0"/>
        <v>40163</v>
      </c>
    </row>
    <row r="136" spans="1:10" ht="13.5" customHeight="1">
      <c r="A136" s="1236"/>
      <c r="B136" s="1261" t="s">
        <v>33</v>
      </c>
      <c r="C136" s="1238" t="s">
        <v>3169</v>
      </c>
      <c r="D136" s="1262" t="s">
        <v>116</v>
      </c>
      <c r="E136" s="1240">
        <f t="shared" si="3"/>
        <v>53592</v>
      </c>
      <c r="F136" s="162"/>
      <c r="G136" s="162"/>
      <c r="H136" s="162"/>
      <c r="I136" s="1263">
        <v>51040</v>
      </c>
      <c r="J136" s="162">
        <f t="shared" si="0"/>
        <v>53592</v>
      </c>
    </row>
    <row r="137" spans="1:10" ht="13.5" customHeight="1">
      <c r="A137" s="1236"/>
      <c r="B137" s="1261" t="s">
        <v>292</v>
      </c>
      <c r="C137" s="1238" t="s">
        <v>3170</v>
      </c>
      <c r="D137" s="1262" t="s">
        <v>171</v>
      </c>
      <c r="E137" s="1240">
        <f t="shared" si="3"/>
        <v>945</v>
      </c>
      <c r="F137" s="162"/>
      <c r="G137" s="162"/>
      <c r="H137" s="162"/>
      <c r="I137" s="1263">
        <v>900</v>
      </c>
      <c r="J137" s="162">
        <f t="shared" si="0"/>
        <v>945</v>
      </c>
    </row>
    <row r="138" spans="1:10" ht="13.5" customHeight="1">
      <c r="A138" s="1236"/>
      <c r="B138" s="1261" t="s">
        <v>390</v>
      </c>
      <c r="C138" s="1238" t="s">
        <v>3171</v>
      </c>
      <c r="D138" s="1262" t="s">
        <v>3172</v>
      </c>
      <c r="E138" s="1240">
        <f t="shared" si="3"/>
        <v>9450</v>
      </c>
      <c r="F138" s="162"/>
      <c r="G138" s="162"/>
      <c r="H138" s="162"/>
      <c r="I138" s="1263">
        <v>9000</v>
      </c>
      <c r="J138" s="162">
        <f t="shared" si="0"/>
        <v>9450</v>
      </c>
    </row>
    <row r="139" spans="1:10" ht="13.5" customHeight="1">
      <c r="A139" s="1236"/>
      <c r="B139" s="1261" t="s">
        <v>391</v>
      </c>
      <c r="C139" s="1238" t="s">
        <v>3173</v>
      </c>
      <c r="D139" s="1262" t="s">
        <v>171</v>
      </c>
      <c r="E139" s="1240">
        <f t="shared" si="3"/>
        <v>1575</v>
      </c>
      <c r="F139" s="162"/>
      <c r="G139" s="162"/>
      <c r="H139" s="162"/>
      <c r="I139" s="1263">
        <v>1500</v>
      </c>
      <c r="J139" s="162">
        <f t="shared" si="0"/>
        <v>1575</v>
      </c>
    </row>
    <row r="140" spans="1:10" ht="13.5" customHeight="1">
      <c r="A140" s="1236"/>
      <c r="B140" s="1261" t="s">
        <v>3174</v>
      </c>
      <c r="C140" s="1238" t="s">
        <v>3175</v>
      </c>
      <c r="D140" s="1262" t="s">
        <v>171</v>
      </c>
      <c r="E140" s="1240">
        <f t="shared" si="3"/>
        <v>1103</v>
      </c>
      <c r="F140" s="162"/>
      <c r="G140" s="162"/>
      <c r="H140" s="162"/>
      <c r="I140" s="1263">
        <v>1050</v>
      </c>
      <c r="J140" s="162">
        <f t="shared" si="0"/>
        <v>1103</v>
      </c>
    </row>
    <row r="141" spans="1:10" ht="13.5" customHeight="1">
      <c r="A141" s="1236"/>
      <c r="B141" s="1261" t="s">
        <v>3176</v>
      </c>
      <c r="C141" s="1238" t="s">
        <v>3177</v>
      </c>
      <c r="D141" s="1262" t="s">
        <v>171</v>
      </c>
      <c r="E141" s="1240">
        <v>600</v>
      </c>
      <c r="F141" s="162"/>
      <c r="G141" s="162"/>
      <c r="H141" s="162"/>
      <c r="I141" s="1263">
        <v>500</v>
      </c>
      <c r="J141" s="162">
        <f t="shared" si="0"/>
        <v>525</v>
      </c>
    </row>
    <row r="142" spans="1:10" ht="13.5" customHeight="1">
      <c r="A142" s="1236"/>
      <c r="B142" s="1261" t="s">
        <v>3178</v>
      </c>
      <c r="C142" s="1238" t="s">
        <v>3179</v>
      </c>
      <c r="D142" s="1262" t="s">
        <v>1707</v>
      </c>
      <c r="E142" s="1240">
        <f t="shared" ref="E142:E157" si="4">+J142</f>
        <v>33600</v>
      </c>
      <c r="F142" s="162"/>
      <c r="G142" s="162"/>
      <c r="H142" s="162"/>
      <c r="I142" s="1263">
        <v>32000</v>
      </c>
      <c r="J142" s="162">
        <f t="shared" si="0"/>
        <v>33600</v>
      </c>
    </row>
    <row r="143" spans="1:10" ht="13.5" customHeight="1">
      <c r="A143" s="1236"/>
      <c r="B143" s="1261" t="s">
        <v>3180</v>
      </c>
      <c r="C143" s="1238" t="s">
        <v>3181</v>
      </c>
      <c r="D143" s="1262" t="s">
        <v>1707</v>
      </c>
      <c r="E143" s="1240">
        <f t="shared" si="4"/>
        <v>35700</v>
      </c>
      <c r="F143" s="162"/>
      <c r="G143" s="162"/>
      <c r="H143" s="162"/>
      <c r="I143" s="1263">
        <v>34000</v>
      </c>
      <c r="J143" s="162">
        <f t="shared" si="0"/>
        <v>35700</v>
      </c>
    </row>
    <row r="144" spans="1:10" ht="13.5" customHeight="1">
      <c r="A144" s="1236"/>
      <c r="B144" s="1261" t="s">
        <v>3182</v>
      </c>
      <c r="C144" s="1238" t="s">
        <v>3183</v>
      </c>
      <c r="D144" s="1262" t="s">
        <v>171</v>
      </c>
      <c r="E144" s="1240">
        <f t="shared" si="4"/>
        <v>8925</v>
      </c>
      <c r="F144" s="162"/>
      <c r="G144" s="162"/>
      <c r="H144" s="162"/>
      <c r="I144" s="1263">
        <v>8500</v>
      </c>
      <c r="J144" s="162">
        <f t="shared" si="0"/>
        <v>8925</v>
      </c>
    </row>
    <row r="145" spans="1:10" ht="13.5" customHeight="1">
      <c r="A145" s="1236"/>
      <c r="B145" s="1261" t="s">
        <v>3184</v>
      </c>
      <c r="C145" s="1238" t="s">
        <v>3185</v>
      </c>
      <c r="D145" s="1262" t="s">
        <v>1707</v>
      </c>
      <c r="E145" s="1240">
        <f t="shared" si="4"/>
        <v>5775</v>
      </c>
      <c r="F145" s="162"/>
      <c r="G145" s="162"/>
      <c r="H145" s="162"/>
      <c r="I145" s="1263">
        <v>5500</v>
      </c>
      <c r="J145" s="162">
        <f t="shared" si="0"/>
        <v>5775</v>
      </c>
    </row>
    <row r="146" spans="1:10" ht="13.5" customHeight="1">
      <c r="A146" s="1236"/>
      <c r="B146" s="1261" t="s">
        <v>3186</v>
      </c>
      <c r="C146" s="1238" t="s">
        <v>3187</v>
      </c>
      <c r="D146" s="1262" t="s">
        <v>1707</v>
      </c>
      <c r="E146" s="1240">
        <f t="shared" si="4"/>
        <v>11025</v>
      </c>
      <c r="F146" s="162"/>
      <c r="G146" s="162"/>
      <c r="H146" s="162"/>
      <c r="I146" s="1263">
        <v>10500</v>
      </c>
      <c r="J146" s="162">
        <f t="shared" si="0"/>
        <v>11025</v>
      </c>
    </row>
    <row r="147" spans="1:10" ht="13.5" customHeight="1">
      <c r="A147" s="1236"/>
      <c r="B147" s="1261" t="s">
        <v>3188</v>
      </c>
      <c r="C147" s="1238" t="s">
        <v>3189</v>
      </c>
      <c r="D147" s="1262" t="s">
        <v>1707</v>
      </c>
      <c r="E147" s="1240">
        <f t="shared" si="4"/>
        <v>8925</v>
      </c>
      <c r="F147" s="162"/>
      <c r="G147" s="162"/>
      <c r="H147" s="162"/>
      <c r="I147" s="1263">
        <v>8500</v>
      </c>
      <c r="J147" s="162">
        <f t="shared" si="0"/>
        <v>8925</v>
      </c>
    </row>
    <row r="148" spans="1:10" ht="13.5" customHeight="1">
      <c r="A148" s="1236"/>
      <c r="B148" s="1261" t="s">
        <v>3190</v>
      </c>
      <c r="C148" s="1238" t="s">
        <v>2520</v>
      </c>
      <c r="D148" s="1262" t="s">
        <v>171</v>
      </c>
      <c r="E148" s="1240">
        <f t="shared" si="4"/>
        <v>2100</v>
      </c>
      <c r="F148" s="162"/>
      <c r="G148" s="162"/>
      <c r="H148" s="162"/>
      <c r="I148" s="1263">
        <v>2000</v>
      </c>
      <c r="J148" s="162">
        <f t="shared" si="0"/>
        <v>2100</v>
      </c>
    </row>
    <row r="149" spans="1:10" ht="13.5" customHeight="1">
      <c r="A149" s="1236"/>
      <c r="B149" s="1261" t="s">
        <v>3191</v>
      </c>
      <c r="C149" s="1238" t="s">
        <v>3192</v>
      </c>
      <c r="D149" s="1262" t="s">
        <v>116</v>
      </c>
      <c r="E149" s="1240">
        <f t="shared" si="4"/>
        <v>30975</v>
      </c>
      <c r="F149" s="162"/>
      <c r="G149" s="162"/>
      <c r="H149" s="162"/>
      <c r="I149" s="1263">
        <v>29500</v>
      </c>
      <c r="J149" s="162">
        <f t="shared" si="0"/>
        <v>30975</v>
      </c>
    </row>
    <row r="150" spans="1:10" ht="13.5" customHeight="1">
      <c r="A150" s="1236"/>
      <c r="B150" s="1261" t="s">
        <v>3193</v>
      </c>
      <c r="C150" s="1238" t="s">
        <v>3194</v>
      </c>
      <c r="D150" s="1262" t="s">
        <v>1707</v>
      </c>
      <c r="E150" s="1240">
        <f t="shared" si="4"/>
        <v>9450</v>
      </c>
      <c r="F150" s="162"/>
      <c r="G150" s="162"/>
      <c r="H150" s="162"/>
      <c r="I150" s="1263">
        <v>9000</v>
      </c>
      <c r="J150" s="162">
        <f t="shared" si="0"/>
        <v>9450</v>
      </c>
    </row>
    <row r="151" spans="1:10" ht="13.5" customHeight="1">
      <c r="A151" s="1236"/>
      <c r="B151" s="1261" t="s">
        <v>3195</v>
      </c>
      <c r="C151" s="1238" t="s">
        <v>3196</v>
      </c>
      <c r="D151" s="1262" t="s">
        <v>1707</v>
      </c>
      <c r="E151" s="1240">
        <f t="shared" si="4"/>
        <v>11235</v>
      </c>
      <c r="F151" s="162"/>
      <c r="G151" s="162"/>
      <c r="H151" s="162"/>
      <c r="I151" s="1263">
        <v>10700</v>
      </c>
      <c r="J151" s="162">
        <f t="shared" si="0"/>
        <v>11235</v>
      </c>
    </row>
    <row r="152" spans="1:10" ht="13.5" customHeight="1">
      <c r="A152" s="1236"/>
      <c r="B152" s="1261" t="s">
        <v>3197</v>
      </c>
      <c r="C152" s="1238" t="s">
        <v>3198</v>
      </c>
      <c r="D152" s="1262" t="s">
        <v>3172</v>
      </c>
      <c r="E152" s="1240">
        <f t="shared" si="4"/>
        <v>9450</v>
      </c>
      <c r="F152" s="162"/>
      <c r="G152" s="162"/>
      <c r="H152" s="162"/>
      <c r="I152" s="1263">
        <v>9000</v>
      </c>
      <c r="J152" s="162">
        <f t="shared" si="0"/>
        <v>9450</v>
      </c>
    </row>
    <row r="153" spans="1:10" ht="13.5" customHeight="1">
      <c r="A153" s="1236"/>
      <c r="B153" s="1261" t="s">
        <v>3199</v>
      </c>
      <c r="C153" s="1238" t="s">
        <v>3200</v>
      </c>
      <c r="D153" s="1262" t="s">
        <v>3172</v>
      </c>
      <c r="E153" s="1240">
        <f t="shared" si="4"/>
        <v>11550</v>
      </c>
      <c r="F153" s="162"/>
      <c r="G153" s="162"/>
      <c r="H153" s="162"/>
      <c r="I153" s="1263">
        <v>11000</v>
      </c>
      <c r="J153" s="162">
        <f t="shared" si="0"/>
        <v>11550</v>
      </c>
    </row>
    <row r="154" spans="1:10" ht="13.5" customHeight="1">
      <c r="A154" s="1236"/>
      <c r="B154" s="1261" t="s">
        <v>3201</v>
      </c>
      <c r="C154" s="1238" t="s">
        <v>3202</v>
      </c>
      <c r="D154" s="1262" t="s">
        <v>3172</v>
      </c>
      <c r="E154" s="1240">
        <f t="shared" si="4"/>
        <v>14616</v>
      </c>
      <c r="F154" s="162"/>
      <c r="G154" s="162"/>
      <c r="H154" s="162"/>
      <c r="I154" s="1263">
        <v>13920</v>
      </c>
      <c r="J154" s="162">
        <f t="shared" si="0"/>
        <v>14616</v>
      </c>
    </row>
    <row r="155" spans="1:10" ht="13.5" customHeight="1">
      <c r="A155" s="1236"/>
      <c r="B155" s="1261" t="s">
        <v>3203</v>
      </c>
      <c r="C155" s="1238" t="s">
        <v>3204</v>
      </c>
      <c r="D155" s="1262" t="s">
        <v>3172</v>
      </c>
      <c r="E155" s="1240">
        <f t="shared" si="4"/>
        <v>5565</v>
      </c>
      <c r="F155" s="162"/>
      <c r="G155" s="162"/>
      <c r="H155" s="162"/>
      <c r="I155" s="1263">
        <v>5300</v>
      </c>
      <c r="J155" s="162">
        <f t="shared" si="0"/>
        <v>5565</v>
      </c>
    </row>
    <row r="156" spans="1:10" ht="13.5" customHeight="1">
      <c r="A156" s="1236"/>
      <c r="B156" s="1261" t="s">
        <v>3205</v>
      </c>
      <c r="C156" s="1238" t="s">
        <v>3206</v>
      </c>
      <c r="D156" s="1262" t="s">
        <v>116</v>
      </c>
      <c r="E156" s="1240">
        <f t="shared" si="4"/>
        <v>67200</v>
      </c>
      <c r="F156" s="162"/>
      <c r="G156" s="162"/>
      <c r="H156" s="162"/>
      <c r="I156" s="1263">
        <v>64000</v>
      </c>
      <c r="J156" s="162">
        <f t="shared" si="0"/>
        <v>67200</v>
      </c>
    </row>
    <row r="157" spans="1:10" ht="13.5" customHeight="1">
      <c r="A157" s="1236"/>
      <c r="B157" s="1261" t="s">
        <v>3207</v>
      </c>
      <c r="C157" s="1238" t="s">
        <v>3208</v>
      </c>
      <c r="D157" s="1262" t="s">
        <v>116</v>
      </c>
      <c r="E157" s="1240">
        <f t="shared" si="4"/>
        <v>67200</v>
      </c>
      <c r="F157" s="162"/>
      <c r="G157" s="162"/>
      <c r="H157" s="162"/>
      <c r="I157" s="1263">
        <v>64000</v>
      </c>
      <c r="J157" s="162">
        <f t="shared" si="0"/>
        <v>67200</v>
      </c>
    </row>
    <row r="158" spans="1:10" ht="13.5" customHeight="1">
      <c r="A158" s="1236"/>
      <c r="B158" s="1261" t="s">
        <v>3209</v>
      </c>
      <c r="C158" s="1238" t="s">
        <v>3210</v>
      </c>
      <c r="D158" s="1262" t="s">
        <v>116</v>
      </c>
      <c r="E158" s="1240">
        <v>86750</v>
      </c>
      <c r="F158" s="162"/>
      <c r="G158" s="162"/>
      <c r="H158" s="162"/>
      <c r="I158" s="1263">
        <v>75000</v>
      </c>
      <c r="J158" s="162">
        <f t="shared" si="0"/>
        <v>78750</v>
      </c>
    </row>
    <row r="159" spans="1:10" ht="13.5" customHeight="1">
      <c r="A159" s="1236"/>
      <c r="B159" s="1261" t="s">
        <v>3211</v>
      </c>
      <c r="C159" s="1238" t="s">
        <v>3212</v>
      </c>
      <c r="D159" s="1262" t="s">
        <v>116</v>
      </c>
      <c r="E159" s="1240">
        <f t="shared" ref="E159:E183" si="5">+J159</f>
        <v>55125</v>
      </c>
      <c r="F159" s="162"/>
      <c r="G159" s="162"/>
      <c r="H159" s="162"/>
      <c r="I159" s="1263">
        <v>52500</v>
      </c>
      <c r="J159" s="162">
        <f t="shared" si="0"/>
        <v>55125</v>
      </c>
    </row>
    <row r="160" spans="1:10" ht="13.5" customHeight="1">
      <c r="A160" s="1236"/>
      <c r="B160" s="1261" t="s">
        <v>3213</v>
      </c>
      <c r="C160" s="1238" t="s">
        <v>3214</v>
      </c>
      <c r="D160" s="1262" t="s">
        <v>1707</v>
      </c>
      <c r="E160" s="1240">
        <f t="shared" si="5"/>
        <v>29873</v>
      </c>
      <c r="F160" s="162"/>
      <c r="G160" s="162"/>
      <c r="H160" s="162"/>
      <c r="I160" s="1263">
        <v>28450</v>
      </c>
      <c r="J160" s="162">
        <f t="shared" si="0"/>
        <v>29873</v>
      </c>
    </row>
    <row r="161" spans="1:10" ht="13.5" customHeight="1">
      <c r="A161" s="1236"/>
      <c r="B161" s="1261" t="s">
        <v>3215</v>
      </c>
      <c r="C161" s="1238" t="s">
        <v>3216</v>
      </c>
      <c r="D161" s="1262" t="s">
        <v>171</v>
      </c>
      <c r="E161" s="1240">
        <f t="shared" si="5"/>
        <v>683</v>
      </c>
      <c r="F161" s="162"/>
      <c r="G161" s="162"/>
      <c r="H161" s="162"/>
      <c r="I161" s="1263">
        <v>650</v>
      </c>
      <c r="J161" s="162">
        <f t="shared" si="0"/>
        <v>683</v>
      </c>
    </row>
    <row r="162" spans="1:10" ht="13.5" customHeight="1">
      <c r="A162" s="1236"/>
      <c r="B162" s="1261" t="s">
        <v>3217</v>
      </c>
      <c r="C162" s="1238" t="s">
        <v>3218</v>
      </c>
      <c r="D162" s="1262" t="s">
        <v>116</v>
      </c>
      <c r="E162" s="1240">
        <f t="shared" si="5"/>
        <v>13493</v>
      </c>
      <c r="F162" s="162"/>
      <c r="G162" s="162"/>
      <c r="H162" s="162"/>
      <c r="I162" s="1263">
        <v>12850</v>
      </c>
      <c r="J162" s="162">
        <f t="shared" si="0"/>
        <v>13493</v>
      </c>
    </row>
    <row r="163" spans="1:10" ht="13.5" customHeight="1">
      <c r="A163" s="1236"/>
      <c r="B163" s="1261" t="s">
        <v>3219</v>
      </c>
      <c r="C163" s="1238" t="s">
        <v>3220</v>
      </c>
      <c r="D163" s="1262" t="s">
        <v>116</v>
      </c>
      <c r="E163" s="1240">
        <f t="shared" si="5"/>
        <v>16275</v>
      </c>
      <c r="F163" s="162"/>
      <c r="G163" s="162"/>
      <c r="H163" s="162"/>
      <c r="I163" s="1263">
        <v>15500</v>
      </c>
      <c r="J163" s="162">
        <f t="shared" si="0"/>
        <v>16275</v>
      </c>
    </row>
    <row r="164" spans="1:10" ht="13.5" customHeight="1">
      <c r="A164" s="1236"/>
      <c r="B164" s="1261" t="s">
        <v>3221</v>
      </c>
      <c r="C164" s="1238" t="s">
        <v>3222</v>
      </c>
      <c r="D164" s="1262" t="s">
        <v>116</v>
      </c>
      <c r="E164" s="1240">
        <f t="shared" si="5"/>
        <v>21000</v>
      </c>
      <c r="F164" s="162"/>
      <c r="G164" s="162"/>
      <c r="H164" s="162"/>
      <c r="I164" s="1263">
        <v>20000</v>
      </c>
      <c r="J164" s="162">
        <f t="shared" si="0"/>
        <v>21000</v>
      </c>
    </row>
    <row r="165" spans="1:10" ht="13.5" customHeight="1">
      <c r="A165" s="1236"/>
      <c r="B165" s="1261" t="s">
        <v>3223</v>
      </c>
      <c r="C165" s="1238" t="s">
        <v>3224</v>
      </c>
      <c r="D165" s="1262" t="s">
        <v>116</v>
      </c>
      <c r="E165" s="1240">
        <f t="shared" si="5"/>
        <v>13125</v>
      </c>
      <c r="F165" s="162"/>
      <c r="G165" s="162"/>
      <c r="H165" s="162"/>
      <c r="I165" s="1263">
        <v>12500</v>
      </c>
      <c r="J165" s="162">
        <f t="shared" si="0"/>
        <v>13125</v>
      </c>
    </row>
    <row r="166" spans="1:10" ht="13.5" customHeight="1">
      <c r="A166" s="1236"/>
      <c r="B166" s="1261" t="s">
        <v>3225</v>
      </c>
      <c r="C166" s="1238" t="s">
        <v>3226</v>
      </c>
      <c r="D166" s="1262" t="s">
        <v>116</v>
      </c>
      <c r="E166" s="1240">
        <f t="shared" si="5"/>
        <v>56700</v>
      </c>
      <c r="F166" s="162"/>
      <c r="G166" s="162"/>
      <c r="H166" s="162"/>
      <c r="I166" s="1263">
        <v>54000</v>
      </c>
      <c r="J166" s="162">
        <f t="shared" si="0"/>
        <v>56700</v>
      </c>
    </row>
    <row r="167" spans="1:10" ht="13.5" customHeight="1">
      <c r="A167" s="1236"/>
      <c r="B167" s="1261" t="s">
        <v>3227</v>
      </c>
      <c r="C167" s="1238" t="s">
        <v>170</v>
      </c>
      <c r="D167" s="1262" t="s">
        <v>171</v>
      </c>
      <c r="E167" s="1240">
        <f t="shared" si="5"/>
        <v>6825</v>
      </c>
      <c r="F167" s="162"/>
      <c r="G167" s="162"/>
      <c r="H167" s="162"/>
      <c r="I167" s="1263">
        <v>6500</v>
      </c>
      <c r="J167" s="162">
        <f t="shared" si="0"/>
        <v>6825</v>
      </c>
    </row>
    <row r="168" spans="1:10" ht="13.5" customHeight="1">
      <c r="A168" s="1236"/>
      <c r="B168" s="1261" t="s">
        <v>3228</v>
      </c>
      <c r="C168" s="1238" t="s">
        <v>3229</v>
      </c>
      <c r="D168" s="1262" t="s">
        <v>127</v>
      </c>
      <c r="E168" s="1240">
        <f t="shared" si="5"/>
        <v>12600</v>
      </c>
      <c r="F168" s="162"/>
      <c r="G168" s="162"/>
      <c r="H168" s="162"/>
      <c r="I168" s="1263">
        <v>12000</v>
      </c>
      <c r="J168" s="162">
        <f t="shared" si="0"/>
        <v>12600</v>
      </c>
    </row>
    <row r="169" spans="1:10" ht="13.5" customHeight="1">
      <c r="A169" s="1236"/>
      <c r="B169" s="1261" t="s">
        <v>3230</v>
      </c>
      <c r="C169" s="1238" t="s">
        <v>3231</v>
      </c>
      <c r="D169" s="1262" t="s">
        <v>171</v>
      </c>
      <c r="E169" s="1240">
        <f t="shared" si="5"/>
        <v>1260</v>
      </c>
      <c r="F169" s="162"/>
      <c r="G169" s="162"/>
      <c r="H169" s="162"/>
      <c r="I169" s="1263">
        <v>1200</v>
      </c>
      <c r="J169" s="162">
        <f t="shared" si="0"/>
        <v>1260</v>
      </c>
    </row>
    <row r="170" spans="1:10" ht="13.5" customHeight="1">
      <c r="A170" s="1236"/>
      <c r="B170" s="1261" t="s">
        <v>3232</v>
      </c>
      <c r="C170" s="1238" t="s">
        <v>3233</v>
      </c>
      <c r="D170" s="1262" t="s">
        <v>116</v>
      </c>
      <c r="E170" s="1240">
        <f t="shared" si="5"/>
        <v>36750</v>
      </c>
      <c r="F170" s="162"/>
      <c r="G170" s="162"/>
      <c r="H170" s="162"/>
      <c r="I170" s="1263">
        <v>35000</v>
      </c>
      <c r="J170" s="162">
        <f t="shared" si="0"/>
        <v>36750</v>
      </c>
    </row>
    <row r="171" spans="1:10" ht="13.5" customHeight="1">
      <c r="A171" s="1236"/>
      <c r="B171" s="1261" t="s">
        <v>3234</v>
      </c>
      <c r="C171" s="1238" t="s">
        <v>3235</v>
      </c>
      <c r="D171" s="1262" t="s">
        <v>116</v>
      </c>
      <c r="E171" s="1240">
        <f t="shared" si="5"/>
        <v>60900</v>
      </c>
      <c r="F171" s="162"/>
      <c r="G171" s="162"/>
      <c r="H171" s="162"/>
      <c r="I171" s="1263">
        <v>58000</v>
      </c>
      <c r="J171" s="162">
        <f t="shared" si="0"/>
        <v>60900</v>
      </c>
    </row>
    <row r="172" spans="1:10" ht="13.5" customHeight="1">
      <c r="A172" s="1236"/>
      <c r="B172" s="1261" t="s">
        <v>3236</v>
      </c>
      <c r="C172" s="1238" t="s">
        <v>3237</v>
      </c>
      <c r="D172" s="1262" t="s">
        <v>116</v>
      </c>
      <c r="E172" s="1240">
        <f t="shared" si="5"/>
        <v>36750</v>
      </c>
      <c r="F172" s="162"/>
      <c r="G172" s="162"/>
      <c r="H172" s="162"/>
      <c r="I172" s="1263">
        <v>35000</v>
      </c>
      <c r="J172" s="162">
        <f t="shared" si="0"/>
        <v>36750</v>
      </c>
    </row>
    <row r="173" spans="1:10" ht="13.5" customHeight="1">
      <c r="A173" s="1236"/>
      <c r="B173" s="1261" t="s">
        <v>3238</v>
      </c>
      <c r="C173" s="1238" t="s">
        <v>3239</v>
      </c>
      <c r="D173" s="1262" t="s">
        <v>171</v>
      </c>
      <c r="E173" s="1240">
        <f t="shared" si="5"/>
        <v>8190</v>
      </c>
      <c r="F173" s="162"/>
      <c r="G173" s="162"/>
      <c r="H173" s="162"/>
      <c r="I173" s="1263">
        <v>7800</v>
      </c>
      <c r="J173" s="162">
        <f t="shared" si="0"/>
        <v>8190</v>
      </c>
    </row>
    <row r="174" spans="1:10" ht="13.5" customHeight="1">
      <c r="A174" s="1236"/>
      <c r="B174" s="1261" t="s">
        <v>3240</v>
      </c>
      <c r="C174" s="1238" t="s">
        <v>3241</v>
      </c>
      <c r="D174" s="1262" t="s">
        <v>116</v>
      </c>
      <c r="E174" s="1240">
        <f t="shared" si="5"/>
        <v>10500</v>
      </c>
      <c r="F174" s="162"/>
      <c r="G174" s="162"/>
      <c r="H174" s="162"/>
      <c r="I174" s="1263">
        <v>10000</v>
      </c>
      <c r="J174" s="162">
        <f t="shared" si="0"/>
        <v>10500</v>
      </c>
    </row>
    <row r="175" spans="1:10" ht="13.5" customHeight="1">
      <c r="A175" s="1236"/>
      <c r="B175" s="1261" t="s">
        <v>3242</v>
      </c>
      <c r="C175" s="1238" t="s">
        <v>3243</v>
      </c>
      <c r="D175" s="1262" t="s">
        <v>116</v>
      </c>
      <c r="E175" s="1240">
        <f t="shared" si="5"/>
        <v>18900</v>
      </c>
      <c r="F175" s="162"/>
      <c r="G175" s="162"/>
      <c r="H175" s="162"/>
      <c r="I175" s="1263">
        <v>18000</v>
      </c>
      <c r="J175" s="162">
        <f t="shared" si="0"/>
        <v>18900</v>
      </c>
    </row>
    <row r="176" spans="1:10" ht="13.5" customHeight="1">
      <c r="A176" s="1236"/>
      <c r="B176" s="1261" t="s">
        <v>3244</v>
      </c>
      <c r="C176" s="1238" t="s">
        <v>3245</v>
      </c>
      <c r="D176" s="1262" t="s">
        <v>3172</v>
      </c>
      <c r="E176" s="1240">
        <f t="shared" si="5"/>
        <v>23100</v>
      </c>
      <c r="F176" s="162"/>
      <c r="G176" s="162"/>
      <c r="H176" s="162"/>
      <c r="I176" s="1263">
        <v>22000</v>
      </c>
      <c r="J176" s="162">
        <f t="shared" si="0"/>
        <v>23100</v>
      </c>
    </row>
    <row r="177" spans="1:10" ht="13.5" customHeight="1">
      <c r="A177" s="1236"/>
      <c r="B177" s="1261" t="s">
        <v>3246</v>
      </c>
      <c r="C177" s="1238" t="s">
        <v>173</v>
      </c>
      <c r="D177" s="1262" t="s">
        <v>116</v>
      </c>
      <c r="E177" s="1240">
        <f t="shared" si="5"/>
        <v>36750</v>
      </c>
      <c r="F177" s="162"/>
      <c r="G177" s="162"/>
      <c r="H177" s="162"/>
      <c r="I177" s="1263">
        <v>35000</v>
      </c>
      <c r="J177" s="162">
        <f t="shared" si="0"/>
        <v>36750</v>
      </c>
    </row>
    <row r="178" spans="1:10" ht="13.5" customHeight="1">
      <c r="A178" s="1236"/>
      <c r="B178" s="1261" t="s">
        <v>3247</v>
      </c>
      <c r="C178" s="1238" t="s">
        <v>3248</v>
      </c>
      <c r="D178" s="1262" t="s">
        <v>116</v>
      </c>
      <c r="E178" s="1240">
        <f t="shared" si="5"/>
        <v>45150</v>
      </c>
      <c r="F178" s="162"/>
      <c r="G178" s="162"/>
      <c r="H178" s="162"/>
      <c r="I178" s="1263">
        <v>43000</v>
      </c>
      <c r="J178" s="162">
        <f t="shared" si="0"/>
        <v>45150</v>
      </c>
    </row>
    <row r="179" spans="1:10" ht="13.5" customHeight="1">
      <c r="A179" s="1236"/>
      <c r="B179" s="1261" t="s">
        <v>3249</v>
      </c>
      <c r="C179" s="1238" t="s">
        <v>3250</v>
      </c>
      <c r="D179" s="1262" t="s">
        <v>116</v>
      </c>
      <c r="E179" s="1240">
        <f t="shared" si="5"/>
        <v>31500</v>
      </c>
      <c r="F179" s="162"/>
      <c r="G179" s="162"/>
      <c r="H179" s="162"/>
      <c r="I179" s="1263">
        <v>30000</v>
      </c>
      <c r="J179" s="162">
        <f t="shared" si="0"/>
        <v>31500</v>
      </c>
    </row>
    <row r="180" spans="1:10" ht="13.5" customHeight="1">
      <c r="A180" s="1236"/>
      <c r="B180" s="1261" t="s">
        <v>3251</v>
      </c>
      <c r="C180" s="1238" t="s">
        <v>3252</v>
      </c>
      <c r="D180" s="1262" t="s">
        <v>3172</v>
      </c>
      <c r="E180" s="1240">
        <f t="shared" si="5"/>
        <v>17850</v>
      </c>
      <c r="F180" s="162"/>
      <c r="G180" s="162"/>
      <c r="H180" s="162"/>
      <c r="I180" s="1263">
        <v>17000</v>
      </c>
      <c r="J180" s="162">
        <f t="shared" si="0"/>
        <v>17850</v>
      </c>
    </row>
    <row r="181" spans="1:10" ht="13.5" customHeight="1">
      <c r="A181" s="1236"/>
      <c r="B181" s="1261" t="s">
        <v>3253</v>
      </c>
      <c r="C181" s="1238" t="s">
        <v>3254</v>
      </c>
      <c r="D181" s="1262" t="s">
        <v>116</v>
      </c>
      <c r="E181" s="1240">
        <f t="shared" si="5"/>
        <v>407624</v>
      </c>
      <c r="F181" s="162"/>
      <c r="G181" s="162"/>
      <c r="H181" s="162"/>
      <c r="I181" s="1240">
        <v>388213</v>
      </c>
      <c r="J181" s="162">
        <f t="shared" si="0"/>
        <v>407624</v>
      </c>
    </row>
    <row r="182" spans="1:10" ht="13.5" customHeight="1">
      <c r="A182" s="1236"/>
      <c r="B182" s="1261" t="s">
        <v>3255</v>
      </c>
      <c r="C182" s="1238" t="s">
        <v>3256</v>
      </c>
      <c r="D182" s="1262" t="s">
        <v>1707</v>
      </c>
      <c r="E182" s="1240">
        <f t="shared" si="5"/>
        <v>8505</v>
      </c>
      <c r="F182" s="162"/>
      <c r="G182" s="162"/>
      <c r="H182" s="162"/>
      <c r="I182" s="1240">
        <v>8100</v>
      </c>
      <c r="J182" s="162">
        <f t="shared" si="0"/>
        <v>8505</v>
      </c>
    </row>
    <row r="183" spans="1:10" ht="13.5" customHeight="1">
      <c r="A183" s="1236"/>
      <c r="B183" s="1261" t="s">
        <v>3257</v>
      </c>
      <c r="C183" s="1238" t="s">
        <v>3258</v>
      </c>
      <c r="D183" s="1262" t="s">
        <v>116</v>
      </c>
      <c r="E183" s="1240">
        <f t="shared" si="5"/>
        <v>409500</v>
      </c>
      <c r="F183" s="162"/>
      <c r="G183" s="162"/>
      <c r="H183" s="162"/>
      <c r="I183" s="1240">
        <v>390000</v>
      </c>
      <c r="J183" s="162">
        <f t="shared" si="0"/>
        <v>409500</v>
      </c>
    </row>
    <row r="184" spans="1:10" ht="13.5" customHeight="1">
      <c r="A184" s="1248"/>
      <c r="B184" s="1249"/>
      <c r="C184" s="1250"/>
      <c r="D184" s="1251"/>
      <c r="E184" s="1252"/>
      <c r="F184" s="162"/>
      <c r="G184" s="162"/>
      <c r="H184" s="162"/>
      <c r="I184" s="1252"/>
      <c r="J184" s="162">
        <f t="shared" si="0"/>
        <v>0</v>
      </c>
    </row>
    <row r="185" spans="1:10" ht="13.5" customHeight="1">
      <c r="A185" s="1253"/>
      <c r="B185" s="1227"/>
      <c r="C185" s="2235"/>
      <c r="D185" s="1601"/>
      <c r="E185" s="1602"/>
      <c r="F185" s="162"/>
      <c r="G185" s="162"/>
      <c r="H185" s="162"/>
      <c r="I185" s="162"/>
      <c r="J185" s="162">
        <f t="shared" si="0"/>
        <v>0</v>
      </c>
    </row>
    <row r="186" spans="1:10" ht="3.75" customHeight="1">
      <c r="A186" s="1254"/>
      <c r="B186" s="1255"/>
      <c r="C186" s="1256"/>
      <c r="D186" s="1257"/>
      <c r="E186" s="1258"/>
      <c r="F186" s="162"/>
      <c r="G186" s="162"/>
      <c r="H186" s="162"/>
      <c r="I186" s="1258"/>
      <c r="J186" s="162">
        <f t="shared" si="0"/>
        <v>0</v>
      </c>
    </row>
    <row r="187" spans="1:10" ht="13.5" customHeight="1">
      <c r="A187" s="1226"/>
      <c r="B187" s="1227">
        <v>3</v>
      </c>
      <c r="C187" s="1228" t="s">
        <v>3259</v>
      </c>
      <c r="D187" s="1229"/>
      <c r="E187" s="1230"/>
      <c r="F187" s="162"/>
      <c r="G187" s="162"/>
      <c r="H187" s="162"/>
      <c r="I187" s="1230"/>
      <c r="J187" s="162">
        <f t="shared" si="0"/>
        <v>0</v>
      </c>
    </row>
    <row r="188" spans="1:10" ht="13.5" customHeight="1">
      <c r="A188" s="1231"/>
      <c r="B188" s="1259" t="s">
        <v>36</v>
      </c>
      <c r="C188" s="1233" t="s">
        <v>3260</v>
      </c>
      <c r="D188" s="1260" t="s">
        <v>127</v>
      </c>
      <c r="E188" s="1235">
        <f t="shared" ref="E188:E299" si="6">+J188</f>
        <v>473</v>
      </c>
      <c r="F188" s="162"/>
      <c r="G188" s="162"/>
      <c r="H188" s="162"/>
      <c r="I188" s="1263">
        <v>450</v>
      </c>
      <c r="J188" s="162">
        <f t="shared" si="0"/>
        <v>473</v>
      </c>
    </row>
    <row r="189" spans="1:10" ht="13.5" customHeight="1">
      <c r="A189" s="1236"/>
      <c r="B189" s="1261" t="s">
        <v>38</v>
      </c>
      <c r="C189" s="1238" t="s">
        <v>3261</v>
      </c>
      <c r="D189" s="1262" t="s">
        <v>127</v>
      </c>
      <c r="E189" s="1240">
        <f t="shared" si="6"/>
        <v>315</v>
      </c>
      <c r="F189" s="162"/>
      <c r="G189" s="162"/>
      <c r="H189" s="162"/>
      <c r="I189" s="1263">
        <v>300</v>
      </c>
      <c r="J189" s="162">
        <f t="shared" si="0"/>
        <v>315</v>
      </c>
    </row>
    <row r="190" spans="1:10" ht="13.5" customHeight="1">
      <c r="A190" s="1236"/>
      <c r="B190" s="1261" t="s">
        <v>40</v>
      </c>
      <c r="C190" s="1238" t="s">
        <v>3262</v>
      </c>
      <c r="D190" s="1262" t="s">
        <v>127</v>
      </c>
      <c r="E190" s="1240">
        <f t="shared" si="6"/>
        <v>23100</v>
      </c>
      <c r="F190" s="162"/>
      <c r="G190" s="162"/>
      <c r="H190" s="162"/>
      <c r="I190" s="1263">
        <v>22000</v>
      </c>
      <c r="J190" s="162">
        <f t="shared" si="0"/>
        <v>23100</v>
      </c>
    </row>
    <row r="191" spans="1:10" ht="13.5" customHeight="1">
      <c r="A191" s="1236"/>
      <c r="B191" s="1261" t="s">
        <v>42</v>
      </c>
      <c r="C191" s="1238" t="s">
        <v>3263</v>
      </c>
      <c r="D191" s="1262" t="s">
        <v>127</v>
      </c>
      <c r="E191" s="1240">
        <f t="shared" si="6"/>
        <v>7875</v>
      </c>
      <c r="F191" s="162"/>
      <c r="G191" s="162"/>
      <c r="H191" s="162"/>
      <c r="I191" s="1263">
        <v>7500</v>
      </c>
      <c r="J191" s="162">
        <f t="shared" si="0"/>
        <v>7875</v>
      </c>
    </row>
    <row r="192" spans="1:10" ht="13.5" customHeight="1">
      <c r="A192" s="1236"/>
      <c r="B192" s="1261" t="s">
        <v>45</v>
      </c>
      <c r="C192" s="1238" t="s">
        <v>3264</v>
      </c>
      <c r="D192" s="1262" t="s">
        <v>127</v>
      </c>
      <c r="E192" s="1240">
        <f t="shared" si="6"/>
        <v>3780</v>
      </c>
      <c r="F192" s="162"/>
      <c r="G192" s="162"/>
      <c r="H192" s="162"/>
      <c r="I192" s="1263">
        <v>3600</v>
      </c>
      <c r="J192" s="162">
        <f t="shared" si="0"/>
        <v>3780</v>
      </c>
    </row>
    <row r="193" spans="2:10" ht="13.5" customHeight="1">
      <c r="B193" s="1261" t="s">
        <v>155</v>
      </c>
      <c r="C193" s="1238" t="s">
        <v>3265</v>
      </c>
      <c r="D193" s="1262" t="s">
        <v>127</v>
      </c>
      <c r="E193" s="1240">
        <f t="shared" si="6"/>
        <v>27825</v>
      </c>
      <c r="F193" s="162"/>
      <c r="G193" s="162"/>
      <c r="H193" s="162"/>
      <c r="I193" s="1263">
        <v>26500</v>
      </c>
      <c r="J193" s="162">
        <f t="shared" si="0"/>
        <v>27825</v>
      </c>
    </row>
    <row r="194" spans="2:10" ht="13.5" customHeight="1">
      <c r="B194" s="1261" t="s">
        <v>393</v>
      </c>
      <c r="C194" s="1238" t="s">
        <v>3266</v>
      </c>
      <c r="D194" s="1262" t="s">
        <v>127</v>
      </c>
      <c r="E194" s="1240">
        <f t="shared" si="6"/>
        <v>17850</v>
      </c>
      <c r="F194" s="162"/>
      <c r="G194" s="162"/>
      <c r="H194" s="162"/>
      <c r="I194" s="1263">
        <v>17000</v>
      </c>
      <c r="J194" s="162">
        <f t="shared" si="0"/>
        <v>17850</v>
      </c>
    </row>
    <row r="195" spans="2:10" ht="13.5" customHeight="1">
      <c r="B195" s="1261" t="s">
        <v>394</v>
      </c>
      <c r="C195" s="1238" t="s">
        <v>3267</v>
      </c>
      <c r="D195" s="1262" t="s">
        <v>127</v>
      </c>
      <c r="E195" s="1240">
        <f t="shared" si="6"/>
        <v>13650</v>
      </c>
      <c r="F195" s="162"/>
      <c r="G195" s="162"/>
      <c r="H195" s="162"/>
      <c r="I195" s="1263">
        <v>13000</v>
      </c>
      <c r="J195" s="162">
        <f t="shared" si="0"/>
        <v>13650</v>
      </c>
    </row>
    <row r="196" spans="2:10" ht="13.5" customHeight="1">
      <c r="B196" s="1261" t="s">
        <v>395</v>
      </c>
      <c r="C196" s="1238" t="s">
        <v>3268</v>
      </c>
      <c r="D196" s="1262" t="s">
        <v>120</v>
      </c>
      <c r="E196" s="1240">
        <f t="shared" si="6"/>
        <v>1418</v>
      </c>
      <c r="F196" s="162"/>
      <c r="G196" s="162"/>
      <c r="H196" s="162"/>
      <c r="I196" s="1263">
        <v>1350</v>
      </c>
      <c r="J196" s="162">
        <f t="shared" si="0"/>
        <v>1418</v>
      </c>
    </row>
    <row r="197" spans="2:10" ht="13.5" customHeight="1">
      <c r="B197" s="1261" t="s">
        <v>396</v>
      </c>
      <c r="C197" s="1238" t="s">
        <v>3269</v>
      </c>
      <c r="D197" s="1262" t="s">
        <v>120</v>
      </c>
      <c r="E197" s="1240">
        <f t="shared" si="6"/>
        <v>1050</v>
      </c>
      <c r="F197" s="162"/>
      <c r="G197" s="162"/>
      <c r="H197" s="162"/>
      <c r="I197" s="1263">
        <v>1000</v>
      </c>
      <c r="J197" s="162">
        <f t="shared" si="0"/>
        <v>1050</v>
      </c>
    </row>
    <row r="198" spans="2:10" ht="13.5" customHeight="1">
      <c r="B198" s="1261" t="s">
        <v>397</v>
      </c>
      <c r="C198" s="1238" t="s">
        <v>3270</v>
      </c>
      <c r="D198" s="1262" t="s">
        <v>120</v>
      </c>
      <c r="E198" s="1240">
        <f t="shared" si="6"/>
        <v>683</v>
      </c>
      <c r="F198" s="162"/>
      <c r="G198" s="162"/>
      <c r="H198" s="162"/>
      <c r="I198" s="1263">
        <v>650</v>
      </c>
      <c r="J198" s="162">
        <f t="shared" si="0"/>
        <v>683</v>
      </c>
    </row>
    <row r="199" spans="2:10" ht="13.5" customHeight="1">
      <c r="B199" s="1261" t="s">
        <v>401</v>
      </c>
      <c r="C199" s="1238" t="s">
        <v>3271</v>
      </c>
      <c r="D199" s="1262" t="s">
        <v>120</v>
      </c>
      <c r="E199" s="1240">
        <f t="shared" si="6"/>
        <v>3150</v>
      </c>
      <c r="F199" s="162"/>
      <c r="G199" s="162"/>
      <c r="H199" s="162"/>
      <c r="I199" s="1263">
        <v>3000</v>
      </c>
      <c r="J199" s="162">
        <f t="shared" si="0"/>
        <v>3150</v>
      </c>
    </row>
    <row r="200" spans="2:10" ht="13.5" customHeight="1">
      <c r="B200" s="1261" t="s">
        <v>403</v>
      </c>
      <c r="C200" s="1238" t="s">
        <v>3272</v>
      </c>
      <c r="D200" s="1262" t="s">
        <v>127</v>
      </c>
      <c r="E200" s="1240">
        <f t="shared" si="6"/>
        <v>3150</v>
      </c>
      <c r="F200" s="162"/>
      <c r="G200" s="162"/>
      <c r="H200" s="162"/>
      <c r="I200" s="1263">
        <v>3000</v>
      </c>
      <c r="J200" s="162">
        <f t="shared" si="0"/>
        <v>3150</v>
      </c>
    </row>
    <row r="201" spans="2:10" ht="13.5" customHeight="1">
      <c r="B201" s="1261" t="s">
        <v>1431</v>
      </c>
      <c r="C201" s="1238" t="s">
        <v>3273</v>
      </c>
      <c r="D201" s="1262" t="s">
        <v>127</v>
      </c>
      <c r="E201" s="1240">
        <f t="shared" si="6"/>
        <v>788</v>
      </c>
      <c r="F201" s="162"/>
      <c r="G201" s="162"/>
      <c r="H201" s="162"/>
      <c r="I201" s="1263">
        <v>750</v>
      </c>
      <c r="J201" s="162">
        <f t="shared" si="0"/>
        <v>788</v>
      </c>
    </row>
    <row r="202" spans="2:10" ht="13.5" customHeight="1">
      <c r="B202" s="1261" t="s">
        <v>1433</v>
      </c>
      <c r="C202" s="1238" t="s">
        <v>3273</v>
      </c>
      <c r="D202" s="1262" t="s">
        <v>127</v>
      </c>
      <c r="E202" s="1240">
        <f t="shared" si="6"/>
        <v>788</v>
      </c>
      <c r="F202" s="162"/>
      <c r="G202" s="162"/>
      <c r="H202" s="162"/>
      <c r="I202" s="1263">
        <v>750</v>
      </c>
      <c r="J202" s="162">
        <f t="shared" si="0"/>
        <v>788</v>
      </c>
    </row>
    <row r="203" spans="2:10" ht="13.5" customHeight="1">
      <c r="B203" s="1261" t="s">
        <v>1435</v>
      </c>
      <c r="C203" s="1238" t="s">
        <v>3274</v>
      </c>
      <c r="D203" s="1262" t="s">
        <v>127</v>
      </c>
      <c r="E203" s="1240">
        <f t="shared" si="6"/>
        <v>9030</v>
      </c>
      <c r="F203" s="162"/>
      <c r="G203" s="162"/>
      <c r="H203" s="162"/>
      <c r="I203" s="1263">
        <v>8600</v>
      </c>
      <c r="J203" s="162">
        <f t="shared" si="0"/>
        <v>9030</v>
      </c>
    </row>
    <row r="204" spans="2:10" ht="13.5" customHeight="1">
      <c r="B204" s="1261" t="s">
        <v>1437</v>
      </c>
      <c r="C204" s="1238" t="s">
        <v>3275</v>
      </c>
      <c r="D204" s="1262" t="s">
        <v>127</v>
      </c>
      <c r="E204" s="1240">
        <f t="shared" si="6"/>
        <v>9975</v>
      </c>
      <c r="F204" s="162"/>
      <c r="G204" s="162"/>
      <c r="H204" s="162"/>
      <c r="I204" s="1263">
        <v>9500</v>
      </c>
      <c r="J204" s="162">
        <f t="shared" si="0"/>
        <v>9975</v>
      </c>
    </row>
    <row r="205" spans="2:10" ht="13.5" customHeight="1">
      <c r="B205" s="1261" t="s">
        <v>1439</v>
      </c>
      <c r="C205" s="1238" t="s">
        <v>3276</v>
      </c>
      <c r="D205" s="1262" t="s">
        <v>120</v>
      </c>
      <c r="E205" s="1240">
        <f t="shared" si="6"/>
        <v>14700</v>
      </c>
      <c r="F205" s="162"/>
      <c r="G205" s="162"/>
      <c r="H205" s="162"/>
      <c r="I205" s="1263">
        <v>14000</v>
      </c>
      <c r="J205" s="162">
        <f t="shared" si="0"/>
        <v>14700</v>
      </c>
    </row>
    <row r="206" spans="2:10" ht="13.5" customHeight="1">
      <c r="B206" s="1261" t="s">
        <v>1441</v>
      </c>
      <c r="C206" s="1238" t="s">
        <v>3277</v>
      </c>
      <c r="D206" s="1262" t="s">
        <v>120</v>
      </c>
      <c r="E206" s="1240">
        <f t="shared" si="6"/>
        <v>9450</v>
      </c>
      <c r="F206" s="162"/>
      <c r="G206" s="162"/>
      <c r="H206" s="162"/>
      <c r="I206" s="1263">
        <v>9000</v>
      </c>
      <c r="J206" s="162">
        <f t="shared" si="0"/>
        <v>9450</v>
      </c>
    </row>
    <row r="207" spans="2:10" ht="13.5" customHeight="1">
      <c r="B207" s="1261" t="s">
        <v>1443</v>
      </c>
      <c r="C207" s="1238" t="s">
        <v>3278</v>
      </c>
      <c r="D207" s="1262" t="s">
        <v>120</v>
      </c>
      <c r="E207" s="1240">
        <f t="shared" si="6"/>
        <v>1785</v>
      </c>
      <c r="F207" s="162"/>
      <c r="G207" s="162"/>
      <c r="H207" s="162"/>
      <c r="I207" s="1263">
        <v>1700</v>
      </c>
      <c r="J207" s="162">
        <f t="shared" si="0"/>
        <v>1785</v>
      </c>
    </row>
    <row r="208" spans="2:10" ht="13.5" customHeight="1">
      <c r="B208" s="1261" t="s">
        <v>1445</v>
      </c>
      <c r="C208" s="1238" t="s">
        <v>3279</v>
      </c>
      <c r="D208" s="1262" t="s">
        <v>120</v>
      </c>
      <c r="E208" s="1240">
        <f t="shared" si="6"/>
        <v>3150</v>
      </c>
      <c r="F208" s="162"/>
      <c r="G208" s="162"/>
      <c r="H208" s="162"/>
      <c r="I208" s="1263">
        <v>3000</v>
      </c>
      <c r="J208" s="162">
        <f t="shared" si="0"/>
        <v>3150</v>
      </c>
    </row>
    <row r="209" spans="2:10" ht="13.5" customHeight="1">
      <c r="B209" s="1261" t="s">
        <v>1447</v>
      </c>
      <c r="C209" s="1238" t="s">
        <v>3280</v>
      </c>
      <c r="D209" s="1262" t="s">
        <v>120</v>
      </c>
      <c r="E209" s="1240">
        <f t="shared" si="6"/>
        <v>1680</v>
      </c>
      <c r="F209" s="162"/>
      <c r="G209" s="162"/>
      <c r="H209" s="162"/>
      <c r="I209" s="1263">
        <v>1600</v>
      </c>
      <c r="J209" s="162">
        <f t="shared" si="0"/>
        <v>1680</v>
      </c>
    </row>
    <row r="210" spans="2:10" ht="13.5" customHeight="1">
      <c r="B210" s="1261" t="s">
        <v>1449</v>
      </c>
      <c r="C210" s="1238" t="s">
        <v>3281</v>
      </c>
      <c r="D210" s="1262" t="s">
        <v>120</v>
      </c>
      <c r="E210" s="1240">
        <f t="shared" si="6"/>
        <v>13650</v>
      </c>
      <c r="F210" s="162"/>
      <c r="G210" s="162"/>
      <c r="H210" s="162"/>
      <c r="I210" s="1263">
        <v>13000</v>
      </c>
      <c r="J210" s="162">
        <f t="shared" si="0"/>
        <v>13650</v>
      </c>
    </row>
    <row r="211" spans="2:10" ht="13.5" customHeight="1">
      <c r="B211" s="1261" t="s">
        <v>1451</v>
      </c>
      <c r="C211" s="1238" t="s">
        <v>3282</v>
      </c>
      <c r="D211" s="1262" t="s">
        <v>120</v>
      </c>
      <c r="E211" s="1240">
        <f t="shared" si="6"/>
        <v>8610</v>
      </c>
      <c r="F211" s="162"/>
      <c r="G211" s="162"/>
      <c r="H211" s="162"/>
      <c r="I211" s="1263">
        <v>8200</v>
      </c>
      <c r="J211" s="162">
        <f t="shared" si="0"/>
        <v>8610</v>
      </c>
    </row>
    <row r="212" spans="2:10" ht="13.5" customHeight="1">
      <c r="B212" s="1261" t="s">
        <v>1453</v>
      </c>
      <c r="C212" s="1238" t="s">
        <v>3283</v>
      </c>
      <c r="D212" s="1262" t="s">
        <v>120</v>
      </c>
      <c r="E212" s="1240">
        <f t="shared" si="6"/>
        <v>13650</v>
      </c>
      <c r="F212" s="162"/>
      <c r="G212" s="162"/>
      <c r="H212" s="162"/>
      <c r="I212" s="1263">
        <v>13000</v>
      </c>
      <c r="J212" s="162">
        <f t="shared" si="0"/>
        <v>13650</v>
      </c>
    </row>
    <row r="213" spans="2:10" ht="13.5" customHeight="1">
      <c r="B213" s="1261" t="s">
        <v>1455</v>
      </c>
      <c r="C213" s="1238" t="s">
        <v>3284</v>
      </c>
      <c r="D213" s="1262" t="s">
        <v>120</v>
      </c>
      <c r="E213" s="1240">
        <f t="shared" si="6"/>
        <v>10500</v>
      </c>
      <c r="F213" s="162"/>
      <c r="G213" s="162"/>
      <c r="H213" s="162"/>
      <c r="I213" s="1263">
        <v>10000</v>
      </c>
      <c r="J213" s="162">
        <f t="shared" si="0"/>
        <v>10500</v>
      </c>
    </row>
    <row r="214" spans="2:10" ht="13.5" customHeight="1">
      <c r="B214" s="1261" t="s">
        <v>1457</v>
      </c>
      <c r="C214" s="1238" t="s">
        <v>3285</v>
      </c>
      <c r="D214" s="1262" t="s">
        <v>120</v>
      </c>
      <c r="E214" s="1240">
        <f t="shared" si="6"/>
        <v>2625</v>
      </c>
      <c r="F214" s="162"/>
      <c r="G214" s="162"/>
      <c r="H214" s="162"/>
      <c r="I214" s="1263">
        <v>2500</v>
      </c>
      <c r="J214" s="162">
        <f t="shared" si="0"/>
        <v>2625</v>
      </c>
    </row>
    <row r="215" spans="2:10" ht="13.5" customHeight="1">
      <c r="B215" s="1261" t="s">
        <v>1459</v>
      </c>
      <c r="C215" s="1238" t="s">
        <v>3286</v>
      </c>
      <c r="D215" s="1262" t="s">
        <v>120</v>
      </c>
      <c r="E215" s="1240">
        <f t="shared" si="6"/>
        <v>2079</v>
      </c>
      <c r="F215" s="162"/>
      <c r="G215" s="162"/>
      <c r="H215" s="162"/>
      <c r="I215" s="1263">
        <v>1980</v>
      </c>
      <c r="J215" s="162">
        <f t="shared" si="0"/>
        <v>2079</v>
      </c>
    </row>
    <row r="216" spans="2:10" ht="13.5" customHeight="1">
      <c r="B216" s="1261" t="s">
        <v>1461</v>
      </c>
      <c r="C216" s="1238" t="s">
        <v>3287</v>
      </c>
      <c r="D216" s="1262" t="s">
        <v>120</v>
      </c>
      <c r="E216" s="1240">
        <f t="shared" si="6"/>
        <v>1575</v>
      </c>
      <c r="F216" s="162"/>
      <c r="G216" s="162"/>
      <c r="H216" s="162"/>
      <c r="I216" s="1263">
        <v>1500</v>
      </c>
      <c r="J216" s="162">
        <f t="shared" si="0"/>
        <v>1575</v>
      </c>
    </row>
    <row r="217" spans="2:10" ht="13.5" customHeight="1">
      <c r="B217" s="1261" t="s">
        <v>1463</v>
      </c>
      <c r="C217" s="1238" t="s">
        <v>3288</v>
      </c>
      <c r="D217" s="1262" t="s">
        <v>127</v>
      </c>
      <c r="E217" s="1240">
        <f t="shared" si="6"/>
        <v>41475</v>
      </c>
      <c r="F217" s="162"/>
      <c r="G217" s="162"/>
      <c r="H217" s="162"/>
      <c r="I217" s="1263">
        <v>39500</v>
      </c>
      <c r="J217" s="162">
        <f t="shared" si="0"/>
        <v>41475</v>
      </c>
    </row>
    <row r="218" spans="2:10" ht="13.5" customHeight="1">
      <c r="B218" s="1261" t="s">
        <v>1465</v>
      </c>
      <c r="C218" s="1238" t="s">
        <v>3289</v>
      </c>
      <c r="D218" s="1262" t="s">
        <v>127</v>
      </c>
      <c r="E218" s="1240">
        <f t="shared" si="6"/>
        <v>18375</v>
      </c>
      <c r="F218" s="162"/>
      <c r="G218" s="162"/>
      <c r="H218" s="162"/>
      <c r="I218" s="1263">
        <v>17500</v>
      </c>
      <c r="J218" s="162">
        <f t="shared" si="0"/>
        <v>18375</v>
      </c>
    </row>
    <row r="219" spans="2:10" ht="13.5" customHeight="1">
      <c r="B219" s="1261" t="s">
        <v>1467</v>
      </c>
      <c r="C219" s="1238" t="s">
        <v>3290</v>
      </c>
      <c r="D219" s="1262" t="s">
        <v>127</v>
      </c>
      <c r="E219" s="1240">
        <f t="shared" si="6"/>
        <v>14700</v>
      </c>
      <c r="F219" s="162"/>
      <c r="G219" s="162"/>
      <c r="H219" s="162"/>
      <c r="I219" s="1263">
        <v>14000</v>
      </c>
      <c r="J219" s="162">
        <f t="shared" si="0"/>
        <v>14700</v>
      </c>
    </row>
    <row r="220" spans="2:10" ht="13.5" customHeight="1">
      <c r="B220" s="1261" t="s">
        <v>1469</v>
      </c>
      <c r="C220" s="1238" t="s">
        <v>3291</v>
      </c>
      <c r="D220" s="1262" t="s">
        <v>127</v>
      </c>
      <c r="E220" s="1240">
        <f t="shared" si="6"/>
        <v>15750</v>
      </c>
      <c r="F220" s="162"/>
      <c r="G220" s="162"/>
      <c r="H220" s="162"/>
      <c r="I220" s="1263">
        <v>15000</v>
      </c>
      <c r="J220" s="162">
        <f t="shared" si="0"/>
        <v>15750</v>
      </c>
    </row>
    <row r="221" spans="2:10" ht="13.5" customHeight="1">
      <c r="B221" s="1261" t="s">
        <v>1471</v>
      </c>
      <c r="C221" s="1238" t="s">
        <v>3292</v>
      </c>
      <c r="D221" s="1262" t="s">
        <v>127</v>
      </c>
      <c r="E221" s="1240">
        <f t="shared" si="6"/>
        <v>735</v>
      </c>
      <c r="F221" s="162"/>
      <c r="G221" s="162"/>
      <c r="H221" s="162"/>
      <c r="I221" s="1263">
        <v>700</v>
      </c>
      <c r="J221" s="162">
        <f t="shared" si="0"/>
        <v>735</v>
      </c>
    </row>
    <row r="222" spans="2:10" ht="13.5" customHeight="1">
      <c r="B222" s="1261" t="s">
        <v>1473</v>
      </c>
      <c r="C222" s="1238" t="s">
        <v>3293</v>
      </c>
      <c r="D222" s="1262" t="s">
        <v>127</v>
      </c>
      <c r="E222" s="1240">
        <f t="shared" si="6"/>
        <v>1050</v>
      </c>
      <c r="F222" s="162"/>
      <c r="G222" s="162"/>
      <c r="H222" s="162"/>
      <c r="I222" s="1263">
        <v>1000</v>
      </c>
      <c r="J222" s="162">
        <f t="shared" si="0"/>
        <v>1050</v>
      </c>
    </row>
    <row r="223" spans="2:10" ht="13.5" customHeight="1">
      <c r="B223" s="1261" t="s">
        <v>1475</v>
      </c>
      <c r="C223" s="1238" t="s">
        <v>3294</v>
      </c>
      <c r="D223" s="1262" t="s">
        <v>127</v>
      </c>
      <c r="E223" s="1240">
        <f t="shared" si="6"/>
        <v>945</v>
      </c>
      <c r="F223" s="162"/>
      <c r="G223" s="162"/>
      <c r="H223" s="162"/>
      <c r="I223" s="1263">
        <v>900</v>
      </c>
      <c r="J223" s="162">
        <f t="shared" si="0"/>
        <v>945</v>
      </c>
    </row>
    <row r="224" spans="2:10" ht="13.5" customHeight="1">
      <c r="B224" s="1261" t="s">
        <v>1477</v>
      </c>
      <c r="C224" s="1238" t="s">
        <v>3295</v>
      </c>
      <c r="D224" s="1262" t="s">
        <v>127</v>
      </c>
      <c r="E224" s="1240">
        <f t="shared" si="6"/>
        <v>3098</v>
      </c>
      <c r="F224" s="162"/>
      <c r="G224" s="162"/>
      <c r="H224" s="162"/>
      <c r="I224" s="1263">
        <v>2950</v>
      </c>
      <c r="J224" s="162">
        <f t="shared" si="0"/>
        <v>3098</v>
      </c>
    </row>
    <row r="225" spans="2:10" ht="13.5" customHeight="1">
      <c r="B225" s="1261" t="s">
        <v>1479</v>
      </c>
      <c r="C225" s="1238" t="s">
        <v>3296</v>
      </c>
      <c r="D225" s="1262" t="s">
        <v>127</v>
      </c>
      <c r="E225" s="1240">
        <f t="shared" si="6"/>
        <v>73500</v>
      </c>
      <c r="F225" s="162"/>
      <c r="G225" s="162"/>
      <c r="H225" s="162"/>
      <c r="I225" s="1263">
        <v>70000</v>
      </c>
      <c r="J225" s="162">
        <f t="shared" si="0"/>
        <v>73500</v>
      </c>
    </row>
    <row r="226" spans="2:10" ht="13.5" customHeight="1">
      <c r="B226" s="1261" t="s">
        <v>1481</v>
      </c>
      <c r="C226" s="1238" t="s">
        <v>3297</v>
      </c>
      <c r="D226" s="1262" t="s">
        <v>127</v>
      </c>
      <c r="E226" s="1240">
        <f t="shared" si="6"/>
        <v>84000</v>
      </c>
      <c r="F226" s="162"/>
      <c r="G226" s="162"/>
      <c r="H226" s="162"/>
      <c r="I226" s="1263">
        <v>80000</v>
      </c>
      <c r="J226" s="162">
        <f t="shared" si="0"/>
        <v>84000</v>
      </c>
    </row>
    <row r="227" spans="2:10" ht="13.5" customHeight="1">
      <c r="B227" s="1261" t="s">
        <v>3298</v>
      </c>
      <c r="C227" s="1238" t="s">
        <v>3299</v>
      </c>
      <c r="D227" s="1262" t="s">
        <v>120</v>
      </c>
      <c r="E227" s="1240">
        <f t="shared" si="6"/>
        <v>2310</v>
      </c>
      <c r="F227" s="162"/>
      <c r="G227" s="162"/>
      <c r="H227" s="162"/>
      <c r="I227" s="1263">
        <v>2200</v>
      </c>
      <c r="J227" s="162">
        <f t="shared" si="0"/>
        <v>2310</v>
      </c>
    </row>
    <row r="228" spans="2:10" ht="13.5" customHeight="1">
      <c r="B228" s="1261" t="s">
        <v>3300</v>
      </c>
      <c r="C228" s="1238" t="s">
        <v>3301</v>
      </c>
      <c r="D228" s="1262" t="s">
        <v>120</v>
      </c>
      <c r="E228" s="1240">
        <f t="shared" si="6"/>
        <v>1523</v>
      </c>
      <c r="F228" s="162"/>
      <c r="G228" s="162"/>
      <c r="H228" s="162"/>
      <c r="I228" s="1263">
        <v>1450</v>
      </c>
      <c r="J228" s="162">
        <f t="shared" si="0"/>
        <v>1523</v>
      </c>
    </row>
    <row r="229" spans="2:10" ht="13.5" customHeight="1">
      <c r="B229" s="1261" t="s">
        <v>3302</v>
      </c>
      <c r="C229" s="1238" t="s">
        <v>3303</v>
      </c>
      <c r="D229" s="1262" t="s">
        <v>127</v>
      </c>
      <c r="E229" s="1240">
        <f t="shared" si="6"/>
        <v>4200</v>
      </c>
      <c r="F229" s="162"/>
      <c r="G229" s="162"/>
      <c r="H229" s="162"/>
      <c r="I229" s="1263">
        <v>4000</v>
      </c>
      <c r="J229" s="162">
        <f t="shared" si="0"/>
        <v>4200</v>
      </c>
    </row>
    <row r="230" spans="2:10" ht="13.5" customHeight="1">
      <c r="B230" s="1261" t="s">
        <v>3304</v>
      </c>
      <c r="C230" s="1238" t="s">
        <v>3305</v>
      </c>
      <c r="D230" s="1262" t="s">
        <v>127</v>
      </c>
      <c r="E230" s="1240">
        <f t="shared" si="6"/>
        <v>5145</v>
      </c>
      <c r="F230" s="162"/>
      <c r="G230" s="162"/>
      <c r="H230" s="162"/>
      <c r="I230" s="1263">
        <v>4900</v>
      </c>
      <c r="J230" s="162">
        <f t="shared" si="0"/>
        <v>5145</v>
      </c>
    </row>
    <row r="231" spans="2:10" ht="13.5" customHeight="1">
      <c r="B231" s="1261" t="s">
        <v>3306</v>
      </c>
      <c r="C231" s="1238" t="s">
        <v>3307</v>
      </c>
      <c r="D231" s="1262" t="s">
        <v>127</v>
      </c>
      <c r="E231" s="1240">
        <f t="shared" si="6"/>
        <v>11130</v>
      </c>
      <c r="F231" s="162"/>
      <c r="G231" s="162"/>
      <c r="H231" s="162"/>
      <c r="I231" s="1263">
        <v>10600</v>
      </c>
      <c r="J231" s="162">
        <f t="shared" si="0"/>
        <v>11130</v>
      </c>
    </row>
    <row r="232" spans="2:10" ht="13.5" customHeight="1">
      <c r="B232" s="1261" t="s">
        <v>3308</v>
      </c>
      <c r="C232" s="1238" t="s">
        <v>3309</v>
      </c>
      <c r="D232" s="1262" t="s">
        <v>127</v>
      </c>
      <c r="E232" s="1240">
        <f t="shared" si="6"/>
        <v>2573</v>
      </c>
      <c r="F232" s="162"/>
      <c r="G232" s="162"/>
      <c r="H232" s="162"/>
      <c r="I232" s="1263">
        <v>2450</v>
      </c>
      <c r="J232" s="162">
        <f t="shared" si="0"/>
        <v>2573</v>
      </c>
    </row>
    <row r="233" spans="2:10" ht="13.5" customHeight="1">
      <c r="B233" s="1261" t="s">
        <v>3310</v>
      </c>
      <c r="C233" s="1238" t="s">
        <v>3311</v>
      </c>
      <c r="D233" s="1262" t="s">
        <v>127</v>
      </c>
      <c r="E233" s="1240">
        <f t="shared" si="6"/>
        <v>4935</v>
      </c>
      <c r="F233" s="162"/>
      <c r="G233" s="162"/>
      <c r="H233" s="162"/>
      <c r="I233" s="1263">
        <v>4700</v>
      </c>
      <c r="J233" s="162">
        <f t="shared" si="0"/>
        <v>4935</v>
      </c>
    </row>
    <row r="234" spans="2:10" ht="13.5" customHeight="1">
      <c r="B234" s="1261" t="s">
        <v>3312</v>
      </c>
      <c r="C234" s="1238" t="s">
        <v>3313</v>
      </c>
      <c r="D234" s="1262" t="s">
        <v>127</v>
      </c>
      <c r="E234" s="1240">
        <f t="shared" si="6"/>
        <v>10500</v>
      </c>
      <c r="F234" s="162"/>
      <c r="G234" s="162"/>
      <c r="H234" s="162"/>
      <c r="I234" s="1263">
        <v>10000</v>
      </c>
      <c r="J234" s="162">
        <f t="shared" si="0"/>
        <v>10500</v>
      </c>
    </row>
    <row r="235" spans="2:10" ht="13.5" customHeight="1">
      <c r="B235" s="1261" t="s">
        <v>3314</v>
      </c>
      <c r="C235" s="1238" t="s">
        <v>3315</v>
      </c>
      <c r="D235" s="1262" t="s">
        <v>127</v>
      </c>
      <c r="E235" s="1240">
        <f t="shared" si="6"/>
        <v>10605</v>
      </c>
      <c r="F235" s="162"/>
      <c r="G235" s="162"/>
      <c r="H235" s="162"/>
      <c r="I235" s="1263">
        <v>10100</v>
      </c>
      <c r="J235" s="162">
        <f t="shared" si="0"/>
        <v>10605</v>
      </c>
    </row>
    <row r="236" spans="2:10" ht="13.5" customHeight="1">
      <c r="B236" s="1261" t="s">
        <v>3316</v>
      </c>
      <c r="C236" s="1238" t="s">
        <v>3317</v>
      </c>
      <c r="D236" s="1262" t="s">
        <v>127</v>
      </c>
      <c r="E236" s="1240">
        <f t="shared" si="6"/>
        <v>14700</v>
      </c>
      <c r="F236" s="162"/>
      <c r="G236" s="162"/>
      <c r="H236" s="162"/>
      <c r="I236" s="1263">
        <v>14000</v>
      </c>
      <c r="J236" s="162">
        <f t="shared" si="0"/>
        <v>14700</v>
      </c>
    </row>
    <row r="237" spans="2:10" ht="13.5" customHeight="1">
      <c r="B237" s="1261" t="s">
        <v>3318</v>
      </c>
      <c r="C237" s="1238" t="s">
        <v>3319</v>
      </c>
      <c r="D237" s="1262" t="s">
        <v>127</v>
      </c>
      <c r="E237" s="1240">
        <f t="shared" si="6"/>
        <v>99750</v>
      </c>
      <c r="F237" s="162"/>
      <c r="G237" s="162"/>
      <c r="H237" s="162"/>
      <c r="I237" s="1263">
        <v>95000</v>
      </c>
      <c r="J237" s="162">
        <f t="shared" si="0"/>
        <v>99750</v>
      </c>
    </row>
    <row r="238" spans="2:10" ht="13.5" customHeight="1">
      <c r="B238" s="1261" t="s">
        <v>3320</v>
      </c>
      <c r="C238" s="1238" t="s">
        <v>3321</v>
      </c>
      <c r="D238" s="1262" t="s">
        <v>127</v>
      </c>
      <c r="E238" s="1240">
        <f t="shared" si="6"/>
        <v>309750</v>
      </c>
      <c r="F238" s="162"/>
      <c r="G238" s="162"/>
      <c r="H238" s="162"/>
      <c r="I238" s="1263">
        <v>295000</v>
      </c>
      <c r="J238" s="162">
        <f t="shared" si="0"/>
        <v>309750</v>
      </c>
    </row>
    <row r="239" spans="2:10" ht="13.5" customHeight="1">
      <c r="B239" s="1261" t="s">
        <v>3322</v>
      </c>
      <c r="C239" s="1238" t="s">
        <v>3323</v>
      </c>
      <c r="D239" s="1262" t="s">
        <v>127</v>
      </c>
      <c r="E239" s="1240">
        <f t="shared" si="6"/>
        <v>141750</v>
      </c>
      <c r="F239" s="162"/>
      <c r="G239" s="162"/>
      <c r="H239" s="162"/>
      <c r="I239" s="1263">
        <v>135000</v>
      </c>
      <c r="J239" s="162">
        <f t="shared" si="0"/>
        <v>141750</v>
      </c>
    </row>
    <row r="240" spans="2:10" ht="13.5" customHeight="1">
      <c r="B240" s="1261" t="s">
        <v>3324</v>
      </c>
      <c r="C240" s="1238" t="s">
        <v>3325</v>
      </c>
      <c r="D240" s="1262" t="s">
        <v>127</v>
      </c>
      <c r="E240" s="1240">
        <f t="shared" si="6"/>
        <v>68250</v>
      </c>
      <c r="F240" s="162"/>
      <c r="G240" s="162"/>
      <c r="H240" s="162"/>
      <c r="I240" s="1263">
        <v>65000</v>
      </c>
      <c r="J240" s="162">
        <f t="shared" si="0"/>
        <v>68250</v>
      </c>
    </row>
    <row r="241" spans="2:10" ht="13.5" customHeight="1">
      <c r="B241" s="1261" t="s">
        <v>3326</v>
      </c>
      <c r="C241" s="1238" t="s">
        <v>3327</v>
      </c>
      <c r="D241" s="1262" t="s">
        <v>127</v>
      </c>
      <c r="E241" s="1240">
        <f t="shared" si="6"/>
        <v>840</v>
      </c>
      <c r="F241" s="162"/>
      <c r="G241" s="162"/>
      <c r="H241" s="162"/>
      <c r="I241" s="1263">
        <v>800</v>
      </c>
      <c r="J241" s="162">
        <f t="shared" si="0"/>
        <v>840</v>
      </c>
    </row>
    <row r="242" spans="2:10" ht="13.5" customHeight="1">
      <c r="B242" s="1261" t="s">
        <v>3328</v>
      </c>
      <c r="C242" s="1238" t="s">
        <v>3329</v>
      </c>
      <c r="D242" s="1262" t="s">
        <v>127</v>
      </c>
      <c r="E242" s="1240">
        <f t="shared" si="6"/>
        <v>15225</v>
      </c>
      <c r="F242" s="162"/>
      <c r="G242" s="162"/>
      <c r="H242" s="162"/>
      <c r="I242" s="1263">
        <v>14500</v>
      </c>
      <c r="J242" s="162">
        <f t="shared" si="0"/>
        <v>15225</v>
      </c>
    </row>
    <row r="243" spans="2:10" ht="13.5" customHeight="1">
      <c r="B243" s="1261" t="s">
        <v>3330</v>
      </c>
      <c r="C243" s="1238" t="s">
        <v>3331</v>
      </c>
      <c r="D243" s="1262" t="s">
        <v>127</v>
      </c>
      <c r="E243" s="1240">
        <f t="shared" si="6"/>
        <v>31290</v>
      </c>
      <c r="F243" s="162"/>
      <c r="G243" s="162"/>
      <c r="H243" s="162"/>
      <c r="I243" s="1263">
        <v>29800</v>
      </c>
      <c r="J243" s="162">
        <f t="shared" si="0"/>
        <v>31290</v>
      </c>
    </row>
    <row r="244" spans="2:10" ht="13.5" customHeight="1">
      <c r="B244" s="1261" t="s">
        <v>3332</v>
      </c>
      <c r="C244" s="1238" t="s">
        <v>3333</v>
      </c>
      <c r="D244" s="1262" t="s">
        <v>127</v>
      </c>
      <c r="E244" s="1240">
        <f t="shared" si="6"/>
        <v>5250</v>
      </c>
      <c r="F244" s="162"/>
      <c r="G244" s="162"/>
      <c r="H244" s="162"/>
      <c r="I244" s="1263">
        <v>5000</v>
      </c>
      <c r="J244" s="162">
        <f t="shared" si="0"/>
        <v>5250</v>
      </c>
    </row>
    <row r="245" spans="2:10" ht="13.5" customHeight="1">
      <c r="B245" s="1261" t="s">
        <v>3334</v>
      </c>
      <c r="C245" s="1238" t="s">
        <v>3335</v>
      </c>
      <c r="D245" s="1262" t="s">
        <v>127</v>
      </c>
      <c r="E245" s="1240">
        <f t="shared" si="6"/>
        <v>6090</v>
      </c>
      <c r="F245" s="162"/>
      <c r="G245" s="162"/>
      <c r="H245" s="162"/>
      <c r="I245" s="1263">
        <v>5800</v>
      </c>
      <c r="J245" s="162">
        <f t="shared" si="0"/>
        <v>6090</v>
      </c>
    </row>
    <row r="246" spans="2:10" ht="13.5" customHeight="1">
      <c r="B246" s="1261" t="s">
        <v>3336</v>
      </c>
      <c r="C246" s="1238" t="s">
        <v>3337</v>
      </c>
      <c r="D246" s="1262" t="s">
        <v>127</v>
      </c>
      <c r="E246" s="1240">
        <f t="shared" si="6"/>
        <v>13125</v>
      </c>
      <c r="F246" s="162"/>
      <c r="G246" s="162"/>
      <c r="H246" s="162"/>
      <c r="I246" s="1263">
        <v>12500</v>
      </c>
      <c r="J246" s="162">
        <f t="shared" si="0"/>
        <v>13125</v>
      </c>
    </row>
    <row r="247" spans="2:10" ht="13.5" customHeight="1">
      <c r="B247" s="1261" t="s">
        <v>3338</v>
      </c>
      <c r="C247" s="1238" t="s">
        <v>3339</v>
      </c>
      <c r="D247" s="1262" t="s">
        <v>127</v>
      </c>
      <c r="E247" s="1240">
        <f t="shared" si="6"/>
        <v>15225</v>
      </c>
      <c r="F247" s="162"/>
      <c r="G247" s="162"/>
      <c r="H247" s="162"/>
      <c r="I247" s="1263">
        <v>14500</v>
      </c>
      <c r="J247" s="162">
        <f t="shared" si="0"/>
        <v>15225</v>
      </c>
    </row>
    <row r="248" spans="2:10" ht="13.5" customHeight="1">
      <c r="B248" s="1261" t="s">
        <v>3340</v>
      </c>
      <c r="C248" s="1238" t="s">
        <v>3341</v>
      </c>
      <c r="D248" s="1262" t="s">
        <v>127</v>
      </c>
      <c r="E248" s="1240">
        <f t="shared" si="6"/>
        <v>8925</v>
      </c>
      <c r="F248" s="162"/>
      <c r="G248" s="162"/>
      <c r="H248" s="162"/>
      <c r="I248" s="1263">
        <v>8500</v>
      </c>
      <c r="J248" s="162">
        <f t="shared" si="0"/>
        <v>8925</v>
      </c>
    </row>
    <row r="249" spans="2:10" ht="13.5" customHeight="1">
      <c r="B249" s="1261" t="s">
        <v>3342</v>
      </c>
      <c r="C249" s="1238" t="s">
        <v>3343</v>
      </c>
      <c r="D249" s="1262" t="s">
        <v>127</v>
      </c>
      <c r="E249" s="1240">
        <f t="shared" si="6"/>
        <v>17850</v>
      </c>
      <c r="F249" s="162"/>
      <c r="G249" s="162"/>
      <c r="H249" s="162"/>
      <c r="I249" s="1263">
        <v>17000</v>
      </c>
      <c r="J249" s="162">
        <f t="shared" si="0"/>
        <v>17850</v>
      </c>
    </row>
    <row r="250" spans="2:10" ht="13.5" customHeight="1">
      <c r="B250" s="1261" t="s">
        <v>3344</v>
      </c>
      <c r="C250" s="1238" t="s">
        <v>3345</v>
      </c>
      <c r="D250" s="1262" t="s">
        <v>127</v>
      </c>
      <c r="E250" s="1240">
        <f t="shared" si="6"/>
        <v>4620</v>
      </c>
      <c r="F250" s="162"/>
      <c r="G250" s="162"/>
      <c r="H250" s="162"/>
      <c r="I250" s="1263">
        <v>4400</v>
      </c>
      <c r="J250" s="162">
        <f t="shared" si="0"/>
        <v>4620</v>
      </c>
    </row>
    <row r="251" spans="2:10" ht="13.5" customHeight="1">
      <c r="B251" s="1261" t="s">
        <v>3346</v>
      </c>
      <c r="C251" s="1238" t="s">
        <v>3347</v>
      </c>
      <c r="D251" s="1262" t="s">
        <v>127</v>
      </c>
      <c r="E251" s="1240">
        <f t="shared" si="6"/>
        <v>1575</v>
      </c>
      <c r="F251" s="162"/>
      <c r="G251" s="162"/>
      <c r="H251" s="162"/>
      <c r="I251" s="1263">
        <v>1500</v>
      </c>
      <c r="J251" s="162">
        <f t="shared" si="0"/>
        <v>1575</v>
      </c>
    </row>
    <row r="252" spans="2:10" ht="13.5" customHeight="1">
      <c r="B252" s="1261" t="s">
        <v>3348</v>
      </c>
      <c r="C252" s="1238" t="s">
        <v>3349</v>
      </c>
      <c r="D252" s="1262" t="s">
        <v>127</v>
      </c>
      <c r="E252" s="1240">
        <f t="shared" si="6"/>
        <v>893</v>
      </c>
      <c r="F252" s="162"/>
      <c r="G252" s="162"/>
      <c r="H252" s="162"/>
      <c r="I252" s="1263">
        <v>850</v>
      </c>
      <c r="J252" s="162">
        <f t="shared" si="0"/>
        <v>893</v>
      </c>
    </row>
    <row r="253" spans="2:10" ht="13.5" customHeight="1">
      <c r="B253" s="1261" t="s">
        <v>3350</v>
      </c>
      <c r="C253" s="1238" t="s">
        <v>3351</v>
      </c>
      <c r="D253" s="1262" t="s">
        <v>127</v>
      </c>
      <c r="E253" s="1240">
        <f t="shared" si="6"/>
        <v>3465</v>
      </c>
      <c r="F253" s="162"/>
      <c r="G253" s="162"/>
      <c r="H253" s="162"/>
      <c r="I253" s="1263">
        <v>3300</v>
      </c>
      <c r="J253" s="162">
        <f t="shared" si="0"/>
        <v>3465</v>
      </c>
    </row>
    <row r="254" spans="2:10" ht="13.5" customHeight="1">
      <c r="B254" s="1261" t="s">
        <v>3352</v>
      </c>
      <c r="C254" s="1238" t="s">
        <v>2725</v>
      </c>
      <c r="D254" s="1262" t="s">
        <v>127</v>
      </c>
      <c r="E254" s="1240">
        <f t="shared" si="6"/>
        <v>6825</v>
      </c>
      <c r="F254" s="162"/>
      <c r="G254" s="162"/>
      <c r="H254" s="162"/>
      <c r="I254" s="1263">
        <v>6500</v>
      </c>
      <c r="J254" s="162">
        <f t="shared" si="0"/>
        <v>6825</v>
      </c>
    </row>
    <row r="255" spans="2:10" ht="13.5" customHeight="1">
      <c r="B255" s="1261" t="s">
        <v>3353</v>
      </c>
      <c r="C255" s="1238" t="s">
        <v>3354</v>
      </c>
      <c r="D255" s="1262" t="s">
        <v>127</v>
      </c>
      <c r="E255" s="1240">
        <f t="shared" si="6"/>
        <v>8400</v>
      </c>
      <c r="F255" s="162"/>
      <c r="G255" s="162"/>
      <c r="H255" s="162"/>
      <c r="I255" s="1263">
        <v>8000</v>
      </c>
      <c r="J255" s="162">
        <f t="shared" si="0"/>
        <v>8400</v>
      </c>
    </row>
    <row r="256" spans="2:10" ht="13.5" customHeight="1">
      <c r="B256" s="1261" t="s">
        <v>3355</v>
      </c>
      <c r="C256" s="1238" t="s">
        <v>2726</v>
      </c>
      <c r="D256" s="1262" t="s">
        <v>127</v>
      </c>
      <c r="E256" s="1240">
        <f t="shared" si="6"/>
        <v>5040</v>
      </c>
      <c r="F256" s="162"/>
      <c r="G256" s="162"/>
      <c r="H256" s="162"/>
      <c r="I256" s="1263">
        <v>4800</v>
      </c>
      <c r="J256" s="162">
        <f t="shared" si="0"/>
        <v>5040</v>
      </c>
    </row>
    <row r="257" spans="2:10" ht="13.5" customHeight="1">
      <c r="B257" s="1261" t="s">
        <v>3356</v>
      </c>
      <c r="C257" s="1238" t="s">
        <v>3357</v>
      </c>
      <c r="D257" s="1262" t="s">
        <v>127</v>
      </c>
      <c r="E257" s="1240">
        <f t="shared" si="6"/>
        <v>39900</v>
      </c>
      <c r="F257" s="162"/>
      <c r="G257" s="162"/>
      <c r="H257" s="162"/>
      <c r="I257" s="1263">
        <v>38000</v>
      </c>
      <c r="J257" s="162">
        <f t="shared" si="0"/>
        <v>39900</v>
      </c>
    </row>
    <row r="258" spans="2:10" ht="13.5" customHeight="1">
      <c r="B258" s="1261" t="s">
        <v>3358</v>
      </c>
      <c r="C258" s="1238" t="s">
        <v>3359</v>
      </c>
      <c r="D258" s="1262" t="s">
        <v>127</v>
      </c>
      <c r="E258" s="1240">
        <f t="shared" si="6"/>
        <v>9555</v>
      </c>
      <c r="F258" s="162"/>
      <c r="G258" s="162"/>
      <c r="H258" s="162"/>
      <c r="I258" s="1263">
        <v>9100</v>
      </c>
      <c r="J258" s="162">
        <f t="shared" si="0"/>
        <v>9555</v>
      </c>
    </row>
    <row r="259" spans="2:10" ht="13.5" customHeight="1">
      <c r="B259" s="1261" t="s">
        <v>3360</v>
      </c>
      <c r="C259" s="1238" t="s">
        <v>3361</v>
      </c>
      <c r="D259" s="1262" t="s">
        <v>127</v>
      </c>
      <c r="E259" s="1240">
        <f t="shared" si="6"/>
        <v>1050</v>
      </c>
      <c r="F259" s="162"/>
      <c r="G259" s="162"/>
      <c r="H259" s="162"/>
      <c r="I259" s="1263">
        <v>1000</v>
      </c>
      <c r="J259" s="162">
        <f t="shared" si="0"/>
        <v>1050</v>
      </c>
    </row>
    <row r="260" spans="2:10" ht="13.5" customHeight="1">
      <c r="B260" s="1261" t="s">
        <v>3362</v>
      </c>
      <c r="C260" s="1238" t="s">
        <v>3363</v>
      </c>
      <c r="D260" s="1262" t="s">
        <v>127</v>
      </c>
      <c r="E260" s="1240">
        <f t="shared" si="6"/>
        <v>6825</v>
      </c>
      <c r="F260" s="162"/>
      <c r="G260" s="162"/>
      <c r="H260" s="162"/>
      <c r="I260" s="1263">
        <v>6500</v>
      </c>
      <c r="J260" s="162">
        <f t="shared" si="0"/>
        <v>6825</v>
      </c>
    </row>
    <row r="261" spans="2:10" ht="13.5" customHeight="1">
      <c r="B261" s="1261" t="s">
        <v>3364</v>
      </c>
      <c r="C261" s="1238" t="s">
        <v>3365</v>
      </c>
      <c r="D261" s="1262" t="s">
        <v>127</v>
      </c>
      <c r="E261" s="1240">
        <f t="shared" si="6"/>
        <v>56700</v>
      </c>
      <c r="F261" s="162"/>
      <c r="G261" s="162"/>
      <c r="H261" s="162"/>
      <c r="I261" s="1263">
        <v>54000</v>
      </c>
      <c r="J261" s="162">
        <f t="shared" si="0"/>
        <v>56700</v>
      </c>
    </row>
    <row r="262" spans="2:10" ht="13.5" customHeight="1">
      <c r="B262" s="1261" t="s">
        <v>3366</v>
      </c>
      <c r="C262" s="1238" t="s">
        <v>3367</v>
      </c>
      <c r="D262" s="1262" t="s">
        <v>127</v>
      </c>
      <c r="E262" s="1240">
        <f t="shared" si="6"/>
        <v>68250</v>
      </c>
      <c r="F262" s="162"/>
      <c r="G262" s="162"/>
      <c r="H262" s="162"/>
      <c r="I262" s="1263">
        <v>65000</v>
      </c>
      <c r="J262" s="162">
        <f t="shared" si="0"/>
        <v>68250</v>
      </c>
    </row>
    <row r="263" spans="2:10" ht="13.5" customHeight="1">
      <c r="B263" s="1261" t="s">
        <v>3368</v>
      </c>
      <c r="C263" s="1238" t="s">
        <v>3369</v>
      </c>
      <c r="D263" s="1262" t="s">
        <v>127</v>
      </c>
      <c r="E263" s="1240">
        <f t="shared" si="6"/>
        <v>42000</v>
      </c>
      <c r="F263" s="162"/>
      <c r="G263" s="162"/>
      <c r="H263" s="162"/>
      <c r="I263" s="1263">
        <v>40000</v>
      </c>
      <c r="J263" s="162">
        <f t="shared" si="0"/>
        <v>42000</v>
      </c>
    </row>
    <row r="264" spans="2:10" ht="13.5" customHeight="1">
      <c r="B264" s="1261" t="s">
        <v>3370</v>
      </c>
      <c r="C264" s="1238" t="s">
        <v>3371</v>
      </c>
      <c r="D264" s="1262" t="s">
        <v>127</v>
      </c>
      <c r="E264" s="1240">
        <f t="shared" si="6"/>
        <v>84000</v>
      </c>
      <c r="F264" s="162"/>
      <c r="G264" s="162"/>
      <c r="H264" s="162"/>
      <c r="I264" s="1263">
        <v>80000</v>
      </c>
      <c r="J264" s="162">
        <f t="shared" ref="J264:J435" si="7">+ROUND(I264*$J$8,0)</f>
        <v>84000</v>
      </c>
    </row>
    <row r="265" spans="2:10" ht="13.5" customHeight="1">
      <c r="B265" s="1261" t="s">
        <v>3372</v>
      </c>
      <c r="C265" s="1238" t="s">
        <v>3373</v>
      </c>
      <c r="D265" s="1262" t="s">
        <v>127</v>
      </c>
      <c r="E265" s="1240">
        <f t="shared" si="6"/>
        <v>153155</v>
      </c>
      <c r="F265" s="162"/>
      <c r="G265" s="162"/>
      <c r="H265" s="162"/>
      <c r="I265" s="1263">
        <v>145862</v>
      </c>
      <c r="J265" s="162">
        <f t="shared" si="7"/>
        <v>153155</v>
      </c>
    </row>
    <row r="266" spans="2:10" ht="13.5" customHeight="1">
      <c r="B266" s="1261" t="s">
        <v>3374</v>
      </c>
      <c r="C266" s="1238" t="s">
        <v>3375</v>
      </c>
      <c r="D266" s="1262" t="s">
        <v>127</v>
      </c>
      <c r="E266" s="1240">
        <f t="shared" si="6"/>
        <v>21778</v>
      </c>
      <c r="F266" s="162"/>
      <c r="G266" s="162"/>
      <c r="H266" s="162"/>
      <c r="I266" s="1263">
        <v>20741</v>
      </c>
      <c r="J266" s="162">
        <f t="shared" si="7"/>
        <v>21778</v>
      </c>
    </row>
    <row r="267" spans="2:10" ht="13.5" customHeight="1">
      <c r="B267" s="1261" t="s">
        <v>3376</v>
      </c>
      <c r="C267" s="1238" t="s">
        <v>3377</v>
      </c>
      <c r="D267" s="1262" t="s">
        <v>127</v>
      </c>
      <c r="E267" s="1240">
        <f t="shared" si="6"/>
        <v>1717</v>
      </c>
      <c r="F267" s="162"/>
      <c r="G267" s="162"/>
      <c r="H267" s="162"/>
      <c r="I267" s="1263">
        <v>1635</v>
      </c>
      <c r="J267" s="162">
        <f t="shared" si="7"/>
        <v>1717</v>
      </c>
    </row>
    <row r="268" spans="2:10" ht="13.5" customHeight="1">
      <c r="B268" s="1261" t="s">
        <v>3378</v>
      </c>
      <c r="C268" s="1238" t="s">
        <v>3379</v>
      </c>
      <c r="D268" s="1262" t="s">
        <v>127</v>
      </c>
      <c r="E268" s="1240">
        <f t="shared" si="6"/>
        <v>3969</v>
      </c>
      <c r="F268" s="162"/>
      <c r="G268" s="162"/>
      <c r="H268" s="162"/>
      <c r="I268" s="1263">
        <v>3780</v>
      </c>
      <c r="J268" s="162">
        <f t="shared" si="7"/>
        <v>3969</v>
      </c>
    </row>
    <row r="269" spans="2:10" ht="13.5" customHeight="1">
      <c r="B269" s="1261" t="s">
        <v>3380</v>
      </c>
      <c r="C269" s="1238" t="s">
        <v>3381</v>
      </c>
      <c r="D269" s="1262" t="s">
        <v>127</v>
      </c>
      <c r="E269" s="1240">
        <f t="shared" si="6"/>
        <v>4536</v>
      </c>
      <c r="F269" s="162"/>
      <c r="G269" s="162"/>
      <c r="H269" s="162"/>
      <c r="I269" s="1263">
        <v>4320</v>
      </c>
      <c r="J269" s="162">
        <f t="shared" si="7"/>
        <v>4536</v>
      </c>
    </row>
    <row r="270" spans="2:10" ht="13.5" customHeight="1">
      <c r="B270" s="1261" t="s">
        <v>3382</v>
      </c>
      <c r="C270" s="1238" t="s">
        <v>3383</v>
      </c>
      <c r="D270" s="1262" t="s">
        <v>127</v>
      </c>
      <c r="E270" s="1240">
        <f t="shared" si="6"/>
        <v>2307</v>
      </c>
      <c r="F270" s="162"/>
      <c r="G270" s="162"/>
      <c r="H270" s="162"/>
      <c r="I270" s="1263">
        <v>2197</v>
      </c>
      <c r="J270" s="162">
        <f t="shared" si="7"/>
        <v>2307</v>
      </c>
    </row>
    <row r="271" spans="2:10" ht="13.5" customHeight="1">
      <c r="B271" s="1261" t="s">
        <v>3384</v>
      </c>
      <c r="C271" s="1238" t="s">
        <v>3385</v>
      </c>
      <c r="D271" s="1262" t="s">
        <v>127</v>
      </c>
      <c r="E271" s="1240">
        <f t="shared" si="6"/>
        <v>3422</v>
      </c>
      <c r="F271" s="162"/>
      <c r="G271" s="162"/>
      <c r="H271" s="162"/>
      <c r="I271" s="1263">
        <v>3259</v>
      </c>
      <c r="J271" s="162">
        <f t="shared" si="7"/>
        <v>3422</v>
      </c>
    </row>
    <row r="272" spans="2:10" ht="13.5" customHeight="1">
      <c r="B272" s="1261" t="s">
        <v>3386</v>
      </c>
      <c r="C272" s="1238" t="s">
        <v>3387</v>
      </c>
      <c r="D272" s="1262" t="s">
        <v>127</v>
      </c>
      <c r="E272" s="1240">
        <f t="shared" si="6"/>
        <v>1024</v>
      </c>
      <c r="F272" s="162"/>
      <c r="G272" s="162"/>
      <c r="H272" s="162"/>
      <c r="I272" s="1263">
        <v>975</v>
      </c>
      <c r="J272" s="162">
        <f t="shared" si="7"/>
        <v>1024</v>
      </c>
    </row>
    <row r="273" spans="2:10" ht="13.5" customHeight="1">
      <c r="B273" s="1261" t="s">
        <v>3388</v>
      </c>
      <c r="C273" s="1238" t="s">
        <v>3389</v>
      </c>
      <c r="D273" s="1262" t="s">
        <v>127</v>
      </c>
      <c r="E273" s="1240">
        <f t="shared" si="6"/>
        <v>7311</v>
      </c>
      <c r="F273" s="162"/>
      <c r="G273" s="162"/>
      <c r="H273" s="162"/>
      <c r="I273" s="1263">
        <v>6963</v>
      </c>
      <c r="J273" s="162">
        <f t="shared" si="7"/>
        <v>7311</v>
      </c>
    </row>
    <row r="274" spans="2:10" ht="13.5" customHeight="1">
      <c r="B274" s="1261" t="s">
        <v>3390</v>
      </c>
      <c r="C274" s="1238" t="s">
        <v>3391</v>
      </c>
      <c r="D274" s="1262" t="s">
        <v>127</v>
      </c>
      <c r="E274" s="1240">
        <f t="shared" si="6"/>
        <v>1418</v>
      </c>
      <c r="F274" s="162"/>
      <c r="G274" s="162"/>
      <c r="H274" s="162"/>
      <c r="I274" s="1263">
        <v>1350</v>
      </c>
      <c r="J274" s="162">
        <f t="shared" si="7"/>
        <v>1418</v>
      </c>
    </row>
    <row r="275" spans="2:10" ht="13.5" customHeight="1">
      <c r="B275" s="1261" t="s">
        <v>3392</v>
      </c>
      <c r="C275" s="1238" t="s">
        <v>3393</v>
      </c>
      <c r="D275" s="1262" t="s">
        <v>127</v>
      </c>
      <c r="E275" s="1240">
        <f t="shared" si="6"/>
        <v>468960</v>
      </c>
      <c r="F275" s="162"/>
      <c r="G275" s="162"/>
      <c r="H275" s="162"/>
      <c r="I275" s="1263">
        <v>446629</v>
      </c>
      <c r="J275" s="162">
        <f t="shared" si="7"/>
        <v>468960</v>
      </c>
    </row>
    <row r="276" spans="2:10" ht="13.5" customHeight="1">
      <c r="B276" s="1261" t="s">
        <v>3394</v>
      </c>
      <c r="C276" s="1238" t="s">
        <v>3395</v>
      </c>
      <c r="D276" s="1262" t="s">
        <v>127</v>
      </c>
      <c r="E276" s="1240">
        <f t="shared" si="6"/>
        <v>673718</v>
      </c>
      <c r="F276" s="162"/>
      <c r="G276" s="162"/>
      <c r="H276" s="162"/>
      <c r="I276" s="1263">
        <v>641636</v>
      </c>
      <c r="J276" s="162">
        <f t="shared" si="7"/>
        <v>673718</v>
      </c>
    </row>
    <row r="277" spans="2:10" ht="13.5" customHeight="1">
      <c r="B277" s="1261" t="s">
        <v>3396</v>
      </c>
      <c r="C277" s="1238" t="s">
        <v>3397</v>
      </c>
      <c r="D277" s="1262" t="s">
        <v>127</v>
      </c>
      <c r="E277" s="1240">
        <f t="shared" si="6"/>
        <v>317043</v>
      </c>
      <c r="F277" s="162"/>
      <c r="G277" s="162"/>
      <c r="H277" s="162"/>
      <c r="I277" s="1263">
        <v>301946</v>
      </c>
      <c r="J277" s="162">
        <f t="shared" si="7"/>
        <v>317043</v>
      </c>
    </row>
    <row r="278" spans="2:10" ht="13.5" customHeight="1">
      <c r="B278" s="1261" t="s">
        <v>3398</v>
      </c>
      <c r="C278" s="1238" t="s">
        <v>3399</v>
      </c>
      <c r="D278" s="1262" t="s">
        <v>127</v>
      </c>
      <c r="E278" s="1240">
        <f t="shared" si="6"/>
        <v>624750</v>
      </c>
      <c r="F278" s="162"/>
      <c r="G278" s="162"/>
      <c r="H278" s="162"/>
      <c r="I278" s="1263">
        <v>595000</v>
      </c>
      <c r="J278" s="162">
        <f t="shared" si="7"/>
        <v>624750</v>
      </c>
    </row>
    <row r="279" spans="2:10" ht="13.5" customHeight="1">
      <c r="B279" s="1261" t="s">
        <v>3400</v>
      </c>
      <c r="C279" s="1238" t="s">
        <v>3401</v>
      </c>
      <c r="D279" s="1262" t="s">
        <v>127</v>
      </c>
      <c r="E279" s="1240">
        <f t="shared" si="6"/>
        <v>333900</v>
      </c>
      <c r="F279" s="162"/>
      <c r="G279" s="162"/>
      <c r="H279" s="162"/>
      <c r="I279" s="1263">
        <v>318000</v>
      </c>
      <c r="J279" s="162">
        <f t="shared" si="7"/>
        <v>333900</v>
      </c>
    </row>
    <row r="280" spans="2:10" ht="13.5" customHeight="1">
      <c r="B280" s="1261" t="s">
        <v>3402</v>
      </c>
      <c r="C280" s="1238" t="s">
        <v>3403</v>
      </c>
      <c r="D280" s="1262" t="s">
        <v>127</v>
      </c>
      <c r="E280" s="1240">
        <f t="shared" si="6"/>
        <v>77070</v>
      </c>
      <c r="F280" s="162"/>
      <c r="G280" s="162"/>
      <c r="H280" s="162"/>
      <c r="I280" s="1263">
        <v>73400</v>
      </c>
      <c r="J280" s="162">
        <f t="shared" si="7"/>
        <v>77070</v>
      </c>
    </row>
    <row r="281" spans="2:10" ht="13.5" customHeight="1">
      <c r="B281" s="1261" t="s">
        <v>3404</v>
      </c>
      <c r="C281" s="1238" t="s">
        <v>3405</v>
      </c>
      <c r="D281" s="1262" t="s">
        <v>127</v>
      </c>
      <c r="E281" s="1240">
        <f t="shared" si="6"/>
        <v>25253</v>
      </c>
      <c r="F281" s="162"/>
      <c r="G281" s="162"/>
      <c r="H281" s="162"/>
      <c r="I281" s="1264">
        <v>24050</v>
      </c>
      <c r="J281" s="162">
        <f t="shared" si="7"/>
        <v>25253</v>
      </c>
    </row>
    <row r="282" spans="2:10" ht="13.5" customHeight="1">
      <c r="B282" s="1261" t="s">
        <v>3406</v>
      </c>
      <c r="C282" s="1238" t="s">
        <v>3407</v>
      </c>
      <c r="D282" s="1262" t="s">
        <v>127</v>
      </c>
      <c r="E282" s="1240">
        <f t="shared" si="6"/>
        <v>6153</v>
      </c>
      <c r="F282" s="162"/>
      <c r="G282" s="162"/>
      <c r="H282" s="162"/>
      <c r="I282" s="1263">
        <v>5860</v>
      </c>
      <c r="J282" s="162">
        <f t="shared" si="7"/>
        <v>6153</v>
      </c>
    </row>
    <row r="283" spans="2:10" ht="13.5" customHeight="1">
      <c r="B283" s="1261" t="s">
        <v>3408</v>
      </c>
      <c r="C283" s="1238" t="s">
        <v>3409</v>
      </c>
      <c r="D283" s="1262" t="s">
        <v>127</v>
      </c>
      <c r="E283" s="1240">
        <f t="shared" si="6"/>
        <v>4631</v>
      </c>
      <c r="F283" s="162"/>
      <c r="G283" s="162"/>
      <c r="H283" s="162"/>
      <c r="I283" s="1263">
        <v>4410</v>
      </c>
      <c r="J283" s="162">
        <f t="shared" si="7"/>
        <v>4631</v>
      </c>
    </row>
    <row r="284" spans="2:10" ht="13.5" customHeight="1">
      <c r="B284" s="1261" t="s">
        <v>3410</v>
      </c>
      <c r="C284" s="1238" t="s">
        <v>3411</v>
      </c>
      <c r="D284" s="1262" t="s">
        <v>127</v>
      </c>
      <c r="E284" s="1240">
        <f t="shared" si="6"/>
        <v>10658</v>
      </c>
      <c r="F284" s="162"/>
      <c r="G284" s="162"/>
      <c r="H284" s="162"/>
      <c r="I284" s="1263">
        <v>10150</v>
      </c>
      <c r="J284" s="162">
        <f t="shared" si="7"/>
        <v>10658</v>
      </c>
    </row>
    <row r="285" spans="2:10" ht="13.5" customHeight="1">
      <c r="B285" s="1261" t="s">
        <v>3412</v>
      </c>
      <c r="C285" s="1238" t="s">
        <v>3413</v>
      </c>
      <c r="D285" s="1262" t="s">
        <v>127</v>
      </c>
      <c r="E285" s="1240">
        <f t="shared" si="6"/>
        <v>43575</v>
      </c>
      <c r="F285" s="162"/>
      <c r="G285" s="162"/>
      <c r="H285" s="162"/>
      <c r="I285" s="1263">
        <v>41500</v>
      </c>
      <c r="J285" s="162">
        <f t="shared" si="7"/>
        <v>43575</v>
      </c>
    </row>
    <row r="286" spans="2:10" ht="13.5" customHeight="1">
      <c r="B286" s="1261" t="s">
        <v>3414</v>
      </c>
      <c r="C286" s="1238" t="s">
        <v>3415</v>
      </c>
      <c r="D286" s="1262" t="s">
        <v>127</v>
      </c>
      <c r="E286" s="1240">
        <f t="shared" si="6"/>
        <v>5387104</v>
      </c>
      <c r="F286" s="162"/>
      <c r="G286" s="162"/>
      <c r="H286" s="162"/>
      <c r="I286" s="1263">
        <v>5130575</v>
      </c>
      <c r="J286" s="162">
        <f t="shared" si="7"/>
        <v>5387104</v>
      </c>
    </row>
    <row r="287" spans="2:10" ht="13.5" customHeight="1">
      <c r="B287" s="1261" t="s">
        <v>3416</v>
      </c>
      <c r="C287" s="1238" t="s">
        <v>3417</v>
      </c>
      <c r="D287" s="1262" t="s">
        <v>127</v>
      </c>
      <c r="E287" s="1240">
        <f t="shared" si="6"/>
        <v>3367011</v>
      </c>
      <c r="F287" s="162"/>
      <c r="G287" s="162"/>
      <c r="H287" s="162"/>
      <c r="I287" s="1263">
        <v>3206677</v>
      </c>
      <c r="J287" s="162">
        <f t="shared" si="7"/>
        <v>3367011</v>
      </c>
    </row>
    <row r="288" spans="2:10" ht="13.5" customHeight="1">
      <c r="B288" s="1261" t="s">
        <v>3418</v>
      </c>
      <c r="C288" s="1238" t="s">
        <v>3419</v>
      </c>
      <c r="D288" s="1262" t="s">
        <v>120</v>
      </c>
      <c r="E288" s="1240">
        <f t="shared" si="6"/>
        <v>1890</v>
      </c>
      <c r="F288" s="162"/>
      <c r="G288" s="162"/>
      <c r="H288" s="162"/>
      <c r="I288" s="1263">
        <v>1800</v>
      </c>
      <c r="J288" s="162">
        <f t="shared" si="7"/>
        <v>1890</v>
      </c>
    </row>
    <row r="289" spans="1:10" ht="13.5" customHeight="1">
      <c r="A289" s="1236"/>
      <c r="B289" s="1261" t="s">
        <v>3420</v>
      </c>
      <c r="C289" s="1238" t="s">
        <v>3421</v>
      </c>
      <c r="D289" s="1262" t="s">
        <v>120</v>
      </c>
      <c r="E289" s="1240">
        <f t="shared" si="6"/>
        <v>945</v>
      </c>
      <c r="F289" s="162"/>
      <c r="G289" s="162"/>
      <c r="H289" s="162"/>
      <c r="I289" s="1263">
        <v>900</v>
      </c>
      <c r="J289" s="162">
        <f t="shared" si="7"/>
        <v>945</v>
      </c>
    </row>
    <row r="290" spans="1:10" ht="13.5" customHeight="1">
      <c r="A290" s="1236"/>
      <c r="B290" s="1261" t="s">
        <v>3422</v>
      </c>
      <c r="C290" s="1238" t="s">
        <v>3423</v>
      </c>
      <c r="D290" s="1262" t="s">
        <v>127</v>
      </c>
      <c r="E290" s="1240">
        <f t="shared" si="6"/>
        <v>18638</v>
      </c>
      <c r="F290" s="162"/>
      <c r="G290" s="162"/>
      <c r="H290" s="162"/>
      <c r="I290" s="1263">
        <v>17750</v>
      </c>
      <c r="J290" s="162">
        <f t="shared" si="7"/>
        <v>18638</v>
      </c>
    </row>
    <row r="291" spans="1:10" ht="13.5" customHeight="1">
      <c r="A291" s="1236"/>
      <c r="B291" s="1261" t="s">
        <v>3424</v>
      </c>
      <c r="C291" s="1238" t="s">
        <v>3425</v>
      </c>
      <c r="D291" s="1262" t="s">
        <v>120</v>
      </c>
      <c r="E291" s="1240">
        <f t="shared" si="6"/>
        <v>4725</v>
      </c>
      <c r="F291" s="162"/>
      <c r="G291" s="162"/>
      <c r="H291" s="162"/>
      <c r="I291" s="1263">
        <v>4500</v>
      </c>
      <c r="J291" s="162">
        <f t="shared" si="7"/>
        <v>4725</v>
      </c>
    </row>
    <row r="292" spans="1:10" ht="13.5" customHeight="1">
      <c r="A292" s="1236"/>
      <c r="B292" s="1261" t="s">
        <v>3426</v>
      </c>
      <c r="C292" s="1238" t="s">
        <v>3427</v>
      </c>
      <c r="D292" s="1262" t="s">
        <v>127</v>
      </c>
      <c r="E292" s="1240">
        <f t="shared" si="6"/>
        <v>6658</v>
      </c>
      <c r="F292" s="162"/>
      <c r="G292" s="162"/>
      <c r="H292" s="162"/>
      <c r="I292" s="1263">
        <v>6341</v>
      </c>
      <c r="J292" s="162">
        <f t="shared" si="7"/>
        <v>6658</v>
      </c>
    </row>
    <row r="293" spans="1:10" ht="13.5" customHeight="1">
      <c r="A293" s="1236"/>
      <c r="B293" s="1261" t="s">
        <v>3428</v>
      </c>
      <c r="C293" s="1238" t="s">
        <v>3429</v>
      </c>
      <c r="D293" s="1262" t="s">
        <v>127</v>
      </c>
      <c r="E293" s="1240">
        <f t="shared" si="6"/>
        <v>127890</v>
      </c>
      <c r="F293" s="162"/>
      <c r="G293" s="162"/>
      <c r="H293" s="162"/>
      <c r="I293" s="1263">
        <v>121800</v>
      </c>
      <c r="J293" s="162">
        <f t="shared" si="7"/>
        <v>127890</v>
      </c>
    </row>
    <row r="294" spans="1:10" ht="13.5" customHeight="1">
      <c r="A294" s="1236"/>
      <c r="B294" s="1261" t="s">
        <v>3430</v>
      </c>
      <c r="C294" s="1238" t="s">
        <v>3431</v>
      </c>
      <c r="D294" s="1262" t="s">
        <v>127</v>
      </c>
      <c r="E294" s="1240">
        <f t="shared" si="6"/>
        <v>83685</v>
      </c>
      <c r="F294" s="162"/>
      <c r="G294" s="162"/>
      <c r="H294" s="162"/>
      <c r="I294" s="1263">
        <v>79700</v>
      </c>
      <c r="J294" s="162">
        <f t="shared" si="7"/>
        <v>83685</v>
      </c>
    </row>
    <row r="295" spans="1:10" ht="13.5" customHeight="1">
      <c r="A295" s="1236"/>
      <c r="B295" s="1261" t="s">
        <v>3432</v>
      </c>
      <c r="C295" s="1238" t="s">
        <v>3433</v>
      </c>
      <c r="D295" s="1262" t="s">
        <v>127</v>
      </c>
      <c r="E295" s="1240">
        <f t="shared" si="6"/>
        <v>53025</v>
      </c>
      <c r="F295" s="162"/>
      <c r="G295" s="162"/>
      <c r="H295" s="162"/>
      <c r="I295" s="1263">
        <v>50500</v>
      </c>
      <c r="J295" s="162">
        <f t="shared" si="7"/>
        <v>53025</v>
      </c>
    </row>
    <row r="296" spans="1:10" ht="13.5" customHeight="1">
      <c r="A296" s="1236"/>
      <c r="B296" s="1261" t="s">
        <v>3434</v>
      </c>
      <c r="C296" s="1238" t="s">
        <v>3435</v>
      </c>
      <c r="D296" s="1262" t="s">
        <v>127</v>
      </c>
      <c r="E296" s="1240">
        <f t="shared" si="6"/>
        <v>18533</v>
      </c>
      <c r="F296" s="162"/>
      <c r="G296" s="162"/>
      <c r="H296" s="162"/>
      <c r="I296" s="1263">
        <v>17650</v>
      </c>
      <c r="J296" s="162">
        <f t="shared" si="7"/>
        <v>18533</v>
      </c>
    </row>
    <row r="297" spans="1:10" ht="13.5" customHeight="1">
      <c r="A297" s="1236"/>
      <c r="B297" s="1261" t="s">
        <v>3436</v>
      </c>
      <c r="C297" s="1238" t="s">
        <v>3437</v>
      </c>
      <c r="D297" s="1262" t="s">
        <v>127</v>
      </c>
      <c r="E297" s="1240">
        <f t="shared" si="6"/>
        <v>10183</v>
      </c>
      <c r="F297" s="162"/>
      <c r="G297" s="162"/>
      <c r="H297" s="162"/>
      <c r="I297" s="1263">
        <v>9698</v>
      </c>
      <c r="J297" s="162">
        <f t="shared" si="7"/>
        <v>10183</v>
      </c>
    </row>
    <row r="298" spans="1:10" ht="13.5" customHeight="1">
      <c r="A298" s="1236"/>
      <c r="B298" s="1261" t="s">
        <v>3438</v>
      </c>
      <c r="C298" s="1238" t="s">
        <v>3439</v>
      </c>
      <c r="D298" s="1262" t="s">
        <v>120</v>
      </c>
      <c r="E298" s="1240">
        <f t="shared" si="6"/>
        <v>19950</v>
      </c>
      <c r="F298" s="162"/>
      <c r="G298" s="162"/>
      <c r="H298" s="162"/>
      <c r="I298" s="1240">
        <v>19000</v>
      </c>
      <c r="J298" s="162">
        <f t="shared" si="7"/>
        <v>19950</v>
      </c>
    </row>
    <row r="299" spans="1:10" ht="13.5" customHeight="1">
      <c r="A299" s="1236"/>
      <c r="B299" s="1261" t="s">
        <v>3440</v>
      </c>
      <c r="C299" s="1238" t="s">
        <v>3441</v>
      </c>
      <c r="D299" s="1262" t="s">
        <v>127</v>
      </c>
      <c r="E299" s="1240">
        <f t="shared" si="6"/>
        <v>2940</v>
      </c>
      <c r="F299" s="162"/>
      <c r="G299" s="162"/>
      <c r="H299" s="162"/>
      <c r="I299" s="1240">
        <v>2800</v>
      </c>
      <c r="J299" s="162">
        <f t="shared" si="7"/>
        <v>2940</v>
      </c>
    </row>
    <row r="300" spans="1:10" ht="13.5" customHeight="1">
      <c r="A300" s="1248"/>
      <c r="B300" s="1265"/>
      <c r="C300" s="1266"/>
      <c r="D300" s="1249"/>
      <c r="E300" s="1252"/>
      <c r="F300" s="162"/>
      <c r="G300" s="162"/>
      <c r="H300" s="162"/>
      <c r="I300" s="1267"/>
      <c r="J300" s="162">
        <f t="shared" si="7"/>
        <v>0</v>
      </c>
    </row>
    <row r="301" spans="1:10" ht="13.5" customHeight="1">
      <c r="A301" s="1253"/>
      <c r="B301" s="1227"/>
      <c r="C301" s="2235"/>
      <c r="D301" s="1601"/>
      <c r="E301" s="1602"/>
      <c r="F301" s="162"/>
      <c r="G301" s="162"/>
      <c r="H301" s="162"/>
      <c r="I301" s="162"/>
      <c r="J301" s="162">
        <f t="shared" si="7"/>
        <v>0</v>
      </c>
    </row>
    <row r="302" spans="1:10" ht="3.75" customHeight="1">
      <c r="A302" s="1254"/>
      <c r="B302" s="1255"/>
      <c r="C302" s="1256"/>
      <c r="D302" s="1257"/>
      <c r="E302" s="1258"/>
      <c r="F302" s="162"/>
      <c r="G302" s="162"/>
      <c r="H302" s="162"/>
      <c r="I302" s="1258"/>
      <c r="J302" s="162">
        <f t="shared" si="7"/>
        <v>0</v>
      </c>
    </row>
    <row r="303" spans="1:10" ht="13.5" customHeight="1">
      <c r="A303" s="1226" t="s">
        <v>3161</v>
      </c>
      <c r="B303" s="1227">
        <v>4</v>
      </c>
      <c r="C303" s="1268" t="s">
        <v>3442</v>
      </c>
      <c r="D303" s="1229"/>
      <c r="E303" s="1230"/>
      <c r="F303" s="162"/>
      <c r="G303" s="162"/>
      <c r="H303" s="162"/>
      <c r="I303" s="1230"/>
      <c r="J303" s="162">
        <f t="shared" si="7"/>
        <v>0</v>
      </c>
    </row>
    <row r="304" spans="1:10" ht="13.5" customHeight="1">
      <c r="A304" s="1231"/>
      <c r="B304" s="1259" t="s">
        <v>48</v>
      </c>
      <c r="C304" s="1233" t="s">
        <v>3443</v>
      </c>
      <c r="D304" s="1260" t="s">
        <v>228</v>
      </c>
      <c r="E304" s="1235">
        <v>35500</v>
      </c>
      <c r="F304" s="162"/>
      <c r="G304" s="162"/>
      <c r="H304" s="162"/>
      <c r="I304" s="1263">
        <v>39500</v>
      </c>
      <c r="J304" s="162">
        <f t="shared" si="7"/>
        <v>41475</v>
      </c>
    </row>
    <row r="305" spans="1:10" ht="13.5" customHeight="1">
      <c r="A305" s="1236"/>
      <c r="B305" s="1261" t="s">
        <v>51</v>
      </c>
      <c r="C305" s="1238" t="s">
        <v>3444</v>
      </c>
      <c r="D305" s="1262" t="s">
        <v>228</v>
      </c>
      <c r="E305" s="1240">
        <f t="shared" ref="E305:E322" si="8">+J305</f>
        <v>34125</v>
      </c>
      <c r="F305" s="162"/>
      <c r="G305" s="162"/>
      <c r="H305" s="162"/>
      <c r="I305" s="1263">
        <v>32500</v>
      </c>
      <c r="J305" s="162">
        <f t="shared" si="7"/>
        <v>34125</v>
      </c>
    </row>
    <row r="306" spans="1:10" ht="13.5" customHeight="1">
      <c r="A306" s="1236"/>
      <c r="B306" s="1261" t="s">
        <v>156</v>
      </c>
      <c r="C306" s="1238" t="s">
        <v>3445</v>
      </c>
      <c r="D306" s="1262" t="s">
        <v>228</v>
      </c>
      <c r="E306" s="1240">
        <f t="shared" si="8"/>
        <v>50505</v>
      </c>
      <c r="F306" s="162"/>
      <c r="G306" s="162"/>
      <c r="H306" s="162"/>
      <c r="I306" s="1263">
        <v>48100</v>
      </c>
      <c r="J306" s="162">
        <f t="shared" si="7"/>
        <v>50505</v>
      </c>
    </row>
    <row r="307" spans="1:10" ht="13.5" customHeight="1">
      <c r="A307" s="1236"/>
      <c r="B307" s="1261" t="s">
        <v>157</v>
      </c>
      <c r="C307" s="1238" t="s">
        <v>3446</v>
      </c>
      <c r="D307" s="1262" t="s">
        <v>228</v>
      </c>
      <c r="E307" s="1240">
        <f t="shared" si="8"/>
        <v>46725</v>
      </c>
      <c r="F307" s="162"/>
      <c r="G307" s="162"/>
      <c r="H307" s="162"/>
      <c r="I307" s="1263">
        <v>44500</v>
      </c>
      <c r="J307" s="162">
        <f t="shared" si="7"/>
        <v>46725</v>
      </c>
    </row>
    <row r="308" spans="1:10" ht="13.5" customHeight="1">
      <c r="A308" s="1236"/>
      <c r="B308" s="1261" t="s">
        <v>158</v>
      </c>
      <c r="C308" s="1238" t="s">
        <v>3447</v>
      </c>
      <c r="D308" s="1262" t="s">
        <v>228</v>
      </c>
      <c r="E308" s="1240">
        <f t="shared" si="8"/>
        <v>52290</v>
      </c>
      <c r="F308" s="162"/>
      <c r="G308" s="162"/>
      <c r="H308" s="162"/>
      <c r="I308" s="1263">
        <v>49800</v>
      </c>
      <c r="J308" s="162">
        <f t="shared" si="7"/>
        <v>52290</v>
      </c>
    </row>
    <row r="309" spans="1:10" ht="13.5" customHeight="1">
      <c r="A309" s="1236"/>
      <c r="B309" s="1261" t="s">
        <v>159</v>
      </c>
      <c r="C309" s="1238" t="s">
        <v>3448</v>
      </c>
      <c r="D309" s="1262" t="s">
        <v>228</v>
      </c>
      <c r="E309" s="1240">
        <f t="shared" si="8"/>
        <v>36225</v>
      </c>
      <c r="F309" s="162"/>
      <c r="G309" s="162"/>
      <c r="H309" s="162"/>
      <c r="I309" s="1263">
        <v>34500</v>
      </c>
      <c r="J309" s="162">
        <f t="shared" si="7"/>
        <v>36225</v>
      </c>
    </row>
    <row r="310" spans="1:10" ht="13.5" customHeight="1">
      <c r="A310" s="1236"/>
      <c r="B310" s="1261" t="s">
        <v>160</v>
      </c>
      <c r="C310" s="1238" t="s">
        <v>3449</v>
      </c>
      <c r="D310" s="1262" t="s">
        <v>228</v>
      </c>
      <c r="E310" s="1240">
        <f t="shared" si="8"/>
        <v>19740</v>
      </c>
      <c r="F310" s="162"/>
      <c r="G310" s="162"/>
      <c r="H310" s="162"/>
      <c r="I310" s="1263">
        <v>18800</v>
      </c>
      <c r="J310" s="162">
        <f t="shared" si="7"/>
        <v>19740</v>
      </c>
    </row>
    <row r="311" spans="1:10" ht="13.5" customHeight="1">
      <c r="A311" s="1236"/>
      <c r="B311" s="1261" t="s">
        <v>161</v>
      </c>
      <c r="C311" s="1238" t="s">
        <v>3450</v>
      </c>
      <c r="D311" s="1262" t="s">
        <v>228</v>
      </c>
      <c r="E311" s="1240">
        <f t="shared" si="8"/>
        <v>15225</v>
      </c>
      <c r="F311" s="162"/>
      <c r="G311" s="162"/>
      <c r="H311" s="162"/>
      <c r="I311" s="1263">
        <v>14500</v>
      </c>
      <c r="J311" s="162">
        <f t="shared" si="7"/>
        <v>15225</v>
      </c>
    </row>
    <row r="312" spans="1:10" ht="13.5" customHeight="1">
      <c r="A312" s="1236"/>
      <c r="B312" s="1261" t="s">
        <v>162</v>
      </c>
      <c r="C312" s="1238" t="s">
        <v>3451</v>
      </c>
      <c r="D312" s="1262" t="s">
        <v>228</v>
      </c>
      <c r="E312" s="1240">
        <f t="shared" si="8"/>
        <v>18900</v>
      </c>
      <c r="F312" s="162"/>
      <c r="G312" s="162"/>
      <c r="H312" s="162"/>
      <c r="I312" s="1263">
        <v>18000</v>
      </c>
      <c r="J312" s="162">
        <f t="shared" si="7"/>
        <v>18900</v>
      </c>
    </row>
    <row r="313" spans="1:10" ht="13.5" customHeight="1">
      <c r="A313" s="1236"/>
      <c r="B313" s="1261" t="s">
        <v>163</v>
      </c>
      <c r="C313" s="1238" t="s">
        <v>3452</v>
      </c>
      <c r="D313" s="1262" t="s">
        <v>228</v>
      </c>
      <c r="E313" s="1240">
        <f t="shared" si="8"/>
        <v>31553</v>
      </c>
      <c r="F313" s="162"/>
      <c r="G313" s="162"/>
      <c r="H313" s="162"/>
      <c r="I313" s="1263">
        <v>30050</v>
      </c>
      <c r="J313" s="162">
        <f t="shared" si="7"/>
        <v>31553</v>
      </c>
    </row>
    <row r="314" spans="1:10" ht="13.5" customHeight="1">
      <c r="A314" s="1236"/>
      <c r="B314" s="1261" t="s">
        <v>164</v>
      </c>
      <c r="C314" s="1238" t="s">
        <v>3453</v>
      </c>
      <c r="D314" s="1262" t="s">
        <v>228</v>
      </c>
      <c r="E314" s="1240">
        <f t="shared" si="8"/>
        <v>51608</v>
      </c>
      <c r="F314" s="162"/>
      <c r="G314" s="162"/>
      <c r="H314" s="162"/>
      <c r="I314" s="1263">
        <v>49150</v>
      </c>
      <c r="J314" s="162">
        <f t="shared" si="7"/>
        <v>51608</v>
      </c>
    </row>
    <row r="315" spans="1:10" ht="13.5" customHeight="1">
      <c r="A315" s="1236"/>
      <c r="B315" s="1261" t="s">
        <v>3454</v>
      </c>
      <c r="C315" s="1238" t="s">
        <v>3455</v>
      </c>
      <c r="D315" s="1262" t="s">
        <v>910</v>
      </c>
      <c r="E315" s="1240">
        <f t="shared" si="8"/>
        <v>35175</v>
      </c>
      <c r="F315" s="162"/>
      <c r="G315" s="162"/>
      <c r="H315" s="162"/>
      <c r="I315" s="1263">
        <v>33500</v>
      </c>
      <c r="J315" s="162">
        <f t="shared" si="7"/>
        <v>35175</v>
      </c>
    </row>
    <row r="316" spans="1:10" ht="13.5" customHeight="1">
      <c r="A316" s="1236"/>
      <c r="B316" s="1261" t="s">
        <v>3456</v>
      </c>
      <c r="C316" s="1238" t="s">
        <v>3457</v>
      </c>
      <c r="D316" s="1262" t="s">
        <v>127</v>
      </c>
      <c r="E316" s="1240">
        <f t="shared" si="8"/>
        <v>8190</v>
      </c>
      <c r="F316" s="162"/>
      <c r="G316" s="162"/>
      <c r="H316" s="162"/>
      <c r="I316" s="1263">
        <v>7800</v>
      </c>
      <c r="J316" s="162">
        <f t="shared" si="7"/>
        <v>8190</v>
      </c>
    </row>
    <row r="317" spans="1:10" ht="13.5" customHeight="1">
      <c r="A317" s="1236"/>
      <c r="B317" s="1261" t="s">
        <v>3458</v>
      </c>
      <c r="C317" s="1238" t="s">
        <v>3459</v>
      </c>
      <c r="D317" s="1262" t="s">
        <v>166</v>
      </c>
      <c r="E317" s="1240">
        <f t="shared" si="8"/>
        <v>6888</v>
      </c>
      <c r="F317" s="162"/>
      <c r="G317" s="162"/>
      <c r="H317" s="162"/>
      <c r="I317" s="1263">
        <v>6560</v>
      </c>
      <c r="J317" s="162">
        <f t="shared" si="7"/>
        <v>6888</v>
      </c>
    </row>
    <row r="318" spans="1:10" ht="13.5" customHeight="1">
      <c r="A318" s="1236"/>
      <c r="B318" s="1261" t="s">
        <v>3460</v>
      </c>
      <c r="C318" s="1238" t="s">
        <v>3461</v>
      </c>
      <c r="D318" s="1262" t="s">
        <v>120</v>
      </c>
      <c r="E318" s="1240">
        <f t="shared" si="8"/>
        <v>7718</v>
      </c>
      <c r="F318" s="162"/>
      <c r="G318" s="162"/>
      <c r="H318" s="162"/>
      <c r="I318" s="1263">
        <v>7350</v>
      </c>
      <c r="J318" s="162">
        <f t="shared" si="7"/>
        <v>7718</v>
      </c>
    </row>
    <row r="319" spans="1:10" ht="13.5" customHeight="1">
      <c r="A319" s="1236"/>
      <c r="B319" s="1261" t="s">
        <v>3462</v>
      </c>
      <c r="C319" s="1238" t="s">
        <v>3463</v>
      </c>
      <c r="D319" s="1262" t="s">
        <v>120</v>
      </c>
      <c r="E319" s="1240">
        <f t="shared" si="8"/>
        <v>2625</v>
      </c>
      <c r="F319" s="162"/>
      <c r="G319" s="162"/>
      <c r="H319" s="162"/>
      <c r="I319" s="1263">
        <v>2500</v>
      </c>
      <c r="J319" s="162">
        <f t="shared" si="7"/>
        <v>2625</v>
      </c>
    </row>
    <row r="320" spans="1:10" ht="13.5" customHeight="1">
      <c r="A320" s="1236"/>
      <c r="B320" s="1261" t="s">
        <v>3464</v>
      </c>
      <c r="C320" s="1238" t="s">
        <v>3465</v>
      </c>
      <c r="D320" s="1262" t="s">
        <v>120</v>
      </c>
      <c r="E320" s="1240">
        <f t="shared" si="8"/>
        <v>1050</v>
      </c>
      <c r="F320" s="162"/>
      <c r="G320" s="162"/>
      <c r="H320" s="162"/>
      <c r="I320" s="1263">
        <v>1000</v>
      </c>
      <c r="J320" s="162">
        <f t="shared" si="7"/>
        <v>1050</v>
      </c>
    </row>
    <row r="321" spans="1:10" ht="13.5" customHeight="1">
      <c r="A321" s="1236"/>
      <c r="B321" s="1261" t="s">
        <v>3466</v>
      </c>
      <c r="C321" s="1238" t="s">
        <v>3467</v>
      </c>
      <c r="D321" s="1262" t="s">
        <v>127</v>
      </c>
      <c r="E321" s="1240">
        <f t="shared" si="8"/>
        <v>100275</v>
      </c>
      <c r="F321" s="162"/>
      <c r="G321" s="162"/>
      <c r="H321" s="162"/>
      <c r="I321" s="1263">
        <v>95500</v>
      </c>
      <c r="J321" s="162">
        <f t="shared" si="7"/>
        <v>100275</v>
      </c>
    </row>
    <row r="322" spans="1:10" ht="13.5" customHeight="1">
      <c r="A322" s="1236"/>
      <c r="B322" s="1261" t="s">
        <v>3468</v>
      </c>
      <c r="C322" s="1238" t="s">
        <v>3469</v>
      </c>
      <c r="D322" s="1262" t="s">
        <v>127</v>
      </c>
      <c r="E322" s="1240">
        <f t="shared" si="8"/>
        <v>61425</v>
      </c>
      <c r="F322" s="162"/>
      <c r="G322" s="162"/>
      <c r="H322" s="162"/>
      <c r="I322" s="1263">
        <v>58500</v>
      </c>
      <c r="J322" s="162">
        <f t="shared" si="7"/>
        <v>61425</v>
      </c>
    </row>
    <row r="323" spans="1:10" ht="13.5" customHeight="1">
      <c r="A323" s="1236"/>
      <c r="B323" s="1261" t="s">
        <v>3470</v>
      </c>
      <c r="C323" s="1238" t="s">
        <v>3471</v>
      </c>
      <c r="D323" s="1262" t="s">
        <v>127</v>
      </c>
      <c r="E323" s="1240">
        <v>217500</v>
      </c>
      <c r="F323" s="162"/>
      <c r="G323" s="162"/>
      <c r="H323" s="162"/>
      <c r="I323" s="1263">
        <v>45000</v>
      </c>
      <c r="J323" s="162">
        <f t="shared" si="7"/>
        <v>47250</v>
      </c>
    </row>
    <row r="324" spans="1:10" ht="13.5" customHeight="1">
      <c r="A324" s="1236"/>
      <c r="B324" s="1261" t="s">
        <v>3472</v>
      </c>
      <c r="C324" s="1238" t="s">
        <v>3473</v>
      </c>
      <c r="D324" s="1262" t="s">
        <v>127</v>
      </c>
      <c r="E324" s="1240">
        <f t="shared" ref="E324:E343" si="9">+J324</f>
        <v>414750</v>
      </c>
      <c r="F324" s="162"/>
      <c r="G324" s="162"/>
      <c r="H324" s="162"/>
      <c r="I324" s="1263">
        <v>395000</v>
      </c>
      <c r="J324" s="162">
        <f t="shared" si="7"/>
        <v>414750</v>
      </c>
    </row>
    <row r="325" spans="1:10" ht="13.5" customHeight="1">
      <c r="A325" s="1236"/>
      <c r="B325" s="1261" t="s">
        <v>3474</v>
      </c>
      <c r="C325" s="1238" t="s">
        <v>3475</v>
      </c>
      <c r="D325" s="1262" t="s">
        <v>127</v>
      </c>
      <c r="E325" s="1240">
        <f t="shared" si="9"/>
        <v>14175</v>
      </c>
      <c r="F325" s="162"/>
      <c r="G325" s="162"/>
      <c r="H325" s="162"/>
      <c r="I325" s="1263">
        <v>13500</v>
      </c>
      <c r="J325" s="162">
        <f t="shared" si="7"/>
        <v>14175</v>
      </c>
    </row>
    <row r="326" spans="1:10" ht="13.5" customHeight="1">
      <c r="A326" s="1236"/>
      <c r="B326" s="1261" t="s">
        <v>3476</v>
      </c>
      <c r="C326" s="1238" t="s">
        <v>3477</v>
      </c>
      <c r="D326" s="1262" t="s">
        <v>127</v>
      </c>
      <c r="E326" s="1240">
        <f t="shared" si="9"/>
        <v>71400</v>
      </c>
      <c r="F326" s="162"/>
      <c r="G326" s="162"/>
      <c r="H326" s="162"/>
      <c r="I326" s="1263">
        <v>68000</v>
      </c>
      <c r="J326" s="162">
        <f t="shared" si="7"/>
        <v>71400</v>
      </c>
    </row>
    <row r="327" spans="1:10" ht="13.5" customHeight="1">
      <c r="A327" s="1236"/>
      <c r="B327" s="1261" t="s">
        <v>3478</v>
      </c>
      <c r="C327" s="1238" t="s">
        <v>3479</v>
      </c>
      <c r="D327" s="1262" t="s">
        <v>120</v>
      </c>
      <c r="E327" s="1240">
        <f t="shared" si="9"/>
        <v>4673</v>
      </c>
      <c r="F327" s="162"/>
      <c r="G327" s="162"/>
      <c r="H327" s="162"/>
      <c r="I327" s="1263">
        <v>4450</v>
      </c>
      <c r="J327" s="162">
        <f t="shared" si="7"/>
        <v>4673</v>
      </c>
    </row>
    <row r="328" spans="1:10" ht="13.5" customHeight="1">
      <c r="A328" s="1236"/>
      <c r="B328" s="1261" t="s">
        <v>3480</v>
      </c>
      <c r="C328" s="1238" t="s">
        <v>3481</v>
      </c>
      <c r="D328" s="1262" t="s">
        <v>120</v>
      </c>
      <c r="E328" s="1240">
        <f t="shared" si="9"/>
        <v>11340</v>
      </c>
      <c r="F328" s="162"/>
      <c r="G328" s="162"/>
      <c r="H328" s="162"/>
      <c r="I328" s="1263">
        <v>10800</v>
      </c>
      <c r="J328" s="162">
        <f t="shared" si="7"/>
        <v>11340</v>
      </c>
    </row>
    <row r="329" spans="1:10" ht="13.5" customHeight="1">
      <c r="A329" s="1236"/>
      <c r="B329" s="1261" t="s">
        <v>3482</v>
      </c>
      <c r="C329" s="1238" t="s">
        <v>3483</v>
      </c>
      <c r="D329" s="1262" t="s">
        <v>127</v>
      </c>
      <c r="E329" s="1240">
        <f t="shared" si="9"/>
        <v>3675</v>
      </c>
      <c r="F329" s="162"/>
      <c r="G329" s="162"/>
      <c r="H329" s="162"/>
      <c r="I329" s="1263">
        <v>3500</v>
      </c>
      <c r="J329" s="162">
        <f t="shared" si="7"/>
        <v>3675</v>
      </c>
    </row>
    <row r="330" spans="1:10" ht="13.5" customHeight="1">
      <c r="A330" s="1236"/>
      <c r="B330" s="1261" t="s">
        <v>3484</v>
      </c>
      <c r="C330" s="1238" t="s">
        <v>3485</v>
      </c>
      <c r="D330" s="1262" t="s">
        <v>127</v>
      </c>
      <c r="E330" s="1240">
        <f t="shared" si="9"/>
        <v>31028</v>
      </c>
      <c r="F330" s="162"/>
      <c r="G330" s="162"/>
      <c r="H330" s="162"/>
      <c r="I330" s="1263">
        <v>29550</v>
      </c>
      <c r="J330" s="162">
        <f t="shared" si="7"/>
        <v>31028</v>
      </c>
    </row>
    <row r="331" spans="1:10" ht="13.5" customHeight="1">
      <c r="A331" s="1236"/>
      <c r="B331" s="1261" t="s">
        <v>3486</v>
      </c>
      <c r="C331" s="1238" t="s">
        <v>3487</v>
      </c>
      <c r="D331" s="1262" t="s">
        <v>127</v>
      </c>
      <c r="E331" s="1240">
        <f t="shared" si="9"/>
        <v>212625</v>
      </c>
      <c r="F331" s="162"/>
      <c r="G331" s="162"/>
      <c r="H331" s="162"/>
      <c r="I331" s="1263">
        <v>202500</v>
      </c>
      <c r="J331" s="162">
        <f t="shared" si="7"/>
        <v>212625</v>
      </c>
    </row>
    <row r="332" spans="1:10" ht="13.5" customHeight="1">
      <c r="A332" s="1236"/>
      <c r="B332" s="1261" t="s">
        <v>3488</v>
      </c>
      <c r="C332" s="1238" t="s">
        <v>3489</v>
      </c>
      <c r="D332" s="1262" t="s">
        <v>127</v>
      </c>
      <c r="E332" s="1240">
        <f t="shared" si="9"/>
        <v>299250</v>
      </c>
      <c r="F332" s="162"/>
      <c r="G332" s="162"/>
      <c r="H332" s="162"/>
      <c r="I332" s="1263">
        <v>285000</v>
      </c>
      <c r="J332" s="162">
        <f t="shared" si="7"/>
        <v>299250</v>
      </c>
    </row>
    <row r="333" spans="1:10" ht="13.5" customHeight="1">
      <c r="A333" s="1236"/>
      <c r="B333" s="1261" t="s">
        <v>3490</v>
      </c>
      <c r="C333" s="1238" t="s">
        <v>3491</v>
      </c>
      <c r="D333" s="1262" t="s">
        <v>127</v>
      </c>
      <c r="E333" s="1240">
        <f t="shared" si="9"/>
        <v>94500</v>
      </c>
      <c r="F333" s="162"/>
      <c r="G333" s="162"/>
      <c r="H333" s="162"/>
      <c r="I333" s="1263">
        <v>90000</v>
      </c>
      <c r="J333" s="162">
        <f t="shared" si="7"/>
        <v>94500</v>
      </c>
    </row>
    <row r="334" spans="1:10" ht="13.5" customHeight="1">
      <c r="A334" s="1236"/>
      <c r="B334" s="1261" t="s">
        <v>3492</v>
      </c>
      <c r="C334" s="1238" t="s">
        <v>3493</v>
      </c>
      <c r="D334" s="1262" t="s">
        <v>127</v>
      </c>
      <c r="E334" s="1240">
        <f t="shared" si="9"/>
        <v>21000</v>
      </c>
      <c r="F334" s="162"/>
      <c r="G334" s="162"/>
      <c r="H334" s="162"/>
      <c r="I334" s="1263">
        <v>20000</v>
      </c>
      <c r="J334" s="162">
        <f t="shared" si="7"/>
        <v>21000</v>
      </c>
    </row>
    <row r="335" spans="1:10" ht="13.5" customHeight="1">
      <c r="A335" s="1236"/>
      <c r="B335" s="1261" t="s">
        <v>3494</v>
      </c>
      <c r="C335" s="1238" t="s">
        <v>3495</v>
      </c>
      <c r="D335" s="1262" t="s">
        <v>228</v>
      </c>
      <c r="E335" s="1240">
        <f t="shared" si="9"/>
        <v>35175</v>
      </c>
      <c r="F335" s="162"/>
      <c r="G335" s="162"/>
      <c r="H335" s="162"/>
      <c r="I335" s="1263">
        <v>33500</v>
      </c>
      <c r="J335" s="162">
        <f t="shared" si="7"/>
        <v>35175</v>
      </c>
    </row>
    <row r="336" spans="1:10" ht="13.5" customHeight="1">
      <c r="A336" s="1236"/>
      <c r="B336" s="1261" t="s">
        <v>3496</v>
      </c>
      <c r="C336" s="1238" t="s">
        <v>3497</v>
      </c>
      <c r="D336" s="1262" t="s">
        <v>228</v>
      </c>
      <c r="E336" s="1240">
        <f t="shared" si="9"/>
        <v>41475</v>
      </c>
      <c r="F336" s="162"/>
      <c r="G336" s="162"/>
      <c r="H336" s="162"/>
      <c r="I336" s="1263">
        <v>39500</v>
      </c>
      <c r="J336" s="162">
        <f t="shared" si="7"/>
        <v>41475</v>
      </c>
    </row>
    <row r="337" spans="1:10" ht="13.5" customHeight="1">
      <c r="A337" s="1236"/>
      <c r="B337" s="1261" t="s">
        <v>3498</v>
      </c>
      <c r="C337" s="1238" t="s">
        <v>3499</v>
      </c>
      <c r="D337" s="1262" t="s">
        <v>228</v>
      </c>
      <c r="E337" s="1240">
        <f t="shared" si="9"/>
        <v>36383</v>
      </c>
      <c r="F337" s="162"/>
      <c r="G337" s="162"/>
      <c r="H337" s="162"/>
      <c r="I337" s="1263">
        <v>34650</v>
      </c>
      <c r="J337" s="162">
        <f t="shared" si="7"/>
        <v>36383</v>
      </c>
    </row>
    <row r="338" spans="1:10" ht="13.5" customHeight="1">
      <c r="A338" s="1236"/>
      <c r="B338" s="1261" t="s">
        <v>3500</v>
      </c>
      <c r="C338" s="1238" t="s">
        <v>3501</v>
      </c>
      <c r="D338" s="1262" t="s">
        <v>228</v>
      </c>
      <c r="E338" s="1240">
        <f t="shared" si="9"/>
        <v>36383</v>
      </c>
      <c r="F338" s="162"/>
      <c r="G338" s="162"/>
      <c r="H338" s="162"/>
      <c r="I338" s="1263">
        <v>34650</v>
      </c>
      <c r="J338" s="162">
        <f t="shared" si="7"/>
        <v>36383</v>
      </c>
    </row>
    <row r="339" spans="1:10" ht="13.5" customHeight="1">
      <c r="A339" s="1236"/>
      <c r="B339" s="1261" t="s">
        <v>3502</v>
      </c>
      <c r="C339" s="1238" t="s">
        <v>3501</v>
      </c>
      <c r="D339" s="1262" t="s">
        <v>228</v>
      </c>
      <c r="E339" s="1240">
        <f t="shared" si="9"/>
        <v>42446</v>
      </c>
      <c r="F339" s="162"/>
      <c r="G339" s="162"/>
      <c r="H339" s="162"/>
      <c r="I339" s="1263">
        <v>40425</v>
      </c>
      <c r="J339" s="162">
        <f t="shared" si="7"/>
        <v>42446</v>
      </c>
    </row>
    <row r="340" spans="1:10" ht="13.5" customHeight="1">
      <c r="A340" s="1236"/>
      <c r="B340" s="1261" t="s">
        <v>3503</v>
      </c>
      <c r="C340" s="1238" t="s">
        <v>3504</v>
      </c>
      <c r="D340" s="1262" t="s">
        <v>228</v>
      </c>
      <c r="E340" s="1240">
        <f t="shared" si="9"/>
        <v>53960</v>
      </c>
      <c r="F340" s="162"/>
      <c r="G340" s="162"/>
      <c r="H340" s="162"/>
      <c r="I340" s="1263">
        <v>51390</v>
      </c>
      <c r="J340" s="162">
        <f t="shared" si="7"/>
        <v>53960</v>
      </c>
    </row>
    <row r="341" spans="1:10" ht="13.5" customHeight="1">
      <c r="A341" s="1236"/>
      <c r="B341" s="1261" t="s">
        <v>3505</v>
      </c>
      <c r="C341" s="1238" t="s">
        <v>3506</v>
      </c>
      <c r="D341" s="1262" t="s">
        <v>228</v>
      </c>
      <c r="E341" s="1240">
        <f t="shared" si="9"/>
        <v>47250</v>
      </c>
      <c r="F341" s="162"/>
      <c r="G341" s="162"/>
      <c r="H341" s="162"/>
      <c r="I341" s="1263">
        <v>45000</v>
      </c>
      <c r="J341" s="162">
        <f t="shared" si="7"/>
        <v>47250</v>
      </c>
    </row>
    <row r="342" spans="1:10" ht="13.5" customHeight="1">
      <c r="A342" s="1236"/>
      <c r="B342" s="1261" t="s">
        <v>3507</v>
      </c>
      <c r="C342" s="1238" t="s">
        <v>3508</v>
      </c>
      <c r="D342" s="1262" t="s">
        <v>228</v>
      </c>
      <c r="E342" s="1240">
        <f t="shared" si="9"/>
        <v>48510</v>
      </c>
      <c r="F342" s="162"/>
      <c r="G342" s="162"/>
      <c r="H342" s="162"/>
      <c r="I342" s="1263">
        <v>46200</v>
      </c>
      <c r="J342" s="162">
        <f t="shared" si="7"/>
        <v>48510</v>
      </c>
    </row>
    <row r="343" spans="1:10" ht="13.5" customHeight="1">
      <c r="A343" s="1236"/>
      <c r="B343" s="1261" t="s">
        <v>3509</v>
      </c>
      <c r="C343" s="1238" t="s">
        <v>3510</v>
      </c>
      <c r="D343" s="1262" t="s">
        <v>120</v>
      </c>
      <c r="E343" s="1240">
        <f t="shared" si="9"/>
        <v>214200</v>
      </c>
      <c r="F343" s="162"/>
      <c r="G343" s="162"/>
      <c r="H343" s="162"/>
      <c r="I343" s="1263">
        <v>204000</v>
      </c>
      <c r="J343" s="162">
        <f t="shared" si="7"/>
        <v>214200</v>
      </c>
    </row>
    <row r="344" spans="1:10" ht="13.5" customHeight="1">
      <c r="A344" s="1236"/>
      <c r="B344" s="1261" t="s">
        <v>3511</v>
      </c>
      <c r="C344" s="1238" t="s">
        <v>3512</v>
      </c>
      <c r="D344" s="1262" t="s">
        <v>127</v>
      </c>
      <c r="E344" s="1240">
        <f>309900*1.19</f>
        <v>368781</v>
      </c>
      <c r="F344" s="162"/>
      <c r="G344" s="162"/>
      <c r="H344" s="162"/>
      <c r="I344" s="1263">
        <v>165000</v>
      </c>
      <c r="J344" s="162">
        <f t="shared" si="7"/>
        <v>173250</v>
      </c>
    </row>
    <row r="345" spans="1:10" ht="13.5" customHeight="1">
      <c r="A345" s="1236"/>
      <c r="B345" s="1261" t="s">
        <v>3513</v>
      </c>
      <c r="C345" s="1238" t="s">
        <v>3514</v>
      </c>
      <c r="D345" s="1262" t="s">
        <v>127</v>
      </c>
      <c r="E345" s="1240">
        <f>259900*1.19</f>
        <v>309281</v>
      </c>
      <c r="F345" s="162"/>
      <c r="G345" s="162"/>
      <c r="H345" s="162"/>
      <c r="I345" s="1263">
        <v>190000</v>
      </c>
      <c r="J345" s="162">
        <f t="shared" si="7"/>
        <v>199500</v>
      </c>
    </row>
    <row r="346" spans="1:10" ht="13.5" customHeight="1">
      <c r="A346" s="1236"/>
      <c r="B346" s="1261" t="s">
        <v>3515</v>
      </c>
      <c r="C346" s="1238" t="s">
        <v>3516</v>
      </c>
      <c r="D346" s="1262" t="s">
        <v>127</v>
      </c>
      <c r="E346" s="1240">
        <f t="shared" ref="E346:E347" si="10">+J346</f>
        <v>729614</v>
      </c>
      <c r="F346" s="162"/>
      <c r="G346" s="162"/>
      <c r="H346" s="162"/>
      <c r="I346" s="1263">
        <v>694870</v>
      </c>
      <c r="J346" s="162">
        <f t="shared" si="7"/>
        <v>729614</v>
      </c>
    </row>
    <row r="347" spans="1:10" ht="13.5" customHeight="1">
      <c r="A347" s="1236"/>
      <c r="B347" s="1261" t="s">
        <v>3517</v>
      </c>
      <c r="C347" s="1238" t="s">
        <v>3518</v>
      </c>
      <c r="D347" s="1262" t="s">
        <v>127</v>
      </c>
      <c r="E347" s="1240">
        <f t="shared" si="10"/>
        <v>210000</v>
      </c>
      <c r="F347" s="162"/>
      <c r="G347" s="162"/>
      <c r="H347" s="162"/>
      <c r="I347" s="1263">
        <v>200000</v>
      </c>
      <c r="J347" s="162">
        <f t="shared" si="7"/>
        <v>210000</v>
      </c>
    </row>
    <row r="348" spans="1:10" ht="13.5" customHeight="1">
      <c r="A348" s="1236"/>
      <c r="B348" s="1261" t="s">
        <v>3519</v>
      </c>
      <c r="C348" s="1238" t="s">
        <v>3520</v>
      </c>
      <c r="D348" s="1262" t="s">
        <v>127</v>
      </c>
      <c r="E348" s="1240">
        <v>17500</v>
      </c>
      <c r="F348" s="162"/>
      <c r="G348" s="162"/>
      <c r="H348" s="162"/>
      <c r="I348" s="1263">
        <v>23490</v>
      </c>
      <c r="J348" s="162">
        <f t="shared" si="7"/>
        <v>24665</v>
      </c>
    </row>
    <row r="349" spans="1:10" ht="13.5" customHeight="1">
      <c r="A349" s="1236"/>
      <c r="B349" s="1261" t="s">
        <v>3521</v>
      </c>
      <c r="C349" s="1238" t="s">
        <v>3522</v>
      </c>
      <c r="D349" s="1262" t="s">
        <v>228</v>
      </c>
      <c r="E349" s="1240">
        <f t="shared" ref="E349:E363" si="11">+J349</f>
        <v>18690</v>
      </c>
      <c r="F349" s="162"/>
      <c r="G349" s="162"/>
      <c r="H349" s="162"/>
      <c r="I349" s="1263">
        <v>17800</v>
      </c>
      <c r="J349" s="162">
        <f t="shared" si="7"/>
        <v>18690</v>
      </c>
    </row>
    <row r="350" spans="1:10" ht="13.5" customHeight="1">
      <c r="A350" s="1236"/>
      <c r="B350" s="1261" t="s">
        <v>3523</v>
      </c>
      <c r="C350" s="1238" t="s">
        <v>3524</v>
      </c>
      <c r="D350" s="1262" t="s">
        <v>228</v>
      </c>
      <c r="E350" s="1240">
        <f t="shared" si="11"/>
        <v>30975</v>
      </c>
      <c r="F350" s="162"/>
      <c r="G350" s="162"/>
      <c r="H350" s="162"/>
      <c r="I350" s="1263">
        <v>29500</v>
      </c>
      <c r="J350" s="162">
        <f t="shared" si="7"/>
        <v>30975</v>
      </c>
    </row>
    <row r="351" spans="1:10" ht="13.5" customHeight="1">
      <c r="A351" s="1236"/>
      <c r="B351" s="1261" t="s">
        <v>3525</v>
      </c>
      <c r="C351" s="1238" t="s">
        <v>3526</v>
      </c>
      <c r="D351" s="1262" t="s">
        <v>228</v>
      </c>
      <c r="E351" s="1240">
        <f t="shared" si="11"/>
        <v>18480</v>
      </c>
      <c r="F351" s="162"/>
      <c r="G351" s="162"/>
      <c r="H351" s="162"/>
      <c r="I351" s="1263">
        <v>17600</v>
      </c>
      <c r="J351" s="162">
        <f t="shared" si="7"/>
        <v>18480</v>
      </c>
    </row>
    <row r="352" spans="1:10" ht="13.5" customHeight="1">
      <c r="A352" s="1236"/>
      <c r="B352" s="1261" t="s">
        <v>3527</v>
      </c>
      <c r="C352" s="1238" t="s">
        <v>3528</v>
      </c>
      <c r="D352" s="1262" t="s">
        <v>228</v>
      </c>
      <c r="E352" s="1240">
        <f t="shared" si="11"/>
        <v>18480</v>
      </c>
      <c r="F352" s="162"/>
      <c r="G352" s="162"/>
      <c r="H352" s="162"/>
      <c r="I352" s="1263">
        <v>17600</v>
      </c>
      <c r="J352" s="162">
        <f t="shared" si="7"/>
        <v>18480</v>
      </c>
    </row>
    <row r="353" spans="1:10" ht="13.5" customHeight="1">
      <c r="A353" s="1236"/>
      <c r="B353" s="1261" t="s">
        <v>3529</v>
      </c>
      <c r="C353" s="1238" t="s">
        <v>3530</v>
      </c>
      <c r="D353" s="1262" t="s">
        <v>228</v>
      </c>
      <c r="E353" s="1240">
        <f t="shared" si="11"/>
        <v>16275</v>
      </c>
      <c r="F353" s="162"/>
      <c r="G353" s="162"/>
      <c r="H353" s="162"/>
      <c r="I353" s="1263">
        <v>15500</v>
      </c>
      <c r="J353" s="162">
        <f t="shared" si="7"/>
        <v>16275</v>
      </c>
    </row>
    <row r="354" spans="1:10" ht="13.5" customHeight="1">
      <c r="A354" s="1236"/>
      <c r="B354" s="1261" t="s">
        <v>3531</v>
      </c>
      <c r="C354" s="1238" t="s">
        <v>3532</v>
      </c>
      <c r="D354" s="1262" t="s">
        <v>228</v>
      </c>
      <c r="E354" s="1240">
        <f t="shared" si="11"/>
        <v>26250</v>
      </c>
      <c r="F354" s="162"/>
      <c r="G354" s="162"/>
      <c r="H354" s="162"/>
      <c r="I354" s="1263">
        <v>25000</v>
      </c>
      <c r="J354" s="162">
        <f t="shared" si="7"/>
        <v>26250</v>
      </c>
    </row>
    <row r="355" spans="1:10" ht="13.5" customHeight="1">
      <c r="A355" s="1236"/>
      <c r="B355" s="1261" t="s">
        <v>3533</v>
      </c>
      <c r="C355" s="1238" t="s">
        <v>3534</v>
      </c>
      <c r="D355" s="1262" t="s">
        <v>228</v>
      </c>
      <c r="E355" s="1240">
        <f t="shared" si="11"/>
        <v>14333</v>
      </c>
      <c r="F355" s="162"/>
      <c r="G355" s="162"/>
      <c r="H355" s="162"/>
      <c r="I355" s="1263">
        <v>13650</v>
      </c>
      <c r="J355" s="162">
        <f t="shared" si="7"/>
        <v>14333</v>
      </c>
    </row>
    <row r="356" spans="1:10" ht="13.5" customHeight="1">
      <c r="A356" s="1236"/>
      <c r="B356" s="1261" t="s">
        <v>3535</v>
      </c>
      <c r="C356" s="1238" t="s">
        <v>3536</v>
      </c>
      <c r="D356" s="1262" t="s">
        <v>228</v>
      </c>
      <c r="E356" s="1240">
        <f t="shared" si="11"/>
        <v>23940</v>
      </c>
      <c r="F356" s="162"/>
      <c r="G356" s="162"/>
      <c r="H356" s="162"/>
      <c r="I356" s="1263">
        <v>22800</v>
      </c>
      <c r="J356" s="162">
        <f t="shared" si="7"/>
        <v>23940</v>
      </c>
    </row>
    <row r="357" spans="1:10" ht="13.5" customHeight="1">
      <c r="A357" s="1236"/>
      <c r="B357" s="1261" t="s">
        <v>3537</v>
      </c>
      <c r="C357" s="1238" t="s">
        <v>3538</v>
      </c>
      <c r="D357" s="1262" t="s">
        <v>228</v>
      </c>
      <c r="E357" s="1240">
        <f t="shared" si="11"/>
        <v>18375</v>
      </c>
      <c r="F357" s="162"/>
      <c r="G357" s="162"/>
      <c r="H357" s="162"/>
      <c r="I357" s="1263">
        <v>17500</v>
      </c>
      <c r="J357" s="162">
        <f t="shared" si="7"/>
        <v>18375</v>
      </c>
    </row>
    <row r="358" spans="1:10" ht="13.5" customHeight="1">
      <c r="A358" s="1236"/>
      <c r="B358" s="1261" t="s">
        <v>3539</v>
      </c>
      <c r="C358" s="1238" t="s">
        <v>3540</v>
      </c>
      <c r="D358" s="1262" t="s">
        <v>228</v>
      </c>
      <c r="E358" s="1240">
        <f t="shared" si="11"/>
        <v>14175</v>
      </c>
      <c r="F358" s="162"/>
      <c r="G358" s="162"/>
      <c r="H358" s="162"/>
      <c r="I358" s="1263">
        <v>13500</v>
      </c>
      <c r="J358" s="162">
        <f t="shared" si="7"/>
        <v>14175</v>
      </c>
    </row>
    <row r="359" spans="1:10" ht="13.5" customHeight="1">
      <c r="A359" s="1236"/>
      <c r="B359" s="1261" t="s">
        <v>3541</v>
      </c>
      <c r="C359" s="1238" t="s">
        <v>3542</v>
      </c>
      <c r="D359" s="1262" t="s">
        <v>228</v>
      </c>
      <c r="E359" s="1240">
        <f t="shared" si="11"/>
        <v>15225</v>
      </c>
      <c r="F359" s="162"/>
      <c r="G359" s="162"/>
      <c r="H359" s="162"/>
      <c r="I359" s="1263">
        <v>14500</v>
      </c>
      <c r="J359" s="162">
        <f t="shared" si="7"/>
        <v>15225</v>
      </c>
    </row>
    <row r="360" spans="1:10" ht="13.5" customHeight="1">
      <c r="A360" s="1236"/>
      <c r="B360" s="1261" t="s">
        <v>3543</v>
      </c>
      <c r="C360" s="1238" t="s">
        <v>3544</v>
      </c>
      <c r="D360" s="1262" t="s">
        <v>127</v>
      </c>
      <c r="E360" s="1240">
        <f t="shared" si="11"/>
        <v>254100</v>
      </c>
      <c r="F360" s="162"/>
      <c r="G360" s="162"/>
      <c r="H360" s="162"/>
      <c r="I360" s="1263">
        <v>242000</v>
      </c>
      <c r="J360" s="162">
        <f t="shared" si="7"/>
        <v>254100</v>
      </c>
    </row>
    <row r="361" spans="1:10" ht="13.5" customHeight="1">
      <c r="A361" s="1236"/>
      <c r="B361" s="1261" t="s">
        <v>3545</v>
      </c>
      <c r="C361" s="1238" t="s">
        <v>3546</v>
      </c>
      <c r="D361" s="1262" t="s">
        <v>127</v>
      </c>
      <c r="E361" s="1240">
        <f t="shared" si="11"/>
        <v>152250</v>
      </c>
      <c r="F361" s="162"/>
      <c r="G361" s="162"/>
      <c r="H361" s="162"/>
      <c r="I361" s="1263">
        <v>145000</v>
      </c>
      <c r="J361" s="162">
        <f t="shared" si="7"/>
        <v>152250</v>
      </c>
    </row>
    <row r="362" spans="1:10" ht="13.5" customHeight="1">
      <c r="A362" s="1236"/>
      <c r="B362" s="1261" t="s">
        <v>3547</v>
      </c>
      <c r="C362" s="1238" t="s">
        <v>3548</v>
      </c>
      <c r="D362" s="1262" t="s">
        <v>228</v>
      </c>
      <c r="E362" s="1240">
        <f t="shared" si="11"/>
        <v>22733</v>
      </c>
      <c r="F362" s="162"/>
      <c r="G362" s="162"/>
      <c r="H362" s="162"/>
      <c r="I362" s="1263">
        <v>21650</v>
      </c>
      <c r="J362" s="162">
        <f t="shared" si="7"/>
        <v>22733</v>
      </c>
    </row>
    <row r="363" spans="1:10" ht="13.5" customHeight="1">
      <c r="A363" s="1236"/>
      <c r="B363" s="1261" t="s">
        <v>3549</v>
      </c>
      <c r="C363" s="1238" t="s">
        <v>3550</v>
      </c>
      <c r="D363" s="1262" t="s">
        <v>120</v>
      </c>
      <c r="E363" s="1240">
        <f t="shared" si="11"/>
        <v>1575</v>
      </c>
      <c r="F363" s="162"/>
      <c r="G363" s="162"/>
      <c r="H363" s="162"/>
      <c r="I363" s="1263">
        <v>1500</v>
      </c>
      <c r="J363" s="162">
        <f t="shared" si="7"/>
        <v>1575</v>
      </c>
    </row>
    <row r="364" spans="1:10" ht="13.5" customHeight="1">
      <c r="A364" s="1248"/>
      <c r="B364" s="1269"/>
      <c r="C364" s="1270"/>
      <c r="D364" s="1271"/>
      <c r="E364" s="1272"/>
      <c r="F364" s="162"/>
      <c r="G364" s="162"/>
      <c r="H364" s="162"/>
      <c r="I364" s="1272"/>
      <c r="J364" s="162">
        <f t="shared" si="7"/>
        <v>0</v>
      </c>
    </row>
    <row r="365" spans="1:10" ht="13.5" customHeight="1">
      <c r="A365" s="1253"/>
      <c r="B365" s="1227"/>
      <c r="C365" s="2235"/>
      <c r="D365" s="1601"/>
      <c r="E365" s="1602"/>
      <c r="F365" s="162"/>
      <c r="G365" s="162"/>
      <c r="H365" s="162"/>
      <c r="I365" s="162"/>
      <c r="J365" s="162">
        <f t="shared" si="7"/>
        <v>0</v>
      </c>
    </row>
    <row r="366" spans="1:10" ht="3.75" customHeight="1">
      <c r="A366" s="1254"/>
      <c r="B366" s="1255"/>
      <c r="C366" s="1256"/>
      <c r="D366" s="1257"/>
      <c r="E366" s="1258"/>
      <c r="F366" s="162"/>
      <c r="G366" s="162"/>
      <c r="H366" s="162"/>
      <c r="I366" s="1258"/>
      <c r="J366" s="162">
        <f t="shared" si="7"/>
        <v>0</v>
      </c>
    </row>
    <row r="367" spans="1:10" ht="13.5" customHeight="1">
      <c r="A367" s="1226" t="s">
        <v>3161</v>
      </c>
      <c r="B367" s="1227">
        <v>5</v>
      </c>
      <c r="C367" s="1268" t="s">
        <v>3551</v>
      </c>
      <c r="D367" s="1229"/>
      <c r="E367" s="1230"/>
      <c r="F367" s="162"/>
      <c r="G367" s="162"/>
      <c r="H367" s="162"/>
      <c r="I367" s="1230"/>
      <c r="J367" s="162">
        <f t="shared" si="7"/>
        <v>0</v>
      </c>
    </row>
    <row r="368" spans="1:10" ht="13.5" customHeight="1">
      <c r="A368" s="1231"/>
      <c r="B368" s="1259" t="s">
        <v>54</v>
      </c>
      <c r="C368" s="1233" t="s">
        <v>1706</v>
      </c>
      <c r="D368" s="1260" t="s">
        <v>1707</v>
      </c>
      <c r="E368" s="1235">
        <f t="shared" ref="E368:E369" si="12">+J368</f>
        <v>33600</v>
      </c>
      <c r="F368" s="162"/>
      <c r="G368" s="162"/>
      <c r="H368" s="162"/>
      <c r="I368" s="1263">
        <v>32000</v>
      </c>
      <c r="J368" s="162">
        <f t="shared" si="7"/>
        <v>33600</v>
      </c>
    </row>
    <row r="369" spans="1:10" ht="13.5" customHeight="1">
      <c r="A369" s="1236"/>
      <c r="B369" s="1261" t="s">
        <v>294</v>
      </c>
      <c r="C369" s="1238" t="s">
        <v>3552</v>
      </c>
      <c r="D369" s="1262" t="s">
        <v>1707</v>
      </c>
      <c r="E369" s="1240">
        <f t="shared" si="12"/>
        <v>34689</v>
      </c>
      <c r="F369" s="162"/>
      <c r="G369" s="162"/>
      <c r="H369" s="162"/>
      <c r="I369" s="1263">
        <v>33037</v>
      </c>
      <c r="J369" s="162">
        <f t="shared" si="7"/>
        <v>34689</v>
      </c>
    </row>
    <row r="370" spans="1:10" ht="13.5" customHeight="1">
      <c r="A370" s="1236"/>
      <c r="B370" s="1261" t="s">
        <v>421</v>
      </c>
      <c r="C370" s="1238" t="s">
        <v>3553</v>
      </c>
      <c r="D370" s="1262" t="s">
        <v>910</v>
      </c>
      <c r="E370" s="1240">
        <v>3150</v>
      </c>
      <c r="F370" s="162"/>
      <c r="G370" s="162"/>
      <c r="H370" s="162"/>
      <c r="I370" s="1263">
        <v>1100</v>
      </c>
      <c r="J370" s="162">
        <f t="shared" si="7"/>
        <v>1155</v>
      </c>
    </row>
    <row r="371" spans="1:10" ht="13.5" customHeight="1">
      <c r="A371" s="1236"/>
      <c r="B371" s="1261" t="s">
        <v>1494</v>
      </c>
      <c r="C371" s="1238" t="s">
        <v>3554</v>
      </c>
      <c r="D371" s="1262" t="s">
        <v>127</v>
      </c>
      <c r="E371" s="1240">
        <f t="shared" ref="E371:E407" si="13">+J371</f>
        <v>735</v>
      </c>
      <c r="F371" s="162"/>
      <c r="G371" s="162"/>
      <c r="H371" s="162"/>
      <c r="I371" s="1263">
        <v>700</v>
      </c>
      <c r="J371" s="162">
        <f t="shared" si="7"/>
        <v>735</v>
      </c>
    </row>
    <row r="372" spans="1:10" ht="13.5" customHeight="1">
      <c r="A372" s="1236"/>
      <c r="B372" s="1261" t="s">
        <v>1496</v>
      </c>
      <c r="C372" s="1238" t="s">
        <v>3555</v>
      </c>
      <c r="D372" s="1262" t="s">
        <v>127</v>
      </c>
      <c r="E372" s="1240">
        <f t="shared" si="13"/>
        <v>893</v>
      </c>
      <c r="F372" s="162"/>
      <c r="G372" s="162"/>
      <c r="H372" s="162"/>
      <c r="I372" s="1263">
        <v>850</v>
      </c>
      <c r="J372" s="162">
        <f t="shared" si="7"/>
        <v>893</v>
      </c>
    </row>
    <row r="373" spans="1:10" ht="13.5" customHeight="1">
      <c r="A373" s="1236"/>
      <c r="B373" s="1261" t="s">
        <v>1498</v>
      </c>
      <c r="C373" s="1238" t="s">
        <v>3556</v>
      </c>
      <c r="D373" s="1262" t="s">
        <v>127</v>
      </c>
      <c r="E373" s="1240">
        <f t="shared" si="13"/>
        <v>4935</v>
      </c>
      <c r="F373" s="162"/>
      <c r="G373" s="162"/>
      <c r="H373" s="162"/>
      <c r="I373" s="1263">
        <v>4700</v>
      </c>
      <c r="J373" s="162">
        <f t="shared" si="7"/>
        <v>4935</v>
      </c>
    </row>
    <row r="374" spans="1:10" ht="13.5" customHeight="1">
      <c r="A374" s="1236"/>
      <c r="B374" s="1261" t="s">
        <v>1500</v>
      </c>
      <c r="C374" s="1238" t="s">
        <v>3557</v>
      </c>
      <c r="D374" s="1262" t="s">
        <v>127</v>
      </c>
      <c r="E374" s="1240">
        <f t="shared" si="13"/>
        <v>2888</v>
      </c>
      <c r="F374" s="162"/>
      <c r="G374" s="162"/>
      <c r="H374" s="162"/>
      <c r="I374" s="1263">
        <v>2750</v>
      </c>
      <c r="J374" s="162">
        <f t="shared" si="7"/>
        <v>2888</v>
      </c>
    </row>
    <row r="375" spans="1:10" ht="13.5" customHeight="1">
      <c r="A375" s="1236"/>
      <c r="B375" s="1261" t="s">
        <v>1502</v>
      </c>
      <c r="C375" s="1238" t="s">
        <v>3558</v>
      </c>
      <c r="D375" s="1262" t="s">
        <v>127</v>
      </c>
      <c r="E375" s="1240">
        <f t="shared" si="13"/>
        <v>68250</v>
      </c>
      <c r="F375" s="162"/>
      <c r="G375" s="162"/>
      <c r="H375" s="162"/>
      <c r="I375" s="1263">
        <v>65000</v>
      </c>
      <c r="J375" s="162">
        <f t="shared" si="7"/>
        <v>68250</v>
      </c>
    </row>
    <row r="376" spans="1:10" ht="13.5" customHeight="1">
      <c r="A376" s="1236"/>
      <c r="B376" s="1261" t="s">
        <v>1504</v>
      </c>
      <c r="C376" s="1238" t="s">
        <v>3559</v>
      </c>
      <c r="D376" s="1262" t="s">
        <v>120</v>
      </c>
      <c r="E376" s="1240">
        <f t="shared" si="13"/>
        <v>315</v>
      </c>
      <c r="F376" s="162"/>
      <c r="G376" s="162"/>
      <c r="H376" s="162"/>
      <c r="I376" s="1263">
        <v>300</v>
      </c>
      <c r="J376" s="162">
        <f t="shared" si="7"/>
        <v>315</v>
      </c>
    </row>
    <row r="377" spans="1:10" ht="13.5" customHeight="1">
      <c r="A377" s="1236"/>
      <c r="B377" s="1261" t="s">
        <v>3560</v>
      </c>
      <c r="C377" s="1238" t="s">
        <v>3561</v>
      </c>
      <c r="D377" s="1262" t="s">
        <v>1707</v>
      </c>
      <c r="E377" s="1240">
        <f t="shared" si="13"/>
        <v>64050</v>
      </c>
      <c r="F377" s="162"/>
      <c r="G377" s="162"/>
      <c r="H377" s="162"/>
      <c r="I377" s="1263">
        <v>61000</v>
      </c>
      <c r="J377" s="162">
        <f t="shared" si="7"/>
        <v>64050</v>
      </c>
    </row>
    <row r="378" spans="1:10" ht="13.5" customHeight="1">
      <c r="A378" s="1236"/>
      <c r="B378" s="1261" t="s">
        <v>3562</v>
      </c>
      <c r="C378" s="1238" t="s">
        <v>3563</v>
      </c>
      <c r="D378" s="1262" t="s">
        <v>127</v>
      </c>
      <c r="E378" s="1240">
        <f t="shared" si="13"/>
        <v>22386</v>
      </c>
      <c r="F378" s="162"/>
      <c r="G378" s="162"/>
      <c r="H378" s="162"/>
      <c r="I378" s="1263">
        <v>21320</v>
      </c>
      <c r="J378" s="162">
        <f t="shared" si="7"/>
        <v>22386</v>
      </c>
    </row>
    <row r="379" spans="1:10" ht="13.5" customHeight="1">
      <c r="A379" s="1236"/>
      <c r="B379" s="1261" t="s">
        <v>3564</v>
      </c>
      <c r="C379" s="1238" t="s">
        <v>2870</v>
      </c>
      <c r="D379" s="1262" t="s">
        <v>1707</v>
      </c>
      <c r="E379" s="1240">
        <f t="shared" si="13"/>
        <v>16275</v>
      </c>
      <c r="F379" s="162"/>
      <c r="G379" s="162"/>
      <c r="H379" s="162"/>
      <c r="I379" s="1263">
        <v>15500</v>
      </c>
      <c r="J379" s="162">
        <f t="shared" si="7"/>
        <v>16275</v>
      </c>
    </row>
    <row r="380" spans="1:10" ht="13.5" customHeight="1">
      <c r="A380" s="1236"/>
      <c r="B380" s="1261" t="s">
        <v>3565</v>
      </c>
      <c r="C380" s="1238" t="s">
        <v>3566</v>
      </c>
      <c r="D380" s="1262" t="s">
        <v>1707</v>
      </c>
      <c r="E380" s="1240">
        <f t="shared" si="13"/>
        <v>51450</v>
      </c>
      <c r="F380" s="162"/>
      <c r="G380" s="162"/>
      <c r="H380" s="162"/>
      <c r="I380" s="1263">
        <v>49000</v>
      </c>
      <c r="J380" s="162">
        <f t="shared" si="7"/>
        <v>51450</v>
      </c>
    </row>
    <row r="381" spans="1:10" ht="13.5" customHeight="1">
      <c r="A381" s="1236"/>
      <c r="B381" s="1261" t="s">
        <v>3567</v>
      </c>
      <c r="C381" s="1238" t="s">
        <v>3568</v>
      </c>
      <c r="D381" s="1262" t="s">
        <v>228</v>
      </c>
      <c r="E381" s="1240">
        <f t="shared" si="13"/>
        <v>34650</v>
      </c>
      <c r="F381" s="162"/>
      <c r="G381" s="162"/>
      <c r="H381" s="162"/>
      <c r="I381" s="1263">
        <v>33000</v>
      </c>
      <c r="J381" s="162">
        <f t="shared" si="7"/>
        <v>34650</v>
      </c>
    </row>
    <row r="382" spans="1:10" ht="13.5" customHeight="1">
      <c r="A382" s="1236"/>
      <c r="B382" s="1261" t="s">
        <v>3569</v>
      </c>
      <c r="C382" s="1238" t="s">
        <v>3570</v>
      </c>
      <c r="D382" s="1262" t="s">
        <v>228</v>
      </c>
      <c r="E382" s="1240">
        <f t="shared" si="13"/>
        <v>4725</v>
      </c>
      <c r="F382" s="162"/>
      <c r="G382" s="162"/>
      <c r="H382" s="162"/>
      <c r="I382" s="1263">
        <v>4500</v>
      </c>
      <c r="J382" s="162">
        <f t="shared" si="7"/>
        <v>4725</v>
      </c>
    </row>
    <row r="383" spans="1:10" ht="13.5" customHeight="1">
      <c r="A383" s="1236"/>
      <c r="B383" s="1261" t="s">
        <v>3571</v>
      </c>
      <c r="C383" s="1238" t="s">
        <v>2868</v>
      </c>
      <c r="D383" s="1262" t="s">
        <v>3572</v>
      </c>
      <c r="E383" s="1240">
        <f t="shared" si="13"/>
        <v>59640</v>
      </c>
      <c r="F383" s="162"/>
      <c r="G383" s="162"/>
      <c r="H383" s="162"/>
      <c r="I383" s="1263">
        <v>56800</v>
      </c>
      <c r="J383" s="162">
        <f t="shared" si="7"/>
        <v>59640</v>
      </c>
    </row>
    <row r="384" spans="1:10" ht="13.5" customHeight="1">
      <c r="A384" s="1236"/>
      <c r="B384" s="1261" t="s">
        <v>3573</v>
      </c>
      <c r="C384" s="1238" t="s">
        <v>3574</v>
      </c>
      <c r="D384" s="1262" t="s">
        <v>1707</v>
      </c>
      <c r="E384" s="1240">
        <f t="shared" si="13"/>
        <v>93975</v>
      </c>
      <c r="F384" s="162"/>
      <c r="G384" s="162"/>
      <c r="H384" s="162"/>
      <c r="I384" s="1263">
        <v>89500</v>
      </c>
      <c r="J384" s="162">
        <f t="shared" si="7"/>
        <v>93975</v>
      </c>
    </row>
    <row r="385" spans="1:10" ht="13.5" customHeight="1">
      <c r="A385" s="1236"/>
      <c r="B385" s="1261" t="s">
        <v>3575</v>
      </c>
      <c r="C385" s="1238" t="s">
        <v>3576</v>
      </c>
      <c r="D385" s="1262" t="s">
        <v>127</v>
      </c>
      <c r="E385" s="1240">
        <f t="shared" si="13"/>
        <v>735</v>
      </c>
      <c r="F385" s="162"/>
      <c r="G385" s="162"/>
      <c r="H385" s="162"/>
      <c r="I385" s="1263">
        <v>700</v>
      </c>
      <c r="J385" s="162">
        <f t="shared" si="7"/>
        <v>735</v>
      </c>
    </row>
    <row r="386" spans="1:10" ht="13.5" customHeight="1">
      <c r="A386" s="1236"/>
      <c r="B386" s="1261" t="s">
        <v>3577</v>
      </c>
      <c r="C386" s="1238" t="s">
        <v>3578</v>
      </c>
      <c r="D386" s="1262" t="s">
        <v>228</v>
      </c>
      <c r="E386" s="1240">
        <f t="shared" si="13"/>
        <v>21525</v>
      </c>
      <c r="F386" s="162"/>
      <c r="G386" s="162"/>
      <c r="H386" s="162"/>
      <c r="I386" s="1263">
        <v>20500</v>
      </c>
      <c r="J386" s="162">
        <f t="shared" si="7"/>
        <v>21525</v>
      </c>
    </row>
    <row r="387" spans="1:10" ht="13.5" customHeight="1">
      <c r="A387" s="1236"/>
      <c r="B387" s="1261" t="s">
        <v>3579</v>
      </c>
      <c r="C387" s="1238" t="s">
        <v>3580</v>
      </c>
      <c r="D387" s="1262" t="s">
        <v>127</v>
      </c>
      <c r="E387" s="1240">
        <f t="shared" si="13"/>
        <v>368</v>
      </c>
      <c r="F387" s="162"/>
      <c r="G387" s="162"/>
      <c r="H387" s="162"/>
      <c r="I387" s="1263">
        <v>350</v>
      </c>
      <c r="J387" s="162">
        <f t="shared" si="7"/>
        <v>368</v>
      </c>
    </row>
    <row r="388" spans="1:10" ht="13.5" customHeight="1">
      <c r="A388" s="1236"/>
      <c r="B388" s="1261" t="s">
        <v>3581</v>
      </c>
      <c r="C388" s="1238" t="s">
        <v>3582</v>
      </c>
      <c r="D388" s="1262" t="s">
        <v>127</v>
      </c>
      <c r="E388" s="1240">
        <f t="shared" si="13"/>
        <v>840</v>
      </c>
      <c r="F388" s="162"/>
      <c r="G388" s="162"/>
      <c r="H388" s="162"/>
      <c r="I388" s="1263">
        <v>800</v>
      </c>
      <c r="J388" s="162">
        <f t="shared" si="7"/>
        <v>840</v>
      </c>
    </row>
    <row r="389" spans="1:10" ht="13.5" customHeight="1">
      <c r="A389" s="1236"/>
      <c r="B389" s="1261" t="s">
        <v>3583</v>
      </c>
      <c r="C389" s="1238" t="s">
        <v>2018</v>
      </c>
      <c r="D389" s="1262" t="s">
        <v>127</v>
      </c>
      <c r="E389" s="1240">
        <f t="shared" si="13"/>
        <v>89838</v>
      </c>
      <c r="F389" s="162"/>
      <c r="G389" s="162"/>
      <c r="H389" s="162"/>
      <c r="I389" s="1263">
        <v>85560</v>
      </c>
      <c r="J389" s="162">
        <f t="shared" si="7"/>
        <v>89838</v>
      </c>
    </row>
    <row r="390" spans="1:10" ht="13.5" customHeight="1">
      <c r="A390" s="1236"/>
      <c r="B390" s="1261" t="s">
        <v>3584</v>
      </c>
      <c r="C390" s="1238" t="s">
        <v>3585</v>
      </c>
      <c r="D390" s="1262" t="s">
        <v>228</v>
      </c>
      <c r="E390" s="1240">
        <f t="shared" si="13"/>
        <v>19467</v>
      </c>
      <c r="F390" s="162"/>
      <c r="G390" s="162"/>
      <c r="H390" s="162"/>
      <c r="I390" s="1263">
        <v>18540</v>
      </c>
      <c r="J390" s="162">
        <f t="shared" si="7"/>
        <v>19467</v>
      </c>
    </row>
    <row r="391" spans="1:10" ht="13.5" customHeight="1">
      <c r="A391" s="1236"/>
      <c r="B391" s="1261" t="s">
        <v>3586</v>
      </c>
      <c r="C391" s="1238" t="s">
        <v>3587</v>
      </c>
      <c r="D391" s="1262" t="s">
        <v>228</v>
      </c>
      <c r="E391" s="1240">
        <f t="shared" si="13"/>
        <v>48668</v>
      </c>
      <c r="F391" s="162"/>
      <c r="G391" s="162"/>
      <c r="H391" s="162"/>
      <c r="I391" s="1263">
        <v>46350</v>
      </c>
      <c r="J391" s="162">
        <f t="shared" si="7"/>
        <v>48668</v>
      </c>
    </row>
    <row r="392" spans="1:10" ht="13.5" customHeight="1">
      <c r="A392" s="1236"/>
      <c r="B392" s="1261" t="s">
        <v>3588</v>
      </c>
      <c r="C392" s="1238" t="s">
        <v>3589</v>
      </c>
      <c r="D392" s="1262" t="s">
        <v>228</v>
      </c>
      <c r="E392" s="1240">
        <f t="shared" si="13"/>
        <v>27708</v>
      </c>
      <c r="F392" s="162"/>
      <c r="G392" s="162"/>
      <c r="H392" s="162"/>
      <c r="I392" s="1263">
        <v>26389</v>
      </c>
      <c r="J392" s="162">
        <f t="shared" si="7"/>
        <v>27708</v>
      </c>
    </row>
    <row r="393" spans="1:10" ht="13.5" customHeight="1">
      <c r="A393" s="1236"/>
      <c r="B393" s="1261" t="s">
        <v>3590</v>
      </c>
      <c r="C393" s="1238" t="s">
        <v>3591</v>
      </c>
      <c r="D393" s="1262" t="s">
        <v>228</v>
      </c>
      <c r="E393" s="1240">
        <f t="shared" si="13"/>
        <v>12600</v>
      </c>
      <c r="F393" s="162"/>
      <c r="G393" s="162"/>
      <c r="H393" s="162"/>
      <c r="I393" s="1263">
        <v>12000</v>
      </c>
      <c r="J393" s="162">
        <f t="shared" si="7"/>
        <v>12600</v>
      </c>
    </row>
    <row r="394" spans="1:10" ht="13.5" customHeight="1">
      <c r="A394" s="1236"/>
      <c r="B394" s="1261" t="s">
        <v>3592</v>
      </c>
      <c r="C394" s="1238" t="s">
        <v>3593</v>
      </c>
      <c r="D394" s="1262" t="s">
        <v>127</v>
      </c>
      <c r="E394" s="1240">
        <f t="shared" si="13"/>
        <v>1260</v>
      </c>
      <c r="F394" s="162"/>
      <c r="G394" s="162"/>
      <c r="H394" s="162"/>
      <c r="I394" s="1263">
        <v>1200</v>
      </c>
      <c r="J394" s="162">
        <f t="shared" si="7"/>
        <v>1260</v>
      </c>
    </row>
    <row r="395" spans="1:10" ht="13.5" customHeight="1">
      <c r="A395" s="1236"/>
      <c r="B395" s="1261" t="s">
        <v>3594</v>
      </c>
      <c r="C395" s="1238" t="s">
        <v>3595</v>
      </c>
      <c r="D395" s="1262" t="s">
        <v>3572</v>
      </c>
      <c r="E395" s="1240">
        <f t="shared" si="13"/>
        <v>47250</v>
      </c>
      <c r="F395" s="162"/>
      <c r="G395" s="162"/>
      <c r="H395" s="162"/>
      <c r="I395" s="1263">
        <v>45000</v>
      </c>
      <c r="J395" s="162">
        <f t="shared" si="7"/>
        <v>47250</v>
      </c>
    </row>
    <row r="396" spans="1:10" ht="13.5" customHeight="1">
      <c r="A396" s="1236"/>
      <c r="B396" s="1261" t="s">
        <v>3596</v>
      </c>
      <c r="C396" s="1238" t="s">
        <v>3597</v>
      </c>
      <c r="D396" s="1262" t="s">
        <v>1707</v>
      </c>
      <c r="E396" s="1240">
        <f t="shared" si="13"/>
        <v>20160</v>
      </c>
      <c r="F396" s="162"/>
      <c r="G396" s="162"/>
      <c r="H396" s="162"/>
      <c r="I396" s="1263">
        <v>19200</v>
      </c>
      <c r="J396" s="162">
        <f t="shared" si="7"/>
        <v>20160</v>
      </c>
    </row>
    <row r="397" spans="1:10" ht="13.5" customHeight="1">
      <c r="A397" s="1236"/>
      <c r="B397" s="1261" t="s">
        <v>3598</v>
      </c>
      <c r="C397" s="1238" t="s">
        <v>170</v>
      </c>
      <c r="D397" s="1262" t="s">
        <v>171</v>
      </c>
      <c r="E397" s="1240">
        <f t="shared" si="13"/>
        <v>6300</v>
      </c>
      <c r="F397" s="162"/>
      <c r="G397" s="162"/>
      <c r="H397" s="162"/>
      <c r="I397" s="1263">
        <v>6000</v>
      </c>
      <c r="J397" s="162">
        <f t="shared" si="7"/>
        <v>6300</v>
      </c>
    </row>
    <row r="398" spans="1:10" ht="13.5" customHeight="1">
      <c r="A398" s="1236"/>
      <c r="B398" s="1261" t="s">
        <v>3599</v>
      </c>
      <c r="C398" s="1238" t="s">
        <v>3044</v>
      </c>
      <c r="D398" s="1262" t="s">
        <v>120</v>
      </c>
      <c r="E398" s="1240">
        <f t="shared" si="13"/>
        <v>12338</v>
      </c>
      <c r="F398" s="162"/>
      <c r="G398" s="162"/>
      <c r="H398" s="162"/>
      <c r="I398" s="1263">
        <v>11750</v>
      </c>
      <c r="J398" s="162">
        <f t="shared" si="7"/>
        <v>12338</v>
      </c>
    </row>
    <row r="399" spans="1:10" ht="13.5" customHeight="1">
      <c r="A399" s="1236"/>
      <c r="B399" s="1261" t="s">
        <v>3600</v>
      </c>
      <c r="C399" s="1238" t="s">
        <v>3601</v>
      </c>
      <c r="D399" s="1262" t="s">
        <v>1707</v>
      </c>
      <c r="E399" s="1240">
        <f t="shared" si="13"/>
        <v>71925</v>
      </c>
      <c r="F399" s="162"/>
      <c r="G399" s="162"/>
      <c r="H399" s="162"/>
      <c r="I399" s="1263">
        <v>68500</v>
      </c>
      <c r="J399" s="162">
        <f t="shared" si="7"/>
        <v>71925</v>
      </c>
    </row>
    <row r="400" spans="1:10" ht="13.5" customHeight="1">
      <c r="A400" s="1236"/>
      <c r="B400" s="1261" t="s">
        <v>3602</v>
      </c>
      <c r="C400" s="1238" t="s">
        <v>3603</v>
      </c>
      <c r="D400" s="1262" t="s">
        <v>127</v>
      </c>
      <c r="E400" s="1240">
        <f t="shared" si="13"/>
        <v>7508</v>
      </c>
      <c r="F400" s="162"/>
      <c r="G400" s="162"/>
      <c r="H400" s="162"/>
      <c r="I400" s="1263">
        <v>7150</v>
      </c>
      <c r="J400" s="162">
        <f t="shared" si="7"/>
        <v>7508</v>
      </c>
    </row>
    <row r="401" spans="1:10" ht="13.5" customHeight="1">
      <c r="A401" s="1236"/>
      <c r="B401" s="1261" t="s">
        <v>3604</v>
      </c>
      <c r="C401" s="1238" t="s">
        <v>3605</v>
      </c>
      <c r="D401" s="1262" t="s">
        <v>228</v>
      </c>
      <c r="E401" s="1240">
        <f t="shared" si="13"/>
        <v>22050</v>
      </c>
      <c r="F401" s="162"/>
      <c r="G401" s="162"/>
      <c r="H401" s="162"/>
      <c r="I401" s="1263">
        <v>21000</v>
      </c>
      <c r="J401" s="162">
        <f t="shared" si="7"/>
        <v>22050</v>
      </c>
    </row>
    <row r="402" spans="1:10" ht="13.5" customHeight="1">
      <c r="A402" s="1236"/>
      <c r="B402" s="1261" t="s">
        <v>3606</v>
      </c>
      <c r="C402" s="1238" t="s">
        <v>3607</v>
      </c>
      <c r="D402" s="1262" t="s">
        <v>228</v>
      </c>
      <c r="E402" s="1240">
        <f t="shared" si="13"/>
        <v>31500</v>
      </c>
      <c r="F402" s="162"/>
      <c r="G402" s="162"/>
      <c r="H402" s="162"/>
      <c r="I402" s="1263">
        <v>30000</v>
      </c>
      <c r="J402" s="162">
        <f t="shared" si="7"/>
        <v>31500</v>
      </c>
    </row>
    <row r="403" spans="1:10" ht="13.5" customHeight="1">
      <c r="A403" s="1236"/>
      <c r="B403" s="1261" t="s">
        <v>3608</v>
      </c>
      <c r="C403" s="1238" t="s">
        <v>3609</v>
      </c>
      <c r="D403" s="1262" t="s">
        <v>228</v>
      </c>
      <c r="E403" s="1240">
        <f t="shared" si="13"/>
        <v>36750</v>
      </c>
      <c r="F403" s="162"/>
      <c r="G403" s="162"/>
      <c r="H403" s="162"/>
      <c r="I403" s="1263">
        <v>35000</v>
      </c>
      <c r="J403" s="162">
        <f t="shared" si="7"/>
        <v>36750</v>
      </c>
    </row>
    <row r="404" spans="1:10" ht="13.5" customHeight="1">
      <c r="A404" s="1236"/>
      <c r="B404" s="1261" t="s">
        <v>3610</v>
      </c>
      <c r="C404" s="1238" t="s">
        <v>3611</v>
      </c>
      <c r="D404" s="1262" t="s">
        <v>228</v>
      </c>
      <c r="E404" s="1240">
        <f t="shared" si="13"/>
        <v>52500</v>
      </c>
      <c r="F404" s="162"/>
      <c r="G404" s="162"/>
      <c r="H404" s="162"/>
      <c r="I404" s="1263">
        <v>50000</v>
      </c>
      <c r="J404" s="162">
        <f t="shared" si="7"/>
        <v>52500</v>
      </c>
    </row>
    <row r="405" spans="1:10" ht="13.5" customHeight="1">
      <c r="A405" s="1236"/>
      <c r="B405" s="1261" t="s">
        <v>3612</v>
      </c>
      <c r="C405" s="1238" t="s">
        <v>3613</v>
      </c>
      <c r="D405" s="1262" t="s">
        <v>1707</v>
      </c>
      <c r="E405" s="1240">
        <f t="shared" si="13"/>
        <v>51030</v>
      </c>
      <c r="F405" s="162"/>
      <c r="G405" s="162"/>
      <c r="H405" s="162"/>
      <c r="I405" s="1263">
        <v>48600</v>
      </c>
      <c r="J405" s="162">
        <f t="shared" si="7"/>
        <v>51030</v>
      </c>
    </row>
    <row r="406" spans="1:10" ht="13.5" customHeight="1">
      <c r="A406" s="1236"/>
      <c r="B406" s="1261" t="s">
        <v>3614</v>
      </c>
      <c r="C406" s="1238" t="s">
        <v>3615</v>
      </c>
      <c r="D406" s="1262" t="s">
        <v>899</v>
      </c>
      <c r="E406" s="1240">
        <f t="shared" si="13"/>
        <v>24675</v>
      </c>
      <c r="F406" s="162"/>
      <c r="G406" s="162"/>
      <c r="H406" s="162"/>
      <c r="I406" s="1263">
        <v>23500</v>
      </c>
      <c r="J406" s="162">
        <f t="shared" si="7"/>
        <v>24675</v>
      </c>
    </row>
    <row r="407" spans="1:10" ht="13.5" customHeight="1">
      <c r="A407" s="1248"/>
      <c r="B407" s="1273" t="s">
        <v>3616</v>
      </c>
      <c r="C407" s="1274" t="s">
        <v>2016</v>
      </c>
      <c r="D407" s="1271" t="s">
        <v>3617</v>
      </c>
      <c r="E407" s="1252">
        <f t="shared" si="13"/>
        <v>39755</v>
      </c>
      <c r="F407" s="162"/>
      <c r="G407" s="162"/>
      <c r="H407" s="162"/>
      <c r="I407" s="1272">
        <v>37862</v>
      </c>
      <c r="J407" s="162">
        <f t="shared" si="7"/>
        <v>39755</v>
      </c>
    </row>
    <row r="408" spans="1:10" ht="13.5" customHeight="1">
      <c r="A408" s="1253"/>
      <c r="B408" s="1227"/>
      <c r="C408" s="2235"/>
      <c r="D408" s="1601"/>
      <c r="E408" s="1602"/>
      <c r="F408" s="162"/>
      <c r="G408" s="162"/>
      <c r="H408" s="162"/>
      <c r="I408" s="162"/>
      <c r="J408" s="162">
        <f t="shared" si="7"/>
        <v>0</v>
      </c>
    </row>
    <row r="409" spans="1:10" ht="3.75" customHeight="1">
      <c r="A409" s="1254"/>
      <c r="B409" s="1255"/>
      <c r="C409" s="1256"/>
      <c r="D409" s="1257"/>
      <c r="E409" s="1258"/>
      <c r="F409" s="162"/>
      <c r="G409" s="162"/>
      <c r="H409" s="162"/>
      <c r="I409" s="1258"/>
      <c r="J409" s="162">
        <f t="shared" si="7"/>
        <v>0</v>
      </c>
    </row>
    <row r="410" spans="1:10" ht="13.5" customHeight="1">
      <c r="A410" s="1226" t="s">
        <v>3618</v>
      </c>
      <c r="B410" s="1227">
        <v>6</v>
      </c>
      <c r="C410" s="1228" t="s">
        <v>3619</v>
      </c>
      <c r="D410" s="1229"/>
      <c r="E410" s="1230"/>
      <c r="F410" s="162"/>
      <c r="G410" s="162"/>
      <c r="H410" s="162"/>
      <c r="I410" s="1230"/>
      <c r="J410" s="162">
        <f t="shared" si="7"/>
        <v>0</v>
      </c>
    </row>
    <row r="411" spans="1:10" ht="13.5" customHeight="1">
      <c r="A411" s="1275" t="s">
        <v>3620</v>
      </c>
      <c r="B411" s="1276" t="s">
        <v>58</v>
      </c>
      <c r="C411" s="2239" t="s">
        <v>3621</v>
      </c>
      <c r="D411" s="2240"/>
      <c r="E411" s="2241"/>
      <c r="F411" s="162"/>
      <c r="G411" s="162"/>
      <c r="H411" s="162"/>
      <c r="I411" s="162"/>
      <c r="J411" s="162">
        <f t="shared" si="7"/>
        <v>0</v>
      </c>
    </row>
    <row r="412" spans="1:10" ht="13.5" customHeight="1">
      <c r="A412" s="1277"/>
      <c r="B412" s="1278" t="s">
        <v>3622</v>
      </c>
      <c r="C412" s="1279" t="s">
        <v>3623</v>
      </c>
      <c r="D412" s="1280" t="s">
        <v>127</v>
      </c>
      <c r="E412" s="1263">
        <v>27750</v>
      </c>
      <c r="F412" s="162"/>
      <c r="G412" s="162"/>
      <c r="H412" s="162"/>
      <c r="I412" s="1263">
        <v>3300</v>
      </c>
      <c r="J412" s="162">
        <f t="shared" si="7"/>
        <v>3465</v>
      </c>
    </row>
    <row r="413" spans="1:10" ht="13.5" customHeight="1">
      <c r="A413" s="1277"/>
      <c r="B413" s="1278" t="s">
        <v>3622</v>
      </c>
      <c r="C413" s="1279" t="s">
        <v>3624</v>
      </c>
      <c r="D413" s="1280" t="s">
        <v>127</v>
      </c>
      <c r="E413" s="1263">
        <f t="shared" ref="E413:E475" si="14">+J413</f>
        <v>3465</v>
      </c>
      <c r="F413" s="162"/>
      <c r="G413" s="162"/>
      <c r="H413" s="162"/>
      <c r="I413" s="1263">
        <v>3300</v>
      </c>
      <c r="J413" s="162">
        <f t="shared" si="7"/>
        <v>3465</v>
      </c>
    </row>
    <row r="414" spans="1:10" ht="13.5" customHeight="1">
      <c r="A414" s="1277"/>
      <c r="B414" s="1278" t="s">
        <v>3625</v>
      </c>
      <c r="C414" s="1279" t="s">
        <v>3626</v>
      </c>
      <c r="D414" s="1280" t="s">
        <v>127</v>
      </c>
      <c r="E414" s="1263">
        <f t="shared" si="14"/>
        <v>1592</v>
      </c>
      <c r="F414" s="162"/>
      <c r="G414" s="162"/>
      <c r="H414" s="162"/>
      <c r="I414" s="1263">
        <v>1516</v>
      </c>
      <c r="J414" s="162">
        <f t="shared" si="7"/>
        <v>1592</v>
      </c>
    </row>
    <row r="415" spans="1:10" ht="13.5" customHeight="1">
      <c r="A415" s="1277"/>
      <c r="B415" s="1278" t="s">
        <v>3627</v>
      </c>
      <c r="C415" s="1279" t="s">
        <v>3628</v>
      </c>
      <c r="D415" s="1280" t="s">
        <v>127</v>
      </c>
      <c r="E415" s="1263">
        <f t="shared" si="14"/>
        <v>445</v>
      </c>
      <c r="F415" s="162"/>
      <c r="G415" s="162"/>
      <c r="H415" s="162"/>
      <c r="I415" s="1263">
        <v>424</v>
      </c>
      <c r="J415" s="162">
        <f t="shared" si="7"/>
        <v>445</v>
      </c>
    </row>
    <row r="416" spans="1:10" ht="13.5" customHeight="1">
      <c r="A416" s="1277"/>
      <c r="B416" s="1278" t="s">
        <v>3629</v>
      </c>
      <c r="C416" s="1279" t="s">
        <v>3630</v>
      </c>
      <c r="D416" s="1280" t="s">
        <v>127</v>
      </c>
      <c r="E416" s="1263">
        <f t="shared" si="14"/>
        <v>6195</v>
      </c>
      <c r="F416" s="162"/>
      <c r="G416" s="162"/>
      <c r="H416" s="162"/>
      <c r="I416" s="1263">
        <v>5900</v>
      </c>
      <c r="J416" s="162">
        <f t="shared" si="7"/>
        <v>6195</v>
      </c>
    </row>
    <row r="417" spans="1:10" ht="13.5" customHeight="1">
      <c r="A417" s="1277"/>
      <c r="B417" s="1278" t="s">
        <v>3631</v>
      </c>
      <c r="C417" s="1279" t="s">
        <v>3632</v>
      </c>
      <c r="D417" s="1280" t="s">
        <v>127</v>
      </c>
      <c r="E417" s="1263">
        <f t="shared" si="14"/>
        <v>2952</v>
      </c>
      <c r="F417" s="162"/>
      <c r="G417" s="162"/>
      <c r="H417" s="162"/>
      <c r="I417" s="1263">
        <v>2811</v>
      </c>
      <c r="J417" s="162">
        <f t="shared" si="7"/>
        <v>2952</v>
      </c>
    </row>
    <row r="418" spans="1:10" ht="13.5" customHeight="1">
      <c r="A418" s="1277"/>
      <c r="B418" s="1278" t="s">
        <v>3633</v>
      </c>
      <c r="C418" s="1279" t="s">
        <v>3634</v>
      </c>
      <c r="D418" s="1280" t="s">
        <v>127</v>
      </c>
      <c r="E418" s="1263">
        <f t="shared" si="14"/>
        <v>1260</v>
      </c>
      <c r="F418" s="162"/>
      <c r="G418" s="162"/>
      <c r="H418" s="162"/>
      <c r="I418" s="1263">
        <v>1200</v>
      </c>
      <c r="J418" s="162">
        <f t="shared" si="7"/>
        <v>1260</v>
      </c>
    </row>
    <row r="419" spans="1:10" ht="13.5" customHeight="1">
      <c r="A419" s="1277"/>
      <c r="B419" s="1278" t="s">
        <v>3635</v>
      </c>
      <c r="C419" s="1279" t="s">
        <v>3636</v>
      </c>
      <c r="D419" s="1280" t="s">
        <v>127</v>
      </c>
      <c r="E419" s="1263">
        <f t="shared" si="14"/>
        <v>312</v>
      </c>
      <c r="F419" s="162"/>
      <c r="G419" s="162"/>
      <c r="H419" s="162"/>
      <c r="I419" s="1263">
        <v>297</v>
      </c>
      <c r="J419" s="162">
        <f t="shared" si="7"/>
        <v>312</v>
      </c>
    </row>
    <row r="420" spans="1:10" ht="13.5" customHeight="1">
      <c r="A420" s="1277"/>
      <c r="B420" s="1278" t="s">
        <v>3637</v>
      </c>
      <c r="C420" s="1279" t="s">
        <v>3636</v>
      </c>
      <c r="D420" s="1280" t="s">
        <v>127</v>
      </c>
      <c r="E420" s="1263">
        <f t="shared" si="14"/>
        <v>312</v>
      </c>
      <c r="F420" s="162"/>
      <c r="G420" s="162"/>
      <c r="H420" s="162"/>
      <c r="I420" s="1263">
        <v>297</v>
      </c>
      <c r="J420" s="162">
        <f t="shared" si="7"/>
        <v>312</v>
      </c>
    </row>
    <row r="421" spans="1:10" ht="13.5" customHeight="1">
      <c r="A421" s="1277"/>
      <c r="B421" s="1278" t="s">
        <v>3638</v>
      </c>
      <c r="C421" s="1279" t="s">
        <v>3639</v>
      </c>
      <c r="D421" s="1280" t="s">
        <v>127</v>
      </c>
      <c r="E421" s="1263">
        <f t="shared" si="14"/>
        <v>570</v>
      </c>
      <c r="F421" s="162"/>
      <c r="G421" s="162"/>
      <c r="H421" s="162"/>
      <c r="I421" s="1263">
        <v>543</v>
      </c>
      <c r="J421" s="162">
        <f t="shared" si="7"/>
        <v>570</v>
      </c>
    </row>
    <row r="422" spans="1:10" ht="13.5" customHeight="1">
      <c r="A422" s="1277"/>
      <c r="B422" s="1278" t="s">
        <v>3640</v>
      </c>
      <c r="C422" s="1279" t="s">
        <v>3641</v>
      </c>
      <c r="D422" s="1280" t="s">
        <v>127</v>
      </c>
      <c r="E422" s="1263">
        <f t="shared" si="14"/>
        <v>10605</v>
      </c>
      <c r="F422" s="162"/>
      <c r="G422" s="162"/>
      <c r="H422" s="162"/>
      <c r="I422" s="1263">
        <v>10100</v>
      </c>
      <c r="J422" s="162">
        <f t="shared" si="7"/>
        <v>10605</v>
      </c>
    </row>
    <row r="423" spans="1:10" ht="13.5" customHeight="1">
      <c r="A423" s="1277"/>
      <c r="B423" s="1278" t="s">
        <v>3642</v>
      </c>
      <c r="C423" s="1279" t="s">
        <v>3643</v>
      </c>
      <c r="D423" s="1280" t="s">
        <v>127</v>
      </c>
      <c r="E423" s="1263">
        <f t="shared" si="14"/>
        <v>4171</v>
      </c>
      <c r="F423" s="162"/>
      <c r="G423" s="162"/>
      <c r="H423" s="162"/>
      <c r="I423" s="1263">
        <v>3972</v>
      </c>
      <c r="J423" s="162">
        <f t="shared" si="7"/>
        <v>4171</v>
      </c>
    </row>
    <row r="424" spans="1:10" ht="13.5" customHeight="1">
      <c r="A424" s="1277"/>
      <c r="B424" s="1278" t="s">
        <v>3644</v>
      </c>
      <c r="C424" s="1279" t="s">
        <v>3645</v>
      </c>
      <c r="D424" s="1280" t="s">
        <v>127</v>
      </c>
      <c r="E424" s="1263">
        <f t="shared" si="14"/>
        <v>16380</v>
      </c>
      <c r="F424" s="162"/>
      <c r="G424" s="162"/>
      <c r="H424" s="162"/>
      <c r="I424" s="1263">
        <v>15600</v>
      </c>
      <c r="J424" s="162">
        <f t="shared" si="7"/>
        <v>16380</v>
      </c>
    </row>
    <row r="425" spans="1:10" ht="13.5" customHeight="1">
      <c r="A425" s="1277"/>
      <c r="B425" s="1278" t="s">
        <v>3646</v>
      </c>
      <c r="C425" s="1279" t="s">
        <v>3647</v>
      </c>
      <c r="D425" s="1280" t="s">
        <v>127</v>
      </c>
      <c r="E425" s="1263">
        <f t="shared" si="14"/>
        <v>29400</v>
      </c>
      <c r="F425" s="162"/>
      <c r="G425" s="162"/>
      <c r="H425" s="162"/>
      <c r="I425" s="1263">
        <v>28000</v>
      </c>
      <c r="J425" s="162">
        <f t="shared" si="7"/>
        <v>29400</v>
      </c>
    </row>
    <row r="426" spans="1:10" ht="13.5" customHeight="1">
      <c r="A426" s="1277"/>
      <c r="B426" s="1278" t="s">
        <v>3648</v>
      </c>
      <c r="C426" s="1279" t="s">
        <v>3649</v>
      </c>
      <c r="D426" s="1280" t="s">
        <v>127</v>
      </c>
      <c r="E426" s="1263">
        <f t="shared" si="14"/>
        <v>1075</v>
      </c>
      <c r="F426" s="162"/>
      <c r="G426" s="162"/>
      <c r="H426" s="162"/>
      <c r="I426" s="1263">
        <v>1024</v>
      </c>
      <c r="J426" s="162">
        <f t="shared" si="7"/>
        <v>1075</v>
      </c>
    </row>
    <row r="427" spans="1:10" ht="13.5" customHeight="1">
      <c r="A427" s="1277"/>
      <c r="B427" s="1278" t="s">
        <v>3650</v>
      </c>
      <c r="C427" s="1279" t="s">
        <v>3651</v>
      </c>
      <c r="D427" s="1280" t="s">
        <v>127</v>
      </c>
      <c r="E427" s="1263">
        <f t="shared" si="14"/>
        <v>4076</v>
      </c>
      <c r="F427" s="162"/>
      <c r="G427" s="162"/>
      <c r="H427" s="162"/>
      <c r="I427" s="1263">
        <v>3882</v>
      </c>
      <c r="J427" s="162">
        <f t="shared" si="7"/>
        <v>4076</v>
      </c>
    </row>
    <row r="428" spans="1:10" ht="13.5" customHeight="1">
      <c r="A428" s="1277"/>
      <c r="B428" s="1278" t="s">
        <v>3652</v>
      </c>
      <c r="C428" s="1279" t="s">
        <v>3653</v>
      </c>
      <c r="D428" s="1280" t="s">
        <v>127</v>
      </c>
      <c r="E428" s="1263">
        <f t="shared" si="14"/>
        <v>16024</v>
      </c>
      <c r="F428" s="162"/>
      <c r="G428" s="162"/>
      <c r="H428" s="162"/>
      <c r="I428" s="1263">
        <v>15261</v>
      </c>
      <c r="J428" s="162">
        <f t="shared" si="7"/>
        <v>16024</v>
      </c>
    </row>
    <row r="429" spans="1:10" ht="13.5" customHeight="1">
      <c r="A429" s="1277"/>
      <c r="B429" s="1278" t="s">
        <v>3654</v>
      </c>
      <c r="C429" s="1279" t="s">
        <v>3655</v>
      </c>
      <c r="D429" s="1280" t="s">
        <v>127</v>
      </c>
      <c r="E429" s="1263">
        <f t="shared" si="14"/>
        <v>4076</v>
      </c>
      <c r="F429" s="162"/>
      <c r="G429" s="162"/>
      <c r="H429" s="162"/>
      <c r="I429" s="1263">
        <v>3882</v>
      </c>
      <c r="J429" s="162">
        <f t="shared" si="7"/>
        <v>4076</v>
      </c>
    </row>
    <row r="430" spans="1:10" ht="13.5" customHeight="1">
      <c r="A430" s="1277"/>
      <c r="B430" s="1278" t="s">
        <v>3656</v>
      </c>
      <c r="C430" s="1279" t="s">
        <v>3657</v>
      </c>
      <c r="D430" s="1280" t="s">
        <v>120</v>
      </c>
      <c r="E430" s="1263">
        <f t="shared" si="14"/>
        <v>15803</v>
      </c>
      <c r="F430" s="162"/>
      <c r="G430" s="162"/>
      <c r="H430" s="162"/>
      <c r="I430" s="1263">
        <v>15050</v>
      </c>
      <c r="J430" s="162">
        <f t="shared" si="7"/>
        <v>15803</v>
      </c>
    </row>
    <row r="431" spans="1:10" ht="13.5" customHeight="1">
      <c r="A431" s="1277"/>
      <c r="B431" s="1278" t="s">
        <v>3658</v>
      </c>
      <c r="C431" s="1279" t="s">
        <v>3659</v>
      </c>
      <c r="D431" s="1280" t="s">
        <v>120</v>
      </c>
      <c r="E431" s="1263">
        <f t="shared" si="14"/>
        <v>2100</v>
      </c>
      <c r="F431" s="162"/>
      <c r="G431" s="162"/>
      <c r="H431" s="162"/>
      <c r="I431" s="1263">
        <v>2000</v>
      </c>
      <c r="J431" s="162">
        <f t="shared" si="7"/>
        <v>2100</v>
      </c>
    </row>
    <row r="432" spans="1:10" ht="13.5" customHeight="1">
      <c r="A432" s="1277"/>
      <c r="B432" s="1278" t="s">
        <v>3660</v>
      </c>
      <c r="C432" s="1279" t="s">
        <v>3661</v>
      </c>
      <c r="D432" s="1280" t="s">
        <v>127</v>
      </c>
      <c r="E432" s="1263">
        <f t="shared" si="14"/>
        <v>39270</v>
      </c>
      <c r="F432" s="162"/>
      <c r="G432" s="162"/>
      <c r="H432" s="162"/>
      <c r="I432" s="1263">
        <v>37400</v>
      </c>
      <c r="J432" s="162">
        <f t="shared" si="7"/>
        <v>39270</v>
      </c>
    </row>
    <row r="433" spans="1:10" ht="13.5" customHeight="1">
      <c r="A433" s="1277"/>
      <c r="B433" s="1278" t="s">
        <v>3662</v>
      </c>
      <c r="C433" s="1279" t="s">
        <v>3663</v>
      </c>
      <c r="D433" s="1280" t="s">
        <v>127</v>
      </c>
      <c r="E433" s="1263">
        <f t="shared" si="14"/>
        <v>105000</v>
      </c>
      <c r="F433" s="162"/>
      <c r="G433" s="162"/>
      <c r="H433" s="162"/>
      <c r="I433" s="1263">
        <v>100000</v>
      </c>
      <c r="J433" s="162">
        <f t="shared" si="7"/>
        <v>105000</v>
      </c>
    </row>
    <row r="434" spans="1:10" ht="13.5" customHeight="1">
      <c r="A434" s="1277"/>
      <c r="B434" s="1278" t="s">
        <v>3664</v>
      </c>
      <c r="C434" s="1279" t="s">
        <v>3665</v>
      </c>
      <c r="D434" s="1280" t="s">
        <v>127</v>
      </c>
      <c r="E434" s="1263">
        <f t="shared" si="14"/>
        <v>2310</v>
      </c>
      <c r="F434" s="162"/>
      <c r="G434" s="162"/>
      <c r="H434" s="162"/>
      <c r="I434" s="1263">
        <v>2200</v>
      </c>
      <c r="J434" s="162">
        <f t="shared" si="7"/>
        <v>2310</v>
      </c>
    </row>
    <row r="435" spans="1:10" ht="13.5" customHeight="1">
      <c r="A435" s="1277"/>
      <c r="B435" s="1278" t="s">
        <v>3666</v>
      </c>
      <c r="C435" s="1279" t="s">
        <v>3667</v>
      </c>
      <c r="D435" s="1280" t="s">
        <v>127</v>
      </c>
      <c r="E435" s="1263">
        <f t="shared" si="14"/>
        <v>115500</v>
      </c>
      <c r="F435" s="162"/>
      <c r="G435" s="162"/>
      <c r="H435" s="162"/>
      <c r="I435" s="1263">
        <v>110000</v>
      </c>
      <c r="J435" s="162">
        <f t="shared" si="7"/>
        <v>115500</v>
      </c>
    </row>
    <row r="436" spans="1:10" ht="13.5" customHeight="1">
      <c r="A436" s="1277"/>
      <c r="B436" s="1278" t="s">
        <v>3668</v>
      </c>
      <c r="C436" s="1279" t="s">
        <v>3669</v>
      </c>
      <c r="D436" s="1280" t="s">
        <v>127</v>
      </c>
      <c r="E436" s="1263">
        <f t="shared" si="14"/>
        <v>16825</v>
      </c>
      <c r="F436" s="162"/>
      <c r="G436" s="162"/>
      <c r="H436" s="162"/>
      <c r="I436" s="1263">
        <v>6500</v>
      </c>
      <c r="J436" s="162">
        <v>16825</v>
      </c>
    </row>
    <row r="437" spans="1:10" ht="13.5" customHeight="1">
      <c r="A437" s="1277"/>
      <c r="B437" s="1278" t="s">
        <v>3670</v>
      </c>
      <c r="C437" s="1279" t="s">
        <v>3671</v>
      </c>
      <c r="D437" s="1280" t="s">
        <v>127</v>
      </c>
      <c r="E437" s="1263">
        <f t="shared" si="14"/>
        <v>11150</v>
      </c>
      <c r="F437" s="162"/>
      <c r="G437" s="162"/>
      <c r="H437" s="162"/>
      <c r="I437" s="1263">
        <v>6500</v>
      </c>
      <c r="J437" s="162">
        <v>11150</v>
      </c>
    </row>
    <row r="438" spans="1:10" ht="13.5" customHeight="1">
      <c r="A438" s="1277"/>
      <c r="B438" s="1278" t="s">
        <v>3672</v>
      </c>
      <c r="C438" s="1279" t="s">
        <v>3673</v>
      </c>
      <c r="D438" s="1280" t="s">
        <v>127</v>
      </c>
      <c r="E438" s="1263">
        <f t="shared" si="14"/>
        <v>8400</v>
      </c>
      <c r="F438" s="162"/>
      <c r="G438" s="162"/>
      <c r="H438" s="162"/>
      <c r="I438" s="1263">
        <v>8000</v>
      </c>
      <c r="J438" s="162">
        <f t="shared" ref="J438:J692" si="15">+ROUND(I438*$J$8,0)</f>
        <v>8400</v>
      </c>
    </row>
    <row r="439" spans="1:10" ht="13.5" customHeight="1">
      <c r="A439" s="1277"/>
      <c r="B439" s="1278" t="s">
        <v>3674</v>
      </c>
      <c r="C439" s="1279" t="s">
        <v>3675</v>
      </c>
      <c r="D439" s="1280" t="s">
        <v>127</v>
      </c>
      <c r="E439" s="1263">
        <f t="shared" si="14"/>
        <v>12390</v>
      </c>
      <c r="F439" s="162"/>
      <c r="G439" s="162"/>
      <c r="H439" s="162"/>
      <c r="I439" s="1263">
        <v>11800</v>
      </c>
      <c r="J439" s="162">
        <f t="shared" si="15"/>
        <v>12390</v>
      </c>
    </row>
    <row r="440" spans="1:10" ht="13.5" customHeight="1">
      <c r="A440" s="1277"/>
      <c r="B440" s="1278" t="s">
        <v>3676</v>
      </c>
      <c r="C440" s="1279" t="s">
        <v>3677</v>
      </c>
      <c r="D440" s="1280" t="s">
        <v>127</v>
      </c>
      <c r="E440" s="1263">
        <f t="shared" si="14"/>
        <v>334448</v>
      </c>
      <c r="F440" s="162"/>
      <c r="G440" s="162"/>
      <c r="H440" s="162"/>
      <c r="I440" s="1263">
        <v>318522</v>
      </c>
      <c r="J440" s="162">
        <f t="shared" si="15"/>
        <v>334448</v>
      </c>
    </row>
    <row r="441" spans="1:10" ht="13.5" customHeight="1">
      <c r="A441" s="1277"/>
      <c r="B441" s="1278" t="s">
        <v>3678</v>
      </c>
      <c r="C441" s="1279" t="s">
        <v>3679</v>
      </c>
      <c r="D441" s="1280" t="s">
        <v>127</v>
      </c>
      <c r="E441" s="1263">
        <f t="shared" si="14"/>
        <v>19899</v>
      </c>
      <c r="F441" s="162"/>
      <c r="G441" s="162"/>
      <c r="H441" s="162"/>
      <c r="I441" s="1263">
        <v>18951</v>
      </c>
      <c r="J441" s="162">
        <f t="shared" si="15"/>
        <v>19899</v>
      </c>
    </row>
    <row r="442" spans="1:10" ht="13.5" customHeight="1">
      <c r="A442" s="1277"/>
      <c r="B442" s="1278" t="s">
        <v>3680</v>
      </c>
      <c r="C442" s="1279" t="s">
        <v>3681</v>
      </c>
      <c r="D442" s="1280" t="s">
        <v>127</v>
      </c>
      <c r="E442" s="1263">
        <f t="shared" si="14"/>
        <v>72005</v>
      </c>
      <c r="F442" s="162"/>
      <c r="G442" s="162"/>
      <c r="H442" s="162"/>
      <c r="I442" s="1263">
        <v>68576</v>
      </c>
      <c r="J442" s="162">
        <f t="shared" si="15"/>
        <v>72005</v>
      </c>
    </row>
    <row r="443" spans="1:10" ht="13.5" customHeight="1">
      <c r="A443" s="1277"/>
      <c r="B443" s="1278" t="s">
        <v>3682</v>
      </c>
      <c r="C443" s="1279" t="s">
        <v>3683</v>
      </c>
      <c r="D443" s="1280" t="s">
        <v>127</v>
      </c>
      <c r="E443" s="1263">
        <f t="shared" si="14"/>
        <v>429704</v>
      </c>
      <c r="F443" s="162"/>
      <c r="G443" s="162"/>
      <c r="H443" s="162"/>
      <c r="I443" s="1263">
        <v>409242</v>
      </c>
      <c r="J443" s="162">
        <f t="shared" si="15"/>
        <v>429704</v>
      </c>
    </row>
    <row r="444" spans="1:10" ht="13.5" customHeight="1">
      <c r="A444" s="1277"/>
      <c r="B444" s="1278" t="s">
        <v>3684</v>
      </c>
      <c r="C444" s="1279" t="s">
        <v>3685</v>
      </c>
      <c r="D444" s="1280" t="s">
        <v>127</v>
      </c>
      <c r="E444" s="1263">
        <f t="shared" si="14"/>
        <v>272057</v>
      </c>
      <c r="F444" s="162"/>
      <c r="G444" s="162"/>
      <c r="H444" s="162"/>
      <c r="I444" s="1263">
        <v>259102</v>
      </c>
      <c r="J444" s="162">
        <f t="shared" si="15"/>
        <v>272057</v>
      </c>
    </row>
    <row r="445" spans="1:10" ht="13.5" customHeight="1">
      <c r="A445" s="1277"/>
      <c r="B445" s="1278" t="s">
        <v>3686</v>
      </c>
      <c r="C445" s="1279" t="s">
        <v>3687</v>
      </c>
      <c r="D445" s="1280" t="s">
        <v>127</v>
      </c>
      <c r="E445" s="1263">
        <f t="shared" si="14"/>
        <v>646666</v>
      </c>
      <c r="F445" s="162"/>
      <c r="G445" s="162"/>
      <c r="H445" s="162"/>
      <c r="I445" s="1263">
        <v>615872</v>
      </c>
      <c r="J445" s="162">
        <f t="shared" si="15"/>
        <v>646666</v>
      </c>
    </row>
    <row r="446" spans="1:10" ht="13.5" customHeight="1">
      <c r="A446" s="1277"/>
      <c r="B446" s="1278" t="s">
        <v>3688</v>
      </c>
      <c r="C446" s="1279" t="s">
        <v>3689</v>
      </c>
      <c r="D446" s="1280" t="s">
        <v>127</v>
      </c>
      <c r="E446" s="1263">
        <f t="shared" si="14"/>
        <v>2625</v>
      </c>
      <c r="F446" s="162"/>
      <c r="G446" s="162"/>
      <c r="H446" s="162"/>
      <c r="I446" s="1263">
        <v>2500</v>
      </c>
      <c r="J446" s="162">
        <f t="shared" si="15"/>
        <v>2625</v>
      </c>
    </row>
    <row r="447" spans="1:10" ht="13.5" customHeight="1">
      <c r="A447" s="1277"/>
      <c r="B447" s="1278" t="s">
        <v>3690</v>
      </c>
      <c r="C447" s="1279" t="s">
        <v>3691</v>
      </c>
      <c r="D447" s="1280" t="s">
        <v>127</v>
      </c>
      <c r="E447" s="1263">
        <f t="shared" si="14"/>
        <v>1155</v>
      </c>
      <c r="F447" s="162"/>
      <c r="G447" s="162"/>
      <c r="H447" s="162"/>
      <c r="I447" s="1263">
        <v>1100</v>
      </c>
      <c r="J447" s="162">
        <f t="shared" si="15"/>
        <v>1155</v>
      </c>
    </row>
    <row r="448" spans="1:10" ht="13.5" customHeight="1">
      <c r="A448" s="1277"/>
      <c r="B448" s="1278" t="s">
        <v>3692</v>
      </c>
      <c r="C448" s="1279" t="s">
        <v>3693</v>
      </c>
      <c r="D448" s="1280" t="s">
        <v>127</v>
      </c>
      <c r="E448" s="1263">
        <f t="shared" si="14"/>
        <v>5250</v>
      </c>
      <c r="F448" s="162"/>
      <c r="G448" s="162"/>
      <c r="H448" s="162"/>
      <c r="I448" s="1263">
        <v>5000</v>
      </c>
      <c r="J448" s="162">
        <f t="shared" si="15"/>
        <v>5250</v>
      </c>
    </row>
    <row r="449" spans="1:10" ht="13.5" customHeight="1">
      <c r="A449" s="1277"/>
      <c r="B449" s="1278" t="s">
        <v>3694</v>
      </c>
      <c r="C449" s="1279" t="s">
        <v>3695</v>
      </c>
      <c r="D449" s="1280" t="s">
        <v>127</v>
      </c>
      <c r="E449" s="1263">
        <f t="shared" si="14"/>
        <v>9450</v>
      </c>
      <c r="F449" s="162"/>
      <c r="G449" s="162"/>
      <c r="H449" s="162"/>
      <c r="I449" s="1263">
        <v>9000</v>
      </c>
      <c r="J449" s="162">
        <f t="shared" si="15"/>
        <v>9450</v>
      </c>
    </row>
    <row r="450" spans="1:10" ht="13.5" customHeight="1">
      <c r="A450" s="1277"/>
      <c r="B450" s="1278" t="s">
        <v>3696</v>
      </c>
      <c r="C450" s="1279" t="s">
        <v>3697</v>
      </c>
      <c r="D450" s="1280" t="s">
        <v>127</v>
      </c>
      <c r="E450" s="1263">
        <f t="shared" si="14"/>
        <v>1680</v>
      </c>
      <c r="F450" s="162"/>
      <c r="G450" s="162"/>
      <c r="H450" s="162"/>
      <c r="I450" s="1263">
        <v>1600</v>
      </c>
      <c r="J450" s="162">
        <f t="shared" si="15"/>
        <v>1680</v>
      </c>
    </row>
    <row r="451" spans="1:10" ht="13.5" customHeight="1">
      <c r="A451" s="1277"/>
      <c r="B451" s="1278" t="s">
        <v>3698</v>
      </c>
      <c r="C451" s="1279" t="s">
        <v>3699</v>
      </c>
      <c r="D451" s="1280" t="s">
        <v>127</v>
      </c>
      <c r="E451" s="1263">
        <f t="shared" si="14"/>
        <v>750</v>
      </c>
      <c r="F451" s="162"/>
      <c r="G451" s="162"/>
      <c r="H451" s="162"/>
      <c r="I451" s="1263">
        <v>714</v>
      </c>
      <c r="J451" s="162">
        <f t="shared" si="15"/>
        <v>750</v>
      </c>
    </row>
    <row r="452" spans="1:10" ht="13.5" customHeight="1">
      <c r="A452" s="1277"/>
      <c r="B452" s="1278" t="s">
        <v>3700</v>
      </c>
      <c r="C452" s="1279" t="s">
        <v>3701</v>
      </c>
      <c r="D452" s="1280" t="s">
        <v>127</v>
      </c>
      <c r="E452" s="1263">
        <f t="shared" si="14"/>
        <v>1189</v>
      </c>
      <c r="F452" s="162"/>
      <c r="G452" s="162"/>
      <c r="H452" s="162"/>
      <c r="I452" s="1263">
        <v>1132</v>
      </c>
      <c r="J452" s="162">
        <f t="shared" si="15"/>
        <v>1189</v>
      </c>
    </row>
    <row r="453" spans="1:10" ht="13.5" customHeight="1">
      <c r="A453" s="1277"/>
      <c r="B453" s="1278" t="s">
        <v>3702</v>
      </c>
      <c r="C453" s="1279" t="s">
        <v>3703</v>
      </c>
      <c r="D453" s="1280" t="s">
        <v>127</v>
      </c>
      <c r="E453" s="1263">
        <f t="shared" si="14"/>
        <v>2350</v>
      </c>
      <c r="F453" s="162"/>
      <c r="G453" s="162"/>
      <c r="H453" s="162"/>
      <c r="I453" s="1263">
        <v>2238</v>
      </c>
      <c r="J453" s="162">
        <f t="shared" si="15"/>
        <v>2350</v>
      </c>
    </row>
    <row r="454" spans="1:10" ht="13.5" customHeight="1">
      <c r="A454" s="1277"/>
      <c r="B454" s="1278" t="s">
        <v>3704</v>
      </c>
      <c r="C454" s="1279" t="s">
        <v>3705</v>
      </c>
      <c r="D454" s="1280" t="s">
        <v>127</v>
      </c>
      <c r="E454" s="1263">
        <f t="shared" si="14"/>
        <v>460</v>
      </c>
      <c r="F454" s="162"/>
      <c r="G454" s="162"/>
      <c r="H454" s="162"/>
      <c r="I454" s="1263">
        <v>438</v>
      </c>
      <c r="J454" s="162">
        <f t="shared" si="15"/>
        <v>460</v>
      </c>
    </row>
    <row r="455" spans="1:10" ht="13.5" customHeight="1">
      <c r="A455" s="1277"/>
      <c r="B455" s="1278" t="s">
        <v>3706</v>
      </c>
      <c r="C455" s="1279" t="s">
        <v>3707</v>
      </c>
      <c r="D455" s="1280" t="s">
        <v>127</v>
      </c>
      <c r="E455" s="1263">
        <f t="shared" si="14"/>
        <v>728</v>
      </c>
      <c r="F455" s="162"/>
      <c r="G455" s="162"/>
      <c r="H455" s="162"/>
      <c r="I455" s="1263">
        <v>693</v>
      </c>
      <c r="J455" s="162">
        <f t="shared" si="15"/>
        <v>728</v>
      </c>
    </row>
    <row r="456" spans="1:10" ht="13.5" customHeight="1">
      <c r="A456" s="1277"/>
      <c r="B456" s="1278" t="s">
        <v>3708</v>
      </c>
      <c r="C456" s="1279" t="s">
        <v>3709</v>
      </c>
      <c r="D456" s="1280" t="s">
        <v>127</v>
      </c>
      <c r="E456" s="1263">
        <f t="shared" si="14"/>
        <v>1405</v>
      </c>
      <c r="F456" s="162"/>
      <c r="G456" s="162"/>
      <c r="H456" s="162"/>
      <c r="I456" s="1263">
        <v>1338</v>
      </c>
      <c r="J456" s="162">
        <f t="shared" si="15"/>
        <v>1405</v>
      </c>
    </row>
    <row r="457" spans="1:10" ht="13.5" customHeight="1">
      <c r="A457" s="1277"/>
      <c r="B457" s="1278" t="s">
        <v>3710</v>
      </c>
      <c r="C457" s="1279" t="s">
        <v>3711</v>
      </c>
      <c r="D457" s="1280" t="s">
        <v>127</v>
      </c>
      <c r="E457" s="1263">
        <f t="shared" si="14"/>
        <v>2681</v>
      </c>
      <c r="F457" s="162"/>
      <c r="G457" s="162"/>
      <c r="H457" s="162"/>
      <c r="I457" s="1263">
        <v>2553</v>
      </c>
      <c r="J457" s="162">
        <f t="shared" si="15"/>
        <v>2681</v>
      </c>
    </row>
    <row r="458" spans="1:10" ht="13.5" customHeight="1">
      <c r="A458" s="1277"/>
      <c r="B458" s="1278" t="s">
        <v>3712</v>
      </c>
      <c r="C458" s="1279" t="s">
        <v>3713</v>
      </c>
      <c r="D458" s="1280" t="s">
        <v>127</v>
      </c>
      <c r="E458" s="1263">
        <f t="shared" si="14"/>
        <v>5177</v>
      </c>
      <c r="F458" s="162"/>
      <c r="G458" s="162"/>
      <c r="H458" s="162"/>
      <c r="I458" s="1263">
        <v>4930</v>
      </c>
      <c r="J458" s="162">
        <f t="shared" si="15"/>
        <v>5177</v>
      </c>
    </row>
    <row r="459" spans="1:10" ht="13.5" customHeight="1">
      <c r="A459" s="1277"/>
      <c r="B459" s="1278" t="s">
        <v>3714</v>
      </c>
      <c r="C459" s="1279" t="s">
        <v>3715</v>
      </c>
      <c r="D459" s="1280" t="s">
        <v>127</v>
      </c>
      <c r="E459" s="1263">
        <f t="shared" si="14"/>
        <v>8349</v>
      </c>
      <c r="F459" s="162"/>
      <c r="G459" s="162"/>
      <c r="H459" s="162"/>
      <c r="I459" s="1263">
        <v>7951</v>
      </c>
      <c r="J459" s="162">
        <f t="shared" si="15"/>
        <v>8349</v>
      </c>
    </row>
    <row r="460" spans="1:10" ht="13.5" customHeight="1">
      <c r="A460" s="1277"/>
      <c r="B460" s="1278" t="s">
        <v>3716</v>
      </c>
      <c r="C460" s="1279" t="s">
        <v>3717</v>
      </c>
      <c r="D460" s="1280" t="s">
        <v>127</v>
      </c>
      <c r="E460" s="1263">
        <f t="shared" si="14"/>
        <v>27539</v>
      </c>
      <c r="F460" s="162"/>
      <c r="G460" s="162"/>
      <c r="H460" s="162"/>
      <c r="I460" s="1263">
        <v>26228</v>
      </c>
      <c r="J460" s="162">
        <f t="shared" si="15"/>
        <v>27539</v>
      </c>
    </row>
    <row r="461" spans="1:10" ht="13.5" customHeight="1">
      <c r="A461" s="1277"/>
      <c r="B461" s="1278" t="s">
        <v>3718</v>
      </c>
      <c r="C461" s="1279" t="s">
        <v>3719</v>
      </c>
      <c r="D461" s="1280" t="s">
        <v>127</v>
      </c>
      <c r="E461" s="1263">
        <f t="shared" si="14"/>
        <v>59000</v>
      </c>
      <c r="F461" s="162"/>
      <c r="G461" s="162"/>
      <c r="H461" s="162"/>
      <c r="I461" s="1263">
        <v>56190</v>
      </c>
      <c r="J461" s="162">
        <f t="shared" si="15"/>
        <v>59000</v>
      </c>
    </row>
    <row r="462" spans="1:10" ht="13.5" customHeight="1">
      <c r="A462" s="1277"/>
      <c r="B462" s="1278" t="s">
        <v>3720</v>
      </c>
      <c r="C462" s="1279" t="s">
        <v>3721</v>
      </c>
      <c r="D462" s="1280" t="s">
        <v>127</v>
      </c>
      <c r="E462" s="1263">
        <f t="shared" si="14"/>
        <v>3016</v>
      </c>
      <c r="F462" s="162"/>
      <c r="G462" s="162"/>
      <c r="H462" s="162"/>
      <c r="I462" s="1263">
        <v>2872</v>
      </c>
      <c r="J462" s="162">
        <f t="shared" si="15"/>
        <v>3016</v>
      </c>
    </row>
    <row r="463" spans="1:10" ht="13.5" customHeight="1">
      <c r="A463" s="1277"/>
      <c r="B463" s="1278" t="s">
        <v>3722</v>
      </c>
      <c r="C463" s="1279" t="s">
        <v>3723</v>
      </c>
      <c r="D463" s="1280" t="s">
        <v>127</v>
      </c>
      <c r="E463" s="1263">
        <f t="shared" si="14"/>
        <v>7361</v>
      </c>
      <c r="F463" s="162"/>
      <c r="G463" s="162"/>
      <c r="H463" s="162"/>
      <c r="I463" s="1263">
        <v>7010</v>
      </c>
      <c r="J463" s="162">
        <f t="shared" si="15"/>
        <v>7361</v>
      </c>
    </row>
    <row r="464" spans="1:10" ht="13.5" customHeight="1">
      <c r="A464" s="1277"/>
      <c r="B464" s="1278" t="s">
        <v>3724</v>
      </c>
      <c r="C464" s="1279" t="s">
        <v>3725</v>
      </c>
      <c r="D464" s="1280" t="s">
        <v>127</v>
      </c>
      <c r="E464" s="1263">
        <f t="shared" si="14"/>
        <v>11405</v>
      </c>
      <c r="F464" s="162"/>
      <c r="G464" s="162"/>
      <c r="H464" s="162"/>
      <c r="I464" s="1263">
        <v>10862</v>
      </c>
      <c r="J464" s="162">
        <f t="shared" si="15"/>
        <v>11405</v>
      </c>
    </row>
    <row r="465" spans="1:10" ht="13.5" customHeight="1">
      <c r="A465" s="1277"/>
      <c r="B465" s="1278" t="s">
        <v>3726</v>
      </c>
      <c r="C465" s="1279" t="s">
        <v>3727</v>
      </c>
      <c r="D465" s="1280" t="s">
        <v>127</v>
      </c>
      <c r="E465" s="1263">
        <f t="shared" si="14"/>
        <v>346500</v>
      </c>
      <c r="F465" s="162"/>
      <c r="G465" s="162"/>
      <c r="H465" s="162"/>
      <c r="I465" s="1263">
        <v>330000</v>
      </c>
      <c r="J465" s="162">
        <f t="shared" si="15"/>
        <v>346500</v>
      </c>
    </row>
    <row r="466" spans="1:10" ht="13.5" customHeight="1">
      <c r="A466" s="1277"/>
      <c r="B466" s="1278" t="s">
        <v>3728</v>
      </c>
      <c r="C466" s="1279" t="s">
        <v>3729</v>
      </c>
      <c r="D466" s="1280" t="s">
        <v>127</v>
      </c>
      <c r="E466" s="1263">
        <f t="shared" si="14"/>
        <v>6429</v>
      </c>
      <c r="F466" s="162"/>
      <c r="G466" s="162"/>
      <c r="H466" s="162"/>
      <c r="I466" s="1263">
        <v>6123</v>
      </c>
      <c r="J466" s="162">
        <f t="shared" si="15"/>
        <v>6429</v>
      </c>
    </row>
    <row r="467" spans="1:10" ht="13.5" customHeight="1">
      <c r="A467" s="1277"/>
      <c r="B467" s="1278" t="s">
        <v>3730</v>
      </c>
      <c r="C467" s="1279" t="s">
        <v>3731</v>
      </c>
      <c r="D467" s="1280" t="s">
        <v>127</v>
      </c>
      <c r="E467" s="1263">
        <f t="shared" si="14"/>
        <v>6429</v>
      </c>
      <c r="F467" s="162"/>
      <c r="G467" s="162"/>
      <c r="H467" s="162"/>
      <c r="I467" s="1263">
        <v>6123</v>
      </c>
      <c r="J467" s="162">
        <f t="shared" si="15"/>
        <v>6429</v>
      </c>
    </row>
    <row r="468" spans="1:10" ht="13.5" customHeight="1">
      <c r="A468" s="1277"/>
      <c r="B468" s="1278" t="s">
        <v>3732</v>
      </c>
      <c r="C468" s="1279" t="s">
        <v>3733</v>
      </c>
      <c r="D468" s="1280" t="s">
        <v>127</v>
      </c>
      <c r="E468" s="1263">
        <f t="shared" si="14"/>
        <v>12650</v>
      </c>
      <c r="F468" s="162"/>
      <c r="G468" s="162"/>
      <c r="H468" s="162"/>
      <c r="I468" s="1263">
        <v>12048</v>
      </c>
      <c r="J468" s="162">
        <f t="shared" si="15"/>
        <v>12650</v>
      </c>
    </row>
    <row r="469" spans="1:10" ht="13.5" customHeight="1">
      <c r="A469" s="1277"/>
      <c r="B469" s="1278" t="s">
        <v>3734</v>
      </c>
      <c r="C469" s="1279" t="s">
        <v>3735</v>
      </c>
      <c r="D469" s="1280" t="s">
        <v>127</v>
      </c>
      <c r="E469" s="1263">
        <f t="shared" si="14"/>
        <v>12650</v>
      </c>
      <c r="F469" s="162"/>
      <c r="G469" s="162"/>
      <c r="H469" s="162"/>
      <c r="I469" s="1263">
        <v>12048</v>
      </c>
      <c r="J469" s="162">
        <f t="shared" si="15"/>
        <v>12650</v>
      </c>
    </row>
    <row r="470" spans="1:10" ht="13.5" customHeight="1">
      <c r="A470" s="1277"/>
      <c r="B470" s="1278" t="s">
        <v>3736</v>
      </c>
      <c r="C470" s="1279" t="s">
        <v>3737</v>
      </c>
      <c r="D470" s="1280" t="s">
        <v>127</v>
      </c>
      <c r="E470" s="1263">
        <f t="shared" si="14"/>
        <v>14292</v>
      </c>
      <c r="F470" s="162"/>
      <c r="G470" s="162"/>
      <c r="H470" s="162"/>
      <c r="I470" s="1263">
        <v>13611</v>
      </c>
      <c r="J470" s="162">
        <f t="shared" si="15"/>
        <v>14292</v>
      </c>
    </row>
    <row r="471" spans="1:10" ht="13.5" customHeight="1">
      <c r="A471" s="1277"/>
      <c r="B471" s="1278" t="s">
        <v>3738</v>
      </c>
      <c r="C471" s="1279" t="s">
        <v>3739</v>
      </c>
      <c r="D471" s="1280" t="s">
        <v>127</v>
      </c>
      <c r="E471" s="1263">
        <f t="shared" si="14"/>
        <v>14292</v>
      </c>
      <c r="F471" s="162"/>
      <c r="G471" s="162"/>
      <c r="H471" s="162"/>
      <c r="I471" s="1263">
        <v>13611</v>
      </c>
      <c r="J471" s="162">
        <f t="shared" si="15"/>
        <v>14292</v>
      </c>
    </row>
    <row r="472" spans="1:10" ht="13.5" customHeight="1">
      <c r="A472" s="1277"/>
      <c r="B472" s="1278" t="s">
        <v>3740</v>
      </c>
      <c r="C472" s="1279" t="s">
        <v>3741</v>
      </c>
      <c r="D472" s="1280" t="s">
        <v>127</v>
      </c>
      <c r="E472" s="1263">
        <f t="shared" si="14"/>
        <v>18110</v>
      </c>
      <c r="F472" s="162"/>
      <c r="G472" s="162"/>
      <c r="H472" s="162"/>
      <c r="I472" s="1263">
        <v>17248</v>
      </c>
      <c r="J472" s="162">
        <f t="shared" si="15"/>
        <v>18110</v>
      </c>
    </row>
    <row r="473" spans="1:10" ht="13.5" customHeight="1">
      <c r="A473" s="1277"/>
      <c r="B473" s="1278" t="s">
        <v>3742</v>
      </c>
      <c r="C473" s="1279" t="s">
        <v>3743</v>
      </c>
      <c r="D473" s="1280" t="s">
        <v>127</v>
      </c>
      <c r="E473" s="1263">
        <f t="shared" si="14"/>
        <v>18110</v>
      </c>
      <c r="F473" s="162"/>
      <c r="G473" s="162"/>
      <c r="H473" s="162"/>
      <c r="I473" s="1263">
        <v>17248</v>
      </c>
      <c r="J473" s="162">
        <f t="shared" si="15"/>
        <v>18110</v>
      </c>
    </row>
    <row r="474" spans="1:10" ht="13.5" customHeight="1">
      <c r="A474" s="1277"/>
      <c r="B474" s="1278" t="s">
        <v>3744</v>
      </c>
      <c r="C474" s="1279" t="s">
        <v>3745</v>
      </c>
      <c r="D474" s="1280" t="s">
        <v>127</v>
      </c>
      <c r="E474" s="1263">
        <f t="shared" si="14"/>
        <v>19950</v>
      </c>
      <c r="F474" s="162"/>
      <c r="G474" s="162"/>
      <c r="H474" s="162"/>
      <c r="I474" s="1263">
        <v>19000</v>
      </c>
      <c r="J474" s="162">
        <f t="shared" si="15"/>
        <v>19950</v>
      </c>
    </row>
    <row r="475" spans="1:10" ht="13.5" customHeight="1">
      <c r="A475" s="1277"/>
      <c r="B475" s="1278" t="s">
        <v>3746</v>
      </c>
      <c r="C475" s="1279" t="s">
        <v>3747</v>
      </c>
      <c r="D475" s="1280" t="s">
        <v>127</v>
      </c>
      <c r="E475" s="1263">
        <f t="shared" si="14"/>
        <v>27300</v>
      </c>
      <c r="F475" s="162"/>
      <c r="G475" s="162"/>
      <c r="H475" s="162"/>
      <c r="I475" s="1263">
        <v>26000</v>
      </c>
      <c r="J475" s="162">
        <f t="shared" si="15"/>
        <v>27300</v>
      </c>
    </row>
    <row r="476" spans="1:10" ht="13.5" customHeight="1">
      <c r="A476" s="1277"/>
      <c r="B476" s="1278" t="s">
        <v>3748</v>
      </c>
      <c r="C476" s="1279" t="s">
        <v>3749</v>
      </c>
      <c r="D476" s="1280" t="s">
        <v>127</v>
      </c>
      <c r="E476" s="1263">
        <v>15500</v>
      </c>
      <c r="F476" s="162"/>
      <c r="G476" s="162"/>
      <c r="H476" s="162"/>
      <c r="I476" s="1263">
        <v>25000</v>
      </c>
      <c r="J476" s="162">
        <f t="shared" si="15"/>
        <v>26250</v>
      </c>
    </row>
    <row r="477" spans="1:10" ht="13.5" customHeight="1">
      <c r="A477" s="1277"/>
      <c r="B477" s="1278" t="s">
        <v>3748</v>
      </c>
      <c r="C477" s="1279" t="s">
        <v>1692</v>
      </c>
      <c r="D477" s="1280" t="s">
        <v>171</v>
      </c>
      <c r="E477" s="1263">
        <f t="shared" ref="E477:E499" si="16">+J477</f>
        <v>26250</v>
      </c>
      <c r="F477" s="162"/>
      <c r="G477" s="162"/>
      <c r="H477" s="162"/>
      <c r="I477" s="1263">
        <v>25000</v>
      </c>
      <c r="J477" s="162">
        <f t="shared" si="15"/>
        <v>26250</v>
      </c>
    </row>
    <row r="478" spans="1:10" ht="13.5" customHeight="1">
      <c r="A478" s="1277"/>
      <c r="B478" s="1278" t="s">
        <v>3750</v>
      </c>
      <c r="C478" s="1279" t="s">
        <v>3751</v>
      </c>
      <c r="D478" s="1280" t="s">
        <v>171</v>
      </c>
      <c r="E478" s="1263">
        <f t="shared" si="16"/>
        <v>16275</v>
      </c>
      <c r="F478" s="162"/>
      <c r="G478" s="162"/>
      <c r="H478" s="162"/>
      <c r="I478" s="1263">
        <v>15500</v>
      </c>
      <c r="J478" s="162">
        <f t="shared" si="15"/>
        <v>16275</v>
      </c>
    </row>
    <row r="479" spans="1:10" ht="13.5" customHeight="1">
      <c r="A479" s="1277"/>
      <c r="B479" s="1278" t="s">
        <v>3752</v>
      </c>
      <c r="C479" s="1279" t="s">
        <v>3753</v>
      </c>
      <c r="D479" s="1280" t="s">
        <v>127</v>
      </c>
      <c r="E479" s="1263">
        <f t="shared" si="16"/>
        <v>93657</v>
      </c>
      <c r="F479" s="162"/>
      <c r="G479" s="162"/>
      <c r="H479" s="162"/>
      <c r="I479" s="1263">
        <v>89197</v>
      </c>
      <c r="J479" s="162">
        <f t="shared" si="15"/>
        <v>93657</v>
      </c>
    </row>
    <row r="480" spans="1:10" ht="13.5" customHeight="1">
      <c r="A480" s="1277"/>
      <c r="B480" s="1278" t="s">
        <v>3754</v>
      </c>
      <c r="C480" s="1279" t="s">
        <v>3755</v>
      </c>
      <c r="D480" s="1280" t="s">
        <v>127</v>
      </c>
      <c r="E480" s="1263">
        <f t="shared" si="16"/>
        <v>177836</v>
      </c>
      <c r="F480" s="162"/>
      <c r="G480" s="162"/>
      <c r="H480" s="162"/>
      <c r="I480" s="1263">
        <v>169368</v>
      </c>
      <c r="J480" s="162">
        <f t="shared" si="15"/>
        <v>177836</v>
      </c>
    </row>
    <row r="481" spans="1:10" ht="13.5" customHeight="1">
      <c r="A481" s="1277"/>
      <c r="B481" s="1278" t="s">
        <v>3756</v>
      </c>
      <c r="C481" s="1279" t="s">
        <v>188</v>
      </c>
      <c r="D481" s="1280" t="s">
        <v>127</v>
      </c>
      <c r="E481" s="1263">
        <f t="shared" si="16"/>
        <v>33445</v>
      </c>
      <c r="F481" s="162"/>
      <c r="G481" s="162"/>
      <c r="H481" s="162"/>
      <c r="I481" s="1263">
        <v>31852</v>
      </c>
      <c r="J481" s="162">
        <f t="shared" si="15"/>
        <v>33445</v>
      </c>
    </row>
    <row r="482" spans="1:10" ht="13.5" customHeight="1">
      <c r="A482" s="1277"/>
      <c r="B482" s="1278" t="s">
        <v>3757</v>
      </c>
      <c r="C482" s="1279" t="s">
        <v>3758</v>
      </c>
      <c r="D482" s="1280" t="s">
        <v>127</v>
      </c>
      <c r="E482" s="1263">
        <f t="shared" si="16"/>
        <v>3167</v>
      </c>
      <c r="F482" s="162"/>
      <c r="G482" s="162"/>
      <c r="H482" s="162"/>
      <c r="I482" s="1263">
        <v>3016</v>
      </c>
      <c r="J482" s="162">
        <f t="shared" si="15"/>
        <v>3167</v>
      </c>
    </row>
    <row r="483" spans="1:10" ht="13.5" customHeight="1">
      <c r="A483" s="1277"/>
      <c r="B483" s="1278" t="s">
        <v>3759</v>
      </c>
      <c r="C483" s="1279" t="s">
        <v>3760</v>
      </c>
      <c r="D483" s="1280" t="s">
        <v>127</v>
      </c>
      <c r="E483" s="1263">
        <f t="shared" si="16"/>
        <v>2402</v>
      </c>
      <c r="F483" s="162"/>
      <c r="G483" s="162"/>
      <c r="H483" s="162"/>
      <c r="I483" s="1263">
        <v>2288</v>
      </c>
      <c r="J483" s="162">
        <f t="shared" si="15"/>
        <v>2402</v>
      </c>
    </row>
    <row r="484" spans="1:10" ht="13.5" customHeight="1">
      <c r="A484" s="1277"/>
      <c r="B484" s="1278" t="s">
        <v>3761</v>
      </c>
      <c r="C484" s="1279" t="s">
        <v>3762</v>
      </c>
      <c r="D484" s="1280" t="s">
        <v>127</v>
      </c>
      <c r="E484" s="1263">
        <f t="shared" si="16"/>
        <v>18264</v>
      </c>
      <c r="F484" s="162"/>
      <c r="G484" s="162"/>
      <c r="H484" s="162"/>
      <c r="I484" s="1263">
        <v>17394</v>
      </c>
      <c r="J484" s="162">
        <f t="shared" si="15"/>
        <v>18264</v>
      </c>
    </row>
    <row r="485" spans="1:10" ht="13.5" customHeight="1">
      <c r="A485" s="1277"/>
      <c r="B485" s="1278" t="s">
        <v>3763</v>
      </c>
      <c r="C485" s="1279" t="s">
        <v>3764</v>
      </c>
      <c r="D485" s="1280" t="s">
        <v>127</v>
      </c>
      <c r="E485" s="1263">
        <f t="shared" si="16"/>
        <v>14692</v>
      </c>
      <c r="F485" s="162"/>
      <c r="G485" s="162"/>
      <c r="H485" s="162"/>
      <c r="I485" s="1263">
        <v>13992</v>
      </c>
      <c r="J485" s="162">
        <f t="shared" si="15"/>
        <v>14692</v>
      </c>
    </row>
    <row r="486" spans="1:10" ht="13.5" customHeight="1">
      <c r="A486" s="1277"/>
      <c r="B486" s="1278" t="s">
        <v>3765</v>
      </c>
      <c r="C486" s="1279" t="s">
        <v>3766</v>
      </c>
      <c r="D486" s="1280" t="s">
        <v>127</v>
      </c>
      <c r="E486" s="1263">
        <f t="shared" si="16"/>
        <v>2100</v>
      </c>
      <c r="F486" s="162"/>
      <c r="G486" s="162"/>
      <c r="H486" s="162"/>
      <c r="I486" s="1263">
        <v>2000</v>
      </c>
      <c r="J486" s="162">
        <f t="shared" si="15"/>
        <v>2100</v>
      </c>
    </row>
    <row r="487" spans="1:10" ht="13.5" customHeight="1">
      <c r="A487" s="1277"/>
      <c r="B487" s="1278" t="s">
        <v>3767</v>
      </c>
      <c r="C487" s="1279" t="s">
        <v>3768</v>
      </c>
      <c r="D487" s="1280" t="s">
        <v>127</v>
      </c>
      <c r="E487" s="1263">
        <f t="shared" si="16"/>
        <v>2625</v>
      </c>
      <c r="F487" s="162"/>
      <c r="G487" s="162"/>
      <c r="H487" s="162"/>
      <c r="I487" s="1263">
        <v>2500</v>
      </c>
      <c r="J487" s="162">
        <f t="shared" si="15"/>
        <v>2625</v>
      </c>
    </row>
    <row r="488" spans="1:10" ht="12" customHeight="1">
      <c r="A488" s="1277"/>
      <c r="B488" s="1278" t="s">
        <v>3769</v>
      </c>
      <c r="C488" s="1279" t="s">
        <v>3770</v>
      </c>
      <c r="D488" s="1280" t="s">
        <v>127</v>
      </c>
      <c r="E488" s="1263">
        <f t="shared" si="16"/>
        <v>57750</v>
      </c>
      <c r="F488" s="162"/>
      <c r="G488" s="162"/>
      <c r="H488" s="162"/>
      <c r="I488" s="1263">
        <v>55000</v>
      </c>
      <c r="J488" s="162">
        <f t="shared" si="15"/>
        <v>57750</v>
      </c>
    </row>
    <row r="489" spans="1:10" ht="13.5" customHeight="1">
      <c r="A489" s="1277"/>
      <c r="B489" s="1278" t="s">
        <v>3771</v>
      </c>
      <c r="C489" s="1279" t="s">
        <v>3772</v>
      </c>
      <c r="D489" s="1280" t="s">
        <v>171</v>
      </c>
      <c r="E489" s="1263">
        <f t="shared" si="16"/>
        <v>5880</v>
      </c>
      <c r="F489" s="162"/>
      <c r="G489" s="162"/>
      <c r="H489" s="162"/>
      <c r="I489" s="1263">
        <v>5600</v>
      </c>
      <c r="J489" s="162">
        <f t="shared" si="15"/>
        <v>5880</v>
      </c>
    </row>
    <row r="490" spans="1:10" ht="13.5" customHeight="1">
      <c r="A490" s="1277"/>
      <c r="B490" s="1278" t="s">
        <v>3773</v>
      </c>
      <c r="C490" s="1279" t="s">
        <v>3774</v>
      </c>
      <c r="D490" s="1280" t="s">
        <v>127</v>
      </c>
      <c r="E490" s="1263">
        <f t="shared" si="16"/>
        <v>13650</v>
      </c>
      <c r="F490" s="162"/>
      <c r="G490" s="162"/>
      <c r="H490" s="162"/>
      <c r="I490" s="1263">
        <v>13000</v>
      </c>
      <c r="J490" s="162">
        <f t="shared" si="15"/>
        <v>13650</v>
      </c>
    </row>
    <row r="491" spans="1:10" ht="13.5" customHeight="1">
      <c r="A491" s="1277"/>
      <c r="B491" s="1278" t="s">
        <v>3775</v>
      </c>
      <c r="C491" s="1279" t="s">
        <v>3776</v>
      </c>
      <c r="D491" s="1280" t="s">
        <v>127</v>
      </c>
      <c r="E491" s="1263">
        <f t="shared" si="16"/>
        <v>8085</v>
      </c>
      <c r="F491" s="162"/>
      <c r="G491" s="162"/>
      <c r="H491" s="162"/>
      <c r="I491" s="1263">
        <v>7700</v>
      </c>
      <c r="J491" s="162">
        <f t="shared" si="15"/>
        <v>8085</v>
      </c>
    </row>
    <row r="492" spans="1:10" ht="13.5" customHeight="1">
      <c r="A492" s="1277"/>
      <c r="B492" s="1278" t="s">
        <v>3777</v>
      </c>
      <c r="C492" s="1279" t="s">
        <v>3778</v>
      </c>
      <c r="D492" s="1280" t="s">
        <v>1707</v>
      </c>
      <c r="E492" s="1263">
        <f t="shared" si="16"/>
        <v>91350</v>
      </c>
      <c r="F492" s="162"/>
      <c r="G492" s="162"/>
      <c r="H492" s="162"/>
      <c r="I492" s="1263">
        <v>87000</v>
      </c>
      <c r="J492" s="162">
        <f t="shared" si="15"/>
        <v>91350</v>
      </c>
    </row>
    <row r="493" spans="1:10" ht="13.5" customHeight="1">
      <c r="A493" s="1277"/>
      <c r="B493" s="1278" t="s">
        <v>3779</v>
      </c>
      <c r="C493" s="1279" t="s">
        <v>3780</v>
      </c>
      <c r="D493" s="1280" t="s">
        <v>171</v>
      </c>
      <c r="E493" s="1263">
        <f t="shared" si="16"/>
        <v>11550</v>
      </c>
      <c r="F493" s="162"/>
      <c r="G493" s="162"/>
      <c r="H493" s="162"/>
      <c r="I493" s="1263">
        <v>11000</v>
      </c>
      <c r="J493" s="162">
        <f t="shared" si="15"/>
        <v>11550</v>
      </c>
    </row>
    <row r="494" spans="1:10" ht="13.5" customHeight="1">
      <c r="A494" s="1277"/>
      <c r="B494" s="1278" t="s">
        <v>3781</v>
      </c>
      <c r="C494" s="1279" t="s">
        <v>3782</v>
      </c>
      <c r="D494" s="1280" t="s">
        <v>120</v>
      </c>
      <c r="E494" s="1263">
        <f t="shared" si="16"/>
        <v>5250</v>
      </c>
      <c r="F494" s="162"/>
      <c r="G494" s="162"/>
      <c r="H494" s="162"/>
      <c r="I494" s="1263">
        <v>5000</v>
      </c>
      <c r="J494" s="162">
        <f t="shared" si="15"/>
        <v>5250</v>
      </c>
    </row>
    <row r="495" spans="1:10" ht="13.5" customHeight="1">
      <c r="A495" s="1277"/>
      <c r="B495" s="1278" t="s">
        <v>3783</v>
      </c>
      <c r="C495" s="1279" t="s">
        <v>3784</v>
      </c>
      <c r="D495" s="1280" t="s">
        <v>120</v>
      </c>
      <c r="E495" s="1263">
        <f t="shared" si="16"/>
        <v>14700</v>
      </c>
      <c r="F495" s="162"/>
      <c r="G495" s="162"/>
      <c r="H495" s="162"/>
      <c r="I495" s="1263">
        <v>14000</v>
      </c>
      <c r="J495" s="162">
        <f t="shared" si="15"/>
        <v>14700</v>
      </c>
    </row>
    <row r="496" spans="1:10" ht="13.5" customHeight="1">
      <c r="A496" s="1277"/>
      <c r="B496" s="1278" t="s">
        <v>3785</v>
      </c>
      <c r="C496" s="1279" t="s">
        <v>3786</v>
      </c>
      <c r="D496" s="1280" t="s">
        <v>228</v>
      </c>
      <c r="E496" s="1263">
        <f t="shared" si="16"/>
        <v>1832</v>
      </c>
      <c r="F496" s="162"/>
      <c r="G496" s="162"/>
      <c r="H496" s="162"/>
      <c r="I496" s="1263">
        <v>1745</v>
      </c>
      <c r="J496" s="162">
        <f t="shared" si="15"/>
        <v>1832</v>
      </c>
    </row>
    <row r="497" spans="1:10" ht="13.5" customHeight="1">
      <c r="A497" s="1277"/>
      <c r="B497" s="1278" t="s">
        <v>3787</v>
      </c>
      <c r="C497" s="1279" t="s">
        <v>3788</v>
      </c>
      <c r="D497" s="1280" t="s">
        <v>127</v>
      </c>
      <c r="E497" s="1263">
        <f t="shared" si="16"/>
        <v>4725</v>
      </c>
      <c r="F497" s="162"/>
      <c r="G497" s="162"/>
      <c r="H497" s="162"/>
      <c r="I497" s="1263">
        <v>4500</v>
      </c>
      <c r="J497" s="162">
        <f t="shared" si="15"/>
        <v>4725</v>
      </c>
    </row>
    <row r="498" spans="1:10" ht="13.5" customHeight="1">
      <c r="A498" s="1277"/>
      <c r="B498" s="1278" t="s">
        <v>3789</v>
      </c>
      <c r="C498" s="1279" t="s">
        <v>3790</v>
      </c>
      <c r="D498" s="1280" t="s">
        <v>1707</v>
      </c>
      <c r="E498" s="1263">
        <f t="shared" si="16"/>
        <v>29400</v>
      </c>
      <c r="F498" s="162"/>
      <c r="G498" s="162"/>
      <c r="H498" s="162"/>
      <c r="I498" s="1263">
        <v>28000</v>
      </c>
      <c r="J498" s="162">
        <f t="shared" si="15"/>
        <v>29400</v>
      </c>
    </row>
    <row r="499" spans="1:10" ht="13.5" customHeight="1">
      <c r="A499" s="1277"/>
      <c r="B499" s="1278" t="s">
        <v>3791</v>
      </c>
      <c r="C499" s="1279" t="s">
        <v>3792</v>
      </c>
      <c r="D499" s="1280" t="s">
        <v>127</v>
      </c>
      <c r="E499" s="1263">
        <f t="shared" si="16"/>
        <v>6825</v>
      </c>
      <c r="F499" s="162"/>
      <c r="G499" s="162"/>
      <c r="H499" s="162"/>
      <c r="I499" s="1263">
        <v>6500</v>
      </c>
      <c r="J499" s="162">
        <f t="shared" si="15"/>
        <v>6825</v>
      </c>
    </row>
    <row r="500" spans="1:10" ht="13.5" customHeight="1">
      <c r="A500" s="1277"/>
      <c r="B500" s="1278" t="s">
        <v>3793</v>
      </c>
      <c r="C500" s="1279" t="s">
        <v>3794</v>
      </c>
      <c r="D500" s="1280" t="s">
        <v>127</v>
      </c>
      <c r="E500" s="1263">
        <f>+E502*1.15</f>
        <v>16301.249999999998</v>
      </c>
      <c r="F500" s="162"/>
      <c r="G500" s="162"/>
      <c r="H500" s="162"/>
      <c r="I500" s="1263">
        <v>6500</v>
      </c>
      <c r="J500" s="162">
        <f t="shared" si="15"/>
        <v>6825</v>
      </c>
    </row>
    <row r="501" spans="1:10" ht="13.5" customHeight="1">
      <c r="A501" s="1277"/>
      <c r="B501" s="1278" t="s">
        <v>3795</v>
      </c>
      <c r="C501" s="1279" t="s">
        <v>3796</v>
      </c>
      <c r="D501" s="1280" t="s">
        <v>127</v>
      </c>
      <c r="E501" s="1263">
        <f>+E500*1.15</f>
        <v>18746.437499999996</v>
      </c>
      <c r="F501" s="162"/>
      <c r="G501" s="162"/>
      <c r="H501" s="162"/>
      <c r="I501" s="1263">
        <v>6500</v>
      </c>
      <c r="J501" s="162">
        <f t="shared" si="15"/>
        <v>6825</v>
      </c>
    </row>
    <row r="502" spans="1:10" ht="13.5" customHeight="1">
      <c r="A502" s="1277"/>
      <c r="B502" s="1278" t="s">
        <v>3797</v>
      </c>
      <c r="C502" s="1279" t="s">
        <v>3798</v>
      </c>
      <c r="D502" s="1280" t="s">
        <v>127</v>
      </c>
      <c r="E502" s="1263">
        <f t="shared" ref="E502:E572" si="17">+J502</f>
        <v>14175</v>
      </c>
      <c r="F502" s="162"/>
      <c r="G502" s="162"/>
      <c r="H502" s="162"/>
      <c r="I502" s="1263">
        <v>13500</v>
      </c>
      <c r="J502" s="162">
        <f t="shared" si="15"/>
        <v>14175</v>
      </c>
    </row>
    <row r="503" spans="1:10" ht="13.5" customHeight="1">
      <c r="A503" s="1277"/>
      <c r="B503" s="1278" t="s">
        <v>3799</v>
      </c>
      <c r="C503" s="1279" t="s">
        <v>3800</v>
      </c>
      <c r="D503" s="1280" t="s">
        <v>127</v>
      </c>
      <c r="E503" s="1263">
        <f t="shared" si="17"/>
        <v>136500</v>
      </c>
      <c r="F503" s="162"/>
      <c r="G503" s="162"/>
      <c r="H503" s="162"/>
      <c r="I503" s="1263">
        <v>130000</v>
      </c>
      <c r="J503" s="162">
        <f t="shared" si="15"/>
        <v>136500</v>
      </c>
    </row>
    <row r="504" spans="1:10" ht="13.5" customHeight="1">
      <c r="A504" s="1277"/>
      <c r="B504" s="1278" t="s">
        <v>3801</v>
      </c>
      <c r="C504" s="1279" t="s">
        <v>3802</v>
      </c>
      <c r="D504" s="1280" t="s">
        <v>171</v>
      </c>
      <c r="E504" s="1263">
        <f t="shared" si="17"/>
        <v>16275</v>
      </c>
      <c r="F504" s="162"/>
      <c r="G504" s="162"/>
      <c r="H504" s="162"/>
      <c r="I504" s="1263">
        <v>15500</v>
      </c>
      <c r="J504" s="162">
        <f t="shared" si="15"/>
        <v>16275</v>
      </c>
    </row>
    <row r="505" spans="1:10" ht="13.5" customHeight="1">
      <c r="A505" s="1277"/>
      <c r="B505" s="1278" t="s">
        <v>3803</v>
      </c>
      <c r="C505" s="1279" t="s">
        <v>3804</v>
      </c>
      <c r="D505" s="1280" t="s">
        <v>171</v>
      </c>
      <c r="E505" s="1263">
        <f t="shared" si="17"/>
        <v>9975</v>
      </c>
      <c r="F505" s="162"/>
      <c r="G505" s="162"/>
      <c r="H505" s="162"/>
      <c r="I505" s="1263">
        <v>9500</v>
      </c>
      <c r="J505" s="162">
        <f t="shared" si="15"/>
        <v>9975</v>
      </c>
    </row>
    <row r="506" spans="1:10" ht="13.5" customHeight="1">
      <c r="A506" s="1277"/>
      <c r="B506" s="1278" t="s">
        <v>3805</v>
      </c>
      <c r="C506" s="1279" t="s">
        <v>3806</v>
      </c>
      <c r="D506" s="1280" t="s">
        <v>1707</v>
      </c>
      <c r="E506" s="1263">
        <f t="shared" si="17"/>
        <v>47250</v>
      </c>
      <c r="F506" s="162"/>
      <c r="G506" s="162"/>
      <c r="H506" s="162"/>
      <c r="I506" s="1263">
        <v>45000</v>
      </c>
      <c r="J506" s="162">
        <f t="shared" si="15"/>
        <v>47250</v>
      </c>
    </row>
    <row r="507" spans="1:10" ht="13.5" customHeight="1">
      <c r="A507" s="1277"/>
      <c r="B507" s="1278" t="s">
        <v>3807</v>
      </c>
      <c r="C507" s="1279" t="s">
        <v>3808</v>
      </c>
      <c r="D507" s="1280" t="s">
        <v>171</v>
      </c>
      <c r="E507" s="1263">
        <f t="shared" si="17"/>
        <v>7350</v>
      </c>
      <c r="F507" s="162"/>
      <c r="G507" s="162"/>
      <c r="H507" s="162"/>
      <c r="I507" s="1263">
        <v>7000</v>
      </c>
      <c r="J507" s="162">
        <f t="shared" si="15"/>
        <v>7350</v>
      </c>
    </row>
    <row r="508" spans="1:10" ht="13.5" customHeight="1">
      <c r="A508" s="1277"/>
      <c r="B508" s="1278" t="s">
        <v>3809</v>
      </c>
      <c r="C508" s="1279" t="s">
        <v>3810</v>
      </c>
      <c r="D508" s="1280" t="s">
        <v>127</v>
      </c>
      <c r="E508" s="1263">
        <f t="shared" si="17"/>
        <v>115500</v>
      </c>
      <c r="F508" s="162"/>
      <c r="G508" s="162"/>
      <c r="H508" s="162"/>
      <c r="I508" s="1263">
        <v>110000</v>
      </c>
      <c r="J508" s="162">
        <f t="shared" si="15"/>
        <v>115500</v>
      </c>
    </row>
    <row r="509" spans="1:10" ht="13.5" customHeight="1">
      <c r="A509" s="1277"/>
      <c r="B509" s="1278" t="s">
        <v>3811</v>
      </c>
      <c r="C509" s="1279" t="s">
        <v>3812</v>
      </c>
      <c r="D509" s="1280" t="s">
        <v>127</v>
      </c>
      <c r="E509" s="1263">
        <f t="shared" si="17"/>
        <v>19950</v>
      </c>
      <c r="F509" s="162"/>
      <c r="G509" s="162"/>
      <c r="H509" s="162"/>
      <c r="I509" s="1263">
        <v>19000</v>
      </c>
      <c r="J509" s="162">
        <f t="shared" si="15"/>
        <v>19950</v>
      </c>
    </row>
    <row r="510" spans="1:10" ht="13.5" customHeight="1">
      <c r="A510" s="1277"/>
      <c r="B510" s="1278" t="s">
        <v>3813</v>
      </c>
      <c r="C510" s="1279" t="s">
        <v>3814</v>
      </c>
      <c r="D510" s="1280" t="s">
        <v>171</v>
      </c>
      <c r="E510" s="1263">
        <f t="shared" si="17"/>
        <v>9975</v>
      </c>
      <c r="F510" s="162"/>
      <c r="G510" s="162"/>
      <c r="H510" s="162"/>
      <c r="I510" s="1263">
        <v>9500</v>
      </c>
      <c r="J510" s="162">
        <f t="shared" si="15"/>
        <v>9975</v>
      </c>
    </row>
    <row r="511" spans="1:10" ht="13.5" customHeight="1">
      <c r="A511" s="1277"/>
      <c r="B511" s="1278" t="s">
        <v>3815</v>
      </c>
      <c r="C511" s="1279" t="s">
        <v>3816</v>
      </c>
      <c r="D511" s="1280" t="s">
        <v>127</v>
      </c>
      <c r="E511" s="1263">
        <f t="shared" si="17"/>
        <v>25061</v>
      </c>
      <c r="F511" s="162"/>
      <c r="G511" s="162"/>
      <c r="H511" s="162"/>
      <c r="I511" s="1263">
        <v>23868</v>
      </c>
      <c r="J511" s="162">
        <f t="shared" si="15"/>
        <v>25061</v>
      </c>
    </row>
    <row r="512" spans="1:10" ht="13.5" customHeight="1">
      <c r="A512" s="1277"/>
      <c r="B512" s="1278" t="s">
        <v>3817</v>
      </c>
      <c r="C512" s="1279" t="s">
        <v>3818</v>
      </c>
      <c r="D512" s="1280" t="s">
        <v>127</v>
      </c>
      <c r="E512" s="1263">
        <f t="shared" si="17"/>
        <v>41409</v>
      </c>
      <c r="F512" s="162"/>
      <c r="G512" s="162"/>
      <c r="H512" s="162"/>
      <c r="I512" s="1263">
        <v>39437</v>
      </c>
      <c r="J512" s="162">
        <f t="shared" si="15"/>
        <v>41409</v>
      </c>
    </row>
    <row r="513" spans="1:10" ht="13.5" customHeight="1">
      <c r="A513" s="1277"/>
      <c r="B513" s="1278" t="s">
        <v>3819</v>
      </c>
      <c r="C513" s="1279" t="s">
        <v>3820</v>
      </c>
      <c r="D513" s="1280" t="s">
        <v>127</v>
      </c>
      <c r="E513" s="1263">
        <f t="shared" si="17"/>
        <v>22217</v>
      </c>
      <c r="F513" s="162"/>
      <c r="G513" s="162"/>
      <c r="H513" s="162"/>
      <c r="I513" s="1263">
        <v>21159</v>
      </c>
      <c r="J513" s="162">
        <f t="shared" si="15"/>
        <v>22217</v>
      </c>
    </row>
    <row r="514" spans="1:10" ht="13.5" customHeight="1">
      <c r="A514" s="1277"/>
      <c r="B514" s="1278" t="s">
        <v>3821</v>
      </c>
      <c r="C514" s="1279" t="s">
        <v>3822</v>
      </c>
      <c r="D514" s="1280" t="s">
        <v>127</v>
      </c>
      <c r="E514" s="1263">
        <f t="shared" si="17"/>
        <v>13331</v>
      </c>
      <c r="F514" s="162"/>
      <c r="G514" s="162"/>
      <c r="H514" s="162"/>
      <c r="I514" s="1263">
        <v>12696</v>
      </c>
      <c r="J514" s="162">
        <f t="shared" si="15"/>
        <v>13331</v>
      </c>
    </row>
    <row r="515" spans="1:10" ht="13.5" customHeight="1">
      <c r="A515" s="1277"/>
      <c r="B515" s="1278" t="s">
        <v>3823</v>
      </c>
      <c r="C515" s="1279" t="s">
        <v>189</v>
      </c>
      <c r="D515" s="1280" t="s">
        <v>127</v>
      </c>
      <c r="E515" s="1263">
        <f t="shared" si="17"/>
        <v>69138</v>
      </c>
      <c r="F515" s="162"/>
      <c r="G515" s="162"/>
      <c r="H515" s="162"/>
      <c r="I515" s="1263">
        <v>65846</v>
      </c>
      <c r="J515" s="162">
        <f t="shared" si="15"/>
        <v>69138</v>
      </c>
    </row>
    <row r="516" spans="1:10" ht="13.5" customHeight="1">
      <c r="A516" s="1277"/>
      <c r="B516" s="1278" t="s">
        <v>3824</v>
      </c>
      <c r="C516" s="1279" t="s">
        <v>3825</v>
      </c>
      <c r="D516" s="1280" t="s">
        <v>127</v>
      </c>
      <c r="E516" s="1263">
        <f t="shared" si="17"/>
        <v>35828</v>
      </c>
      <c r="F516" s="162"/>
      <c r="G516" s="162"/>
      <c r="H516" s="162"/>
      <c r="I516" s="1263">
        <v>34122</v>
      </c>
      <c r="J516" s="162">
        <f t="shared" si="15"/>
        <v>35828</v>
      </c>
    </row>
    <row r="517" spans="1:10" ht="13.5" customHeight="1">
      <c r="A517" s="1277"/>
      <c r="B517" s="1278" t="s">
        <v>3826</v>
      </c>
      <c r="C517" s="1279" t="s">
        <v>3827</v>
      </c>
      <c r="D517" s="1280" t="s">
        <v>127</v>
      </c>
      <c r="E517" s="1263">
        <f t="shared" si="17"/>
        <v>15461</v>
      </c>
      <c r="F517" s="162"/>
      <c r="G517" s="162"/>
      <c r="H517" s="162"/>
      <c r="I517" s="1263">
        <v>14725</v>
      </c>
      <c r="J517" s="162">
        <f t="shared" si="15"/>
        <v>15461</v>
      </c>
    </row>
    <row r="518" spans="1:10" ht="13.5" customHeight="1">
      <c r="A518" s="1277"/>
      <c r="B518" s="1278" t="s">
        <v>3828</v>
      </c>
      <c r="C518" s="1279" t="s">
        <v>3829</v>
      </c>
      <c r="D518" s="1280" t="s">
        <v>127</v>
      </c>
      <c r="E518" s="1263">
        <f t="shared" si="17"/>
        <v>74117</v>
      </c>
      <c r="F518" s="162"/>
      <c r="G518" s="162"/>
      <c r="H518" s="162"/>
      <c r="I518" s="1263">
        <v>70588</v>
      </c>
      <c r="J518" s="162">
        <f t="shared" si="15"/>
        <v>74117</v>
      </c>
    </row>
    <row r="519" spans="1:10" ht="18" customHeight="1">
      <c r="A519" s="1277"/>
      <c r="B519" s="1278" t="s">
        <v>3830</v>
      </c>
      <c r="C519" s="1279" t="s">
        <v>3831</v>
      </c>
      <c r="D519" s="1280" t="s">
        <v>171</v>
      </c>
      <c r="E519" s="1263">
        <f t="shared" si="17"/>
        <v>9450</v>
      </c>
      <c r="F519" s="162"/>
      <c r="G519" s="162"/>
      <c r="H519" s="162"/>
      <c r="I519" s="1263">
        <v>9000</v>
      </c>
      <c r="J519" s="162">
        <f t="shared" si="15"/>
        <v>9450</v>
      </c>
    </row>
    <row r="520" spans="1:10" ht="15" customHeight="1">
      <c r="A520" s="1277"/>
      <c r="B520" s="1278" t="s">
        <v>3832</v>
      </c>
      <c r="C520" s="1279" t="s">
        <v>3833</v>
      </c>
      <c r="D520" s="1280" t="s">
        <v>127</v>
      </c>
      <c r="E520" s="1263">
        <f t="shared" si="17"/>
        <v>210000</v>
      </c>
      <c r="F520" s="162"/>
      <c r="G520" s="162"/>
      <c r="H520" s="162"/>
      <c r="I520" s="1263">
        <v>200000</v>
      </c>
      <c r="J520" s="162">
        <f t="shared" si="15"/>
        <v>210000</v>
      </c>
    </row>
    <row r="521" spans="1:10" ht="13.5" customHeight="1">
      <c r="A521" s="1277"/>
      <c r="B521" s="1278" t="s">
        <v>3834</v>
      </c>
      <c r="C521" s="1279" t="s">
        <v>3835</v>
      </c>
      <c r="D521" s="1280" t="s">
        <v>127</v>
      </c>
      <c r="E521" s="1263">
        <f t="shared" si="17"/>
        <v>869</v>
      </c>
      <c r="F521" s="162"/>
      <c r="G521" s="162"/>
      <c r="H521" s="162"/>
      <c r="I521" s="1263">
        <v>828</v>
      </c>
      <c r="J521" s="162">
        <f t="shared" si="15"/>
        <v>869</v>
      </c>
    </row>
    <row r="522" spans="1:10" ht="13.5" customHeight="1">
      <c r="A522" s="1277"/>
      <c r="B522" s="1278" t="s">
        <v>3836</v>
      </c>
      <c r="C522" s="1279" t="s">
        <v>3837</v>
      </c>
      <c r="D522" s="1280" t="s">
        <v>127</v>
      </c>
      <c r="E522" s="1263">
        <f t="shared" si="17"/>
        <v>256</v>
      </c>
      <c r="F522" s="162"/>
      <c r="G522" s="162"/>
      <c r="H522" s="162"/>
      <c r="I522" s="1263">
        <v>244</v>
      </c>
      <c r="J522" s="162">
        <f t="shared" si="15"/>
        <v>256</v>
      </c>
    </row>
    <row r="523" spans="1:10" ht="13.5" customHeight="1">
      <c r="A523" s="1277"/>
      <c r="B523" s="1278" t="s">
        <v>3838</v>
      </c>
      <c r="C523" s="1279" t="s">
        <v>3839</v>
      </c>
      <c r="D523" s="1280" t="s">
        <v>127</v>
      </c>
      <c r="E523" s="1263">
        <f t="shared" si="17"/>
        <v>26250</v>
      </c>
      <c r="F523" s="162"/>
      <c r="G523" s="162"/>
      <c r="H523" s="162"/>
      <c r="I523" s="1263">
        <v>25000</v>
      </c>
      <c r="J523" s="162">
        <f t="shared" si="15"/>
        <v>26250</v>
      </c>
    </row>
    <row r="524" spans="1:10" ht="13.5" customHeight="1">
      <c r="A524" s="1277"/>
      <c r="B524" s="1278" t="s">
        <v>3840</v>
      </c>
      <c r="C524" s="1279" t="s">
        <v>3841</v>
      </c>
      <c r="D524" s="1280" t="s">
        <v>127</v>
      </c>
      <c r="E524" s="1263">
        <f t="shared" si="17"/>
        <v>32443</v>
      </c>
      <c r="F524" s="162"/>
      <c r="G524" s="162"/>
      <c r="H524" s="162"/>
      <c r="I524" s="1263">
        <v>30898</v>
      </c>
      <c r="J524" s="162">
        <f t="shared" si="15"/>
        <v>32443</v>
      </c>
    </row>
    <row r="525" spans="1:10" ht="13.5" customHeight="1">
      <c r="A525" s="1277"/>
      <c r="B525" s="1278" t="s">
        <v>3842</v>
      </c>
      <c r="C525" s="1279" t="s">
        <v>3843</v>
      </c>
      <c r="D525" s="1280" t="s">
        <v>127</v>
      </c>
      <c r="E525" s="1263">
        <f t="shared" si="17"/>
        <v>525</v>
      </c>
      <c r="F525" s="162"/>
      <c r="G525" s="162"/>
      <c r="H525" s="162"/>
      <c r="I525" s="1263">
        <v>500</v>
      </c>
      <c r="J525" s="162">
        <f t="shared" si="15"/>
        <v>525</v>
      </c>
    </row>
    <row r="526" spans="1:10" ht="13.5" customHeight="1">
      <c r="A526" s="1277"/>
      <c r="B526" s="1278" t="s">
        <v>3844</v>
      </c>
      <c r="C526" s="1279" t="s">
        <v>3845</v>
      </c>
      <c r="D526" s="1280" t="s">
        <v>127</v>
      </c>
      <c r="E526" s="1263">
        <f t="shared" si="17"/>
        <v>1470</v>
      </c>
      <c r="F526" s="162"/>
      <c r="G526" s="162"/>
      <c r="H526" s="162"/>
      <c r="I526" s="1263">
        <v>1400</v>
      </c>
      <c r="J526" s="162">
        <f t="shared" si="15"/>
        <v>1470</v>
      </c>
    </row>
    <row r="527" spans="1:10" ht="13.5" customHeight="1">
      <c r="A527" s="1277"/>
      <c r="B527" s="1278" t="s">
        <v>3846</v>
      </c>
      <c r="C527" s="1279" t="s">
        <v>3847</v>
      </c>
      <c r="D527" s="1280" t="s">
        <v>127</v>
      </c>
      <c r="E527" s="1263">
        <f t="shared" si="17"/>
        <v>1052</v>
      </c>
      <c r="F527" s="162"/>
      <c r="G527" s="162"/>
      <c r="H527" s="162"/>
      <c r="I527" s="1263">
        <v>1002</v>
      </c>
      <c r="J527" s="162">
        <f t="shared" si="15"/>
        <v>1052</v>
      </c>
    </row>
    <row r="528" spans="1:10" ht="13.5" customHeight="1">
      <c r="A528" s="1277"/>
      <c r="B528" s="1278" t="s">
        <v>3848</v>
      </c>
      <c r="C528" s="1279" t="s">
        <v>3849</v>
      </c>
      <c r="D528" s="1280" t="s">
        <v>127</v>
      </c>
      <c r="E528" s="1263">
        <f t="shared" si="17"/>
        <v>2312</v>
      </c>
      <c r="F528" s="162"/>
      <c r="G528" s="162"/>
      <c r="H528" s="162"/>
      <c r="I528" s="1263">
        <v>2202</v>
      </c>
      <c r="J528" s="162">
        <f t="shared" si="15"/>
        <v>2312</v>
      </c>
    </row>
    <row r="529" spans="1:10" ht="13.5" customHeight="1">
      <c r="A529" s="1277"/>
      <c r="B529" s="1278" t="s">
        <v>3850</v>
      </c>
      <c r="C529" s="1279" t="s">
        <v>3851</v>
      </c>
      <c r="D529" s="1280" t="s">
        <v>127</v>
      </c>
      <c r="E529" s="1263">
        <f t="shared" si="17"/>
        <v>3885</v>
      </c>
      <c r="F529" s="162"/>
      <c r="G529" s="162"/>
      <c r="H529" s="162"/>
      <c r="I529" s="1263">
        <v>3700</v>
      </c>
      <c r="J529" s="162">
        <f t="shared" si="15"/>
        <v>3885</v>
      </c>
    </row>
    <row r="530" spans="1:10" ht="13.5" customHeight="1">
      <c r="A530" s="1277"/>
      <c r="B530" s="1278" t="s">
        <v>3852</v>
      </c>
      <c r="C530" s="1279" t="s">
        <v>3853</v>
      </c>
      <c r="D530" s="1280" t="s">
        <v>127</v>
      </c>
      <c r="E530" s="1263">
        <f t="shared" si="17"/>
        <v>37469</v>
      </c>
      <c r="F530" s="162"/>
      <c r="G530" s="162"/>
      <c r="H530" s="162"/>
      <c r="I530" s="1263">
        <v>35685</v>
      </c>
      <c r="J530" s="162">
        <f t="shared" si="15"/>
        <v>37469</v>
      </c>
    </row>
    <row r="531" spans="1:10" ht="13.5" customHeight="1">
      <c r="A531" s="1277"/>
      <c r="B531" s="1278" t="s">
        <v>3854</v>
      </c>
      <c r="C531" s="1279" t="s">
        <v>3855</v>
      </c>
      <c r="D531" s="1280" t="s">
        <v>127</v>
      </c>
      <c r="E531" s="1263">
        <f t="shared" si="17"/>
        <v>624750</v>
      </c>
      <c r="F531" s="162"/>
      <c r="G531" s="162"/>
      <c r="H531" s="162"/>
      <c r="I531" s="1263">
        <v>595000</v>
      </c>
      <c r="J531" s="162">
        <f t="shared" si="15"/>
        <v>624750</v>
      </c>
    </row>
    <row r="532" spans="1:10" ht="13.5" customHeight="1">
      <c r="A532" s="1277"/>
      <c r="B532" s="1278" t="s">
        <v>3856</v>
      </c>
      <c r="C532" s="1279" t="s">
        <v>3857</v>
      </c>
      <c r="D532" s="1280" t="s">
        <v>127</v>
      </c>
      <c r="E532" s="1263">
        <f t="shared" si="17"/>
        <v>367500</v>
      </c>
      <c r="F532" s="162"/>
      <c r="G532" s="162"/>
      <c r="H532" s="162"/>
      <c r="I532" s="1263">
        <v>350000</v>
      </c>
      <c r="J532" s="162">
        <f t="shared" si="15"/>
        <v>367500</v>
      </c>
    </row>
    <row r="533" spans="1:10" ht="13.5" customHeight="1">
      <c r="A533" s="1277"/>
      <c r="B533" s="1278" t="s">
        <v>3858</v>
      </c>
      <c r="C533" s="1279" t="s">
        <v>3859</v>
      </c>
      <c r="D533" s="1280" t="s">
        <v>127</v>
      </c>
      <c r="E533" s="1263">
        <f t="shared" si="17"/>
        <v>603</v>
      </c>
      <c r="F533" s="162"/>
      <c r="G533" s="162"/>
      <c r="H533" s="162"/>
      <c r="I533" s="1263">
        <v>574</v>
      </c>
      <c r="J533" s="162">
        <f t="shared" si="15"/>
        <v>603</v>
      </c>
    </row>
    <row r="534" spans="1:10" ht="13.5" customHeight="1">
      <c r="A534" s="1277"/>
      <c r="B534" s="1278" t="s">
        <v>3860</v>
      </c>
      <c r="C534" s="1279" t="s">
        <v>3861</v>
      </c>
      <c r="D534" s="1280" t="s">
        <v>127</v>
      </c>
      <c r="E534" s="1263">
        <f t="shared" si="17"/>
        <v>1007</v>
      </c>
      <c r="F534" s="162"/>
      <c r="G534" s="162"/>
      <c r="H534" s="162"/>
      <c r="I534" s="1263">
        <v>959</v>
      </c>
      <c r="J534" s="162">
        <f t="shared" si="15"/>
        <v>1007</v>
      </c>
    </row>
    <row r="535" spans="1:10" ht="13.5" customHeight="1">
      <c r="A535" s="1277"/>
      <c r="B535" s="1278" t="s">
        <v>3862</v>
      </c>
      <c r="C535" s="1279" t="s">
        <v>3863</v>
      </c>
      <c r="D535" s="1280" t="s">
        <v>127</v>
      </c>
      <c r="E535" s="1263">
        <f t="shared" si="17"/>
        <v>1947</v>
      </c>
      <c r="F535" s="162"/>
      <c r="G535" s="162"/>
      <c r="H535" s="162"/>
      <c r="I535" s="1263">
        <v>1854</v>
      </c>
      <c r="J535" s="162">
        <f t="shared" si="15"/>
        <v>1947</v>
      </c>
    </row>
    <row r="536" spans="1:10" ht="13.5" customHeight="1">
      <c r="A536" s="1277"/>
      <c r="B536" s="1278" t="s">
        <v>3864</v>
      </c>
      <c r="C536" s="1279" t="s">
        <v>3865</v>
      </c>
      <c r="D536" s="1280" t="s">
        <v>127</v>
      </c>
      <c r="E536" s="1263">
        <f t="shared" si="17"/>
        <v>5205</v>
      </c>
      <c r="F536" s="162"/>
      <c r="G536" s="162"/>
      <c r="H536" s="162"/>
      <c r="I536" s="1263">
        <v>4957</v>
      </c>
      <c r="J536" s="162">
        <f t="shared" si="15"/>
        <v>5205</v>
      </c>
    </row>
    <row r="537" spans="1:10" ht="13.5" customHeight="1">
      <c r="A537" s="1277"/>
      <c r="B537" s="1278" t="s">
        <v>3866</v>
      </c>
      <c r="C537" s="1279" t="s">
        <v>3867</v>
      </c>
      <c r="D537" s="1280" t="s">
        <v>127</v>
      </c>
      <c r="E537" s="1263">
        <f t="shared" si="17"/>
        <v>6742</v>
      </c>
      <c r="F537" s="162"/>
      <c r="G537" s="162"/>
      <c r="H537" s="162"/>
      <c r="I537" s="1263">
        <v>6421</v>
      </c>
      <c r="J537" s="162">
        <f t="shared" si="15"/>
        <v>6742</v>
      </c>
    </row>
    <row r="538" spans="1:10" ht="13.5" customHeight="1">
      <c r="A538" s="1277"/>
      <c r="B538" s="1278" t="s">
        <v>3868</v>
      </c>
      <c r="C538" s="1279" t="s">
        <v>3869</v>
      </c>
      <c r="D538" s="1280" t="s">
        <v>127</v>
      </c>
      <c r="E538" s="1263">
        <f t="shared" si="17"/>
        <v>10453</v>
      </c>
      <c r="F538" s="162"/>
      <c r="G538" s="162"/>
      <c r="H538" s="162"/>
      <c r="I538" s="1263">
        <v>9955</v>
      </c>
      <c r="J538" s="162">
        <f t="shared" si="15"/>
        <v>10453</v>
      </c>
    </row>
    <row r="539" spans="1:10" ht="13.5" customHeight="1">
      <c r="A539" s="1277"/>
      <c r="B539" s="1278" t="s">
        <v>3870</v>
      </c>
      <c r="C539" s="1279" t="s">
        <v>3871</v>
      </c>
      <c r="D539" s="1280" t="s">
        <v>127</v>
      </c>
      <c r="E539" s="1263">
        <f t="shared" si="17"/>
        <v>35579</v>
      </c>
      <c r="F539" s="162"/>
      <c r="G539" s="162"/>
      <c r="H539" s="162"/>
      <c r="I539" s="1263">
        <v>33885</v>
      </c>
      <c r="J539" s="162">
        <f t="shared" si="15"/>
        <v>35579</v>
      </c>
    </row>
    <row r="540" spans="1:10" ht="13.5" customHeight="1">
      <c r="A540" s="1277"/>
      <c r="B540" s="1278" t="s">
        <v>3872</v>
      </c>
      <c r="C540" s="1279" t="s">
        <v>3873</v>
      </c>
      <c r="D540" s="1280" t="s">
        <v>127</v>
      </c>
      <c r="E540" s="1263">
        <f t="shared" si="17"/>
        <v>76703</v>
      </c>
      <c r="F540" s="162"/>
      <c r="G540" s="162"/>
      <c r="H540" s="162"/>
      <c r="I540" s="1263">
        <v>73050</v>
      </c>
      <c r="J540" s="162">
        <f t="shared" si="15"/>
        <v>76703</v>
      </c>
    </row>
    <row r="541" spans="1:10" ht="13.5" customHeight="1">
      <c r="A541" s="1277"/>
      <c r="B541" s="1278" t="s">
        <v>3874</v>
      </c>
      <c r="C541" s="1279" t="s">
        <v>3875</v>
      </c>
      <c r="D541" s="1280" t="s">
        <v>127</v>
      </c>
      <c r="E541" s="1263">
        <f t="shared" si="17"/>
        <v>4852</v>
      </c>
      <c r="F541" s="162"/>
      <c r="G541" s="162"/>
      <c r="H541" s="162"/>
      <c r="I541" s="1263">
        <v>4621</v>
      </c>
      <c r="J541" s="162">
        <f t="shared" si="15"/>
        <v>4852</v>
      </c>
    </row>
    <row r="542" spans="1:10" ht="13.5" customHeight="1">
      <c r="A542" s="1277"/>
      <c r="B542" s="1278" t="s">
        <v>3876</v>
      </c>
      <c r="C542" s="1279" t="s">
        <v>3877</v>
      </c>
      <c r="D542" s="1280" t="s">
        <v>127</v>
      </c>
      <c r="E542" s="1263">
        <f t="shared" si="17"/>
        <v>6034</v>
      </c>
      <c r="F542" s="162"/>
      <c r="G542" s="162"/>
      <c r="H542" s="162"/>
      <c r="I542" s="1263">
        <v>5747</v>
      </c>
      <c r="J542" s="162">
        <f t="shared" si="15"/>
        <v>6034</v>
      </c>
    </row>
    <row r="543" spans="1:10" ht="13.5" customHeight="1">
      <c r="A543" s="1277"/>
      <c r="B543" s="1278" t="s">
        <v>3878</v>
      </c>
      <c r="C543" s="1279" t="s">
        <v>3879</v>
      </c>
      <c r="D543" s="1280" t="s">
        <v>127</v>
      </c>
      <c r="E543" s="1263">
        <f t="shared" si="17"/>
        <v>12237</v>
      </c>
      <c r="F543" s="162"/>
      <c r="G543" s="162"/>
      <c r="H543" s="162"/>
      <c r="I543" s="1263">
        <v>11654</v>
      </c>
      <c r="J543" s="162">
        <f t="shared" si="15"/>
        <v>12237</v>
      </c>
    </row>
    <row r="544" spans="1:10" ht="13.5" customHeight="1">
      <c r="A544" s="1277"/>
      <c r="B544" s="1278" t="s">
        <v>3880</v>
      </c>
      <c r="C544" s="1279" t="s">
        <v>3881</v>
      </c>
      <c r="D544" s="1280" t="s">
        <v>127</v>
      </c>
      <c r="E544" s="1263">
        <f t="shared" si="17"/>
        <v>45060</v>
      </c>
      <c r="F544" s="162"/>
      <c r="G544" s="162"/>
      <c r="H544" s="162"/>
      <c r="I544" s="1263">
        <v>42914</v>
      </c>
      <c r="J544" s="162">
        <f t="shared" si="15"/>
        <v>45060</v>
      </c>
    </row>
    <row r="545" spans="1:10" ht="13.5" customHeight="1">
      <c r="A545" s="1277"/>
      <c r="B545" s="1278" t="s">
        <v>3882</v>
      </c>
      <c r="C545" s="1279" t="s">
        <v>3883</v>
      </c>
      <c r="D545" s="1280" t="s">
        <v>127</v>
      </c>
      <c r="E545" s="1263">
        <f t="shared" si="17"/>
        <v>1581</v>
      </c>
      <c r="F545" s="162"/>
      <c r="G545" s="162"/>
      <c r="H545" s="162"/>
      <c r="I545" s="1263">
        <v>1506</v>
      </c>
      <c r="J545" s="162">
        <f t="shared" si="15"/>
        <v>1581</v>
      </c>
    </row>
    <row r="546" spans="1:10" ht="13.5" customHeight="1">
      <c r="A546" s="1277"/>
      <c r="B546" s="1278" t="s">
        <v>3884</v>
      </c>
      <c r="C546" s="1279" t="s">
        <v>3885</v>
      </c>
      <c r="D546" s="1280" t="s">
        <v>127</v>
      </c>
      <c r="E546" s="1263">
        <f t="shared" si="17"/>
        <v>2890</v>
      </c>
      <c r="F546" s="162"/>
      <c r="G546" s="162"/>
      <c r="H546" s="162"/>
      <c r="I546" s="1263">
        <v>2752</v>
      </c>
      <c r="J546" s="162">
        <f t="shared" si="15"/>
        <v>2890</v>
      </c>
    </row>
    <row r="547" spans="1:10" ht="13.5" customHeight="1">
      <c r="A547" s="1277"/>
      <c r="B547" s="1278" t="s">
        <v>3886</v>
      </c>
      <c r="C547" s="1279" t="s">
        <v>3887</v>
      </c>
      <c r="D547" s="1280" t="s">
        <v>127</v>
      </c>
      <c r="E547" s="1263">
        <f t="shared" si="17"/>
        <v>2890</v>
      </c>
      <c r="F547" s="162"/>
      <c r="G547" s="162"/>
      <c r="H547" s="162"/>
      <c r="I547" s="1263">
        <v>2752</v>
      </c>
      <c r="J547" s="162">
        <f t="shared" si="15"/>
        <v>2890</v>
      </c>
    </row>
    <row r="548" spans="1:10" ht="13.5" customHeight="1">
      <c r="A548" s="1277"/>
      <c r="B548" s="1278" t="s">
        <v>3888</v>
      </c>
      <c r="C548" s="1279" t="s">
        <v>3889</v>
      </c>
      <c r="D548" s="1280" t="s">
        <v>127</v>
      </c>
      <c r="E548" s="1263">
        <f t="shared" si="17"/>
        <v>1575</v>
      </c>
      <c r="F548" s="162"/>
      <c r="G548" s="162"/>
      <c r="H548" s="162"/>
      <c r="I548" s="1263">
        <v>1500</v>
      </c>
      <c r="J548" s="162">
        <f t="shared" si="15"/>
        <v>1575</v>
      </c>
    </row>
    <row r="549" spans="1:10" ht="13.5" customHeight="1">
      <c r="A549" s="1277"/>
      <c r="B549" s="1278" t="s">
        <v>3890</v>
      </c>
      <c r="C549" s="1279" t="s">
        <v>3891</v>
      </c>
      <c r="D549" s="1280" t="s">
        <v>120</v>
      </c>
      <c r="E549" s="1263">
        <f t="shared" si="17"/>
        <v>35251</v>
      </c>
      <c r="F549" s="162"/>
      <c r="G549" s="162"/>
      <c r="H549" s="162"/>
      <c r="I549" s="1263">
        <v>33572</v>
      </c>
      <c r="J549" s="162">
        <f t="shared" si="15"/>
        <v>35251</v>
      </c>
    </row>
    <row r="550" spans="1:10" ht="13.5" customHeight="1">
      <c r="A550" s="1277"/>
      <c r="B550" s="1278" t="s">
        <v>3892</v>
      </c>
      <c r="C550" s="1279" t="s">
        <v>3893</v>
      </c>
      <c r="D550" s="1280" t="s">
        <v>127</v>
      </c>
      <c r="E550" s="1263">
        <f t="shared" si="17"/>
        <v>58236</v>
      </c>
      <c r="F550" s="162"/>
      <c r="G550" s="162"/>
      <c r="H550" s="162"/>
      <c r="I550" s="1263">
        <v>55463</v>
      </c>
      <c r="J550" s="162">
        <f t="shared" si="15"/>
        <v>58236</v>
      </c>
    </row>
    <row r="551" spans="1:10" ht="13.5" customHeight="1">
      <c r="A551" s="1277"/>
      <c r="B551" s="1278" t="s">
        <v>3894</v>
      </c>
      <c r="C551" s="1279" t="s">
        <v>3895</v>
      </c>
      <c r="D551" s="1280" t="s">
        <v>127</v>
      </c>
      <c r="E551" s="1263">
        <f t="shared" si="17"/>
        <v>132678</v>
      </c>
      <c r="F551" s="162"/>
      <c r="G551" s="162"/>
      <c r="H551" s="162"/>
      <c r="I551" s="1263">
        <v>126360</v>
      </c>
      <c r="J551" s="162">
        <f t="shared" si="15"/>
        <v>132678</v>
      </c>
    </row>
    <row r="552" spans="1:10" ht="13.5" customHeight="1">
      <c r="A552" s="1277"/>
      <c r="B552" s="1278" t="s">
        <v>3896</v>
      </c>
      <c r="C552" s="1279" t="s">
        <v>3897</v>
      </c>
      <c r="D552" s="1280" t="s">
        <v>127</v>
      </c>
      <c r="E552" s="1263">
        <f t="shared" si="17"/>
        <v>242190</v>
      </c>
      <c r="F552" s="162"/>
      <c r="G552" s="162"/>
      <c r="H552" s="162"/>
      <c r="I552" s="1263">
        <v>230657</v>
      </c>
      <c r="J552" s="162">
        <f t="shared" si="15"/>
        <v>242190</v>
      </c>
    </row>
    <row r="553" spans="1:10" ht="13.5" customHeight="1">
      <c r="A553" s="1277"/>
      <c r="B553" s="1278" t="s">
        <v>3898</v>
      </c>
      <c r="C553" s="1279" t="s">
        <v>3899</v>
      </c>
      <c r="D553" s="1280" t="s">
        <v>127</v>
      </c>
      <c r="E553" s="1263">
        <f t="shared" si="17"/>
        <v>2625</v>
      </c>
      <c r="F553" s="162"/>
      <c r="G553" s="162"/>
      <c r="H553" s="162"/>
      <c r="I553" s="1263">
        <v>2500</v>
      </c>
      <c r="J553" s="162">
        <f t="shared" si="15"/>
        <v>2625</v>
      </c>
    </row>
    <row r="554" spans="1:10" ht="13.5" customHeight="1">
      <c r="A554" s="1277"/>
      <c r="B554" s="1278" t="s">
        <v>3900</v>
      </c>
      <c r="C554" s="1279" t="s">
        <v>3901</v>
      </c>
      <c r="D554" s="1280" t="s">
        <v>127</v>
      </c>
      <c r="E554" s="1263">
        <f t="shared" si="17"/>
        <v>1155</v>
      </c>
      <c r="F554" s="162"/>
      <c r="G554" s="162"/>
      <c r="H554" s="162"/>
      <c r="I554" s="1263">
        <v>1100</v>
      </c>
      <c r="J554" s="162">
        <f t="shared" si="15"/>
        <v>1155</v>
      </c>
    </row>
    <row r="555" spans="1:10" ht="13.5" customHeight="1">
      <c r="A555" s="1277"/>
      <c r="B555" s="1278" t="s">
        <v>3902</v>
      </c>
      <c r="C555" s="1279" t="s">
        <v>3903</v>
      </c>
      <c r="D555" s="1280" t="s">
        <v>127</v>
      </c>
      <c r="E555" s="1263">
        <f t="shared" si="17"/>
        <v>3570</v>
      </c>
      <c r="F555" s="162"/>
      <c r="G555" s="162"/>
      <c r="H555" s="162"/>
      <c r="I555" s="1263">
        <v>3400</v>
      </c>
      <c r="J555" s="162">
        <f t="shared" si="15"/>
        <v>3570</v>
      </c>
    </row>
    <row r="556" spans="1:10" ht="13.5" customHeight="1">
      <c r="A556" s="1277"/>
      <c r="B556" s="1278" t="s">
        <v>3904</v>
      </c>
      <c r="C556" s="1279" t="s">
        <v>3905</v>
      </c>
      <c r="D556" s="1280" t="s">
        <v>127</v>
      </c>
      <c r="E556" s="1263">
        <f t="shared" si="17"/>
        <v>7350</v>
      </c>
      <c r="F556" s="162"/>
      <c r="G556" s="162"/>
      <c r="H556" s="162"/>
      <c r="I556" s="1263">
        <v>7000</v>
      </c>
      <c r="J556" s="162">
        <f t="shared" si="15"/>
        <v>7350</v>
      </c>
    </row>
    <row r="557" spans="1:10" ht="13.5" customHeight="1">
      <c r="A557" s="1277"/>
      <c r="B557" s="1278" t="s">
        <v>3906</v>
      </c>
      <c r="C557" s="1279" t="s">
        <v>3907</v>
      </c>
      <c r="D557" s="1280" t="s">
        <v>127</v>
      </c>
      <c r="E557" s="1263">
        <f t="shared" si="17"/>
        <v>1470</v>
      </c>
      <c r="F557" s="162"/>
      <c r="G557" s="162"/>
      <c r="H557" s="162"/>
      <c r="I557" s="1263">
        <v>1400</v>
      </c>
      <c r="J557" s="162">
        <f t="shared" si="15"/>
        <v>1470</v>
      </c>
    </row>
    <row r="558" spans="1:10" ht="13.5" customHeight="1">
      <c r="A558" s="1277"/>
      <c r="B558" s="1278" t="s">
        <v>3908</v>
      </c>
      <c r="C558" s="1279" t="s">
        <v>3909</v>
      </c>
      <c r="D558" s="1280" t="s">
        <v>127</v>
      </c>
      <c r="E558" s="1263">
        <f t="shared" si="17"/>
        <v>386</v>
      </c>
      <c r="F558" s="162"/>
      <c r="G558" s="162"/>
      <c r="H558" s="162"/>
      <c r="I558" s="1263">
        <v>368</v>
      </c>
      <c r="J558" s="162">
        <f t="shared" si="15"/>
        <v>386</v>
      </c>
    </row>
    <row r="559" spans="1:10" ht="13.5" customHeight="1">
      <c r="A559" s="1277"/>
      <c r="B559" s="1278" t="s">
        <v>3910</v>
      </c>
      <c r="C559" s="1279" t="s">
        <v>3911</v>
      </c>
      <c r="D559" s="1280" t="s">
        <v>127</v>
      </c>
      <c r="E559" s="1263">
        <f t="shared" si="17"/>
        <v>550</v>
      </c>
      <c r="F559" s="162"/>
      <c r="G559" s="162"/>
      <c r="H559" s="162"/>
      <c r="I559" s="1263">
        <v>524</v>
      </c>
      <c r="J559" s="162">
        <f t="shared" si="15"/>
        <v>550</v>
      </c>
    </row>
    <row r="560" spans="1:10" ht="13.5" customHeight="1">
      <c r="A560" s="1277"/>
      <c r="B560" s="1278" t="s">
        <v>3912</v>
      </c>
      <c r="C560" s="1279" t="s">
        <v>3913</v>
      </c>
      <c r="D560" s="1280" t="s">
        <v>127</v>
      </c>
      <c r="E560" s="1263">
        <f t="shared" si="17"/>
        <v>835</v>
      </c>
      <c r="F560" s="162"/>
      <c r="G560" s="162"/>
      <c r="H560" s="162"/>
      <c r="I560" s="1263">
        <v>795</v>
      </c>
      <c r="J560" s="162">
        <f t="shared" si="15"/>
        <v>835</v>
      </c>
    </row>
    <row r="561" spans="1:10" ht="13.5" customHeight="1">
      <c r="A561" s="1277"/>
      <c r="B561" s="1278" t="s">
        <v>3914</v>
      </c>
      <c r="C561" s="1279" t="s">
        <v>3915</v>
      </c>
      <c r="D561" s="1280" t="s">
        <v>127</v>
      </c>
      <c r="E561" s="1263">
        <f t="shared" si="17"/>
        <v>1444</v>
      </c>
      <c r="F561" s="162"/>
      <c r="G561" s="162"/>
      <c r="H561" s="162"/>
      <c r="I561" s="1263">
        <v>1375</v>
      </c>
      <c r="J561" s="162">
        <f t="shared" si="15"/>
        <v>1444</v>
      </c>
    </row>
    <row r="562" spans="1:10" ht="13.5" customHeight="1">
      <c r="A562" s="1277"/>
      <c r="B562" s="1278" t="s">
        <v>3916</v>
      </c>
      <c r="C562" s="1279" t="s">
        <v>3917</v>
      </c>
      <c r="D562" s="1280" t="s">
        <v>127</v>
      </c>
      <c r="E562" s="1263">
        <f t="shared" si="17"/>
        <v>1931</v>
      </c>
      <c r="F562" s="162"/>
      <c r="G562" s="162"/>
      <c r="H562" s="162"/>
      <c r="I562" s="1263">
        <v>1839</v>
      </c>
      <c r="J562" s="162">
        <f t="shared" si="15"/>
        <v>1931</v>
      </c>
    </row>
    <row r="563" spans="1:10" ht="13.5" customHeight="1">
      <c r="A563" s="1277"/>
      <c r="B563" s="1278" t="s">
        <v>3918</v>
      </c>
      <c r="C563" s="1279" t="s">
        <v>3919</v>
      </c>
      <c r="D563" s="1280" t="s">
        <v>127</v>
      </c>
      <c r="E563" s="1263">
        <f t="shared" si="17"/>
        <v>3100</v>
      </c>
      <c r="F563" s="162"/>
      <c r="G563" s="162"/>
      <c r="H563" s="162"/>
      <c r="I563" s="1263">
        <v>2952</v>
      </c>
      <c r="J563" s="162">
        <f t="shared" si="15"/>
        <v>3100</v>
      </c>
    </row>
    <row r="564" spans="1:10" ht="13.5" customHeight="1">
      <c r="A564" s="1277"/>
      <c r="B564" s="1278" t="s">
        <v>3920</v>
      </c>
      <c r="C564" s="1279" t="s">
        <v>3921</v>
      </c>
      <c r="D564" s="1280" t="s">
        <v>127</v>
      </c>
      <c r="E564" s="1263">
        <f t="shared" si="17"/>
        <v>11550</v>
      </c>
      <c r="F564" s="162"/>
      <c r="G564" s="162"/>
      <c r="H564" s="162"/>
      <c r="I564" s="1263">
        <v>11000</v>
      </c>
      <c r="J564" s="162">
        <f t="shared" si="15"/>
        <v>11550</v>
      </c>
    </row>
    <row r="565" spans="1:10" ht="13.5" customHeight="1">
      <c r="A565" s="1277"/>
      <c r="B565" s="1278" t="s">
        <v>3922</v>
      </c>
      <c r="C565" s="1279" t="s">
        <v>3923</v>
      </c>
      <c r="D565" s="1280" t="s">
        <v>127</v>
      </c>
      <c r="E565" s="1263">
        <f t="shared" si="17"/>
        <v>14781</v>
      </c>
      <c r="F565" s="162"/>
      <c r="G565" s="162"/>
      <c r="H565" s="162"/>
      <c r="I565" s="1263">
        <v>14077</v>
      </c>
      <c r="J565" s="162">
        <f t="shared" si="15"/>
        <v>14781</v>
      </c>
    </row>
    <row r="566" spans="1:10" ht="13.5" customHeight="1">
      <c r="A566" s="1277"/>
      <c r="B566" s="1278" t="s">
        <v>3924</v>
      </c>
      <c r="C566" s="1279" t="s">
        <v>3925</v>
      </c>
      <c r="D566" s="1280" t="s">
        <v>127</v>
      </c>
      <c r="E566" s="1263">
        <f t="shared" si="17"/>
        <v>32001</v>
      </c>
      <c r="F566" s="162"/>
      <c r="G566" s="162"/>
      <c r="H566" s="162"/>
      <c r="I566" s="1263">
        <v>30477</v>
      </c>
      <c r="J566" s="162">
        <f t="shared" si="15"/>
        <v>32001</v>
      </c>
    </row>
    <row r="567" spans="1:10" ht="13.5" customHeight="1">
      <c r="A567" s="1277"/>
      <c r="B567" s="1278" t="s">
        <v>3926</v>
      </c>
      <c r="C567" s="1279" t="s">
        <v>3927</v>
      </c>
      <c r="D567" s="1280" t="s">
        <v>127</v>
      </c>
      <c r="E567" s="1263">
        <f t="shared" si="17"/>
        <v>123900</v>
      </c>
      <c r="F567" s="162"/>
      <c r="G567" s="162"/>
      <c r="H567" s="162"/>
      <c r="I567" s="1263">
        <v>118000</v>
      </c>
      <c r="J567" s="162">
        <f t="shared" si="15"/>
        <v>123900</v>
      </c>
    </row>
    <row r="568" spans="1:10" ht="13.5" customHeight="1">
      <c r="A568" s="1277"/>
      <c r="B568" s="1278" t="s">
        <v>3928</v>
      </c>
      <c r="C568" s="1279" t="s">
        <v>3929</v>
      </c>
      <c r="D568" s="1280" t="s">
        <v>127</v>
      </c>
      <c r="E568" s="1263">
        <f t="shared" si="17"/>
        <v>2100</v>
      </c>
      <c r="F568" s="162"/>
      <c r="G568" s="162"/>
      <c r="H568" s="162"/>
      <c r="I568" s="1263">
        <v>2000</v>
      </c>
      <c r="J568" s="162">
        <f t="shared" si="15"/>
        <v>2100</v>
      </c>
    </row>
    <row r="569" spans="1:10" ht="13.5" customHeight="1">
      <c r="A569" s="1277"/>
      <c r="B569" s="1278" t="s">
        <v>3930</v>
      </c>
      <c r="C569" s="1279" t="s">
        <v>3931</v>
      </c>
      <c r="D569" s="1280" t="s">
        <v>127</v>
      </c>
      <c r="E569" s="1263">
        <f t="shared" si="17"/>
        <v>2045</v>
      </c>
      <c r="F569" s="162"/>
      <c r="G569" s="162"/>
      <c r="H569" s="162"/>
      <c r="I569" s="1263">
        <v>1948</v>
      </c>
      <c r="J569" s="162">
        <f t="shared" si="15"/>
        <v>2045</v>
      </c>
    </row>
    <row r="570" spans="1:10" ht="13.5" customHeight="1">
      <c r="A570" s="1277"/>
      <c r="B570" s="1278" t="s">
        <v>3932</v>
      </c>
      <c r="C570" s="1279" t="s">
        <v>3933</v>
      </c>
      <c r="D570" s="1280" t="s">
        <v>127</v>
      </c>
      <c r="E570" s="1263">
        <f t="shared" si="17"/>
        <v>2859</v>
      </c>
      <c r="F570" s="162"/>
      <c r="G570" s="162"/>
      <c r="H570" s="162"/>
      <c r="I570" s="1263">
        <v>2723</v>
      </c>
      <c r="J570" s="162">
        <f t="shared" si="15"/>
        <v>2859</v>
      </c>
    </row>
    <row r="571" spans="1:10" ht="13.5" customHeight="1">
      <c r="A571" s="1277"/>
      <c r="B571" s="1278" t="s">
        <v>3934</v>
      </c>
      <c r="C571" s="1279" t="s">
        <v>3935</v>
      </c>
      <c r="D571" s="1280" t="s">
        <v>127</v>
      </c>
      <c r="E571" s="1263">
        <f t="shared" si="17"/>
        <v>5501</v>
      </c>
      <c r="F571" s="162"/>
      <c r="G571" s="162"/>
      <c r="H571" s="162"/>
      <c r="I571" s="1263">
        <v>5239</v>
      </c>
      <c r="J571" s="162">
        <f t="shared" si="15"/>
        <v>5501</v>
      </c>
    </row>
    <row r="572" spans="1:10" ht="13.5" customHeight="1">
      <c r="A572" s="1277"/>
      <c r="B572" s="1278" t="s">
        <v>3936</v>
      </c>
      <c r="C572" s="1279" t="s">
        <v>3937</v>
      </c>
      <c r="D572" s="1280" t="s">
        <v>127</v>
      </c>
      <c r="E572" s="1263">
        <f t="shared" si="17"/>
        <v>13125</v>
      </c>
      <c r="F572" s="162"/>
      <c r="G572" s="162"/>
      <c r="H572" s="162"/>
      <c r="I572" s="1263">
        <v>12500</v>
      </c>
      <c r="J572" s="162">
        <f t="shared" si="15"/>
        <v>13125</v>
      </c>
    </row>
    <row r="573" spans="1:10" ht="13.5" customHeight="1">
      <c r="A573" s="1277"/>
      <c r="B573" s="1278" t="s">
        <v>3938</v>
      </c>
      <c r="C573" s="1279" t="s">
        <v>3939</v>
      </c>
      <c r="D573" s="1280" t="s">
        <v>127</v>
      </c>
      <c r="E573" s="1263">
        <v>24550</v>
      </c>
      <c r="F573" s="162"/>
      <c r="G573" s="162"/>
      <c r="H573" s="162"/>
      <c r="I573" s="1263">
        <v>10500</v>
      </c>
      <c r="J573" s="162">
        <f t="shared" si="15"/>
        <v>11025</v>
      </c>
    </row>
    <row r="574" spans="1:10" ht="13.5" customHeight="1">
      <c r="A574" s="1277"/>
      <c r="B574" s="1278" t="s">
        <v>3940</v>
      </c>
      <c r="C574" s="1279" t="s">
        <v>3941</v>
      </c>
      <c r="D574" s="1280" t="s">
        <v>127</v>
      </c>
      <c r="E574" s="1263">
        <f t="shared" ref="E574:E576" si="18">+J574</f>
        <v>3990</v>
      </c>
      <c r="F574" s="162"/>
      <c r="G574" s="162"/>
      <c r="H574" s="162"/>
      <c r="I574" s="1263">
        <v>3800</v>
      </c>
      <c r="J574" s="162">
        <f t="shared" si="15"/>
        <v>3990</v>
      </c>
    </row>
    <row r="575" spans="1:10" ht="13.5" customHeight="1">
      <c r="A575" s="1277"/>
      <c r="B575" s="1278" t="s">
        <v>3942</v>
      </c>
      <c r="C575" s="1279" t="s">
        <v>3943</v>
      </c>
      <c r="D575" s="1280" t="s">
        <v>127</v>
      </c>
      <c r="E575" s="1263">
        <f t="shared" si="18"/>
        <v>6300</v>
      </c>
      <c r="F575" s="162"/>
      <c r="G575" s="162"/>
      <c r="H575" s="162"/>
      <c r="I575" s="1263">
        <v>6000</v>
      </c>
      <c r="J575" s="162">
        <f t="shared" si="15"/>
        <v>6300</v>
      </c>
    </row>
    <row r="576" spans="1:10" ht="13.5" customHeight="1">
      <c r="A576" s="1277"/>
      <c r="B576" s="1278" t="s">
        <v>3944</v>
      </c>
      <c r="C576" s="1279" t="s">
        <v>3945</v>
      </c>
      <c r="D576" s="1280" t="s">
        <v>127</v>
      </c>
      <c r="E576" s="1263">
        <f t="shared" si="18"/>
        <v>21840</v>
      </c>
      <c r="F576" s="162"/>
      <c r="G576" s="162"/>
      <c r="H576" s="162"/>
      <c r="I576" s="1263">
        <v>20800</v>
      </c>
      <c r="J576" s="162">
        <f t="shared" si="15"/>
        <v>21840</v>
      </c>
    </row>
    <row r="577" spans="1:10" ht="13.5" customHeight="1">
      <c r="A577" s="1277"/>
      <c r="B577" s="1278" t="s">
        <v>3946</v>
      </c>
      <c r="C577" s="1279" t="s">
        <v>3947</v>
      </c>
      <c r="D577" s="1280" t="s">
        <v>127</v>
      </c>
      <c r="E577" s="1263">
        <f>+J578</f>
        <v>34125</v>
      </c>
      <c r="F577" s="162"/>
      <c r="G577" s="162"/>
      <c r="H577" s="162"/>
      <c r="I577" s="1263">
        <v>20500</v>
      </c>
      <c r="J577" s="162">
        <f t="shared" si="15"/>
        <v>21525</v>
      </c>
    </row>
    <row r="578" spans="1:10" ht="13.5" customHeight="1">
      <c r="A578" s="1277"/>
      <c r="B578" s="1278" t="s">
        <v>3948</v>
      </c>
      <c r="C578" s="1279" t="s">
        <v>3949</v>
      </c>
      <c r="D578" s="1280" t="s">
        <v>127</v>
      </c>
      <c r="E578" s="1263">
        <f>+J577</f>
        <v>21525</v>
      </c>
      <c r="F578" s="162"/>
      <c r="G578" s="162"/>
      <c r="H578" s="162"/>
      <c r="I578" s="1263">
        <v>32500</v>
      </c>
      <c r="J578" s="162">
        <f t="shared" si="15"/>
        <v>34125</v>
      </c>
    </row>
    <row r="579" spans="1:10" ht="13.5" customHeight="1">
      <c r="A579" s="1277"/>
      <c r="B579" s="1278" t="s">
        <v>3950</v>
      </c>
      <c r="C579" s="1279" t="s">
        <v>3951</v>
      </c>
      <c r="D579" s="1280" t="s">
        <v>127</v>
      </c>
      <c r="E579" s="1263">
        <f t="shared" ref="E579:E582" si="19">+J579</f>
        <v>57750</v>
      </c>
      <c r="F579" s="162"/>
      <c r="G579" s="162"/>
      <c r="H579" s="162"/>
      <c r="I579" s="1263">
        <v>55000</v>
      </c>
      <c r="J579" s="162">
        <f t="shared" si="15"/>
        <v>57750</v>
      </c>
    </row>
    <row r="580" spans="1:10" ht="13.5" customHeight="1">
      <c r="A580" s="1277"/>
      <c r="B580" s="1278" t="s">
        <v>3952</v>
      </c>
      <c r="C580" s="1279" t="s">
        <v>3953</v>
      </c>
      <c r="D580" s="1280" t="s">
        <v>127</v>
      </c>
      <c r="E580" s="1263">
        <f t="shared" si="19"/>
        <v>13125</v>
      </c>
      <c r="F580" s="162"/>
      <c r="G580" s="162"/>
      <c r="H580" s="162"/>
      <c r="I580" s="1263">
        <v>12500</v>
      </c>
      <c r="J580" s="162">
        <f t="shared" si="15"/>
        <v>13125</v>
      </c>
    </row>
    <row r="581" spans="1:10" ht="13.5" customHeight="1">
      <c r="A581" s="1277"/>
      <c r="B581" s="1278" t="s">
        <v>3954</v>
      </c>
      <c r="C581" s="1279" t="s">
        <v>3955</v>
      </c>
      <c r="D581" s="1280" t="s">
        <v>171</v>
      </c>
      <c r="E581" s="1263">
        <f t="shared" si="19"/>
        <v>7560</v>
      </c>
      <c r="F581" s="162"/>
      <c r="G581" s="162"/>
      <c r="H581" s="162"/>
      <c r="I581" s="1263">
        <v>7200</v>
      </c>
      <c r="J581" s="162">
        <f t="shared" si="15"/>
        <v>7560</v>
      </c>
    </row>
    <row r="582" spans="1:10" ht="13.5" customHeight="1">
      <c r="A582" s="1277"/>
      <c r="B582" s="1278" t="s">
        <v>3956</v>
      </c>
      <c r="C582" s="1279" t="s">
        <v>3957</v>
      </c>
      <c r="D582" s="1280" t="s">
        <v>171</v>
      </c>
      <c r="E582" s="1263">
        <f t="shared" si="19"/>
        <v>17850</v>
      </c>
      <c r="F582" s="162"/>
      <c r="G582" s="162"/>
      <c r="H582" s="162"/>
      <c r="I582" s="1263">
        <v>17000</v>
      </c>
      <c r="J582" s="162">
        <f t="shared" si="15"/>
        <v>17850</v>
      </c>
    </row>
    <row r="583" spans="1:10" ht="13.5" customHeight="1">
      <c r="A583" s="1277"/>
      <c r="B583" s="1278"/>
      <c r="C583" s="1279"/>
      <c r="D583" s="1280"/>
      <c r="E583" s="1263"/>
      <c r="F583" s="162"/>
      <c r="G583" s="162"/>
      <c r="H583" s="162"/>
      <c r="I583" s="1263"/>
      <c r="J583" s="162">
        <f t="shared" si="15"/>
        <v>0</v>
      </c>
    </row>
    <row r="584" spans="1:10" ht="13.5" customHeight="1">
      <c r="A584" s="1275" t="s">
        <v>3958</v>
      </c>
      <c r="B584" s="1276" t="s">
        <v>60</v>
      </c>
      <c r="C584" s="1281" t="s">
        <v>3959</v>
      </c>
      <c r="D584" s="1282"/>
      <c r="E584" s="1283"/>
      <c r="F584" s="162"/>
      <c r="G584" s="162"/>
      <c r="H584" s="162"/>
      <c r="I584" s="1283"/>
      <c r="J584" s="162">
        <f t="shared" si="15"/>
        <v>0</v>
      </c>
    </row>
    <row r="585" spans="1:10" ht="13.5" customHeight="1">
      <c r="A585" s="1277"/>
      <c r="B585" s="1278" t="s">
        <v>3960</v>
      </c>
      <c r="C585" s="1279" t="s">
        <v>3961</v>
      </c>
      <c r="D585" s="1280" t="s">
        <v>120</v>
      </c>
      <c r="E585" s="1263">
        <f t="shared" ref="E585:E624" si="20">+J585</f>
        <v>1575</v>
      </c>
      <c r="F585" s="162"/>
      <c r="G585" s="162"/>
      <c r="H585" s="162"/>
      <c r="I585" s="1263">
        <v>1500</v>
      </c>
      <c r="J585" s="162">
        <f t="shared" si="15"/>
        <v>1575</v>
      </c>
    </row>
    <row r="586" spans="1:10" ht="13.5" customHeight="1">
      <c r="A586" s="1277"/>
      <c r="B586" s="1278" t="s">
        <v>3962</v>
      </c>
      <c r="C586" s="1279" t="s">
        <v>3963</v>
      </c>
      <c r="D586" s="1280" t="s">
        <v>120</v>
      </c>
      <c r="E586" s="1263">
        <f t="shared" si="20"/>
        <v>1470</v>
      </c>
      <c r="F586" s="162"/>
      <c r="G586" s="162"/>
      <c r="H586" s="162"/>
      <c r="I586" s="1263">
        <v>1400</v>
      </c>
      <c r="J586" s="162">
        <f t="shared" si="15"/>
        <v>1470</v>
      </c>
    </row>
    <row r="587" spans="1:10" ht="13.5" customHeight="1">
      <c r="A587" s="1277"/>
      <c r="B587" s="1278" t="s">
        <v>3964</v>
      </c>
      <c r="C587" s="1279" t="s">
        <v>3965</v>
      </c>
      <c r="D587" s="1280" t="s">
        <v>120</v>
      </c>
      <c r="E587" s="1263">
        <f t="shared" si="20"/>
        <v>1890</v>
      </c>
      <c r="F587" s="162"/>
      <c r="G587" s="162"/>
      <c r="H587" s="162"/>
      <c r="I587" s="1263">
        <v>1800</v>
      </c>
      <c r="J587" s="162">
        <f t="shared" si="15"/>
        <v>1890</v>
      </c>
    </row>
    <row r="588" spans="1:10" ht="13.5" customHeight="1">
      <c r="A588" s="1277"/>
      <c r="B588" s="1278" t="s">
        <v>3966</v>
      </c>
      <c r="C588" s="1279" t="s">
        <v>3967</v>
      </c>
      <c r="D588" s="1280" t="s">
        <v>120</v>
      </c>
      <c r="E588" s="1263">
        <f t="shared" si="20"/>
        <v>26813</v>
      </c>
      <c r="F588" s="162"/>
      <c r="G588" s="162"/>
      <c r="H588" s="162"/>
      <c r="I588" s="1263">
        <v>25536</v>
      </c>
      <c r="J588" s="162">
        <f t="shared" si="15"/>
        <v>26813</v>
      </c>
    </row>
    <row r="589" spans="1:10" ht="13.5" customHeight="1">
      <c r="A589" s="1277"/>
      <c r="B589" s="1278" t="s">
        <v>3968</v>
      </c>
      <c r="C589" s="1279" t="s">
        <v>3969</v>
      </c>
      <c r="D589" s="1280" t="s">
        <v>120</v>
      </c>
      <c r="E589" s="1263">
        <f t="shared" si="20"/>
        <v>46627</v>
      </c>
      <c r="F589" s="162"/>
      <c r="G589" s="162"/>
      <c r="H589" s="162"/>
      <c r="I589" s="1263">
        <v>44407</v>
      </c>
      <c r="J589" s="162">
        <f t="shared" si="15"/>
        <v>46627</v>
      </c>
    </row>
    <row r="590" spans="1:10" ht="13.5" customHeight="1">
      <c r="A590" s="1277"/>
      <c r="B590" s="1278" t="s">
        <v>3970</v>
      </c>
      <c r="C590" s="1279" t="s">
        <v>3971</v>
      </c>
      <c r="D590" s="1280" t="s">
        <v>120</v>
      </c>
      <c r="E590" s="1263">
        <f t="shared" si="20"/>
        <v>54827</v>
      </c>
      <c r="F590" s="162"/>
      <c r="G590" s="162"/>
      <c r="H590" s="162"/>
      <c r="I590" s="1263">
        <v>52216</v>
      </c>
      <c r="J590" s="162">
        <f t="shared" si="15"/>
        <v>54827</v>
      </c>
    </row>
    <row r="591" spans="1:10" ht="13.5" customHeight="1">
      <c r="A591" s="1277"/>
      <c r="B591" s="1278" t="s">
        <v>3972</v>
      </c>
      <c r="C591" s="1279" t="s">
        <v>3973</v>
      </c>
      <c r="D591" s="1280" t="s">
        <v>120</v>
      </c>
      <c r="E591" s="1263">
        <f t="shared" si="20"/>
        <v>324879</v>
      </c>
      <c r="F591" s="162"/>
      <c r="G591" s="162"/>
      <c r="H591" s="162"/>
      <c r="I591" s="1263">
        <v>309409</v>
      </c>
      <c r="J591" s="162">
        <f t="shared" si="15"/>
        <v>324879</v>
      </c>
    </row>
    <row r="592" spans="1:10" ht="13.5" customHeight="1">
      <c r="A592" s="1277"/>
      <c r="B592" s="1278" t="s">
        <v>3974</v>
      </c>
      <c r="C592" s="1279" t="s">
        <v>3975</v>
      </c>
      <c r="D592" s="1280" t="s">
        <v>120</v>
      </c>
      <c r="E592" s="1263">
        <f t="shared" si="20"/>
        <v>8400</v>
      </c>
      <c r="F592" s="162"/>
      <c r="G592" s="162"/>
      <c r="H592" s="162"/>
      <c r="I592" s="1263">
        <v>8000</v>
      </c>
      <c r="J592" s="162">
        <f t="shared" si="15"/>
        <v>8400</v>
      </c>
    </row>
    <row r="593" spans="1:10" ht="13.5" customHeight="1">
      <c r="A593" s="1277"/>
      <c r="B593" s="1278" t="s">
        <v>3976</v>
      </c>
      <c r="C593" s="1279" t="s">
        <v>3977</v>
      </c>
      <c r="D593" s="1280" t="s">
        <v>120</v>
      </c>
      <c r="E593" s="1263">
        <f t="shared" si="20"/>
        <v>9450</v>
      </c>
      <c r="F593" s="162"/>
      <c r="G593" s="162"/>
      <c r="H593" s="162"/>
      <c r="I593" s="1263">
        <v>9000</v>
      </c>
      <c r="J593" s="162">
        <f t="shared" si="15"/>
        <v>9450</v>
      </c>
    </row>
    <row r="594" spans="1:10" ht="13.5" customHeight="1">
      <c r="A594" s="1277"/>
      <c r="B594" s="1278" t="s">
        <v>3978</v>
      </c>
      <c r="C594" s="1279" t="s">
        <v>3979</v>
      </c>
      <c r="D594" s="1280" t="s">
        <v>120</v>
      </c>
      <c r="E594" s="1263">
        <f t="shared" si="20"/>
        <v>12600</v>
      </c>
      <c r="F594" s="162"/>
      <c r="G594" s="162"/>
      <c r="H594" s="162"/>
      <c r="I594" s="1263">
        <v>12000</v>
      </c>
      <c r="J594" s="162">
        <f t="shared" si="15"/>
        <v>12600</v>
      </c>
    </row>
    <row r="595" spans="1:10" ht="13.5" customHeight="1">
      <c r="A595" s="1277"/>
      <c r="B595" s="1278" t="s">
        <v>3980</v>
      </c>
      <c r="C595" s="1279" t="s">
        <v>3981</v>
      </c>
      <c r="D595" s="1280" t="s">
        <v>120</v>
      </c>
      <c r="E595" s="1263">
        <f t="shared" si="20"/>
        <v>17850</v>
      </c>
      <c r="F595" s="162"/>
      <c r="G595" s="162"/>
      <c r="H595" s="162"/>
      <c r="I595" s="1263">
        <v>17000</v>
      </c>
      <c r="J595" s="162">
        <f t="shared" si="15"/>
        <v>17850</v>
      </c>
    </row>
    <row r="596" spans="1:10" ht="13.5" customHeight="1">
      <c r="A596" s="1277"/>
      <c r="B596" s="1278" t="s">
        <v>3982</v>
      </c>
      <c r="C596" s="1279" t="s">
        <v>3983</v>
      </c>
      <c r="D596" s="1280" t="s">
        <v>120</v>
      </c>
      <c r="E596" s="1263">
        <f t="shared" si="20"/>
        <v>23625</v>
      </c>
      <c r="F596" s="162"/>
      <c r="G596" s="162"/>
      <c r="H596" s="162"/>
      <c r="I596" s="1263">
        <v>22500</v>
      </c>
      <c r="J596" s="162">
        <f t="shared" si="15"/>
        <v>23625</v>
      </c>
    </row>
    <row r="597" spans="1:10" ht="13.5" customHeight="1">
      <c r="A597" s="1236"/>
      <c r="B597" s="1278" t="s">
        <v>3984</v>
      </c>
      <c r="C597" s="1238" t="s">
        <v>3985</v>
      </c>
      <c r="D597" s="1262" t="s">
        <v>127</v>
      </c>
      <c r="E597" s="1263">
        <f t="shared" si="20"/>
        <v>73500</v>
      </c>
      <c r="F597" s="162"/>
      <c r="G597" s="162"/>
      <c r="H597" s="162"/>
      <c r="I597" s="1240">
        <v>70000</v>
      </c>
      <c r="J597" s="162">
        <f t="shared" si="15"/>
        <v>73500</v>
      </c>
    </row>
    <row r="598" spans="1:10" ht="13.5" customHeight="1">
      <c r="A598" s="1236"/>
      <c r="B598" s="1278" t="s">
        <v>3986</v>
      </c>
      <c r="C598" s="1238" t="s">
        <v>3987</v>
      </c>
      <c r="D598" s="1262" t="s">
        <v>127</v>
      </c>
      <c r="E598" s="1263">
        <f t="shared" si="20"/>
        <v>162750</v>
      </c>
      <c r="F598" s="162"/>
      <c r="G598" s="162"/>
      <c r="H598" s="162"/>
      <c r="I598" s="1240">
        <v>155000</v>
      </c>
      <c r="J598" s="162">
        <f t="shared" si="15"/>
        <v>162750</v>
      </c>
    </row>
    <row r="599" spans="1:10" ht="13.5" customHeight="1">
      <c r="A599" s="1284"/>
      <c r="B599" s="1278" t="s">
        <v>3988</v>
      </c>
      <c r="C599" s="1285" t="s">
        <v>3989</v>
      </c>
      <c r="D599" s="1262" t="s">
        <v>120</v>
      </c>
      <c r="E599" s="1263">
        <f t="shared" si="20"/>
        <v>29925</v>
      </c>
      <c r="F599" s="162"/>
      <c r="G599" s="162"/>
      <c r="H599" s="162"/>
      <c r="I599" s="1240">
        <v>28500</v>
      </c>
      <c r="J599" s="162">
        <f t="shared" si="15"/>
        <v>29925</v>
      </c>
    </row>
    <row r="600" spans="1:10" ht="13.5" customHeight="1">
      <c r="A600" s="1236"/>
      <c r="B600" s="1278" t="s">
        <v>3990</v>
      </c>
      <c r="C600" s="1238" t="s">
        <v>3991</v>
      </c>
      <c r="D600" s="1262" t="s">
        <v>120</v>
      </c>
      <c r="E600" s="1263">
        <f t="shared" si="20"/>
        <v>15015</v>
      </c>
      <c r="F600" s="162"/>
      <c r="G600" s="162"/>
      <c r="H600" s="162"/>
      <c r="I600" s="1240">
        <v>14300</v>
      </c>
      <c r="J600" s="162">
        <f t="shared" si="15"/>
        <v>15015</v>
      </c>
    </row>
    <row r="601" spans="1:10" ht="13.5" customHeight="1">
      <c r="A601" s="1236"/>
      <c r="B601" s="1278" t="s">
        <v>3992</v>
      </c>
      <c r="C601" s="1238" t="s">
        <v>3993</v>
      </c>
      <c r="D601" s="1262" t="s">
        <v>120</v>
      </c>
      <c r="E601" s="1263">
        <f t="shared" si="20"/>
        <v>8400</v>
      </c>
      <c r="F601" s="162"/>
      <c r="G601" s="162"/>
      <c r="H601" s="162"/>
      <c r="I601" s="1240">
        <v>8000</v>
      </c>
      <c r="J601" s="162">
        <f t="shared" si="15"/>
        <v>8400</v>
      </c>
    </row>
    <row r="602" spans="1:10" ht="13.5" customHeight="1">
      <c r="A602" s="1277"/>
      <c r="B602" s="1278" t="s">
        <v>3994</v>
      </c>
      <c r="C602" s="1279" t="s">
        <v>3995</v>
      </c>
      <c r="D602" s="1262" t="s">
        <v>120</v>
      </c>
      <c r="E602" s="1263">
        <f t="shared" si="20"/>
        <v>23100</v>
      </c>
      <c r="F602" s="162"/>
      <c r="G602" s="162"/>
      <c r="H602" s="162"/>
      <c r="I602" s="1263">
        <v>22000</v>
      </c>
      <c r="J602" s="162">
        <f t="shared" si="15"/>
        <v>23100</v>
      </c>
    </row>
    <row r="603" spans="1:10" ht="13.5" customHeight="1">
      <c r="A603" s="1277"/>
      <c r="B603" s="1278" t="s">
        <v>3996</v>
      </c>
      <c r="C603" s="1279" t="s">
        <v>3997</v>
      </c>
      <c r="D603" s="1262" t="s">
        <v>120</v>
      </c>
      <c r="E603" s="1263">
        <f t="shared" si="20"/>
        <v>48300</v>
      </c>
      <c r="F603" s="162"/>
      <c r="G603" s="162"/>
      <c r="H603" s="162"/>
      <c r="I603" s="1263">
        <v>46000</v>
      </c>
      <c r="J603" s="162">
        <f t="shared" si="15"/>
        <v>48300</v>
      </c>
    </row>
    <row r="604" spans="1:10" ht="13.5" customHeight="1">
      <c r="A604" s="1277"/>
      <c r="B604" s="1278" t="s">
        <v>3998</v>
      </c>
      <c r="C604" s="1279" t="s">
        <v>3999</v>
      </c>
      <c r="D604" s="1262" t="s">
        <v>120</v>
      </c>
      <c r="E604" s="1263">
        <f t="shared" si="20"/>
        <v>9450</v>
      </c>
      <c r="F604" s="162"/>
      <c r="G604" s="162"/>
      <c r="H604" s="162"/>
      <c r="I604" s="1263">
        <v>9000</v>
      </c>
      <c r="J604" s="162">
        <f t="shared" si="15"/>
        <v>9450</v>
      </c>
    </row>
    <row r="605" spans="1:10" ht="13.5" customHeight="1">
      <c r="A605" s="1277"/>
      <c r="B605" s="1278" t="s">
        <v>4000</v>
      </c>
      <c r="C605" s="1279" t="s">
        <v>4001</v>
      </c>
      <c r="D605" s="1262" t="s">
        <v>120</v>
      </c>
      <c r="E605" s="1263">
        <f t="shared" si="20"/>
        <v>37800</v>
      </c>
      <c r="F605" s="162"/>
      <c r="G605" s="162"/>
      <c r="H605" s="162"/>
      <c r="I605" s="1263">
        <v>36000</v>
      </c>
      <c r="J605" s="162">
        <f t="shared" si="15"/>
        <v>37800</v>
      </c>
    </row>
    <row r="606" spans="1:10" ht="13.5" customHeight="1">
      <c r="A606" s="1277"/>
      <c r="B606" s="1278" t="s">
        <v>4002</v>
      </c>
      <c r="C606" s="1279" t="s">
        <v>4003</v>
      </c>
      <c r="D606" s="1262" t="s">
        <v>120</v>
      </c>
      <c r="E606" s="1263">
        <f t="shared" si="20"/>
        <v>10290</v>
      </c>
      <c r="F606" s="162"/>
      <c r="G606" s="162"/>
      <c r="H606" s="162"/>
      <c r="I606" s="1263">
        <v>9800</v>
      </c>
      <c r="J606" s="162">
        <f t="shared" si="15"/>
        <v>10290</v>
      </c>
    </row>
    <row r="607" spans="1:10" ht="13.5" customHeight="1">
      <c r="A607" s="1277"/>
      <c r="B607" s="1278" t="s">
        <v>4004</v>
      </c>
      <c r="C607" s="1279" t="s">
        <v>4005</v>
      </c>
      <c r="D607" s="1262" t="s">
        <v>120</v>
      </c>
      <c r="E607" s="1263">
        <f t="shared" si="20"/>
        <v>22890</v>
      </c>
      <c r="F607" s="162"/>
      <c r="G607" s="162"/>
      <c r="H607" s="162"/>
      <c r="I607" s="1263">
        <v>21800</v>
      </c>
      <c r="J607" s="162">
        <f t="shared" si="15"/>
        <v>22890</v>
      </c>
    </row>
    <row r="608" spans="1:10" ht="13.5" customHeight="1">
      <c r="A608" s="1277"/>
      <c r="B608" s="1278" t="s">
        <v>4006</v>
      </c>
      <c r="C608" s="1279" t="s">
        <v>4007</v>
      </c>
      <c r="D608" s="1262" t="s">
        <v>120</v>
      </c>
      <c r="E608" s="1263">
        <f t="shared" si="20"/>
        <v>32550</v>
      </c>
      <c r="F608" s="162"/>
      <c r="G608" s="162"/>
      <c r="H608" s="162"/>
      <c r="I608" s="1263">
        <v>31000</v>
      </c>
      <c r="J608" s="162">
        <f t="shared" si="15"/>
        <v>32550</v>
      </c>
    </row>
    <row r="609" spans="1:10" ht="13.5" customHeight="1">
      <c r="A609" s="1277"/>
      <c r="B609" s="1278" t="s">
        <v>4008</v>
      </c>
      <c r="C609" s="1279" t="s">
        <v>4009</v>
      </c>
      <c r="D609" s="1262" t="s">
        <v>120</v>
      </c>
      <c r="E609" s="1263">
        <f t="shared" si="20"/>
        <v>57750</v>
      </c>
      <c r="F609" s="162"/>
      <c r="G609" s="162"/>
      <c r="H609" s="162"/>
      <c r="I609" s="1263">
        <v>55000</v>
      </c>
      <c r="J609" s="162">
        <f t="shared" si="15"/>
        <v>57750</v>
      </c>
    </row>
    <row r="610" spans="1:10" ht="13.5" customHeight="1">
      <c r="A610" s="1277"/>
      <c r="B610" s="1278" t="s">
        <v>4010</v>
      </c>
      <c r="C610" s="1279" t="s">
        <v>4011</v>
      </c>
      <c r="D610" s="1262" t="s">
        <v>120</v>
      </c>
      <c r="E610" s="1263">
        <f t="shared" si="20"/>
        <v>6825</v>
      </c>
      <c r="F610" s="162"/>
      <c r="G610" s="162"/>
      <c r="H610" s="162"/>
      <c r="I610" s="1263">
        <v>6500</v>
      </c>
      <c r="J610" s="162">
        <f t="shared" si="15"/>
        <v>6825</v>
      </c>
    </row>
    <row r="611" spans="1:10" ht="13.5" customHeight="1">
      <c r="A611" s="1277"/>
      <c r="B611" s="1278" t="s">
        <v>4012</v>
      </c>
      <c r="C611" s="1279" t="s">
        <v>4013</v>
      </c>
      <c r="D611" s="1262" t="s">
        <v>120</v>
      </c>
      <c r="E611" s="1263">
        <f t="shared" si="20"/>
        <v>7350</v>
      </c>
      <c r="F611" s="162"/>
      <c r="G611" s="162"/>
      <c r="H611" s="162"/>
      <c r="I611" s="1263">
        <v>7000</v>
      </c>
      <c r="J611" s="162">
        <f t="shared" si="15"/>
        <v>7350</v>
      </c>
    </row>
    <row r="612" spans="1:10" ht="13.5" customHeight="1">
      <c r="A612" s="1277"/>
      <c r="B612" s="1278" t="s">
        <v>4014</v>
      </c>
      <c r="C612" s="1279" t="s">
        <v>4015</v>
      </c>
      <c r="D612" s="1262" t="s">
        <v>120</v>
      </c>
      <c r="E612" s="1263">
        <f t="shared" si="20"/>
        <v>8400</v>
      </c>
      <c r="F612" s="162"/>
      <c r="G612" s="162"/>
      <c r="H612" s="162"/>
      <c r="I612" s="1263">
        <v>8000</v>
      </c>
      <c r="J612" s="162">
        <f t="shared" si="15"/>
        <v>8400</v>
      </c>
    </row>
    <row r="613" spans="1:10" ht="13.5" customHeight="1">
      <c r="A613" s="1277"/>
      <c r="B613" s="1278" t="s">
        <v>4016</v>
      </c>
      <c r="C613" s="1279" t="s">
        <v>4017</v>
      </c>
      <c r="D613" s="1262" t="s">
        <v>120</v>
      </c>
      <c r="E613" s="1263">
        <f t="shared" si="20"/>
        <v>12390</v>
      </c>
      <c r="F613" s="162"/>
      <c r="G613" s="162"/>
      <c r="H613" s="162"/>
      <c r="I613" s="1263">
        <v>11800</v>
      </c>
      <c r="J613" s="162">
        <f t="shared" si="15"/>
        <v>12390</v>
      </c>
    </row>
    <row r="614" spans="1:10" ht="13.5" customHeight="1">
      <c r="A614" s="1277"/>
      <c r="B614" s="1278" t="s">
        <v>4018</v>
      </c>
      <c r="C614" s="1279" t="s">
        <v>4019</v>
      </c>
      <c r="D614" s="1262" t="s">
        <v>120</v>
      </c>
      <c r="E614" s="1263">
        <f t="shared" si="20"/>
        <v>19740</v>
      </c>
      <c r="F614" s="162"/>
      <c r="G614" s="162"/>
      <c r="H614" s="162"/>
      <c r="I614" s="1263">
        <v>18800</v>
      </c>
      <c r="J614" s="162">
        <f t="shared" si="15"/>
        <v>19740</v>
      </c>
    </row>
    <row r="615" spans="1:10" ht="13.5" customHeight="1">
      <c r="A615" s="1277"/>
      <c r="B615" s="1278" t="s">
        <v>4020</v>
      </c>
      <c r="C615" s="1279" t="s">
        <v>4021</v>
      </c>
      <c r="D615" s="1262" t="s">
        <v>120</v>
      </c>
      <c r="E615" s="1263">
        <f t="shared" si="20"/>
        <v>12390</v>
      </c>
      <c r="F615" s="162"/>
      <c r="G615" s="162"/>
      <c r="H615" s="162"/>
      <c r="I615" s="1263">
        <v>11800</v>
      </c>
      <c r="J615" s="162">
        <f t="shared" si="15"/>
        <v>12390</v>
      </c>
    </row>
    <row r="616" spans="1:10" ht="13.5" customHeight="1">
      <c r="A616" s="1277"/>
      <c r="B616" s="1278" t="s">
        <v>4022</v>
      </c>
      <c r="C616" s="1279" t="s">
        <v>4023</v>
      </c>
      <c r="D616" s="1262" t="s">
        <v>120</v>
      </c>
      <c r="E616" s="1263">
        <f t="shared" si="20"/>
        <v>30870</v>
      </c>
      <c r="F616" s="162"/>
      <c r="G616" s="162"/>
      <c r="H616" s="162"/>
      <c r="I616" s="1263">
        <v>29400</v>
      </c>
      <c r="J616" s="162">
        <f t="shared" si="15"/>
        <v>30870</v>
      </c>
    </row>
    <row r="617" spans="1:10" ht="13.5" customHeight="1">
      <c r="A617" s="1277"/>
      <c r="B617" s="1278" t="s">
        <v>4024</v>
      </c>
      <c r="C617" s="1279" t="s">
        <v>4025</v>
      </c>
      <c r="D617" s="1262" t="s">
        <v>120</v>
      </c>
      <c r="E617" s="1263">
        <f t="shared" si="20"/>
        <v>70350</v>
      </c>
      <c r="F617" s="162"/>
      <c r="G617" s="162"/>
      <c r="H617" s="162"/>
      <c r="I617" s="1263">
        <v>67000</v>
      </c>
      <c r="J617" s="162">
        <f t="shared" si="15"/>
        <v>70350</v>
      </c>
    </row>
    <row r="618" spans="1:10" ht="13.5" customHeight="1">
      <c r="A618" s="1277"/>
      <c r="B618" s="1278" t="s">
        <v>4026</v>
      </c>
      <c r="C618" s="1277" t="s">
        <v>4027</v>
      </c>
      <c r="D618" s="1262" t="s">
        <v>120</v>
      </c>
      <c r="E618" s="1263">
        <f t="shared" si="20"/>
        <v>10815</v>
      </c>
      <c r="F618" s="162"/>
      <c r="G618" s="162"/>
      <c r="H618" s="162"/>
      <c r="I618" s="1263">
        <v>10300</v>
      </c>
      <c r="J618" s="162">
        <f t="shared" si="15"/>
        <v>10815</v>
      </c>
    </row>
    <row r="619" spans="1:10" ht="13.5" customHeight="1">
      <c r="A619" s="1277"/>
      <c r="B619" s="1278" t="s">
        <v>4028</v>
      </c>
      <c r="C619" s="1279" t="s">
        <v>4029</v>
      </c>
      <c r="D619" s="1262" t="s">
        <v>120</v>
      </c>
      <c r="E619" s="1263">
        <f t="shared" si="20"/>
        <v>5158</v>
      </c>
      <c r="F619" s="162"/>
      <c r="G619" s="162"/>
      <c r="H619" s="162"/>
      <c r="I619" s="1263">
        <v>4912</v>
      </c>
      <c r="J619" s="162">
        <f t="shared" si="15"/>
        <v>5158</v>
      </c>
    </row>
    <row r="620" spans="1:10" ht="13.5" customHeight="1">
      <c r="A620" s="1277"/>
      <c r="B620" s="1278" t="s">
        <v>4030</v>
      </c>
      <c r="C620" s="1279" t="s">
        <v>4031</v>
      </c>
      <c r="D620" s="1262" t="s">
        <v>120</v>
      </c>
      <c r="E620" s="1263">
        <f t="shared" si="20"/>
        <v>8829</v>
      </c>
      <c r="F620" s="162"/>
      <c r="G620" s="162"/>
      <c r="H620" s="162"/>
      <c r="I620" s="1263">
        <v>8409</v>
      </c>
      <c r="J620" s="162">
        <f t="shared" si="15"/>
        <v>8829</v>
      </c>
    </row>
    <row r="621" spans="1:10" ht="13.5" customHeight="1">
      <c r="A621" s="1277"/>
      <c r="B621" s="1278" t="s">
        <v>4032</v>
      </c>
      <c r="C621" s="1279" t="s">
        <v>4033</v>
      </c>
      <c r="D621" s="1262" t="s">
        <v>120</v>
      </c>
      <c r="E621" s="1263">
        <f t="shared" si="20"/>
        <v>6816</v>
      </c>
      <c r="F621" s="162"/>
      <c r="G621" s="162"/>
      <c r="H621" s="162"/>
      <c r="I621" s="1263">
        <v>6491</v>
      </c>
      <c r="J621" s="162">
        <f t="shared" si="15"/>
        <v>6816</v>
      </c>
    </row>
    <row r="622" spans="1:10" ht="13.5" customHeight="1">
      <c r="A622" s="1277"/>
      <c r="B622" s="1278" t="s">
        <v>4034</v>
      </c>
      <c r="C622" s="1279" t="s">
        <v>4035</v>
      </c>
      <c r="D622" s="1262" t="s">
        <v>120</v>
      </c>
      <c r="E622" s="1263">
        <f t="shared" si="20"/>
        <v>12075</v>
      </c>
      <c r="F622" s="162"/>
      <c r="G622" s="162"/>
      <c r="H622" s="162"/>
      <c r="I622" s="1263">
        <v>11500</v>
      </c>
      <c r="J622" s="162">
        <f t="shared" si="15"/>
        <v>12075</v>
      </c>
    </row>
    <row r="623" spans="1:10" ht="13.5" customHeight="1">
      <c r="A623" s="1277"/>
      <c r="B623" s="1278" t="s">
        <v>4036</v>
      </c>
      <c r="C623" s="1279" t="s">
        <v>4037</v>
      </c>
      <c r="D623" s="1262" t="s">
        <v>120</v>
      </c>
      <c r="E623" s="1263">
        <f t="shared" si="20"/>
        <v>11603</v>
      </c>
      <c r="F623" s="162"/>
      <c r="G623" s="162"/>
      <c r="H623" s="162"/>
      <c r="I623" s="1263">
        <v>11050</v>
      </c>
      <c r="J623" s="162">
        <f t="shared" si="15"/>
        <v>11603</v>
      </c>
    </row>
    <row r="624" spans="1:10" ht="13.5" customHeight="1">
      <c r="A624" s="1277"/>
      <c r="B624" s="1278" t="s">
        <v>4038</v>
      </c>
      <c r="C624" s="1279" t="s">
        <v>4039</v>
      </c>
      <c r="D624" s="1262" t="s">
        <v>120</v>
      </c>
      <c r="E624" s="1263">
        <f t="shared" si="20"/>
        <v>18152</v>
      </c>
      <c r="F624" s="162"/>
      <c r="G624" s="162"/>
      <c r="H624" s="162"/>
      <c r="I624" s="1263">
        <v>17288</v>
      </c>
      <c r="J624" s="162">
        <f t="shared" si="15"/>
        <v>18152</v>
      </c>
    </row>
    <row r="625" spans="1:10" ht="13.5" customHeight="1">
      <c r="A625" s="1277"/>
      <c r="B625" s="1278" t="s">
        <v>4040</v>
      </c>
      <c r="C625" s="1279" t="s">
        <v>4041</v>
      </c>
      <c r="D625" s="1262" t="s">
        <v>120</v>
      </c>
      <c r="E625" s="1263">
        <f>584500/6</f>
        <v>97416.666666666672</v>
      </c>
      <c r="F625" s="162"/>
      <c r="G625" s="162"/>
      <c r="H625" s="162"/>
      <c r="I625" s="1263">
        <v>12400</v>
      </c>
      <c r="J625" s="162">
        <f t="shared" si="15"/>
        <v>13020</v>
      </c>
    </row>
    <row r="626" spans="1:10" ht="13.5" customHeight="1">
      <c r="A626" s="1277"/>
      <c r="B626" s="1278" t="s">
        <v>4042</v>
      </c>
      <c r="C626" s="1279" t="s">
        <v>4043</v>
      </c>
      <c r="D626" s="1262" t="s">
        <v>120</v>
      </c>
      <c r="E626" s="1263">
        <f>356645/6</f>
        <v>59440.833333333336</v>
      </c>
      <c r="F626" s="162"/>
      <c r="G626" s="162"/>
      <c r="H626" s="162"/>
      <c r="I626" s="1263">
        <v>19200</v>
      </c>
      <c r="J626" s="162">
        <f t="shared" si="15"/>
        <v>20160</v>
      </c>
    </row>
    <row r="627" spans="1:10" ht="13.5" customHeight="1">
      <c r="A627" s="1277"/>
      <c r="B627" s="1278" t="s">
        <v>4044</v>
      </c>
      <c r="C627" s="1279" t="s">
        <v>4045</v>
      </c>
      <c r="D627" s="1262" t="s">
        <v>120</v>
      </c>
      <c r="E627" s="1263">
        <f t="shared" ref="E627:E642" si="21">+J627</f>
        <v>2059</v>
      </c>
      <c r="F627" s="162"/>
      <c r="G627" s="162"/>
      <c r="H627" s="162"/>
      <c r="I627" s="1263">
        <v>1961</v>
      </c>
      <c r="J627" s="162">
        <f t="shared" si="15"/>
        <v>2059</v>
      </c>
    </row>
    <row r="628" spans="1:10" ht="13.5" customHeight="1">
      <c r="A628" s="1277"/>
      <c r="B628" s="1278" t="s">
        <v>4046</v>
      </c>
      <c r="C628" s="1279" t="s">
        <v>4047</v>
      </c>
      <c r="D628" s="1262" t="s">
        <v>120</v>
      </c>
      <c r="E628" s="1263">
        <f t="shared" si="21"/>
        <v>2801</v>
      </c>
      <c r="F628" s="162"/>
      <c r="G628" s="162"/>
      <c r="H628" s="162"/>
      <c r="I628" s="1263">
        <v>2668</v>
      </c>
      <c r="J628" s="162">
        <f t="shared" si="15"/>
        <v>2801</v>
      </c>
    </row>
    <row r="629" spans="1:10" ht="13.5" customHeight="1">
      <c r="A629" s="1277"/>
      <c r="B629" s="1278" t="s">
        <v>4048</v>
      </c>
      <c r="C629" s="1279" t="s">
        <v>4049</v>
      </c>
      <c r="D629" s="1262" t="s">
        <v>120</v>
      </c>
      <c r="E629" s="1263">
        <f t="shared" si="21"/>
        <v>3764</v>
      </c>
      <c r="F629" s="162"/>
      <c r="G629" s="162"/>
      <c r="H629" s="162"/>
      <c r="I629" s="1263">
        <v>3585</v>
      </c>
      <c r="J629" s="162">
        <f t="shared" si="15"/>
        <v>3764</v>
      </c>
    </row>
    <row r="630" spans="1:10" ht="13.5" customHeight="1">
      <c r="A630" s="1277"/>
      <c r="B630" s="1278" t="s">
        <v>4050</v>
      </c>
      <c r="C630" s="1279" t="s">
        <v>4051</v>
      </c>
      <c r="D630" s="1262" t="s">
        <v>120</v>
      </c>
      <c r="E630" s="1263">
        <f t="shared" si="21"/>
        <v>2501</v>
      </c>
      <c r="F630" s="162"/>
      <c r="G630" s="162"/>
      <c r="H630" s="162"/>
      <c r="I630" s="1263">
        <v>2382</v>
      </c>
      <c r="J630" s="162">
        <f t="shared" si="15"/>
        <v>2501</v>
      </c>
    </row>
    <row r="631" spans="1:10" ht="13.5" customHeight="1">
      <c r="A631" s="1277"/>
      <c r="B631" s="1278" t="s">
        <v>4052</v>
      </c>
      <c r="C631" s="1279" t="s">
        <v>4053</v>
      </c>
      <c r="D631" s="1262" t="s">
        <v>120</v>
      </c>
      <c r="E631" s="1263">
        <f t="shared" si="21"/>
        <v>8000</v>
      </c>
      <c r="F631" s="162"/>
      <c r="G631" s="162"/>
      <c r="H631" s="162"/>
      <c r="I631" s="1263">
        <v>7619</v>
      </c>
      <c r="J631" s="162">
        <f t="shared" si="15"/>
        <v>8000</v>
      </c>
    </row>
    <row r="632" spans="1:10" ht="13.5" customHeight="1">
      <c r="A632" s="1277"/>
      <c r="B632" s="1278" t="s">
        <v>4054</v>
      </c>
      <c r="C632" s="1279" t="s">
        <v>4055</v>
      </c>
      <c r="D632" s="1262" t="s">
        <v>120</v>
      </c>
      <c r="E632" s="1263">
        <f t="shared" si="21"/>
        <v>5005</v>
      </c>
      <c r="F632" s="162"/>
      <c r="G632" s="162"/>
      <c r="H632" s="162"/>
      <c r="I632" s="1263">
        <v>4767</v>
      </c>
      <c r="J632" s="162">
        <f t="shared" si="15"/>
        <v>5005</v>
      </c>
    </row>
    <row r="633" spans="1:10" ht="13.5" customHeight="1">
      <c r="A633" s="1277"/>
      <c r="B633" s="1278" t="s">
        <v>4056</v>
      </c>
      <c r="C633" s="1279" t="s">
        <v>4057</v>
      </c>
      <c r="D633" s="1262" t="s">
        <v>120</v>
      </c>
      <c r="E633" s="1263">
        <f t="shared" si="21"/>
        <v>3522</v>
      </c>
      <c r="F633" s="162"/>
      <c r="G633" s="162"/>
      <c r="H633" s="162"/>
      <c r="I633" s="1263">
        <v>3354</v>
      </c>
      <c r="J633" s="162">
        <f t="shared" si="15"/>
        <v>3522</v>
      </c>
    </row>
    <row r="634" spans="1:10" ht="13.5" customHeight="1">
      <c r="A634" s="1277"/>
      <c r="B634" s="1278" t="s">
        <v>4058</v>
      </c>
      <c r="C634" s="1279" t="s">
        <v>4059</v>
      </c>
      <c r="D634" s="1262" t="s">
        <v>120</v>
      </c>
      <c r="E634" s="1263">
        <f t="shared" si="21"/>
        <v>6176</v>
      </c>
      <c r="F634" s="162"/>
      <c r="G634" s="162"/>
      <c r="H634" s="162"/>
      <c r="I634" s="1263">
        <v>5882</v>
      </c>
      <c r="J634" s="162">
        <f t="shared" si="15"/>
        <v>6176</v>
      </c>
    </row>
    <row r="635" spans="1:10" ht="13.5" customHeight="1">
      <c r="A635" s="1277"/>
      <c r="B635" s="1278" t="s">
        <v>4060</v>
      </c>
      <c r="C635" s="1279" t="s">
        <v>4061</v>
      </c>
      <c r="D635" s="1262" t="s">
        <v>120</v>
      </c>
      <c r="E635" s="1263">
        <f t="shared" si="21"/>
        <v>8000</v>
      </c>
      <c r="F635" s="162"/>
      <c r="G635" s="162"/>
      <c r="H635" s="162"/>
      <c r="I635" s="1263">
        <v>7619</v>
      </c>
      <c r="J635" s="162">
        <f t="shared" si="15"/>
        <v>8000</v>
      </c>
    </row>
    <row r="636" spans="1:10" ht="13.5" customHeight="1">
      <c r="A636" s="1277"/>
      <c r="B636" s="1278" t="s">
        <v>4062</v>
      </c>
      <c r="C636" s="1279" t="s">
        <v>4063</v>
      </c>
      <c r="D636" s="1262" t="s">
        <v>120</v>
      </c>
      <c r="E636" s="1263">
        <f t="shared" si="21"/>
        <v>12155</v>
      </c>
      <c r="F636" s="162"/>
      <c r="G636" s="162"/>
      <c r="H636" s="162"/>
      <c r="I636" s="1263">
        <v>11576</v>
      </c>
      <c r="J636" s="162">
        <f t="shared" si="15"/>
        <v>12155</v>
      </c>
    </row>
    <row r="637" spans="1:10" ht="13.5" customHeight="1">
      <c r="A637" s="1277"/>
      <c r="B637" s="1278" t="s">
        <v>4064</v>
      </c>
      <c r="C637" s="1279" t="s">
        <v>4065</v>
      </c>
      <c r="D637" s="1262" t="s">
        <v>120</v>
      </c>
      <c r="E637" s="1263">
        <f t="shared" si="21"/>
        <v>10072</v>
      </c>
      <c r="F637" s="162"/>
      <c r="G637" s="162"/>
      <c r="H637" s="162"/>
      <c r="I637" s="1263">
        <v>9592</v>
      </c>
      <c r="J637" s="162">
        <f t="shared" si="15"/>
        <v>10072</v>
      </c>
    </row>
    <row r="638" spans="1:10" ht="13.5" customHeight="1">
      <c r="A638" s="1277"/>
      <c r="B638" s="1278" t="s">
        <v>4066</v>
      </c>
      <c r="C638" s="1279" t="s">
        <v>4067</v>
      </c>
      <c r="D638" s="1262" t="s">
        <v>120</v>
      </c>
      <c r="E638" s="1263">
        <f t="shared" si="21"/>
        <v>19569</v>
      </c>
      <c r="F638" s="162"/>
      <c r="G638" s="162"/>
      <c r="H638" s="162"/>
      <c r="I638" s="1263">
        <v>18637</v>
      </c>
      <c r="J638" s="162">
        <f t="shared" si="15"/>
        <v>19569</v>
      </c>
    </row>
    <row r="639" spans="1:10" ht="13.5" customHeight="1">
      <c r="A639" s="1277"/>
      <c r="B639" s="1278" t="s">
        <v>4068</v>
      </c>
      <c r="C639" s="1279" t="s">
        <v>4069</v>
      </c>
      <c r="D639" s="1262" t="s">
        <v>120</v>
      </c>
      <c r="E639" s="1263">
        <f t="shared" si="21"/>
        <v>15155</v>
      </c>
      <c r="F639" s="162"/>
      <c r="G639" s="162"/>
      <c r="H639" s="162"/>
      <c r="I639" s="1263">
        <v>14433</v>
      </c>
      <c r="J639" s="162">
        <f t="shared" si="15"/>
        <v>15155</v>
      </c>
    </row>
    <row r="640" spans="1:10" ht="13.5" customHeight="1">
      <c r="A640" s="1277"/>
      <c r="B640" s="1278" t="s">
        <v>4070</v>
      </c>
      <c r="C640" s="1279" t="s">
        <v>4071</v>
      </c>
      <c r="D640" s="1262" t="s">
        <v>120</v>
      </c>
      <c r="E640" s="1263">
        <f t="shared" si="21"/>
        <v>26057</v>
      </c>
      <c r="F640" s="162"/>
      <c r="G640" s="162"/>
      <c r="H640" s="162"/>
      <c r="I640" s="1263">
        <v>24816</v>
      </c>
      <c r="J640" s="162">
        <f t="shared" si="15"/>
        <v>26057</v>
      </c>
    </row>
    <row r="641" spans="1:10" ht="13.5" customHeight="1">
      <c r="A641" s="1277"/>
      <c r="B641" s="1278" t="s">
        <v>4072</v>
      </c>
      <c r="C641" s="1279" t="s">
        <v>4073</v>
      </c>
      <c r="D641" s="1262" t="s">
        <v>120</v>
      </c>
      <c r="E641" s="1263">
        <f t="shared" si="21"/>
        <v>21279</v>
      </c>
      <c r="F641" s="162"/>
      <c r="G641" s="162"/>
      <c r="H641" s="162"/>
      <c r="I641" s="1263">
        <v>20266</v>
      </c>
      <c r="J641" s="162">
        <f t="shared" si="15"/>
        <v>21279</v>
      </c>
    </row>
    <row r="642" spans="1:10" ht="13.5" customHeight="1">
      <c r="A642" s="1277"/>
      <c r="B642" s="1278" t="s">
        <v>4074</v>
      </c>
      <c r="C642" s="1279" t="s">
        <v>4075</v>
      </c>
      <c r="D642" s="1262" t="s">
        <v>120</v>
      </c>
      <c r="E642" s="1263">
        <f t="shared" si="21"/>
        <v>17828</v>
      </c>
      <c r="F642" s="162"/>
      <c r="G642" s="162"/>
      <c r="H642" s="162"/>
      <c r="I642" s="1263">
        <v>16979</v>
      </c>
      <c r="J642" s="162">
        <f t="shared" si="15"/>
        <v>17828</v>
      </c>
    </row>
    <row r="643" spans="1:10" ht="13.5" customHeight="1">
      <c r="A643" s="1277"/>
      <c r="B643" s="1278" t="s">
        <v>4076</v>
      </c>
      <c r="C643" s="1279" t="s">
        <v>4077</v>
      </c>
      <c r="D643" s="1262" t="s">
        <v>120</v>
      </c>
      <c r="E643" s="1263">
        <v>28301</v>
      </c>
      <c r="F643" s="162"/>
      <c r="G643" s="162"/>
      <c r="H643" s="162"/>
      <c r="I643" s="1263">
        <v>42208</v>
      </c>
      <c r="J643" s="162">
        <f t="shared" si="15"/>
        <v>44318</v>
      </c>
    </row>
    <row r="644" spans="1:10" ht="13.5" customHeight="1">
      <c r="A644" s="1277"/>
      <c r="B644" s="1278" t="s">
        <v>4078</v>
      </c>
      <c r="C644" s="1279" t="s">
        <v>4079</v>
      </c>
      <c r="D644" s="1262" t="s">
        <v>120</v>
      </c>
      <c r="E644" s="1263">
        <f t="shared" ref="E644:E654" si="22">+J644</f>
        <v>35231</v>
      </c>
      <c r="F644" s="162"/>
      <c r="G644" s="162"/>
      <c r="H644" s="162"/>
      <c r="I644" s="1263">
        <v>33553</v>
      </c>
      <c r="J644" s="162">
        <f t="shared" si="15"/>
        <v>35231</v>
      </c>
    </row>
    <row r="645" spans="1:10" ht="13.5" customHeight="1">
      <c r="A645" s="1277"/>
      <c r="B645" s="1278" t="s">
        <v>4080</v>
      </c>
      <c r="C645" s="1279" t="s">
        <v>4081</v>
      </c>
      <c r="D645" s="1262" t="s">
        <v>120</v>
      </c>
      <c r="E645" s="1263">
        <f t="shared" si="22"/>
        <v>28301</v>
      </c>
      <c r="F645" s="162"/>
      <c r="G645" s="162"/>
      <c r="H645" s="162"/>
      <c r="I645" s="1263">
        <v>26953</v>
      </c>
      <c r="J645" s="162">
        <f t="shared" si="15"/>
        <v>28301</v>
      </c>
    </row>
    <row r="646" spans="1:10" ht="13.5" customHeight="1">
      <c r="A646" s="1277"/>
      <c r="B646" s="1278" t="s">
        <v>4082</v>
      </c>
      <c r="C646" s="1279" t="s">
        <v>4083</v>
      </c>
      <c r="D646" s="1262" t="s">
        <v>120</v>
      </c>
      <c r="E646" s="1263">
        <f t="shared" si="22"/>
        <v>24226</v>
      </c>
      <c r="F646" s="162"/>
      <c r="G646" s="162"/>
      <c r="H646" s="162"/>
      <c r="I646" s="1263">
        <v>23072</v>
      </c>
      <c r="J646" s="162">
        <f t="shared" si="15"/>
        <v>24226</v>
      </c>
    </row>
    <row r="647" spans="1:10" ht="13.5" customHeight="1">
      <c r="A647" s="1277"/>
      <c r="B647" s="1278" t="s">
        <v>4084</v>
      </c>
      <c r="C647" s="1279" t="s">
        <v>4085</v>
      </c>
      <c r="D647" s="1262" t="s">
        <v>120</v>
      </c>
      <c r="E647" s="1263">
        <f t="shared" si="22"/>
        <v>4724</v>
      </c>
      <c r="F647" s="162"/>
      <c r="G647" s="162"/>
      <c r="H647" s="162"/>
      <c r="I647" s="1263">
        <v>4499</v>
      </c>
      <c r="J647" s="162">
        <f t="shared" si="15"/>
        <v>4724</v>
      </c>
    </row>
    <row r="648" spans="1:10" ht="13.5" customHeight="1">
      <c r="A648" s="1277"/>
      <c r="B648" s="1278" t="s">
        <v>4086</v>
      </c>
      <c r="C648" s="1279" t="s">
        <v>4087</v>
      </c>
      <c r="D648" s="1262" t="s">
        <v>120</v>
      </c>
      <c r="E648" s="1263">
        <f t="shared" si="22"/>
        <v>9398</v>
      </c>
      <c r="F648" s="162"/>
      <c r="G648" s="162"/>
      <c r="H648" s="162"/>
      <c r="I648" s="1263">
        <v>8950</v>
      </c>
      <c r="J648" s="162">
        <f t="shared" si="15"/>
        <v>9398</v>
      </c>
    </row>
    <row r="649" spans="1:10" ht="13.5" customHeight="1">
      <c r="A649" s="1277"/>
      <c r="B649" s="1278" t="s">
        <v>4088</v>
      </c>
      <c r="C649" s="1279" t="s">
        <v>4089</v>
      </c>
      <c r="D649" s="1280" t="s">
        <v>120</v>
      </c>
      <c r="E649" s="1263">
        <f t="shared" si="22"/>
        <v>69131</v>
      </c>
      <c r="F649" s="162"/>
      <c r="G649" s="162"/>
      <c r="H649" s="162"/>
      <c r="I649" s="1263">
        <v>65839</v>
      </c>
      <c r="J649" s="162">
        <f t="shared" si="15"/>
        <v>69131</v>
      </c>
    </row>
    <row r="650" spans="1:10" ht="13.5" customHeight="1">
      <c r="A650" s="1277"/>
      <c r="B650" s="1278" t="s">
        <v>4090</v>
      </c>
      <c r="C650" s="1279" t="s">
        <v>4091</v>
      </c>
      <c r="D650" s="1280" t="s">
        <v>120</v>
      </c>
      <c r="E650" s="1263">
        <f t="shared" si="22"/>
        <v>55624</v>
      </c>
      <c r="F650" s="162"/>
      <c r="G650" s="162"/>
      <c r="H650" s="162"/>
      <c r="I650" s="1263">
        <v>52975</v>
      </c>
      <c r="J650" s="162">
        <f t="shared" si="15"/>
        <v>55624</v>
      </c>
    </row>
    <row r="651" spans="1:10" ht="13.5" customHeight="1">
      <c r="A651" s="1277"/>
      <c r="B651" s="1278" t="s">
        <v>4092</v>
      </c>
      <c r="C651" s="1279" t="s">
        <v>4093</v>
      </c>
      <c r="D651" s="1280" t="s">
        <v>120</v>
      </c>
      <c r="E651" s="1263">
        <f t="shared" si="22"/>
        <v>9910</v>
      </c>
      <c r="F651" s="162"/>
      <c r="G651" s="162"/>
      <c r="H651" s="162"/>
      <c r="I651" s="1263">
        <v>9438</v>
      </c>
      <c r="J651" s="162">
        <f t="shared" si="15"/>
        <v>9910</v>
      </c>
    </row>
    <row r="652" spans="1:10" ht="13.5" customHeight="1">
      <c r="A652" s="1277"/>
      <c r="B652" s="1278" t="s">
        <v>4094</v>
      </c>
      <c r="C652" s="1279" t="s">
        <v>4095</v>
      </c>
      <c r="D652" s="1262" t="s">
        <v>120</v>
      </c>
      <c r="E652" s="1263">
        <f t="shared" si="22"/>
        <v>25896</v>
      </c>
      <c r="F652" s="162"/>
      <c r="G652" s="162"/>
      <c r="H652" s="162"/>
      <c r="I652" s="1263">
        <v>24663</v>
      </c>
      <c r="J652" s="162">
        <f t="shared" si="15"/>
        <v>25896</v>
      </c>
    </row>
    <row r="653" spans="1:10" ht="13.5" customHeight="1">
      <c r="A653" s="1277"/>
      <c r="B653" s="1278" t="s">
        <v>4096</v>
      </c>
      <c r="C653" s="1279" t="s">
        <v>4097</v>
      </c>
      <c r="D653" s="1262" t="s">
        <v>120</v>
      </c>
      <c r="E653" s="1263">
        <f t="shared" si="22"/>
        <v>5536</v>
      </c>
      <c r="F653" s="162"/>
      <c r="G653" s="162"/>
      <c r="H653" s="162"/>
      <c r="I653" s="1263">
        <v>5272</v>
      </c>
      <c r="J653" s="162">
        <f t="shared" si="15"/>
        <v>5536</v>
      </c>
    </row>
    <row r="654" spans="1:10" ht="13.5" customHeight="1">
      <c r="A654" s="1277"/>
      <c r="B654" s="1278" t="s">
        <v>4098</v>
      </c>
      <c r="C654" s="1279" t="s">
        <v>4099</v>
      </c>
      <c r="D654" s="1262" t="s">
        <v>120</v>
      </c>
      <c r="E654" s="1263">
        <f t="shared" si="22"/>
        <v>11472</v>
      </c>
      <c r="F654" s="162"/>
      <c r="G654" s="162"/>
      <c r="H654" s="162"/>
      <c r="I654" s="1263">
        <v>10926</v>
      </c>
      <c r="J654" s="162">
        <f t="shared" si="15"/>
        <v>11472</v>
      </c>
    </row>
    <row r="655" spans="1:10" ht="13.5" customHeight="1">
      <c r="A655" s="1275" t="s">
        <v>4100</v>
      </c>
      <c r="B655" s="1276" t="s">
        <v>62</v>
      </c>
      <c r="C655" s="1281" t="s">
        <v>4101</v>
      </c>
      <c r="D655" s="1282"/>
      <c r="E655" s="1263"/>
      <c r="F655" s="162"/>
      <c r="G655" s="162"/>
      <c r="H655" s="162"/>
      <c r="I655" s="1283"/>
      <c r="J655" s="162">
        <f t="shared" si="15"/>
        <v>0</v>
      </c>
    </row>
    <row r="656" spans="1:10" ht="14.25" customHeight="1">
      <c r="A656" s="1277"/>
      <c r="B656" s="1278" t="s">
        <v>4102</v>
      </c>
      <c r="C656" s="1279" t="s">
        <v>4103</v>
      </c>
      <c r="D656" s="1280" t="s">
        <v>127</v>
      </c>
      <c r="E656" s="1263">
        <f t="shared" ref="E656:E714" si="23">+J656</f>
        <v>19950</v>
      </c>
      <c r="F656" s="162"/>
      <c r="G656" s="162"/>
      <c r="H656" s="162"/>
      <c r="I656" s="1263">
        <v>19000</v>
      </c>
      <c r="J656" s="162">
        <f t="shared" si="15"/>
        <v>19950</v>
      </c>
    </row>
    <row r="657" spans="1:10" ht="14.25" customHeight="1">
      <c r="A657" s="1277"/>
      <c r="B657" s="1278" t="s">
        <v>4104</v>
      </c>
      <c r="C657" s="1279" t="s">
        <v>4105</v>
      </c>
      <c r="D657" s="1280" t="s">
        <v>127</v>
      </c>
      <c r="E657" s="1263">
        <f t="shared" si="23"/>
        <v>28350</v>
      </c>
      <c r="F657" s="162"/>
      <c r="G657" s="162"/>
      <c r="H657" s="162"/>
      <c r="I657" s="1263">
        <v>27000</v>
      </c>
      <c r="J657" s="162">
        <f t="shared" si="15"/>
        <v>28350</v>
      </c>
    </row>
    <row r="658" spans="1:10" ht="14.25" customHeight="1">
      <c r="A658" s="1277"/>
      <c r="B658" s="1278" t="s">
        <v>4106</v>
      </c>
      <c r="C658" s="1279" t="s">
        <v>4107</v>
      </c>
      <c r="D658" s="1280" t="s">
        <v>127</v>
      </c>
      <c r="E658" s="1263">
        <f t="shared" si="23"/>
        <v>45150</v>
      </c>
      <c r="F658" s="162"/>
      <c r="G658" s="162"/>
      <c r="H658" s="162"/>
      <c r="I658" s="1263">
        <v>43000</v>
      </c>
      <c r="J658" s="162">
        <f t="shared" si="15"/>
        <v>45150</v>
      </c>
    </row>
    <row r="659" spans="1:10" ht="15.75" customHeight="1">
      <c r="A659" s="1277"/>
      <c r="B659" s="1278" t="s">
        <v>4108</v>
      </c>
      <c r="C659" s="1279" t="s">
        <v>4109</v>
      </c>
      <c r="D659" s="1280" t="s">
        <v>127</v>
      </c>
      <c r="E659" s="1263">
        <f t="shared" si="23"/>
        <v>43575</v>
      </c>
      <c r="F659" s="162"/>
      <c r="G659" s="162"/>
      <c r="H659" s="162"/>
      <c r="I659" s="1263">
        <v>41500</v>
      </c>
      <c r="J659" s="162">
        <f t="shared" si="15"/>
        <v>43575</v>
      </c>
    </row>
    <row r="660" spans="1:10" ht="15" customHeight="1">
      <c r="A660" s="1277"/>
      <c r="B660" s="1278" t="s">
        <v>4110</v>
      </c>
      <c r="C660" s="1279" t="s">
        <v>4111</v>
      </c>
      <c r="D660" s="1280" t="s">
        <v>127</v>
      </c>
      <c r="E660" s="1263">
        <f t="shared" si="23"/>
        <v>55650</v>
      </c>
      <c r="F660" s="162"/>
      <c r="G660" s="162"/>
      <c r="H660" s="162"/>
      <c r="I660" s="1263">
        <v>53000</v>
      </c>
      <c r="J660" s="162">
        <f t="shared" si="15"/>
        <v>55650</v>
      </c>
    </row>
    <row r="661" spans="1:10" ht="15.75" customHeight="1">
      <c r="A661" s="1277"/>
      <c r="B661" s="1278" t="s">
        <v>4112</v>
      </c>
      <c r="C661" s="1279" t="s">
        <v>4113</v>
      </c>
      <c r="D661" s="1280" t="s">
        <v>127</v>
      </c>
      <c r="E661" s="1263">
        <f t="shared" si="23"/>
        <v>90300</v>
      </c>
      <c r="F661" s="162"/>
      <c r="G661" s="162"/>
      <c r="H661" s="162"/>
      <c r="I661" s="1263">
        <v>86000</v>
      </c>
      <c r="J661" s="162">
        <f t="shared" si="15"/>
        <v>90300</v>
      </c>
    </row>
    <row r="662" spans="1:10" ht="14.25" customHeight="1">
      <c r="A662" s="1277"/>
      <c r="B662" s="1278" t="s">
        <v>4114</v>
      </c>
      <c r="C662" s="1279" t="s">
        <v>4115</v>
      </c>
      <c r="D662" s="1280" t="s">
        <v>127</v>
      </c>
      <c r="E662" s="1263">
        <f t="shared" si="23"/>
        <v>12600</v>
      </c>
      <c r="F662" s="162"/>
      <c r="G662" s="162"/>
      <c r="H662" s="162"/>
      <c r="I662" s="1263">
        <v>12000</v>
      </c>
      <c r="J662" s="162">
        <f t="shared" si="15"/>
        <v>12600</v>
      </c>
    </row>
    <row r="663" spans="1:10" ht="13.5" customHeight="1">
      <c r="A663" s="1277"/>
      <c r="B663" s="1278" t="s">
        <v>4116</v>
      </c>
      <c r="C663" s="1279" t="s">
        <v>4117</v>
      </c>
      <c r="D663" s="1280" t="s">
        <v>127</v>
      </c>
      <c r="E663" s="1263">
        <f t="shared" si="23"/>
        <v>20475</v>
      </c>
      <c r="F663" s="162"/>
      <c r="G663" s="162"/>
      <c r="H663" s="162"/>
      <c r="I663" s="1263">
        <v>19500</v>
      </c>
      <c r="J663" s="162">
        <f t="shared" si="15"/>
        <v>20475</v>
      </c>
    </row>
    <row r="664" spans="1:10" ht="13.5" customHeight="1">
      <c r="A664" s="1277"/>
      <c r="B664" s="1278" t="s">
        <v>4118</v>
      </c>
      <c r="C664" s="1279" t="s">
        <v>4119</v>
      </c>
      <c r="D664" s="1280" t="s">
        <v>127</v>
      </c>
      <c r="E664" s="1263">
        <f t="shared" si="23"/>
        <v>28350</v>
      </c>
      <c r="F664" s="162"/>
      <c r="G664" s="162"/>
      <c r="H664" s="162"/>
      <c r="I664" s="1263">
        <v>27000</v>
      </c>
      <c r="J664" s="162">
        <f t="shared" si="15"/>
        <v>28350</v>
      </c>
    </row>
    <row r="665" spans="1:10" ht="13.5" customHeight="1">
      <c r="A665" s="1277"/>
      <c r="B665" s="1278" t="s">
        <v>4120</v>
      </c>
      <c r="C665" s="1279" t="s">
        <v>4121</v>
      </c>
      <c r="D665" s="1280" t="s">
        <v>127</v>
      </c>
      <c r="E665" s="1263">
        <f t="shared" si="23"/>
        <v>45885</v>
      </c>
      <c r="F665" s="162"/>
      <c r="G665" s="162"/>
      <c r="H665" s="162"/>
      <c r="I665" s="1263">
        <v>43700</v>
      </c>
      <c r="J665" s="162">
        <f t="shared" si="15"/>
        <v>45885</v>
      </c>
    </row>
    <row r="666" spans="1:10" ht="13.5" customHeight="1">
      <c r="A666" s="1277"/>
      <c r="B666" s="1278" t="s">
        <v>4122</v>
      </c>
      <c r="C666" s="1279" t="s">
        <v>4123</v>
      </c>
      <c r="D666" s="1280" t="s">
        <v>127</v>
      </c>
      <c r="E666" s="1263">
        <f t="shared" si="23"/>
        <v>47880</v>
      </c>
      <c r="F666" s="162"/>
      <c r="G666" s="162"/>
      <c r="H666" s="162"/>
      <c r="I666" s="1263">
        <v>45600</v>
      </c>
      <c r="J666" s="162">
        <f t="shared" si="15"/>
        <v>47880</v>
      </c>
    </row>
    <row r="667" spans="1:10" ht="14.25" customHeight="1">
      <c r="A667" s="1277"/>
      <c r="B667" s="1278" t="s">
        <v>4124</v>
      </c>
      <c r="C667" s="1279" t="s">
        <v>4125</v>
      </c>
      <c r="D667" s="1280" t="s">
        <v>127</v>
      </c>
      <c r="E667" s="1263">
        <f t="shared" si="23"/>
        <v>87570</v>
      </c>
      <c r="F667" s="162"/>
      <c r="G667" s="162"/>
      <c r="H667" s="162"/>
      <c r="I667" s="1263">
        <v>83400</v>
      </c>
      <c r="J667" s="162">
        <f t="shared" si="15"/>
        <v>87570</v>
      </c>
    </row>
    <row r="668" spans="1:10" ht="15" customHeight="1">
      <c r="A668" s="1277"/>
      <c r="B668" s="1278" t="s">
        <v>4126</v>
      </c>
      <c r="C668" s="1279" t="s">
        <v>4127</v>
      </c>
      <c r="D668" s="1280" t="s">
        <v>127</v>
      </c>
      <c r="E668" s="1263">
        <f t="shared" si="23"/>
        <v>149730</v>
      </c>
      <c r="F668" s="162"/>
      <c r="G668" s="162"/>
      <c r="H668" s="162"/>
      <c r="I668" s="1263">
        <v>142600</v>
      </c>
      <c r="J668" s="162">
        <f t="shared" si="15"/>
        <v>149730</v>
      </c>
    </row>
    <row r="669" spans="1:10" ht="13.5" customHeight="1">
      <c r="A669" s="1277"/>
      <c r="B669" s="1278" t="s">
        <v>4128</v>
      </c>
      <c r="C669" s="1279" t="s">
        <v>4129</v>
      </c>
      <c r="D669" s="1280" t="s">
        <v>127</v>
      </c>
      <c r="E669" s="1263">
        <f t="shared" si="23"/>
        <v>15435</v>
      </c>
      <c r="F669" s="162"/>
      <c r="G669" s="162"/>
      <c r="H669" s="162"/>
      <c r="I669" s="1263">
        <v>14700</v>
      </c>
      <c r="J669" s="162">
        <f t="shared" si="15"/>
        <v>15435</v>
      </c>
    </row>
    <row r="670" spans="1:10" ht="13.5" customHeight="1">
      <c r="A670" s="1277"/>
      <c r="B670" s="1278" t="s">
        <v>4130</v>
      </c>
      <c r="C670" s="1279" t="s">
        <v>4131</v>
      </c>
      <c r="D670" s="1280" t="s">
        <v>127</v>
      </c>
      <c r="E670" s="1263">
        <f t="shared" si="23"/>
        <v>24885</v>
      </c>
      <c r="F670" s="162"/>
      <c r="G670" s="162"/>
      <c r="H670" s="162"/>
      <c r="I670" s="1263">
        <v>23700</v>
      </c>
      <c r="J670" s="162">
        <f t="shared" si="15"/>
        <v>24885</v>
      </c>
    </row>
    <row r="671" spans="1:10" ht="13.5" customHeight="1">
      <c r="A671" s="1277"/>
      <c r="B671" s="1278" t="s">
        <v>4132</v>
      </c>
      <c r="C671" s="1279" t="s">
        <v>4133</v>
      </c>
      <c r="D671" s="1280" t="s">
        <v>127</v>
      </c>
      <c r="E671" s="1263">
        <f t="shared" si="23"/>
        <v>29925</v>
      </c>
      <c r="F671" s="162"/>
      <c r="G671" s="162"/>
      <c r="H671" s="162"/>
      <c r="I671" s="1263">
        <v>28500</v>
      </c>
      <c r="J671" s="162">
        <f t="shared" si="15"/>
        <v>29925</v>
      </c>
    </row>
    <row r="672" spans="1:10" ht="13.5" customHeight="1">
      <c r="A672" s="1277"/>
      <c r="B672" s="1278" t="s">
        <v>4134</v>
      </c>
      <c r="C672" s="1279" t="s">
        <v>4135</v>
      </c>
      <c r="D672" s="1280" t="s">
        <v>127</v>
      </c>
      <c r="E672" s="1263">
        <f t="shared" si="23"/>
        <v>48300</v>
      </c>
      <c r="F672" s="162"/>
      <c r="G672" s="162"/>
      <c r="H672" s="162"/>
      <c r="I672" s="1263">
        <v>46000</v>
      </c>
      <c r="J672" s="162">
        <f t="shared" si="15"/>
        <v>48300</v>
      </c>
    </row>
    <row r="673" spans="1:10" ht="13.5" customHeight="1">
      <c r="A673" s="1277"/>
      <c r="B673" s="1278" t="s">
        <v>4136</v>
      </c>
      <c r="C673" s="1279" t="s">
        <v>4137</v>
      </c>
      <c r="D673" s="1280" t="s">
        <v>127</v>
      </c>
      <c r="E673" s="1263">
        <f t="shared" si="23"/>
        <v>91350</v>
      </c>
      <c r="F673" s="162"/>
      <c r="G673" s="162"/>
      <c r="H673" s="162"/>
      <c r="I673" s="1263">
        <v>87000</v>
      </c>
      <c r="J673" s="162">
        <f t="shared" si="15"/>
        <v>91350</v>
      </c>
    </row>
    <row r="674" spans="1:10" ht="13.5" customHeight="1">
      <c r="A674" s="1277"/>
      <c r="B674" s="1278" t="s">
        <v>4138</v>
      </c>
      <c r="C674" s="1279" t="s">
        <v>4139</v>
      </c>
      <c r="D674" s="1280" t="s">
        <v>127</v>
      </c>
      <c r="E674" s="1263">
        <f t="shared" si="23"/>
        <v>220500</v>
      </c>
      <c r="F674" s="162"/>
      <c r="G674" s="162"/>
      <c r="H674" s="162"/>
      <c r="I674" s="1263">
        <v>210000</v>
      </c>
      <c r="J674" s="162">
        <f t="shared" si="15"/>
        <v>220500</v>
      </c>
    </row>
    <row r="675" spans="1:10" ht="13.5" customHeight="1">
      <c r="A675" s="1277"/>
      <c r="B675" s="1278" t="s">
        <v>4140</v>
      </c>
      <c r="C675" s="1279" t="s">
        <v>4141</v>
      </c>
      <c r="D675" s="1280" t="s">
        <v>127</v>
      </c>
      <c r="E675" s="1263">
        <f t="shared" si="23"/>
        <v>447300</v>
      </c>
      <c r="F675" s="162"/>
      <c r="G675" s="162"/>
      <c r="H675" s="162"/>
      <c r="I675" s="1263">
        <v>426000</v>
      </c>
      <c r="J675" s="162">
        <f t="shared" si="15"/>
        <v>447300</v>
      </c>
    </row>
    <row r="676" spans="1:10" ht="13.5" customHeight="1">
      <c r="A676" s="1277"/>
      <c r="B676" s="1278" t="s">
        <v>4142</v>
      </c>
      <c r="C676" s="1279" t="s">
        <v>4143</v>
      </c>
      <c r="D676" s="1280" t="s">
        <v>127</v>
      </c>
      <c r="E676" s="1263">
        <f t="shared" si="23"/>
        <v>1680000</v>
      </c>
      <c r="F676" s="162"/>
      <c r="G676" s="162"/>
      <c r="H676" s="162"/>
      <c r="I676" s="1263">
        <v>1600000</v>
      </c>
      <c r="J676" s="162">
        <f t="shared" si="15"/>
        <v>1680000</v>
      </c>
    </row>
    <row r="677" spans="1:10" ht="13.5" customHeight="1">
      <c r="A677" s="1277"/>
      <c r="B677" s="1278" t="s">
        <v>4144</v>
      </c>
      <c r="C677" s="1279" t="s">
        <v>4145</v>
      </c>
      <c r="D677" s="1280" t="s">
        <v>127</v>
      </c>
      <c r="E677" s="1263">
        <f t="shared" si="23"/>
        <v>29400</v>
      </c>
      <c r="F677" s="162"/>
      <c r="G677" s="162"/>
      <c r="H677" s="162"/>
      <c r="I677" s="1263">
        <v>28000</v>
      </c>
      <c r="J677" s="162">
        <f t="shared" si="15"/>
        <v>29400</v>
      </c>
    </row>
    <row r="678" spans="1:10" ht="13.5" customHeight="1">
      <c r="A678" s="1277"/>
      <c r="B678" s="1278" t="s">
        <v>4146</v>
      </c>
      <c r="C678" s="1279" t="s">
        <v>4147</v>
      </c>
      <c r="D678" s="1280" t="s">
        <v>127</v>
      </c>
      <c r="E678" s="1263">
        <f t="shared" si="23"/>
        <v>66150</v>
      </c>
      <c r="F678" s="162"/>
      <c r="G678" s="162"/>
      <c r="H678" s="162"/>
      <c r="I678" s="1263">
        <v>63000</v>
      </c>
      <c r="J678" s="162">
        <f t="shared" si="15"/>
        <v>66150</v>
      </c>
    </row>
    <row r="679" spans="1:10" ht="13.5" customHeight="1">
      <c r="A679" s="1277"/>
      <c r="B679" s="1278" t="s">
        <v>4148</v>
      </c>
      <c r="C679" s="1279" t="s">
        <v>4149</v>
      </c>
      <c r="D679" s="1280" t="s">
        <v>127</v>
      </c>
      <c r="E679" s="1263">
        <f t="shared" si="23"/>
        <v>97650</v>
      </c>
      <c r="F679" s="162"/>
      <c r="G679" s="162"/>
      <c r="H679" s="162"/>
      <c r="I679" s="1263">
        <v>93000</v>
      </c>
      <c r="J679" s="162">
        <f t="shared" si="15"/>
        <v>97650</v>
      </c>
    </row>
    <row r="680" spans="1:10" ht="13.5" customHeight="1">
      <c r="A680" s="1277"/>
      <c r="B680" s="1278" t="s">
        <v>4150</v>
      </c>
      <c r="C680" s="1279" t="s">
        <v>4151</v>
      </c>
      <c r="D680" s="1280" t="s">
        <v>127</v>
      </c>
      <c r="E680" s="1263">
        <f t="shared" si="23"/>
        <v>216300</v>
      </c>
      <c r="F680" s="162"/>
      <c r="G680" s="162"/>
      <c r="H680" s="162"/>
      <c r="I680" s="1263">
        <v>206000</v>
      </c>
      <c r="J680" s="162">
        <f t="shared" si="15"/>
        <v>216300</v>
      </c>
    </row>
    <row r="681" spans="1:10" ht="13.5" customHeight="1">
      <c r="A681" s="1277"/>
      <c r="B681" s="1278" t="s">
        <v>4152</v>
      </c>
      <c r="C681" s="1279" t="s">
        <v>4153</v>
      </c>
      <c r="D681" s="1280" t="s">
        <v>127</v>
      </c>
      <c r="E681" s="1263">
        <f t="shared" si="23"/>
        <v>378000</v>
      </c>
      <c r="F681" s="162"/>
      <c r="G681" s="162"/>
      <c r="H681" s="162"/>
      <c r="I681" s="1263">
        <v>360000</v>
      </c>
      <c r="J681" s="162">
        <f t="shared" si="15"/>
        <v>378000</v>
      </c>
    </row>
    <row r="682" spans="1:10" ht="13.5" customHeight="1">
      <c r="A682" s="1277"/>
      <c r="B682" s="1278" t="s">
        <v>4154</v>
      </c>
      <c r="C682" s="1279" t="s">
        <v>4155</v>
      </c>
      <c r="D682" s="1280" t="s">
        <v>127</v>
      </c>
      <c r="E682" s="1263">
        <f t="shared" si="23"/>
        <v>477750</v>
      </c>
      <c r="F682" s="162"/>
      <c r="G682" s="162"/>
      <c r="H682" s="162"/>
      <c r="I682" s="1263">
        <v>455000</v>
      </c>
      <c r="J682" s="162">
        <f t="shared" si="15"/>
        <v>477750</v>
      </c>
    </row>
    <row r="683" spans="1:10" ht="13.5" customHeight="1">
      <c r="A683" s="1277"/>
      <c r="B683" s="1278" t="s">
        <v>4156</v>
      </c>
      <c r="C683" s="1279" t="s">
        <v>4157</v>
      </c>
      <c r="D683" s="1280" t="s">
        <v>127</v>
      </c>
      <c r="E683" s="1263">
        <f t="shared" si="23"/>
        <v>609000</v>
      </c>
      <c r="F683" s="162"/>
      <c r="G683" s="162"/>
      <c r="H683" s="162"/>
      <c r="I683" s="1263">
        <v>580000</v>
      </c>
      <c r="J683" s="162">
        <f t="shared" si="15"/>
        <v>609000</v>
      </c>
    </row>
    <row r="684" spans="1:10" ht="13.5" customHeight="1">
      <c r="A684" s="1277"/>
      <c r="B684" s="1278" t="s">
        <v>4158</v>
      </c>
      <c r="C684" s="1279" t="s">
        <v>4159</v>
      </c>
      <c r="D684" s="1280" t="s">
        <v>127</v>
      </c>
      <c r="E684" s="1263">
        <f t="shared" si="23"/>
        <v>1575000</v>
      </c>
      <c r="F684" s="162"/>
      <c r="G684" s="162"/>
      <c r="H684" s="162"/>
      <c r="I684" s="1263">
        <v>1500000</v>
      </c>
      <c r="J684" s="162">
        <f t="shared" si="15"/>
        <v>1575000</v>
      </c>
    </row>
    <row r="685" spans="1:10" ht="13.5" customHeight="1">
      <c r="A685" s="1277"/>
      <c r="B685" s="1278" t="s">
        <v>4160</v>
      </c>
      <c r="C685" s="1279" t="s">
        <v>4161</v>
      </c>
      <c r="D685" s="1280" t="s">
        <v>127</v>
      </c>
      <c r="E685" s="1263">
        <f t="shared" si="23"/>
        <v>12600</v>
      </c>
      <c r="F685" s="162"/>
      <c r="G685" s="162"/>
      <c r="H685" s="162"/>
      <c r="I685" s="1263">
        <v>12000</v>
      </c>
      <c r="J685" s="162">
        <f t="shared" si="15"/>
        <v>12600</v>
      </c>
    </row>
    <row r="686" spans="1:10" ht="13.5" customHeight="1">
      <c r="A686" s="1277"/>
      <c r="B686" s="1278" t="s">
        <v>4162</v>
      </c>
      <c r="C686" s="1279" t="s">
        <v>4163</v>
      </c>
      <c r="D686" s="1280" t="s">
        <v>127</v>
      </c>
      <c r="E686" s="1263">
        <f t="shared" si="23"/>
        <v>17850</v>
      </c>
      <c r="F686" s="162"/>
      <c r="G686" s="162"/>
      <c r="H686" s="162"/>
      <c r="I686" s="1263">
        <v>17000</v>
      </c>
      <c r="J686" s="162">
        <f t="shared" si="15"/>
        <v>17850</v>
      </c>
    </row>
    <row r="687" spans="1:10" ht="13.5" customHeight="1">
      <c r="A687" s="1277"/>
      <c r="B687" s="1278" t="s">
        <v>4164</v>
      </c>
      <c r="C687" s="1279" t="s">
        <v>4165</v>
      </c>
      <c r="D687" s="1280" t="s">
        <v>127</v>
      </c>
      <c r="E687" s="1263">
        <f t="shared" si="23"/>
        <v>4725</v>
      </c>
      <c r="F687" s="162"/>
      <c r="G687" s="162"/>
      <c r="H687" s="162"/>
      <c r="I687" s="1263">
        <v>4500</v>
      </c>
      <c r="J687" s="162">
        <f t="shared" si="15"/>
        <v>4725</v>
      </c>
    </row>
    <row r="688" spans="1:10" ht="13.5" customHeight="1">
      <c r="A688" s="1277"/>
      <c r="B688" s="1278" t="s">
        <v>4166</v>
      </c>
      <c r="C688" s="1279" t="s">
        <v>4167</v>
      </c>
      <c r="D688" s="1280" t="s">
        <v>127</v>
      </c>
      <c r="E688" s="1263">
        <f t="shared" si="23"/>
        <v>283500</v>
      </c>
      <c r="F688" s="162"/>
      <c r="G688" s="162"/>
      <c r="H688" s="162"/>
      <c r="I688" s="1263">
        <v>270000</v>
      </c>
      <c r="J688" s="162">
        <f t="shared" si="15"/>
        <v>283500</v>
      </c>
    </row>
    <row r="689" spans="1:10" ht="13.5" customHeight="1">
      <c r="A689" s="1277"/>
      <c r="B689" s="1278" t="s">
        <v>4168</v>
      </c>
      <c r="C689" s="1279" t="s">
        <v>4169</v>
      </c>
      <c r="D689" s="1280" t="s">
        <v>127</v>
      </c>
      <c r="E689" s="1263">
        <f t="shared" si="23"/>
        <v>102900</v>
      </c>
      <c r="F689" s="162"/>
      <c r="G689" s="162"/>
      <c r="H689" s="162"/>
      <c r="I689" s="1263">
        <v>98000</v>
      </c>
      <c r="J689" s="162">
        <f t="shared" si="15"/>
        <v>102900</v>
      </c>
    </row>
    <row r="690" spans="1:10" ht="13.5" customHeight="1">
      <c r="A690" s="1277"/>
      <c r="B690" s="1278" t="s">
        <v>4170</v>
      </c>
      <c r="C690" s="1279" t="s">
        <v>4171</v>
      </c>
      <c r="D690" s="1280" t="s">
        <v>127</v>
      </c>
      <c r="E690" s="1263">
        <f t="shared" si="23"/>
        <v>12600</v>
      </c>
      <c r="F690" s="162"/>
      <c r="G690" s="162"/>
      <c r="H690" s="162"/>
      <c r="I690" s="1263">
        <v>12000</v>
      </c>
      <c r="J690" s="162">
        <f t="shared" si="15"/>
        <v>12600</v>
      </c>
    </row>
    <row r="691" spans="1:10" ht="13.5" customHeight="1">
      <c r="A691" s="1277"/>
      <c r="B691" s="1278" t="s">
        <v>4172</v>
      </c>
      <c r="C691" s="1279" t="s">
        <v>4173</v>
      </c>
      <c r="D691" s="1280" t="s">
        <v>127</v>
      </c>
      <c r="E691" s="1263">
        <f t="shared" si="23"/>
        <v>519750</v>
      </c>
      <c r="F691" s="162"/>
      <c r="G691" s="162"/>
      <c r="H691" s="162"/>
      <c r="I691" s="1263">
        <v>495000</v>
      </c>
      <c r="J691" s="162">
        <f t="shared" si="15"/>
        <v>519750</v>
      </c>
    </row>
    <row r="692" spans="1:10" ht="13.5" customHeight="1">
      <c r="A692" s="1277"/>
      <c r="B692" s="1278" t="s">
        <v>4174</v>
      </c>
      <c r="C692" s="1279" t="s">
        <v>4175</v>
      </c>
      <c r="D692" s="1280" t="s">
        <v>127</v>
      </c>
      <c r="E692" s="1263">
        <f t="shared" si="23"/>
        <v>929250</v>
      </c>
      <c r="F692" s="162"/>
      <c r="G692" s="162"/>
      <c r="H692" s="162"/>
      <c r="I692" s="1263">
        <v>885000</v>
      </c>
      <c r="J692" s="162">
        <f t="shared" si="15"/>
        <v>929250</v>
      </c>
    </row>
    <row r="693" spans="1:10" ht="13.5" customHeight="1">
      <c r="A693" s="1277"/>
      <c r="B693" s="1278" t="s">
        <v>4176</v>
      </c>
      <c r="C693" s="1279" t="s">
        <v>4177</v>
      </c>
      <c r="D693" s="1280" t="s">
        <v>127</v>
      </c>
      <c r="E693" s="1263">
        <f t="shared" si="23"/>
        <v>194250</v>
      </c>
      <c r="F693" s="162"/>
      <c r="G693" s="162"/>
      <c r="H693" s="162"/>
      <c r="I693" s="1263">
        <v>185000</v>
      </c>
      <c r="J693" s="162">
        <f t="shared" ref="J693:J789" si="24">+ROUND(I693*$J$8,0)</f>
        <v>194250</v>
      </c>
    </row>
    <row r="694" spans="1:10" ht="13.5" customHeight="1">
      <c r="A694" s="1277"/>
      <c r="B694" s="1278" t="s">
        <v>4178</v>
      </c>
      <c r="C694" s="1279" t="s">
        <v>4179</v>
      </c>
      <c r="D694" s="1280" t="s">
        <v>127</v>
      </c>
      <c r="E694" s="1263">
        <f t="shared" si="23"/>
        <v>294000</v>
      </c>
      <c r="F694" s="162"/>
      <c r="G694" s="162"/>
      <c r="H694" s="162"/>
      <c r="I694" s="1263">
        <v>280000</v>
      </c>
      <c r="J694" s="162">
        <f t="shared" si="24"/>
        <v>294000</v>
      </c>
    </row>
    <row r="695" spans="1:10" ht="13.5" customHeight="1">
      <c r="A695" s="1277"/>
      <c r="B695" s="1278" t="s">
        <v>4180</v>
      </c>
      <c r="C695" s="1279" t="s">
        <v>4181</v>
      </c>
      <c r="D695" s="1280" t="s">
        <v>127</v>
      </c>
      <c r="E695" s="1263">
        <f t="shared" si="23"/>
        <v>231000</v>
      </c>
      <c r="F695" s="162"/>
      <c r="G695" s="162"/>
      <c r="H695" s="162"/>
      <c r="I695" s="1263">
        <v>220000</v>
      </c>
      <c r="J695" s="162">
        <f t="shared" si="24"/>
        <v>231000</v>
      </c>
    </row>
    <row r="696" spans="1:10" ht="13.5" customHeight="1">
      <c r="A696" s="1277"/>
      <c r="B696" s="1278" t="s">
        <v>4182</v>
      </c>
      <c r="C696" s="1279" t="s">
        <v>4183</v>
      </c>
      <c r="D696" s="1280" t="s">
        <v>127</v>
      </c>
      <c r="E696" s="1263">
        <f t="shared" si="23"/>
        <v>110250</v>
      </c>
      <c r="F696" s="162"/>
      <c r="G696" s="162"/>
      <c r="H696" s="162"/>
      <c r="I696" s="1263">
        <v>105000</v>
      </c>
      <c r="J696" s="162">
        <f t="shared" si="24"/>
        <v>110250</v>
      </c>
    </row>
    <row r="697" spans="1:10" ht="13.5" customHeight="1">
      <c r="A697" s="1277"/>
      <c r="B697" s="1278" t="s">
        <v>4184</v>
      </c>
      <c r="C697" s="1279" t="s">
        <v>4185</v>
      </c>
      <c r="D697" s="1280" t="s">
        <v>127</v>
      </c>
      <c r="E697" s="1263">
        <f t="shared" si="23"/>
        <v>157500</v>
      </c>
      <c r="F697" s="162"/>
      <c r="G697" s="162"/>
      <c r="H697" s="162"/>
      <c r="I697" s="1263">
        <v>150000</v>
      </c>
      <c r="J697" s="162">
        <f t="shared" si="24"/>
        <v>157500</v>
      </c>
    </row>
    <row r="698" spans="1:10" ht="13.5" customHeight="1">
      <c r="A698" s="1277"/>
      <c r="B698" s="1278" t="s">
        <v>4186</v>
      </c>
      <c r="C698" s="1279" t="s">
        <v>4187</v>
      </c>
      <c r="D698" s="1280" t="s">
        <v>127</v>
      </c>
      <c r="E698" s="1263">
        <f t="shared" si="23"/>
        <v>102900</v>
      </c>
      <c r="F698" s="162"/>
      <c r="G698" s="162"/>
      <c r="H698" s="162"/>
      <c r="I698" s="1263">
        <v>98000</v>
      </c>
      <c r="J698" s="162">
        <f t="shared" si="24"/>
        <v>102900</v>
      </c>
    </row>
    <row r="699" spans="1:10" ht="13.5" customHeight="1">
      <c r="A699" s="1277"/>
      <c r="B699" s="1278" t="s">
        <v>4188</v>
      </c>
      <c r="C699" s="1279" t="s">
        <v>4189</v>
      </c>
      <c r="D699" s="1280" t="s">
        <v>127</v>
      </c>
      <c r="E699" s="1263">
        <f t="shared" si="23"/>
        <v>68250</v>
      </c>
      <c r="F699" s="162"/>
      <c r="G699" s="162"/>
      <c r="H699" s="162"/>
      <c r="I699" s="1263">
        <v>65000</v>
      </c>
      <c r="J699" s="162">
        <f t="shared" si="24"/>
        <v>68250</v>
      </c>
    </row>
    <row r="700" spans="1:10" ht="13.5" customHeight="1">
      <c r="A700" s="1277"/>
      <c r="B700" s="1278" t="s">
        <v>4190</v>
      </c>
      <c r="C700" s="1279" t="s">
        <v>4191</v>
      </c>
      <c r="D700" s="1280" t="s">
        <v>127</v>
      </c>
      <c r="E700" s="1263">
        <f t="shared" si="23"/>
        <v>798000</v>
      </c>
      <c r="F700" s="162"/>
      <c r="G700" s="162"/>
      <c r="H700" s="162"/>
      <c r="I700" s="1263">
        <v>760000</v>
      </c>
      <c r="J700" s="162">
        <f t="shared" si="24"/>
        <v>798000</v>
      </c>
    </row>
    <row r="701" spans="1:10" ht="14.25" customHeight="1">
      <c r="A701" s="1277"/>
      <c r="B701" s="1278" t="s">
        <v>4192</v>
      </c>
      <c r="C701" s="1279" t="s">
        <v>4193</v>
      </c>
      <c r="D701" s="1280" t="s">
        <v>127</v>
      </c>
      <c r="E701" s="1263">
        <f t="shared" si="23"/>
        <v>15225</v>
      </c>
      <c r="F701" s="162"/>
      <c r="G701" s="162"/>
      <c r="H701" s="162"/>
      <c r="I701" s="1263">
        <v>14500</v>
      </c>
      <c r="J701" s="162">
        <f t="shared" si="24"/>
        <v>15225</v>
      </c>
    </row>
    <row r="702" spans="1:10" ht="14.25" customHeight="1">
      <c r="A702" s="1277"/>
      <c r="B702" s="1278" t="s">
        <v>4194</v>
      </c>
      <c r="C702" s="1279" t="s">
        <v>4195</v>
      </c>
      <c r="D702" s="1280" t="s">
        <v>127</v>
      </c>
      <c r="E702" s="1263">
        <f t="shared" si="23"/>
        <v>19950</v>
      </c>
      <c r="F702" s="162"/>
      <c r="G702" s="162"/>
      <c r="H702" s="162"/>
      <c r="I702" s="1263">
        <v>19000</v>
      </c>
      <c r="J702" s="162">
        <f t="shared" si="24"/>
        <v>19950</v>
      </c>
    </row>
    <row r="703" spans="1:10" ht="15" customHeight="1">
      <c r="A703" s="1277"/>
      <c r="B703" s="1278" t="s">
        <v>4196</v>
      </c>
      <c r="C703" s="1279" t="s">
        <v>4197</v>
      </c>
      <c r="D703" s="1280" t="s">
        <v>127</v>
      </c>
      <c r="E703" s="1263">
        <f t="shared" si="23"/>
        <v>63000</v>
      </c>
      <c r="F703" s="162"/>
      <c r="G703" s="162"/>
      <c r="H703" s="162"/>
      <c r="I703" s="1263">
        <v>60000</v>
      </c>
      <c r="J703" s="162">
        <f t="shared" si="24"/>
        <v>63000</v>
      </c>
    </row>
    <row r="704" spans="1:10" ht="14.25" customHeight="1">
      <c r="A704" s="1277"/>
      <c r="B704" s="1278" t="s">
        <v>4198</v>
      </c>
      <c r="C704" s="1279" t="s">
        <v>4199</v>
      </c>
      <c r="D704" s="1280" t="s">
        <v>127</v>
      </c>
      <c r="E704" s="1263">
        <f t="shared" si="23"/>
        <v>231000</v>
      </c>
      <c r="F704" s="162"/>
      <c r="G704" s="162"/>
      <c r="H704" s="162"/>
      <c r="I704" s="1263">
        <v>220000</v>
      </c>
      <c r="J704" s="162">
        <f t="shared" si="24"/>
        <v>231000</v>
      </c>
    </row>
    <row r="705" spans="1:10" ht="14.25" customHeight="1">
      <c r="A705" s="1277"/>
      <c r="B705" s="1278" t="s">
        <v>4200</v>
      </c>
      <c r="C705" s="1279" t="s">
        <v>4201</v>
      </c>
      <c r="D705" s="1280" t="s">
        <v>127</v>
      </c>
      <c r="E705" s="1263">
        <f t="shared" si="23"/>
        <v>84000</v>
      </c>
      <c r="F705" s="162"/>
      <c r="G705" s="162"/>
      <c r="H705" s="162"/>
      <c r="I705" s="1263">
        <v>80000</v>
      </c>
      <c r="J705" s="162">
        <f t="shared" si="24"/>
        <v>84000</v>
      </c>
    </row>
    <row r="706" spans="1:10" ht="15" customHeight="1">
      <c r="A706" s="1277"/>
      <c r="B706" s="1278" t="s">
        <v>4202</v>
      </c>
      <c r="C706" s="1279" t="s">
        <v>3945</v>
      </c>
      <c r="D706" s="1280" t="s">
        <v>127</v>
      </c>
      <c r="E706" s="1263">
        <f t="shared" si="23"/>
        <v>4725</v>
      </c>
      <c r="F706" s="162"/>
      <c r="G706" s="162"/>
      <c r="H706" s="162"/>
      <c r="I706" s="1263">
        <v>4500</v>
      </c>
      <c r="J706" s="162">
        <f t="shared" si="24"/>
        <v>4725</v>
      </c>
    </row>
    <row r="707" spans="1:10" ht="15.75" customHeight="1">
      <c r="A707" s="1277"/>
      <c r="B707" s="1278" t="s">
        <v>4203</v>
      </c>
      <c r="C707" s="1279" t="s">
        <v>4204</v>
      </c>
      <c r="D707" s="1280" t="s">
        <v>127</v>
      </c>
      <c r="E707" s="1263">
        <f t="shared" si="23"/>
        <v>7875</v>
      </c>
      <c r="F707" s="162"/>
      <c r="G707" s="162"/>
      <c r="H707" s="162"/>
      <c r="I707" s="1263">
        <v>7500</v>
      </c>
      <c r="J707" s="162">
        <f t="shared" si="24"/>
        <v>7875</v>
      </c>
    </row>
    <row r="708" spans="1:10" ht="14.25" customHeight="1">
      <c r="A708" s="1277"/>
      <c r="B708" s="1278" t="s">
        <v>4205</v>
      </c>
      <c r="C708" s="1279" t="s">
        <v>4206</v>
      </c>
      <c r="D708" s="1280" t="s">
        <v>127</v>
      </c>
      <c r="E708" s="1263">
        <f t="shared" si="23"/>
        <v>103425</v>
      </c>
      <c r="F708" s="162"/>
      <c r="G708" s="162"/>
      <c r="H708" s="162"/>
      <c r="I708" s="1263">
        <v>98500</v>
      </c>
      <c r="J708" s="162">
        <f t="shared" si="24"/>
        <v>103425</v>
      </c>
    </row>
    <row r="709" spans="1:10" ht="13.5" customHeight="1">
      <c r="A709" s="1277"/>
      <c r="B709" s="1278" t="s">
        <v>4207</v>
      </c>
      <c r="C709" s="1279" t="s">
        <v>4208</v>
      </c>
      <c r="D709" s="1280" t="s">
        <v>127</v>
      </c>
      <c r="E709" s="1263">
        <f t="shared" si="23"/>
        <v>1543500</v>
      </c>
      <c r="F709" s="162"/>
      <c r="G709" s="162"/>
      <c r="H709" s="162"/>
      <c r="I709" s="1263">
        <v>1470000</v>
      </c>
      <c r="J709" s="162">
        <f t="shared" si="24"/>
        <v>1543500</v>
      </c>
    </row>
    <row r="710" spans="1:10" ht="13.5" customHeight="1">
      <c r="A710" s="1277"/>
      <c r="B710" s="1278" t="s">
        <v>4209</v>
      </c>
      <c r="C710" s="1279" t="s">
        <v>4210</v>
      </c>
      <c r="D710" s="1280" t="s">
        <v>127</v>
      </c>
      <c r="E710" s="1263">
        <f t="shared" si="23"/>
        <v>1034250</v>
      </c>
      <c r="F710" s="162"/>
      <c r="G710" s="162"/>
      <c r="H710" s="162"/>
      <c r="I710" s="1263">
        <v>985000</v>
      </c>
      <c r="J710" s="162">
        <f t="shared" si="24"/>
        <v>1034250</v>
      </c>
    </row>
    <row r="711" spans="1:10" ht="13.5" customHeight="1">
      <c r="A711" s="1277"/>
      <c r="B711" s="1278" t="s">
        <v>4211</v>
      </c>
      <c r="C711" s="1279" t="s">
        <v>4212</v>
      </c>
      <c r="D711" s="1280" t="s">
        <v>127</v>
      </c>
      <c r="E711" s="1263">
        <f t="shared" si="23"/>
        <v>1575000</v>
      </c>
      <c r="F711" s="162"/>
      <c r="G711" s="162"/>
      <c r="H711" s="162"/>
      <c r="I711" s="1263">
        <v>1500000</v>
      </c>
      <c r="J711" s="162">
        <f t="shared" si="24"/>
        <v>1575000</v>
      </c>
    </row>
    <row r="712" spans="1:10" ht="13.5" customHeight="1">
      <c r="A712" s="1277"/>
      <c r="B712" s="1278" t="s">
        <v>4213</v>
      </c>
      <c r="C712" s="1279" t="s">
        <v>4214</v>
      </c>
      <c r="D712" s="1280" t="s">
        <v>127</v>
      </c>
      <c r="E712" s="1263">
        <f t="shared" si="23"/>
        <v>1018500</v>
      </c>
      <c r="F712" s="162"/>
      <c r="G712" s="162"/>
      <c r="H712" s="162"/>
      <c r="I712" s="1263">
        <v>970000</v>
      </c>
      <c r="J712" s="162">
        <f t="shared" si="24"/>
        <v>1018500</v>
      </c>
    </row>
    <row r="713" spans="1:10" ht="13.5" customHeight="1">
      <c r="A713" s="1277"/>
      <c r="B713" s="1278" t="s">
        <v>4215</v>
      </c>
      <c r="C713" s="1279" t="s">
        <v>4216</v>
      </c>
      <c r="D713" s="1280" t="s">
        <v>127</v>
      </c>
      <c r="E713" s="1263">
        <f t="shared" si="23"/>
        <v>527100</v>
      </c>
      <c r="F713" s="162"/>
      <c r="G713" s="162"/>
      <c r="H713" s="162"/>
      <c r="I713" s="1263">
        <v>502000</v>
      </c>
      <c r="J713" s="162">
        <f t="shared" si="24"/>
        <v>527100</v>
      </c>
    </row>
    <row r="714" spans="1:10" ht="13.5" customHeight="1">
      <c r="A714" s="1286"/>
      <c r="B714" s="1278" t="s">
        <v>4217</v>
      </c>
      <c r="C714" s="1287" t="s">
        <v>4218</v>
      </c>
      <c r="D714" s="1288" t="s">
        <v>127</v>
      </c>
      <c r="E714" s="1263">
        <f t="shared" si="23"/>
        <v>17325</v>
      </c>
      <c r="F714" s="162"/>
      <c r="G714" s="162"/>
      <c r="H714" s="162"/>
      <c r="I714" s="1267">
        <v>16500</v>
      </c>
      <c r="J714" s="162">
        <f t="shared" si="24"/>
        <v>17325</v>
      </c>
    </row>
    <row r="715" spans="1:10" ht="13.5" customHeight="1">
      <c r="A715" s="1248"/>
      <c r="B715" s="1269"/>
      <c r="C715" s="1270"/>
      <c r="D715" s="1271"/>
      <c r="E715" s="1272"/>
      <c r="F715" s="162"/>
      <c r="G715" s="162"/>
      <c r="H715" s="162"/>
      <c r="I715" s="1272"/>
      <c r="J715" s="162">
        <f t="shared" si="24"/>
        <v>0</v>
      </c>
    </row>
    <row r="716" spans="1:10" ht="13.5" customHeight="1">
      <c r="A716" s="1253"/>
      <c r="B716" s="1227"/>
      <c r="C716" s="2235"/>
      <c r="D716" s="1601"/>
      <c r="E716" s="1602"/>
      <c r="F716" s="162"/>
      <c r="G716" s="162"/>
      <c r="H716" s="162"/>
      <c r="I716" s="162"/>
      <c r="J716" s="162">
        <f t="shared" si="24"/>
        <v>0</v>
      </c>
    </row>
    <row r="717" spans="1:10" ht="3.75" customHeight="1">
      <c r="A717" s="1254"/>
      <c r="B717" s="1255"/>
      <c r="C717" s="1256"/>
      <c r="D717" s="1257"/>
      <c r="E717" s="1258"/>
      <c r="F717" s="162"/>
      <c r="G717" s="162"/>
      <c r="H717" s="162"/>
      <c r="I717" s="1258"/>
      <c r="J717" s="162">
        <f t="shared" si="24"/>
        <v>0</v>
      </c>
    </row>
    <row r="718" spans="1:10" ht="13.5" customHeight="1">
      <c r="A718" s="1226" t="s">
        <v>4219</v>
      </c>
      <c r="B718" s="1289">
        <v>7</v>
      </c>
      <c r="C718" s="1228" t="s">
        <v>4220</v>
      </c>
      <c r="D718" s="1290"/>
      <c r="E718" s="1230"/>
      <c r="F718" s="162"/>
      <c r="G718" s="162"/>
      <c r="H718" s="162"/>
      <c r="I718" s="1230"/>
      <c r="J718" s="162">
        <f t="shared" si="24"/>
        <v>0</v>
      </c>
    </row>
    <row r="719" spans="1:10" ht="13.5" customHeight="1">
      <c r="A719" s="1231"/>
      <c r="B719" s="1232" t="s">
        <v>80</v>
      </c>
      <c r="C719" s="1233" t="s">
        <v>4221</v>
      </c>
      <c r="D719" s="1234" t="s">
        <v>171</v>
      </c>
      <c r="E719" s="1235">
        <f t="shared" ref="E719:E763" si="25">+J719</f>
        <v>3098</v>
      </c>
      <c r="F719" s="162"/>
      <c r="G719" s="162"/>
      <c r="H719" s="162"/>
      <c r="I719" s="1291">
        <v>2950</v>
      </c>
      <c r="J719" s="162">
        <f t="shared" si="24"/>
        <v>3098</v>
      </c>
    </row>
    <row r="720" spans="1:10" ht="13.5" customHeight="1">
      <c r="A720" s="1236"/>
      <c r="B720" s="1237" t="s">
        <v>82</v>
      </c>
      <c r="C720" s="1238" t="s">
        <v>4222</v>
      </c>
      <c r="D720" s="1239" t="s">
        <v>171</v>
      </c>
      <c r="E720" s="1240">
        <f t="shared" si="25"/>
        <v>17850</v>
      </c>
      <c r="F720" s="162"/>
      <c r="G720" s="162"/>
      <c r="H720" s="162"/>
      <c r="I720" s="1292">
        <v>17000</v>
      </c>
      <c r="J720" s="162">
        <f t="shared" si="24"/>
        <v>17850</v>
      </c>
    </row>
    <row r="721" spans="1:10" ht="13.5" customHeight="1">
      <c r="A721" s="1236"/>
      <c r="B721" s="1237" t="s">
        <v>84</v>
      </c>
      <c r="C721" s="1238" t="s">
        <v>4223</v>
      </c>
      <c r="D721" s="1239" t="s">
        <v>1707</v>
      </c>
      <c r="E721" s="1240">
        <f t="shared" si="25"/>
        <v>11760</v>
      </c>
      <c r="F721" s="162"/>
      <c r="G721" s="162"/>
      <c r="H721" s="162"/>
      <c r="I721" s="1292">
        <v>11200</v>
      </c>
      <c r="J721" s="162">
        <f t="shared" si="24"/>
        <v>11760</v>
      </c>
    </row>
    <row r="722" spans="1:10" ht="13.5" customHeight="1">
      <c r="A722" s="1236"/>
      <c r="B722" s="1237" t="s">
        <v>86</v>
      </c>
      <c r="C722" s="1238" t="s">
        <v>4224</v>
      </c>
      <c r="D722" s="1239" t="s">
        <v>1707</v>
      </c>
      <c r="E722" s="1240">
        <f t="shared" si="25"/>
        <v>69300</v>
      </c>
      <c r="F722" s="162"/>
      <c r="G722" s="162"/>
      <c r="H722" s="162"/>
      <c r="I722" s="1292">
        <v>66000</v>
      </c>
      <c r="J722" s="162">
        <f t="shared" si="24"/>
        <v>69300</v>
      </c>
    </row>
    <row r="723" spans="1:10" ht="13.5" customHeight="1">
      <c r="A723" s="1236"/>
      <c r="B723" s="1237" t="s">
        <v>89</v>
      </c>
      <c r="C723" s="1238" t="s">
        <v>182</v>
      </c>
      <c r="D723" s="1239" t="s">
        <v>183</v>
      </c>
      <c r="E723" s="1240">
        <f t="shared" si="25"/>
        <v>21</v>
      </c>
      <c r="F723" s="162"/>
      <c r="G723" s="162"/>
      <c r="H723" s="162"/>
      <c r="I723" s="1292">
        <v>20</v>
      </c>
      <c r="J723" s="162">
        <f t="shared" si="24"/>
        <v>21</v>
      </c>
    </row>
    <row r="724" spans="1:10" ht="13.5" customHeight="1">
      <c r="A724" s="1236"/>
      <c r="B724" s="1237" t="s">
        <v>91</v>
      </c>
      <c r="C724" s="1238" t="s">
        <v>4225</v>
      </c>
      <c r="D724" s="1239" t="s">
        <v>127</v>
      </c>
      <c r="E724" s="1240">
        <f t="shared" si="25"/>
        <v>1829100</v>
      </c>
      <c r="F724" s="162"/>
      <c r="G724" s="162"/>
      <c r="H724" s="162"/>
      <c r="I724" s="1292">
        <v>1742000</v>
      </c>
      <c r="J724" s="162">
        <f t="shared" si="24"/>
        <v>1829100</v>
      </c>
    </row>
    <row r="725" spans="1:10" ht="13.5" customHeight="1">
      <c r="A725" s="1236"/>
      <c r="B725" s="1237" t="s">
        <v>93</v>
      </c>
      <c r="C725" s="1238" t="s">
        <v>4226</v>
      </c>
      <c r="D725" s="1239" t="s">
        <v>127</v>
      </c>
      <c r="E725" s="1240">
        <f t="shared" si="25"/>
        <v>1449000</v>
      </c>
      <c r="F725" s="162"/>
      <c r="G725" s="162"/>
      <c r="H725" s="162"/>
      <c r="I725" s="1292">
        <v>1380000</v>
      </c>
      <c r="J725" s="162">
        <f t="shared" si="24"/>
        <v>1449000</v>
      </c>
    </row>
    <row r="726" spans="1:10" ht="13.5" customHeight="1">
      <c r="A726" s="1236"/>
      <c r="B726" s="1237" t="s">
        <v>96</v>
      </c>
      <c r="C726" s="1238" t="s">
        <v>4227</v>
      </c>
      <c r="D726" s="1239" t="s">
        <v>127</v>
      </c>
      <c r="E726" s="1240">
        <f t="shared" si="25"/>
        <v>1121400</v>
      </c>
      <c r="F726" s="162"/>
      <c r="G726" s="162"/>
      <c r="H726" s="162"/>
      <c r="I726" s="1292">
        <v>1068000</v>
      </c>
      <c r="J726" s="162">
        <f t="shared" si="24"/>
        <v>1121400</v>
      </c>
    </row>
    <row r="727" spans="1:10" ht="13.5" customHeight="1">
      <c r="A727" s="1236"/>
      <c r="B727" s="1237" t="s">
        <v>98</v>
      </c>
      <c r="C727" s="1238" t="s">
        <v>4228</v>
      </c>
      <c r="D727" s="1239" t="s">
        <v>127</v>
      </c>
      <c r="E727" s="1240">
        <f t="shared" si="25"/>
        <v>971250</v>
      </c>
      <c r="F727" s="162"/>
      <c r="G727" s="162"/>
      <c r="H727" s="162"/>
      <c r="I727" s="1292">
        <v>925000</v>
      </c>
      <c r="J727" s="162">
        <f t="shared" si="24"/>
        <v>971250</v>
      </c>
    </row>
    <row r="728" spans="1:10" ht="13.5" customHeight="1">
      <c r="A728" s="1236"/>
      <c r="B728" s="1237" t="s">
        <v>101</v>
      </c>
      <c r="C728" s="1238" t="s">
        <v>4229</v>
      </c>
      <c r="D728" s="1239" t="s">
        <v>171</v>
      </c>
      <c r="E728" s="1240">
        <f t="shared" si="25"/>
        <v>11393</v>
      </c>
      <c r="F728" s="162"/>
      <c r="G728" s="162"/>
      <c r="H728" s="162"/>
      <c r="I728" s="1292">
        <v>10850</v>
      </c>
      <c r="J728" s="162">
        <f t="shared" si="24"/>
        <v>11393</v>
      </c>
    </row>
    <row r="729" spans="1:10" ht="13.5" customHeight="1">
      <c r="A729" s="1236"/>
      <c r="B729" s="1237" t="s">
        <v>104</v>
      </c>
      <c r="C729" s="1238" t="s">
        <v>2985</v>
      </c>
      <c r="D729" s="1239" t="s">
        <v>166</v>
      </c>
      <c r="E729" s="1240">
        <f t="shared" si="25"/>
        <v>3833</v>
      </c>
      <c r="F729" s="162"/>
      <c r="G729" s="162"/>
      <c r="H729" s="162"/>
      <c r="I729" s="1292">
        <v>3650</v>
      </c>
      <c r="J729" s="162">
        <f t="shared" si="24"/>
        <v>3833</v>
      </c>
    </row>
    <row r="730" spans="1:10" ht="13.5" customHeight="1">
      <c r="A730" s="1236"/>
      <c r="B730" s="1237" t="s">
        <v>106</v>
      </c>
      <c r="C730" s="1238" t="s">
        <v>4230</v>
      </c>
      <c r="D730" s="1239" t="s">
        <v>127</v>
      </c>
      <c r="E730" s="1240">
        <f t="shared" si="25"/>
        <v>157500</v>
      </c>
      <c r="F730" s="162"/>
      <c r="G730" s="162"/>
      <c r="H730" s="162"/>
      <c r="I730" s="1292">
        <v>150000</v>
      </c>
      <c r="J730" s="162">
        <f t="shared" si="24"/>
        <v>157500</v>
      </c>
    </row>
    <row r="731" spans="1:10" ht="13.5" customHeight="1">
      <c r="A731" s="1236"/>
      <c r="B731" s="1237" t="s">
        <v>108</v>
      </c>
      <c r="C731" s="1238" t="s">
        <v>4231</v>
      </c>
      <c r="D731" s="1239" t="s">
        <v>228</v>
      </c>
      <c r="E731" s="1240">
        <f t="shared" si="25"/>
        <v>18375</v>
      </c>
      <c r="F731" s="162"/>
      <c r="G731" s="162"/>
      <c r="H731" s="162"/>
      <c r="I731" s="1292">
        <v>17500</v>
      </c>
      <c r="J731" s="162">
        <f t="shared" si="24"/>
        <v>18375</v>
      </c>
    </row>
    <row r="732" spans="1:10" ht="13.5" customHeight="1">
      <c r="A732" s="1236"/>
      <c r="B732" s="1237" t="s">
        <v>110</v>
      </c>
      <c r="C732" s="1238" t="s">
        <v>4232</v>
      </c>
      <c r="D732" s="1239" t="s">
        <v>127</v>
      </c>
      <c r="E732" s="1240">
        <f t="shared" si="25"/>
        <v>40845</v>
      </c>
      <c r="F732" s="162"/>
      <c r="G732" s="162"/>
      <c r="H732" s="162"/>
      <c r="I732" s="1292">
        <v>38900</v>
      </c>
      <c r="J732" s="162">
        <f t="shared" si="24"/>
        <v>40845</v>
      </c>
    </row>
    <row r="733" spans="1:10" ht="13.5" customHeight="1">
      <c r="A733" s="1236"/>
      <c r="B733" s="1237" t="s">
        <v>112</v>
      </c>
      <c r="C733" s="1238" t="s">
        <v>168</v>
      </c>
      <c r="D733" s="1239" t="s">
        <v>120</v>
      </c>
      <c r="E733" s="1240">
        <f t="shared" si="25"/>
        <v>5723</v>
      </c>
      <c r="F733" s="162"/>
      <c r="G733" s="162"/>
      <c r="H733" s="162"/>
      <c r="I733" s="1292">
        <v>5450</v>
      </c>
      <c r="J733" s="162">
        <f t="shared" si="24"/>
        <v>5723</v>
      </c>
    </row>
    <row r="734" spans="1:10" ht="13.5" customHeight="1">
      <c r="A734" s="1236"/>
      <c r="B734" s="1237" t="s">
        <v>114</v>
      </c>
      <c r="C734" s="1238" t="s">
        <v>4233</v>
      </c>
      <c r="D734" s="1239" t="s">
        <v>127</v>
      </c>
      <c r="E734" s="1240">
        <f t="shared" si="25"/>
        <v>2310</v>
      </c>
      <c r="F734" s="162"/>
      <c r="G734" s="162"/>
      <c r="H734" s="162"/>
      <c r="I734" s="1292">
        <v>2200</v>
      </c>
      <c r="J734" s="162">
        <f t="shared" si="24"/>
        <v>2310</v>
      </c>
    </row>
    <row r="735" spans="1:10" ht="13.5" customHeight="1">
      <c r="A735" s="1236"/>
      <c r="B735" s="1237" t="s">
        <v>118</v>
      </c>
      <c r="C735" s="1238" t="s">
        <v>4234</v>
      </c>
      <c r="D735" s="1239" t="s">
        <v>120</v>
      </c>
      <c r="E735" s="1240">
        <f t="shared" si="25"/>
        <v>840</v>
      </c>
      <c r="F735" s="162"/>
      <c r="G735" s="162"/>
      <c r="H735" s="162"/>
      <c r="I735" s="1292">
        <v>800</v>
      </c>
      <c r="J735" s="162">
        <f t="shared" si="24"/>
        <v>840</v>
      </c>
    </row>
    <row r="736" spans="1:10" ht="13.5" customHeight="1">
      <c r="A736" s="1236"/>
      <c r="B736" s="1237" t="s">
        <v>121</v>
      </c>
      <c r="C736" s="1238" t="s">
        <v>3665</v>
      </c>
      <c r="D736" s="1239" t="s">
        <v>127</v>
      </c>
      <c r="E736" s="1240">
        <f t="shared" si="25"/>
        <v>2835</v>
      </c>
      <c r="F736" s="162"/>
      <c r="G736" s="162"/>
      <c r="H736" s="162"/>
      <c r="I736" s="1292">
        <v>2700</v>
      </c>
      <c r="J736" s="162">
        <f t="shared" si="24"/>
        <v>2835</v>
      </c>
    </row>
    <row r="737" spans="1:10" ht="13.5" customHeight="1">
      <c r="A737" s="1236"/>
      <c r="B737" s="1237" t="s">
        <v>123</v>
      </c>
      <c r="C737" s="1238" t="s">
        <v>4235</v>
      </c>
      <c r="D737" s="1239" t="s">
        <v>120</v>
      </c>
      <c r="E737" s="1240">
        <f t="shared" si="25"/>
        <v>1890</v>
      </c>
      <c r="F737" s="162"/>
      <c r="G737" s="162"/>
      <c r="H737" s="162"/>
      <c r="I737" s="1292">
        <v>1800</v>
      </c>
      <c r="J737" s="162">
        <f t="shared" si="24"/>
        <v>1890</v>
      </c>
    </row>
    <row r="738" spans="1:10" ht="13.5" customHeight="1">
      <c r="A738" s="1236"/>
      <c r="B738" s="1237" t="s">
        <v>125</v>
      </c>
      <c r="C738" s="1238" t="s">
        <v>4236</v>
      </c>
      <c r="D738" s="1239" t="s">
        <v>120</v>
      </c>
      <c r="E738" s="1240">
        <f t="shared" si="25"/>
        <v>3360</v>
      </c>
      <c r="F738" s="162"/>
      <c r="G738" s="162"/>
      <c r="H738" s="162"/>
      <c r="I738" s="1292">
        <v>3200</v>
      </c>
      <c r="J738" s="162">
        <f t="shared" si="24"/>
        <v>3360</v>
      </c>
    </row>
    <row r="739" spans="1:10" ht="13.5" customHeight="1">
      <c r="A739" s="1236"/>
      <c r="B739" s="1237" t="s">
        <v>128</v>
      </c>
      <c r="C739" s="1238" t="s">
        <v>4237</v>
      </c>
      <c r="D739" s="1239" t="s">
        <v>171</v>
      </c>
      <c r="E739" s="1240">
        <f t="shared" si="25"/>
        <v>25725</v>
      </c>
      <c r="F739" s="162"/>
      <c r="G739" s="162"/>
      <c r="H739" s="162"/>
      <c r="I739" s="1292">
        <v>24500</v>
      </c>
      <c r="J739" s="162">
        <f t="shared" si="24"/>
        <v>25725</v>
      </c>
    </row>
    <row r="740" spans="1:10" ht="13.5" customHeight="1">
      <c r="A740" s="1236"/>
      <c r="B740" s="1237" t="s">
        <v>467</v>
      </c>
      <c r="C740" s="1238" t="s">
        <v>4238</v>
      </c>
      <c r="D740" s="1239" t="s">
        <v>127</v>
      </c>
      <c r="E740" s="1240">
        <f t="shared" si="25"/>
        <v>525</v>
      </c>
      <c r="F740" s="162"/>
      <c r="G740" s="162"/>
      <c r="H740" s="162"/>
      <c r="I740" s="1292">
        <v>500</v>
      </c>
      <c r="J740" s="162">
        <f t="shared" si="24"/>
        <v>525</v>
      </c>
    </row>
    <row r="741" spans="1:10" ht="13.5" customHeight="1">
      <c r="A741" s="1236"/>
      <c r="B741" s="1237" t="s">
        <v>469</v>
      </c>
      <c r="C741" s="1238" t="s">
        <v>4239</v>
      </c>
      <c r="D741" s="1239" t="s">
        <v>127</v>
      </c>
      <c r="E741" s="1240">
        <f t="shared" si="25"/>
        <v>3360</v>
      </c>
      <c r="F741" s="162"/>
      <c r="G741" s="162"/>
      <c r="H741" s="162"/>
      <c r="I741" s="1292">
        <v>3200</v>
      </c>
      <c r="J741" s="162">
        <f t="shared" si="24"/>
        <v>3360</v>
      </c>
    </row>
    <row r="742" spans="1:10" ht="13.5" customHeight="1">
      <c r="A742" s="1236"/>
      <c r="B742" s="1237" t="s">
        <v>471</v>
      </c>
      <c r="C742" s="1238" t="s">
        <v>1616</v>
      </c>
      <c r="D742" s="1239" t="s">
        <v>171</v>
      </c>
      <c r="E742" s="1240">
        <f t="shared" si="25"/>
        <v>3623</v>
      </c>
      <c r="F742" s="162"/>
      <c r="G742" s="162"/>
      <c r="H742" s="162"/>
      <c r="I742" s="1292">
        <v>3450</v>
      </c>
      <c r="J742" s="162">
        <f t="shared" si="24"/>
        <v>3623</v>
      </c>
    </row>
    <row r="743" spans="1:10" ht="13.5" customHeight="1">
      <c r="A743" s="1236"/>
      <c r="B743" s="1237" t="s">
        <v>473</v>
      </c>
      <c r="C743" s="1238" t="s">
        <v>4240</v>
      </c>
      <c r="D743" s="1239" t="s">
        <v>127</v>
      </c>
      <c r="E743" s="1240">
        <f t="shared" si="25"/>
        <v>1365</v>
      </c>
      <c r="F743" s="162"/>
      <c r="G743" s="162"/>
      <c r="H743" s="162"/>
      <c r="I743" s="1292">
        <v>1300</v>
      </c>
      <c r="J743" s="162">
        <f t="shared" si="24"/>
        <v>1365</v>
      </c>
    </row>
    <row r="744" spans="1:10" ht="13.5" customHeight="1">
      <c r="A744" s="1236"/>
      <c r="B744" s="1237" t="s">
        <v>475</v>
      </c>
      <c r="C744" s="1238" t="s">
        <v>4241</v>
      </c>
      <c r="D744" s="1239" t="s">
        <v>228</v>
      </c>
      <c r="E744" s="1240">
        <f t="shared" si="25"/>
        <v>3833</v>
      </c>
      <c r="F744" s="162"/>
      <c r="G744" s="162"/>
      <c r="H744" s="162"/>
      <c r="I744" s="1292">
        <v>3650</v>
      </c>
      <c r="J744" s="162">
        <f t="shared" si="24"/>
        <v>3833</v>
      </c>
    </row>
    <row r="745" spans="1:10" ht="13.5" customHeight="1">
      <c r="A745" s="1236"/>
      <c r="B745" s="1237" t="s">
        <v>477</v>
      </c>
      <c r="C745" s="1238" t="s">
        <v>4242</v>
      </c>
      <c r="D745" s="1239" t="s">
        <v>127</v>
      </c>
      <c r="E745" s="1240">
        <f t="shared" si="25"/>
        <v>5775</v>
      </c>
      <c r="F745" s="162"/>
      <c r="G745" s="162"/>
      <c r="H745" s="162"/>
      <c r="I745" s="1292">
        <v>5500</v>
      </c>
      <c r="J745" s="162">
        <f t="shared" si="24"/>
        <v>5775</v>
      </c>
    </row>
    <row r="746" spans="1:10" ht="13.5" customHeight="1">
      <c r="A746" s="1236"/>
      <c r="B746" s="1237" t="s">
        <v>479</v>
      </c>
      <c r="C746" s="1238" t="s">
        <v>4243</v>
      </c>
      <c r="D746" s="1239" t="s">
        <v>1707</v>
      </c>
      <c r="E746" s="1240">
        <f t="shared" si="25"/>
        <v>1418</v>
      </c>
      <c r="F746" s="162"/>
      <c r="G746" s="162"/>
      <c r="H746" s="162"/>
      <c r="I746" s="1292">
        <v>1350</v>
      </c>
      <c r="J746" s="162">
        <f t="shared" si="24"/>
        <v>1418</v>
      </c>
    </row>
    <row r="747" spans="1:10" ht="13.5" customHeight="1">
      <c r="A747" s="1236"/>
      <c r="B747" s="1237" t="s">
        <v>482</v>
      </c>
      <c r="C747" s="1238" t="s">
        <v>4244</v>
      </c>
      <c r="D747" s="1239" t="s">
        <v>171</v>
      </c>
      <c r="E747" s="1240">
        <f t="shared" si="25"/>
        <v>4725</v>
      </c>
      <c r="F747" s="162"/>
      <c r="G747" s="162"/>
      <c r="H747" s="162"/>
      <c r="I747" s="1292">
        <v>4500</v>
      </c>
      <c r="J747" s="162">
        <f t="shared" si="24"/>
        <v>4725</v>
      </c>
    </row>
    <row r="748" spans="1:10" ht="13.5" customHeight="1">
      <c r="A748" s="1236"/>
      <c r="B748" s="1237" t="s">
        <v>484</v>
      </c>
      <c r="C748" s="1238" t="s">
        <v>4245</v>
      </c>
      <c r="D748" s="1239" t="s">
        <v>228</v>
      </c>
      <c r="E748" s="1240">
        <f t="shared" si="25"/>
        <v>19425</v>
      </c>
      <c r="F748" s="162"/>
      <c r="G748" s="162"/>
      <c r="H748" s="162"/>
      <c r="I748" s="1292">
        <v>18500</v>
      </c>
      <c r="J748" s="162">
        <f t="shared" si="24"/>
        <v>19425</v>
      </c>
    </row>
    <row r="749" spans="1:10" ht="13.5" customHeight="1">
      <c r="A749" s="1236"/>
      <c r="B749" s="1237" t="s">
        <v>486</v>
      </c>
      <c r="C749" s="1238" t="s">
        <v>4246</v>
      </c>
      <c r="D749" s="1239" t="s">
        <v>228</v>
      </c>
      <c r="E749" s="1240">
        <f t="shared" si="25"/>
        <v>20475</v>
      </c>
      <c r="F749" s="162"/>
      <c r="G749" s="162"/>
      <c r="H749" s="162"/>
      <c r="I749" s="1292">
        <v>19500</v>
      </c>
      <c r="J749" s="162">
        <f t="shared" si="24"/>
        <v>20475</v>
      </c>
    </row>
    <row r="750" spans="1:10" ht="13.5" customHeight="1">
      <c r="A750" s="1236"/>
      <c r="B750" s="1237" t="s">
        <v>488</v>
      </c>
      <c r="C750" s="1238" t="s">
        <v>3510</v>
      </c>
      <c r="D750" s="1239" t="s">
        <v>120</v>
      </c>
      <c r="E750" s="1240">
        <f t="shared" si="25"/>
        <v>232575</v>
      </c>
      <c r="F750" s="162"/>
      <c r="G750" s="162"/>
      <c r="H750" s="162"/>
      <c r="I750" s="1292">
        <v>221500</v>
      </c>
      <c r="J750" s="162">
        <f t="shared" si="24"/>
        <v>232575</v>
      </c>
    </row>
    <row r="751" spans="1:10" ht="13.5" customHeight="1">
      <c r="A751" s="1236"/>
      <c r="B751" s="1237" t="s">
        <v>491</v>
      </c>
      <c r="C751" s="1238" t="s">
        <v>3597</v>
      </c>
      <c r="D751" s="1239" t="s">
        <v>1707</v>
      </c>
      <c r="E751" s="1240">
        <f t="shared" si="25"/>
        <v>22575</v>
      </c>
      <c r="F751" s="162"/>
      <c r="G751" s="162"/>
      <c r="H751" s="162"/>
      <c r="I751" s="1292">
        <v>21500</v>
      </c>
      <c r="J751" s="162">
        <f t="shared" si="24"/>
        <v>22575</v>
      </c>
    </row>
    <row r="752" spans="1:10" ht="13.5" customHeight="1">
      <c r="A752" s="1236"/>
      <c r="B752" s="1237" t="s">
        <v>493</v>
      </c>
      <c r="C752" s="1238" t="s">
        <v>4247</v>
      </c>
      <c r="D752" s="1239" t="s">
        <v>127</v>
      </c>
      <c r="E752" s="1240">
        <f t="shared" si="25"/>
        <v>7875</v>
      </c>
      <c r="F752" s="162"/>
      <c r="G752" s="162"/>
      <c r="H752" s="162"/>
      <c r="I752" s="1292">
        <v>7500</v>
      </c>
      <c r="J752" s="162">
        <f t="shared" si="24"/>
        <v>7875</v>
      </c>
    </row>
    <row r="753" spans="1:10" ht="13.5" customHeight="1">
      <c r="A753" s="1236"/>
      <c r="B753" s="1237" t="s">
        <v>496</v>
      </c>
      <c r="C753" s="1238" t="s">
        <v>169</v>
      </c>
      <c r="D753" s="1239" t="s">
        <v>127</v>
      </c>
      <c r="E753" s="1240">
        <f t="shared" si="25"/>
        <v>3833</v>
      </c>
      <c r="F753" s="162"/>
      <c r="G753" s="162"/>
      <c r="H753" s="162"/>
      <c r="I753" s="1292">
        <v>3650</v>
      </c>
      <c r="J753" s="162">
        <f t="shared" si="24"/>
        <v>3833</v>
      </c>
    </row>
    <row r="754" spans="1:10" ht="13.5" customHeight="1">
      <c r="A754" s="1236"/>
      <c r="B754" s="1237" t="s">
        <v>4248</v>
      </c>
      <c r="C754" s="1238" t="s">
        <v>4249</v>
      </c>
      <c r="D754" s="1239" t="s">
        <v>120</v>
      </c>
      <c r="E754" s="1240">
        <f t="shared" si="25"/>
        <v>8400</v>
      </c>
      <c r="F754" s="162"/>
      <c r="G754" s="162"/>
      <c r="H754" s="162"/>
      <c r="I754" s="1292">
        <v>8000</v>
      </c>
      <c r="J754" s="162">
        <f t="shared" si="24"/>
        <v>8400</v>
      </c>
    </row>
    <row r="755" spans="1:10" ht="13.5" customHeight="1">
      <c r="A755" s="1236"/>
      <c r="B755" s="1237" t="s">
        <v>4250</v>
      </c>
      <c r="C755" s="1238" t="s">
        <v>4251</v>
      </c>
      <c r="D755" s="1239" t="s">
        <v>120</v>
      </c>
      <c r="E755" s="1240">
        <f t="shared" si="25"/>
        <v>8348</v>
      </c>
      <c r="F755" s="162"/>
      <c r="G755" s="162"/>
      <c r="H755" s="162"/>
      <c r="I755" s="1292">
        <v>7950</v>
      </c>
      <c r="J755" s="162">
        <f t="shared" si="24"/>
        <v>8348</v>
      </c>
    </row>
    <row r="756" spans="1:10" ht="13.5" customHeight="1">
      <c r="A756" s="1236"/>
      <c r="B756" s="1237" t="s">
        <v>4252</v>
      </c>
      <c r="C756" s="1238" t="s">
        <v>4253</v>
      </c>
      <c r="D756" s="1239" t="s">
        <v>1707</v>
      </c>
      <c r="E756" s="1240">
        <f t="shared" si="25"/>
        <v>43575</v>
      </c>
      <c r="F756" s="162"/>
      <c r="G756" s="162"/>
      <c r="H756" s="162"/>
      <c r="I756" s="1292">
        <v>41500</v>
      </c>
      <c r="J756" s="162">
        <f t="shared" si="24"/>
        <v>43575</v>
      </c>
    </row>
    <row r="757" spans="1:10" ht="13.5" customHeight="1">
      <c r="A757" s="1236"/>
      <c r="B757" s="1237" t="s">
        <v>4254</v>
      </c>
      <c r="C757" s="1238" t="s">
        <v>167</v>
      </c>
      <c r="D757" s="1239" t="s">
        <v>120</v>
      </c>
      <c r="E757" s="1240">
        <f t="shared" si="25"/>
        <v>3833</v>
      </c>
      <c r="F757" s="162"/>
      <c r="G757" s="162"/>
      <c r="H757" s="162"/>
      <c r="I757" s="1292">
        <v>3650</v>
      </c>
      <c r="J757" s="162">
        <f t="shared" si="24"/>
        <v>3833</v>
      </c>
    </row>
    <row r="758" spans="1:10" ht="13.5" customHeight="1">
      <c r="A758" s="1236"/>
      <c r="B758" s="1237" t="s">
        <v>4255</v>
      </c>
      <c r="C758" s="1238" t="s">
        <v>4256</v>
      </c>
      <c r="D758" s="1239" t="s">
        <v>228</v>
      </c>
      <c r="E758" s="1240">
        <f t="shared" si="25"/>
        <v>1103</v>
      </c>
      <c r="F758" s="162"/>
      <c r="G758" s="162"/>
      <c r="H758" s="162"/>
      <c r="I758" s="1292">
        <v>1050</v>
      </c>
      <c r="J758" s="162">
        <f t="shared" si="24"/>
        <v>1103</v>
      </c>
    </row>
    <row r="759" spans="1:10" ht="13.5" customHeight="1">
      <c r="A759" s="1236"/>
      <c r="B759" s="1237" t="s">
        <v>4257</v>
      </c>
      <c r="C759" s="1238" t="s">
        <v>4258</v>
      </c>
      <c r="D759" s="1239" t="s">
        <v>127</v>
      </c>
      <c r="E759" s="1240">
        <f t="shared" si="25"/>
        <v>2310</v>
      </c>
      <c r="F759" s="162"/>
      <c r="G759" s="162"/>
      <c r="H759" s="162"/>
      <c r="I759" s="1292">
        <v>2200</v>
      </c>
      <c r="J759" s="162">
        <f t="shared" si="24"/>
        <v>2310</v>
      </c>
    </row>
    <row r="760" spans="1:10" ht="13.5" customHeight="1">
      <c r="A760" s="1236"/>
      <c r="B760" s="1237" t="s">
        <v>4259</v>
      </c>
      <c r="C760" s="1238" t="s">
        <v>3790</v>
      </c>
      <c r="D760" s="1239" t="s">
        <v>1707</v>
      </c>
      <c r="E760" s="1240">
        <f t="shared" si="25"/>
        <v>2520</v>
      </c>
      <c r="F760" s="162"/>
      <c r="G760" s="162"/>
      <c r="H760" s="162"/>
      <c r="I760" s="1292">
        <v>2400</v>
      </c>
      <c r="J760" s="162">
        <f t="shared" si="24"/>
        <v>2520</v>
      </c>
    </row>
    <row r="761" spans="1:10" ht="13.5" customHeight="1">
      <c r="A761" s="1236"/>
      <c r="B761" s="1237" t="s">
        <v>4260</v>
      </c>
      <c r="C761" s="1238" t="s">
        <v>4261</v>
      </c>
      <c r="D761" s="1239" t="s">
        <v>120</v>
      </c>
      <c r="E761" s="1240">
        <f t="shared" si="25"/>
        <v>9975</v>
      </c>
      <c r="F761" s="162"/>
      <c r="G761" s="162"/>
      <c r="H761" s="162"/>
      <c r="I761" s="1292">
        <v>9500</v>
      </c>
      <c r="J761" s="162">
        <f t="shared" si="24"/>
        <v>9975</v>
      </c>
    </row>
    <row r="762" spans="1:10" ht="13.5" customHeight="1">
      <c r="A762" s="1236"/>
      <c r="B762" s="1237" t="s">
        <v>4262</v>
      </c>
      <c r="C762" s="1238" t="s">
        <v>4263</v>
      </c>
      <c r="D762" s="1239" t="s">
        <v>120</v>
      </c>
      <c r="E762" s="1240">
        <f t="shared" si="25"/>
        <v>3570</v>
      </c>
      <c r="F762" s="162"/>
      <c r="G762" s="162"/>
      <c r="H762" s="162"/>
      <c r="I762" s="1292">
        <v>3400</v>
      </c>
      <c r="J762" s="162">
        <f t="shared" si="24"/>
        <v>3570</v>
      </c>
    </row>
    <row r="763" spans="1:10" ht="13.5" customHeight="1">
      <c r="A763" s="1236"/>
      <c r="B763" s="1237" t="s">
        <v>4264</v>
      </c>
      <c r="C763" s="1238" t="s">
        <v>3548</v>
      </c>
      <c r="D763" s="1239" t="s">
        <v>228</v>
      </c>
      <c r="E763" s="1240">
        <f t="shared" si="25"/>
        <v>24675</v>
      </c>
      <c r="F763" s="162"/>
      <c r="G763" s="162"/>
      <c r="H763" s="162"/>
      <c r="I763" s="1292">
        <v>23500</v>
      </c>
      <c r="J763" s="162">
        <f t="shared" si="24"/>
        <v>24675</v>
      </c>
    </row>
    <row r="764" spans="1:10" ht="13.5" hidden="1" customHeight="1">
      <c r="A764" s="1236"/>
      <c r="B764" s="1237" t="s">
        <v>4265</v>
      </c>
      <c r="C764" s="1238" t="s">
        <v>4417</v>
      </c>
      <c r="D764" s="1239"/>
      <c r="E764" s="1240"/>
      <c r="F764" s="162"/>
      <c r="G764" s="162"/>
      <c r="H764" s="162"/>
      <c r="I764" s="1292" t="s">
        <v>4417</v>
      </c>
      <c r="J764" s="162" t="e">
        <f t="shared" si="24"/>
        <v>#VALUE!</v>
      </c>
    </row>
    <row r="765" spans="1:10" ht="13.5" customHeight="1">
      <c r="A765" s="1236"/>
      <c r="B765" s="1237" t="s">
        <v>4266</v>
      </c>
      <c r="C765" s="1238" t="s">
        <v>4267</v>
      </c>
      <c r="D765" s="1239" t="s">
        <v>171</v>
      </c>
      <c r="E765" s="1240">
        <f t="shared" ref="E765:E789" si="26">+J765</f>
        <v>788</v>
      </c>
      <c r="F765" s="162"/>
      <c r="G765" s="162"/>
      <c r="H765" s="162"/>
      <c r="I765" s="1292">
        <v>750</v>
      </c>
      <c r="J765" s="162">
        <f t="shared" si="24"/>
        <v>788</v>
      </c>
    </row>
    <row r="766" spans="1:10" ht="13.5" customHeight="1">
      <c r="A766" s="1236"/>
      <c r="B766" s="1237" t="s">
        <v>4268</v>
      </c>
      <c r="C766" s="1238" t="s">
        <v>4269</v>
      </c>
      <c r="D766" s="1239" t="s">
        <v>1707</v>
      </c>
      <c r="E766" s="1240">
        <f t="shared" si="26"/>
        <v>1680</v>
      </c>
      <c r="F766" s="162"/>
      <c r="G766" s="162"/>
      <c r="H766" s="162"/>
      <c r="I766" s="1292">
        <v>1600</v>
      </c>
      <c r="J766" s="162">
        <f t="shared" si="24"/>
        <v>1680</v>
      </c>
    </row>
    <row r="767" spans="1:10" ht="13.5" customHeight="1">
      <c r="A767" s="1236"/>
      <c r="B767" s="1237" t="s">
        <v>4270</v>
      </c>
      <c r="C767" s="1238" t="s">
        <v>2464</v>
      </c>
      <c r="D767" s="1239" t="s">
        <v>127</v>
      </c>
      <c r="E767" s="1240">
        <f t="shared" si="26"/>
        <v>13125</v>
      </c>
      <c r="F767" s="162"/>
      <c r="G767" s="162"/>
      <c r="H767" s="162"/>
      <c r="I767" s="1292">
        <v>12500</v>
      </c>
      <c r="J767" s="162">
        <f t="shared" si="24"/>
        <v>13125</v>
      </c>
    </row>
    <row r="768" spans="1:10" ht="13.5" customHeight="1">
      <c r="A768" s="1236"/>
      <c r="B768" s="1237" t="s">
        <v>4271</v>
      </c>
      <c r="C768" s="1238" t="s">
        <v>2466</v>
      </c>
      <c r="D768" s="1239" t="s">
        <v>120</v>
      </c>
      <c r="E768" s="1240">
        <f t="shared" si="26"/>
        <v>103060</v>
      </c>
      <c r="F768" s="162"/>
      <c r="G768" s="162"/>
      <c r="H768" s="162"/>
      <c r="I768" s="1293">
        <v>98152</v>
      </c>
      <c r="J768" s="162">
        <f t="shared" si="24"/>
        <v>103060</v>
      </c>
    </row>
    <row r="769" spans="1:10" ht="13.5" customHeight="1">
      <c r="A769" s="1236"/>
      <c r="B769" s="1237" t="s">
        <v>4272</v>
      </c>
      <c r="C769" s="1238" t="s">
        <v>2471</v>
      </c>
      <c r="D769" s="1239" t="s">
        <v>127</v>
      </c>
      <c r="E769" s="1240">
        <f t="shared" si="26"/>
        <v>50925</v>
      </c>
      <c r="F769" s="162"/>
      <c r="G769" s="162"/>
      <c r="H769" s="162"/>
      <c r="I769" s="1293">
        <v>48500</v>
      </c>
      <c r="J769" s="162">
        <f t="shared" si="24"/>
        <v>50925</v>
      </c>
    </row>
    <row r="770" spans="1:10" ht="13.5" customHeight="1">
      <c r="A770" s="1236"/>
      <c r="B770" s="1237" t="s">
        <v>4273</v>
      </c>
      <c r="C770" s="1238" t="s">
        <v>4274</v>
      </c>
      <c r="D770" s="1239" t="s">
        <v>127</v>
      </c>
      <c r="E770" s="1240">
        <f t="shared" si="26"/>
        <v>2035023</v>
      </c>
      <c r="F770" s="162"/>
      <c r="G770" s="162"/>
      <c r="H770" s="162"/>
      <c r="I770" s="1293">
        <v>1938117</v>
      </c>
      <c r="J770" s="162">
        <f t="shared" si="24"/>
        <v>2035023</v>
      </c>
    </row>
    <row r="771" spans="1:10" ht="13.5" customHeight="1">
      <c r="A771" s="1236"/>
      <c r="B771" s="1237" t="s">
        <v>4275</v>
      </c>
      <c r="C771" s="1238" t="s">
        <v>2001</v>
      </c>
      <c r="D771" s="1239" t="s">
        <v>127</v>
      </c>
      <c r="E771" s="1240">
        <f t="shared" si="26"/>
        <v>6300</v>
      </c>
      <c r="F771" s="162"/>
      <c r="G771" s="162"/>
      <c r="H771" s="162"/>
      <c r="I771" s="1293">
        <v>6000</v>
      </c>
      <c r="J771" s="162">
        <f t="shared" si="24"/>
        <v>6300</v>
      </c>
    </row>
    <row r="772" spans="1:10" ht="13.5" customHeight="1">
      <c r="A772" s="1236"/>
      <c r="B772" s="1237" t="s">
        <v>4276</v>
      </c>
      <c r="C772" s="1238" t="s">
        <v>3028</v>
      </c>
      <c r="D772" s="1239" t="s">
        <v>4277</v>
      </c>
      <c r="E772" s="1240">
        <f t="shared" si="26"/>
        <v>39755</v>
      </c>
      <c r="F772" s="162"/>
      <c r="G772" s="162"/>
      <c r="H772" s="162"/>
      <c r="I772" s="1293">
        <v>37862</v>
      </c>
      <c r="J772" s="162">
        <f t="shared" si="24"/>
        <v>39755</v>
      </c>
    </row>
    <row r="773" spans="1:10" ht="13.5" customHeight="1">
      <c r="A773" s="1236"/>
      <c r="B773" s="1237" t="s">
        <v>4278</v>
      </c>
      <c r="C773" s="1238" t="s">
        <v>4279</v>
      </c>
      <c r="D773" s="1239" t="s">
        <v>127</v>
      </c>
      <c r="E773" s="1240">
        <f t="shared" si="26"/>
        <v>1943</v>
      </c>
      <c r="F773" s="162"/>
      <c r="G773" s="162"/>
      <c r="H773" s="162"/>
      <c r="I773" s="1293">
        <v>1850</v>
      </c>
      <c r="J773" s="162">
        <f t="shared" si="24"/>
        <v>1943</v>
      </c>
    </row>
    <row r="774" spans="1:10" ht="13.5" customHeight="1">
      <c r="A774" s="1236"/>
      <c r="B774" s="1237" t="s">
        <v>4280</v>
      </c>
      <c r="C774" s="1238" t="s">
        <v>4281</v>
      </c>
      <c r="D774" s="1239" t="s">
        <v>120</v>
      </c>
      <c r="E774" s="1240">
        <f t="shared" si="26"/>
        <v>2310</v>
      </c>
      <c r="F774" s="162"/>
      <c r="G774" s="162"/>
      <c r="H774" s="162"/>
      <c r="I774" s="1263">
        <v>2200</v>
      </c>
      <c r="J774" s="162">
        <f t="shared" si="24"/>
        <v>2310</v>
      </c>
    </row>
    <row r="775" spans="1:10" ht="13.5" customHeight="1">
      <c r="A775" s="1236"/>
      <c r="B775" s="1237" t="s">
        <v>4282</v>
      </c>
      <c r="C775" s="1238" t="s">
        <v>4283</v>
      </c>
      <c r="D775" s="1239" t="s">
        <v>2070</v>
      </c>
      <c r="E775" s="1240">
        <f t="shared" si="26"/>
        <v>21000</v>
      </c>
      <c r="F775" s="162"/>
      <c r="G775" s="162"/>
      <c r="H775" s="162"/>
      <c r="I775" s="1263">
        <v>20000</v>
      </c>
      <c r="J775" s="162">
        <f t="shared" si="24"/>
        <v>21000</v>
      </c>
    </row>
    <row r="776" spans="1:10" ht="13.5" customHeight="1">
      <c r="A776" s="1236"/>
      <c r="B776" s="1237" t="s">
        <v>4284</v>
      </c>
      <c r="C776" s="1238" t="s">
        <v>4285</v>
      </c>
      <c r="D776" s="1239" t="s">
        <v>120</v>
      </c>
      <c r="E776" s="1240">
        <f t="shared" si="26"/>
        <v>9375</v>
      </c>
      <c r="F776" s="162"/>
      <c r="G776" s="162"/>
      <c r="H776" s="162"/>
      <c r="I776" s="1263">
        <v>8929</v>
      </c>
      <c r="J776" s="162">
        <f t="shared" si="24"/>
        <v>9375</v>
      </c>
    </row>
    <row r="777" spans="1:10" ht="13.5" customHeight="1">
      <c r="A777" s="1236"/>
      <c r="B777" s="1237" t="s">
        <v>4286</v>
      </c>
      <c r="C777" s="1238" t="s">
        <v>4287</v>
      </c>
      <c r="D777" s="1239" t="s">
        <v>120</v>
      </c>
      <c r="E777" s="1240">
        <f t="shared" si="26"/>
        <v>21000</v>
      </c>
      <c r="F777" s="162"/>
      <c r="G777" s="162"/>
      <c r="H777" s="162"/>
      <c r="I777" s="1263">
        <v>20000</v>
      </c>
      <c r="J777" s="162">
        <f t="shared" si="24"/>
        <v>21000</v>
      </c>
    </row>
    <row r="778" spans="1:10" ht="13.5" customHeight="1">
      <c r="A778" s="1236"/>
      <c r="B778" s="1237" t="s">
        <v>4288</v>
      </c>
      <c r="C778" s="1238" t="s">
        <v>4289</v>
      </c>
      <c r="D778" s="1239" t="s">
        <v>120</v>
      </c>
      <c r="E778" s="1240">
        <f t="shared" si="26"/>
        <v>10647</v>
      </c>
      <c r="F778" s="162"/>
      <c r="G778" s="162"/>
      <c r="H778" s="162"/>
      <c r="I778" s="1263">
        <f>9750*1.04</f>
        <v>10140</v>
      </c>
      <c r="J778" s="162">
        <f t="shared" si="24"/>
        <v>10647</v>
      </c>
    </row>
    <row r="779" spans="1:10" ht="13.5" customHeight="1">
      <c r="A779" s="1236"/>
      <c r="B779" s="1237" t="s">
        <v>4290</v>
      </c>
      <c r="C779" s="1238" t="s">
        <v>4291</v>
      </c>
      <c r="D779" s="1239" t="s">
        <v>4292</v>
      </c>
      <c r="E779" s="1240">
        <f t="shared" si="26"/>
        <v>2100</v>
      </c>
      <c r="F779" s="162"/>
      <c r="G779" s="162"/>
      <c r="H779" s="162"/>
      <c r="I779" s="1263">
        <v>2000</v>
      </c>
      <c r="J779" s="162">
        <f t="shared" si="24"/>
        <v>2100</v>
      </c>
    </row>
    <row r="780" spans="1:10" ht="13.5" customHeight="1">
      <c r="A780" s="1236"/>
      <c r="B780" s="1237" t="s">
        <v>4293</v>
      </c>
      <c r="C780" s="1238" t="s">
        <v>4294</v>
      </c>
      <c r="D780" s="1239" t="s">
        <v>1686</v>
      </c>
      <c r="E780" s="1240">
        <f t="shared" si="26"/>
        <v>78750</v>
      </c>
      <c r="F780" s="162"/>
      <c r="G780" s="162"/>
      <c r="H780" s="162"/>
      <c r="I780" s="1263">
        <v>75000</v>
      </c>
      <c r="J780" s="162">
        <f t="shared" si="24"/>
        <v>78750</v>
      </c>
    </row>
    <row r="781" spans="1:10" ht="13.5" customHeight="1">
      <c r="A781" s="1236"/>
      <c r="B781" s="1237" t="s">
        <v>4295</v>
      </c>
      <c r="C781" s="1238" t="s">
        <v>4296</v>
      </c>
      <c r="D781" s="1239" t="s">
        <v>4297</v>
      </c>
      <c r="E781" s="1240">
        <f t="shared" si="26"/>
        <v>27510</v>
      </c>
      <c r="F781" s="162"/>
      <c r="G781" s="162"/>
      <c r="H781" s="162"/>
      <c r="I781" s="1263">
        <v>26200</v>
      </c>
      <c r="J781" s="162">
        <f t="shared" si="24"/>
        <v>27510</v>
      </c>
    </row>
    <row r="782" spans="1:10" ht="13.5" customHeight="1">
      <c r="A782" s="1236"/>
      <c r="B782" s="1237" t="s">
        <v>4298</v>
      </c>
      <c r="C782" s="1238" t="s">
        <v>4299</v>
      </c>
      <c r="D782" s="1239" t="s">
        <v>120</v>
      </c>
      <c r="E782" s="1240">
        <f t="shared" si="26"/>
        <v>2100</v>
      </c>
      <c r="F782" s="162"/>
      <c r="G782" s="162"/>
      <c r="H782" s="162"/>
      <c r="I782" s="1263">
        <v>2000</v>
      </c>
      <c r="J782" s="162">
        <f t="shared" si="24"/>
        <v>2100</v>
      </c>
    </row>
    <row r="783" spans="1:10" ht="13.5" customHeight="1">
      <c r="A783" s="1236"/>
      <c r="B783" s="1237" t="s">
        <v>4300</v>
      </c>
      <c r="C783" s="1238" t="s">
        <v>4301</v>
      </c>
      <c r="D783" s="1239" t="s">
        <v>120</v>
      </c>
      <c r="E783" s="1240">
        <f t="shared" si="26"/>
        <v>6300</v>
      </c>
      <c r="F783" s="162"/>
      <c r="G783" s="162"/>
      <c r="H783" s="162"/>
      <c r="I783" s="1263">
        <v>6000</v>
      </c>
      <c r="J783" s="162">
        <f t="shared" si="24"/>
        <v>6300</v>
      </c>
    </row>
    <row r="784" spans="1:10" ht="13.5" customHeight="1">
      <c r="A784" s="1236"/>
      <c r="B784" s="1237" t="s">
        <v>4302</v>
      </c>
      <c r="C784" s="1238" t="s">
        <v>4303</v>
      </c>
      <c r="D784" s="1239" t="s">
        <v>127</v>
      </c>
      <c r="E784" s="1240">
        <f t="shared" si="26"/>
        <v>15750</v>
      </c>
      <c r="F784" s="162"/>
      <c r="G784" s="162"/>
      <c r="H784" s="162"/>
      <c r="I784" s="1263">
        <v>15000</v>
      </c>
      <c r="J784" s="162">
        <f t="shared" si="24"/>
        <v>15750</v>
      </c>
    </row>
    <row r="785" spans="1:10" ht="13.5" customHeight="1">
      <c r="A785" s="1236"/>
      <c r="B785" s="1237" t="s">
        <v>4304</v>
      </c>
      <c r="C785" s="1238" t="s">
        <v>4305</v>
      </c>
      <c r="D785" s="1239" t="s">
        <v>120</v>
      </c>
      <c r="E785" s="1240">
        <f t="shared" si="26"/>
        <v>976500</v>
      </c>
      <c r="F785" s="162"/>
      <c r="G785" s="162"/>
      <c r="H785" s="162"/>
      <c r="I785" s="1263">
        <v>930000</v>
      </c>
      <c r="J785" s="162">
        <f t="shared" si="24"/>
        <v>976500</v>
      </c>
    </row>
    <row r="786" spans="1:10" ht="13.5" customHeight="1">
      <c r="A786" s="1236"/>
      <c r="B786" s="1237" t="s">
        <v>4306</v>
      </c>
      <c r="C786" s="1238" t="s">
        <v>4307</v>
      </c>
      <c r="D786" s="1239" t="s">
        <v>171</v>
      </c>
      <c r="E786" s="1240">
        <f t="shared" si="26"/>
        <v>6825</v>
      </c>
      <c r="F786" s="162"/>
      <c r="G786" s="162"/>
      <c r="H786" s="162"/>
      <c r="I786" s="1263">
        <v>6500</v>
      </c>
      <c r="J786" s="162">
        <f t="shared" si="24"/>
        <v>6825</v>
      </c>
    </row>
    <row r="787" spans="1:10" ht="13.5" customHeight="1">
      <c r="A787" s="1236"/>
      <c r="B787" s="1237" t="s">
        <v>4308</v>
      </c>
      <c r="C787" s="1238" t="s">
        <v>4309</v>
      </c>
      <c r="D787" s="1239" t="s">
        <v>171</v>
      </c>
      <c r="E787" s="1240">
        <f t="shared" si="26"/>
        <v>15750</v>
      </c>
      <c r="F787" s="162"/>
      <c r="G787" s="162"/>
      <c r="H787" s="162"/>
      <c r="I787" s="1263">
        <v>15000</v>
      </c>
      <c r="J787" s="162">
        <f t="shared" si="24"/>
        <v>15750</v>
      </c>
    </row>
    <row r="788" spans="1:10" ht="13.5" customHeight="1">
      <c r="A788" s="1236"/>
      <c r="B788" s="1237" t="s">
        <v>4310</v>
      </c>
      <c r="C788" s="1238" t="s">
        <v>4311</v>
      </c>
      <c r="D788" s="1239" t="s">
        <v>171</v>
      </c>
      <c r="E788" s="1240">
        <f t="shared" si="26"/>
        <v>2625</v>
      </c>
      <c r="F788" s="162"/>
      <c r="G788" s="162"/>
      <c r="H788" s="162"/>
      <c r="I788" s="1263">
        <v>2500</v>
      </c>
      <c r="J788" s="162">
        <f t="shared" si="24"/>
        <v>2625</v>
      </c>
    </row>
    <row r="789" spans="1:10" ht="13.5" customHeight="1">
      <c r="A789" s="1236"/>
      <c r="B789" s="1237" t="s">
        <v>4312</v>
      </c>
      <c r="C789" s="1238" t="s">
        <v>4313</v>
      </c>
      <c r="D789" s="1239" t="s">
        <v>4314</v>
      </c>
      <c r="E789" s="1240">
        <f t="shared" si="26"/>
        <v>105</v>
      </c>
      <c r="F789" s="162"/>
      <c r="G789" s="162"/>
      <c r="H789" s="162"/>
      <c r="I789" s="1263">
        <v>100</v>
      </c>
      <c r="J789" s="162">
        <f t="shared" si="24"/>
        <v>105</v>
      </c>
    </row>
    <row r="790" spans="1:10" ht="13.5" customHeight="1">
      <c r="A790" s="1248"/>
      <c r="B790" s="1294"/>
      <c r="C790" s="1266"/>
      <c r="D790" s="1251"/>
      <c r="E790" s="1252"/>
      <c r="F790" s="162"/>
      <c r="G790" s="162"/>
      <c r="H790" s="162"/>
      <c r="I790" s="1295"/>
      <c r="J790" s="162">
        <f>+I790*$J$8</f>
        <v>0</v>
      </c>
    </row>
    <row r="791" spans="1:10" ht="13.5" customHeight="1">
      <c r="A791" s="1253"/>
      <c r="B791" s="1296"/>
      <c r="C791" s="2235"/>
      <c r="D791" s="1601"/>
      <c r="E791" s="1602"/>
      <c r="F791" s="162"/>
      <c r="G791" s="162"/>
      <c r="H791" s="162"/>
      <c r="I791" s="162"/>
      <c r="J791" s="162"/>
    </row>
    <row r="792" spans="1:10" ht="13.5" customHeight="1">
      <c r="A792" s="1297"/>
      <c r="B792" s="169"/>
      <c r="C792" s="1298"/>
      <c r="D792" s="169"/>
      <c r="E792" s="171"/>
      <c r="F792" s="162"/>
      <c r="G792" s="162"/>
      <c r="H792" s="162"/>
      <c r="I792" s="171"/>
      <c r="J792" s="162"/>
    </row>
    <row r="793" spans="1:10" ht="13.5" customHeight="1">
      <c r="A793" s="1297"/>
      <c r="B793" s="169"/>
      <c r="C793" s="1298"/>
      <c r="D793" s="169"/>
      <c r="E793" s="171"/>
      <c r="F793" s="162"/>
      <c r="G793" s="162"/>
      <c r="H793" s="162"/>
      <c r="I793" s="171"/>
      <c r="J793" s="162"/>
    </row>
    <row r="794" spans="1:10" ht="13.5" customHeight="1">
      <c r="A794" s="162"/>
      <c r="B794" s="1299" t="s">
        <v>4315</v>
      </c>
      <c r="C794" s="420"/>
      <c r="D794" s="169"/>
      <c r="E794" s="171"/>
      <c r="F794" s="162"/>
      <c r="G794" s="162"/>
      <c r="H794" s="162"/>
      <c r="I794" s="171"/>
      <c r="J794" s="162"/>
    </row>
    <row r="795" spans="1:10" ht="13.5" customHeight="1">
      <c r="A795" s="162"/>
      <c r="B795" s="76" t="s">
        <v>4316</v>
      </c>
      <c r="C795" s="168"/>
      <c r="D795" s="169"/>
      <c r="E795" s="1300"/>
      <c r="F795" s="162"/>
      <c r="G795" s="162"/>
      <c r="H795" s="162"/>
      <c r="I795" s="1300"/>
      <c r="J795" s="162"/>
    </row>
  </sheetData>
  <mergeCells count="14">
    <mergeCell ref="C716:E716"/>
    <mergeCell ref="C791:E791"/>
    <mergeCell ref="A1:E1"/>
    <mergeCell ref="A2:E2"/>
    <mergeCell ref="A3:E3"/>
    <mergeCell ref="A4:E4"/>
    <mergeCell ref="A5:E5"/>
    <mergeCell ref="A6:E6"/>
    <mergeCell ref="C126:E126"/>
    <mergeCell ref="C185:E185"/>
    <mergeCell ref="C301:E301"/>
    <mergeCell ref="C365:E365"/>
    <mergeCell ref="C408:E408"/>
    <mergeCell ref="C411:E411"/>
  </mergeCells>
  <pageMargins left="0.61" right="0.23" top="0.66" bottom="0.56000000000000005" header="0" footer="0"/>
  <pageSetup orientation="portrait"/>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J132"/>
  <sheetViews>
    <sheetView workbookViewId="0"/>
  </sheetViews>
  <sheetFormatPr baseColWidth="10" defaultColWidth="14.44140625" defaultRowHeight="15" customHeight="1"/>
  <cols>
    <col min="1" max="1" width="6" customWidth="1"/>
    <col min="2" max="2" width="7.6640625" customWidth="1"/>
    <col min="3" max="3" width="56" customWidth="1"/>
    <col min="4" max="4" width="7.33203125" customWidth="1"/>
    <col min="5" max="5" width="11.44140625" customWidth="1"/>
    <col min="6" max="6" width="11.6640625" customWidth="1"/>
    <col min="7" max="8" width="11.44140625" customWidth="1"/>
    <col min="9" max="9" width="15.88671875" customWidth="1"/>
    <col min="10" max="26" width="11.44140625" customWidth="1"/>
  </cols>
  <sheetData>
    <row r="1" spans="1:10" ht="13.5" customHeight="1">
      <c r="A1" s="2121" t="e">
        <f>+'LISTADO MATERIALES'!A1:E1</f>
        <v>#REF!</v>
      </c>
      <c r="B1" s="1616"/>
      <c r="C1" s="1616"/>
      <c r="D1" s="1616"/>
      <c r="E1" s="1624"/>
      <c r="F1" s="162"/>
      <c r="G1" s="162"/>
      <c r="H1" s="162"/>
      <c r="I1" s="162"/>
      <c r="J1" s="162"/>
    </row>
    <row r="2" spans="1:10" ht="18" customHeight="1">
      <c r="A2" s="2122" t="s">
        <v>2654</v>
      </c>
      <c r="B2" s="1817"/>
      <c r="C2" s="1817"/>
      <c r="D2" s="1817"/>
      <c r="E2" s="1972"/>
      <c r="F2" s="162"/>
      <c r="G2" s="162"/>
      <c r="H2" s="162"/>
      <c r="I2" s="162"/>
      <c r="J2" s="162"/>
    </row>
    <row r="3" spans="1:10" ht="12" customHeight="1">
      <c r="A3" s="2236"/>
      <c r="B3" s="1605"/>
      <c r="C3" s="1605"/>
      <c r="D3" s="1605"/>
      <c r="E3" s="1606"/>
      <c r="F3" s="162"/>
      <c r="G3" s="162"/>
      <c r="H3" s="162"/>
      <c r="I3" s="162"/>
      <c r="J3" s="162"/>
    </row>
    <row r="4" spans="1:10" ht="16.5" customHeight="1">
      <c r="A4" s="2236" t="s">
        <v>4317</v>
      </c>
      <c r="B4" s="1605"/>
      <c r="C4" s="1605"/>
      <c r="D4" s="1605"/>
      <c r="E4" s="1606"/>
      <c r="F4" s="162"/>
      <c r="G4" s="162"/>
      <c r="H4" s="162"/>
      <c r="I4" s="162"/>
      <c r="J4" s="162"/>
    </row>
    <row r="5" spans="1:10" ht="12" customHeight="1">
      <c r="A5" s="2237"/>
      <c r="B5" s="1817"/>
      <c r="C5" s="1817"/>
      <c r="D5" s="1817"/>
      <c r="E5" s="1972"/>
      <c r="F5" s="162"/>
      <c r="G5" s="162"/>
      <c r="H5" s="162"/>
      <c r="I5" s="162"/>
      <c r="J5" s="162"/>
    </row>
    <row r="6" spans="1:10" ht="27.75" customHeight="1">
      <c r="A6" s="2238" t="s">
        <v>2956</v>
      </c>
      <c r="B6" s="1601"/>
      <c r="C6" s="1601"/>
      <c r="D6" s="1601"/>
      <c r="E6" s="1602"/>
      <c r="F6" s="162"/>
      <c r="G6" s="162"/>
      <c r="H6" s="162"/>
      <c r="I6" s="162"/>
      <c r="J6" s="162"/>
    </row>
    <row r="7" spans="1:10" ht="24.75" customHeight="1">
      <c r="A7" s="1221" t="s">
        <v>2957</v>
      </c>
      <c r="B7" s="1222" t="s">
        <v>375</v>
      </c>
      <c r="C7" s="1223" t="s">
        <v>376</v>
      </c>
      <c r="D7" s="1224" t="s">
        <v>127</v>
      </c>
      <c r="E7" s="1225" t="s">
        <v>377</v>
      </c>
      <c r="F7" s="162"/>
      <c r="G7" s="162"/>
      <c r="H7" s="162"/>
      <c r="I7" s="1225" t="s">
        <v>377</v>
      </c>
      <c r="J7" s="162"/>
    </row>
    <row r="8" spans="1:10" ht="13.5" customHeight="1">
      <c r="A8" s="1301" t="s">
        <v>4318</v>
      </c>
      <c r="B8" s="1302">
        <v>1</v>
      </c>
      <c r="C8" s="1303" t="s">
        <v>4319</v>
      </c>
      <c r="D8" s="1304"/>
      <c r="E8" s="1305"/>
      <c r="F8" s="162"/>
      <c r="G8" s="162"/>
      <c r="H8" s="162"/>
      <c r="I8" s="1305"/>
      <c r="J8" s="162">
        <v>1.2</v>
      </c>
    </row>
    <row r="9" spans="1:10" ht="13.5" customHeight="1">
      <c r="A9" s="1231"/>
      <c r="B9" s="1232" t="s">
        <v>11</v>
      </c>
      <c r="C9" s="1233" t="s">
        <v>4320</v>
      </c>
      <c r="D9" s="1234" t="s">
        <v>1957</v>
      </c>
      <c r="E9" s="1235">
        <f t="shared" ref="E9:E42" si="0">+J9</f>
        <v>24000</v>
      </c>
      <c r="F9" s="162"/>
      <c r="G9" s="162"/>
      <c r="H9" s="162"/>
      <c r="I9" s="1235">
        <v>20000</v>
      </c>
      <c r="J9" s="162">
        <f t="shared" ref="J9:J127" si="1">+ROUND(I9*$J$8,0)</f>
        <v>24000</v>
      </c>
    </row>
    <row r="10" spans="1:10" ht="13.5" customHeight="1">
      <c r="A10" s="1236"/>
      <c r="B10" s="1237" t="s">
        <v>14</v>
      </c>
      <c r="C10" s="1238" t="s">
        <v>4321</v>
      </c>
      <c r="D10" s="1239" t="s">
        <v>4322</v>
      </c>
      <c r="E10" s="1240">
        <f t="shared" si="0"/>
        <v>84000</v>
      </c>
      <c r="F10" s="162"/>
      <c r="G10" s="162"/>
      <c r="H10" s="162"/>
      <c r="I10" s="1240">
        <v>70000</v>
      </c>
      <c r="J10" s="162">
        <f t="shared" si="1"/>
        <v>84000</v>
      </c>
    </row>
    <row r="11" spans="1:10" ht="13.5" customHeight="1">
      <c r="A11" s="1236"/>
      <c r="B11" s="1237" t="s">
        <v>380</v>
      </c>
      <c r="C11" s="1238" t="s">
        <v>4323</v>
      </c>
      <c r="D11" s="1239" t="s">
        <v>4322</v>
      </c>
      <c r="E11" s="1240">
        <f t="shared" si="0"/>
        <v>60000</v>
      </c>
      <c r="F11" s="162"/>
      <c r="G11" s="162"/>
      <c r="H11" s="162"/>
      <c r="I11" s="1240">
        <v>50000</v>
      </c>
      <c r="J11" s="162">
        <f t="shared" si="1"/>
        <v>60000</v>
      </c>
    </row>
    <row r="12" spans="1:10" ht="13.5" customHeight="1">
      <c r="A12" s="1236"/>
      <c r="B12" s="1237" t="s">
        <v>381</v>
      </c>
      <c r="C12" s="1238" t="s">
        <v>4324</v>
      </c>
      <c r="D12" s="1239" t="s">
        <v>4322</v>
      </c>
      <c r="E12" s="1240">
        <f t="shared" si="0"/>
        <v>9000</v>
      </c>
      <c r="F12" s="162"/>
      <c r="G12" s="162"/>
      <c r="H12" s="162"/>
      <c r="I12" s="1240">
        <f>I13/8</f>
        <v>7500</v>
      </c>
      <c r="J12" s="162">
        <f t="shared" si="1"/>
        <v>9000</v>
      </c>
    </row>
    <row r="13" spans="1:10" ht="13.5" customHeight="1">
      <c r="A13" s="1236"/>
      <c r="B13" s="1237" t="s">
        <v>382</v>
      </c>
      <c r="C13" s="1238" t="s">
        <v>4324</v>
      </c>
      <c r="D13" s="1239" t="s">
        <v>1957</v>
      </c>
      <c r="E13" s="1240">
        <f t="shared" si="0"/>
        <v>72000</v>
      </c>
      <c r="F13" s="162"/>
      <c r="G13" s="162"/>
      <c r="H13" s="162"/>
      <c r="I13" s="1240">
        <v>60000</v>
      </c>
      <c r="J13" s="162">
        <f t="shared" si="1"/>
        <v>72000</v>
      </c>
    </row>
    <row r="14" spans="1:10" ht="13.5" customHeight="1">
      <c r="A14" s="1236"/>
      <c r="B14" s="1237" t="s">
        <v>383</v>
      </c>
      <c r="C14" s="1238" t="s">
        <v>4325</v>
      </c>
      <c r="D14" s="1239" t="s">
        <v>127</v>
      </c>
      <c r="E14" s="1240">
        <f t="shared" si="0"/>
        <v>1020000</v>
      </c>
      <c r="F14" s="162"/>
      <c r="G14" s="162"/>
      <c r="H14" s="162"/>
      <c r="I14" s="1240">
        <v>850000</v>
      </c>
      <c r="J14" s="162">
        <f t="shared" si="1"/>
        <v>1020000</v>
      </c>
    </row>
    <row r="15" spans="1:10" ht="13.5" customHeight="1">
      <c r="A15" s="1236"/>
      <c r="B15" s="1237" t="s">
        <v>384</v>
      </c>
      <c r="C15" s="1238" t="s">
        <v>4326</v>
      </c>
      <c r="D15" s="1239" t="s">
        <v>1957</v>
      </c>
      <c r="E15" s="1240">
        <f t="shared" si="0"/>
        <v>54600</v>
      </c>
      <c r="F15" s="162"/>
      <c r="G15" s="162"/>
      <c r="H15" s="162"/>
      <c r="I15" s="1240">
        <v>45500</v>
      </c>
      <c r="J15" s="162">
        <f t="shared" si="1"/>
        <v>54600</v>
      </c>
    </row>
    <row r="16" spans="1:10" ht="13.5" customHeight="1">
      <c r="A16" s="1236"/>
      <c r="B16" s="1237" t="s">
        <v>385</v>
      </c>
      <c r="C16" s="1238" t="s">
        <v>4327</v>
      </c>
      <c r="D16" s="1239" t="s">
        <v>1957</v>
      </c>
      <c r="E16" s="1240">
        <f t="shared" si="0"/>
        <v>84000</v>
      </c>
      <c r="F16" s="162"/>
      <c r="G16" s="162"/>
      <c r="H16" s="162"/>
      <c r="I16" s="1240">
        <v>70000</v>
      </c>
      <c r="J16" s="162">
        <f t="shared" si="1"/>
        <v>84000</v>
      </c>
    </row>
    <row r="17" spans="1:10" ht="13.5" customHeight="1">
      <c r="A17" s="1236"/>
      <c r="B17" s="1237" t="s">
        <v>386</v>
      </c>
      <c r="C17" s="1238" t="s">
        <v>4328</v>
      </c>
      <c r="D17" s="1239" t="s">
        <v>4322</v>
      </c>
      <c r="E17" s="1240">
        <f t="shared" si="0"/>
        <v>9600</v>
      </c>
      <c r="F17" s="162"/>
      <c r="G17" s="162"/>
      <c r="H17" s="162"/>
      <c r="I17" s="1240">
        <v>8000</v>
      </c>
      <c r="J17" s="162">
        <f t="shared" si="1"/>
        <v>9600</v>
      </c>
    </row>
    <row r="18" spans="1:10" ht="13.5" customHeight="1">
      <c r="A18" s="1236"/>
      <c r="B18" s="1237" t="s">
        <v>1391</v>
      </c>
      <c r="C18" s="1238" t="s">
        <v>1713</v>
      </c>
      <c r="D18" s="1239" t="s">
        <v>1957</v>
      </c>
      <c r="E18" s="1240">
        <f t="shared" si="0"/>
        <v>78000</v>
      </c>
      <c r="F18" s="162"/>
      <c r="G18" s="162"/>
      <c r="H18" s="162"/>
      <c r="I18" s="1240">
        <v>65000</v>
      </c>
      <c r="J18" s="162">
        <f t="shared" si="1"/>
        <v>78000</v>
      </c>
    </row>
    <row r="19" spans="1:10" ht="13.5" customHeight="1">
      <c r="A19" s="1236"/>
      <c r="B19" s="1237" t="s">
        <v>1393</v>
      </c>
      <c r="C19" s="1238" t="s">
        <v>1713</v>
      </c>
      <c r="D19" s="1239" t="s">
        <v>4322</v>
      </c>
      <c r="E19" s="1240">
        <f t="shared" si="0"/>
        <v>9750</v>
      </c>
      <c r="F19" s="162"/>
      <c r="G19" s="162"/>
      <c r="H19" s="162"/>
      <c r="I19" s="1240">
        <f>I18/8</f>
        <v>8125</v>
      </c>
      <c r="J19" s="162">
        <f t="shared" si="1"/>
        <v>9750</v>
      </c>
    </row>
    <row r="20" spans="1:10" ht="13.5" customHeight="1">
      <c r="A20" s="1236"/>
      <c r="B20" s="1237" t="s">
        <v>1395</v>
      </c>
      <c r="C20" s="1238" t="s">
        <v>1689</v>
      </c>
      <c r="D20" s="1239" t="s">
        <v>1957</v>
      </c>
      <c r="E20" s="1240">
        <f t="shared" si="0"/>
        <v>540000</v>
      </c>
      <c r="F20" s="162"/>
      <c r="G20" s="162"/>
      <c r="H20" s="162"/>
      <c r="I20" s="1240">
        <v>450000</v>
      </c>
      <c r="J20" s="162">
        <f t="shared" si="1"/>
        <v>540000</v>
      </c>
    </row>
    <row r="21" spans="1:10" ht="13.5" customHeight="1">
      <c r="A21" s="1236"/>
      <c r="B21" s="1237" t="s">
        <v>1397</v>
      </c>
      <c r="C21" s="1238" t="s">
        <v>4329</v>
      </c>
      <c r="D21" s="1239" t="s">
        <v>4322</v>
      </c>
      <c r="E21" s="1240">
        <f t="shared" si="0"/>
        <v>12000</v>
      </c>
      <c r="F21" s="162"/>
      <c r="G21" s="162"/>
      <c r="H21" s="162"/>
      <c r="I21" s="1240">
        <v>10000</v>
      </c>
      <c r="J21" s="162">
        <f t="shared" si="1"/>
        <v>12000</v>
      </c>
    </row>
    <row r="22" spans="1:10" ht="13.5" customHeight="1">
      <c r="A22" s="1236"/>
      <c r="B22" s="1237" t="s">
        <v>1399</v>
      </c>
      <c r="C22" s="1238" t="s">
        <v>209</v>
      </c>
      <c r="D22" s="1239" t="s">
        <v>1957</v>
      </c>
      <c r="E22" s="1240">
        <f t="shared" si="0"/>
        <v>22800</v>
      </c>
      <c r="F22" s="162"/>
      <c r="G22" s="162"/>
      <c r="H22" s="162"/>
      <c r="I22" s="1240">
        <v>19000</v>
      </c>
      <c r="J22" s="162">
        <f t="shared" si="1"/>
        <v>22800</v>
      </c>
    </row>
    <row r="23" spans="1:10" ht="13.5" customHeight="1">
      <c r="A23" s="1236"/>
      <c r="B23" s="1237" t="s">
        <v>1401</v>
      </c>
      <c r="C23" s="1238" t="s">
        <v>4330</v>
      </c>
      <c r="D23" s="1239" t="s">
        <v>1957</v>
      </c>
      <c r="E23" s="1240">
        <f t="shared" si="0"/>
        <v>42000</v>
      </c>
      <c r="F23" s="162"/>
      <c r="G23" s="162"/>
      <c r="H23" s="162"/>
      <c r="I23" s="1240">
        <v>35000</v>
      </c>
      <c r="J23" s="162">
        <f t="shared" si="1"/>
        <v>42000</v>
      </c>
    </row>
    <row r="24" spans="1:10" ht="13.5" customHeight="1">
      <c r="A24" s="1236"/>
      <c r="B24" s="1237" t="s">
        <v>1403</v>
      </c>
      <c r="C24" s="1238" t="s">
        <v>4331</v>
      </c>
      <c r="D24" s="1239" t="s">
        <v>1957</v>
      </c>
      <c r="E24" s="1240">
        <f t="shared" si="0"/>
        <v>42000</v>
      </c>
      <c r="F24" s="162"/>
      <c r="G24" s="162"/>
      <c r="H24" s="162"/>
      <c r="I24" s="1240">
        <v>35000</v>
      </c>
      <c r="J24" s="162">
        <f t="shared" si="1"/>
        <v>42000</v>
      </c>
    </row>
    <row r="25" spans="1:10" ht="13.5" customHeight="1">
      <c r="A25" s="1236"/>
      <c r="B25" s="1237" t="s">
        <v>2972</v>
      </c>
      <c r="C25" s="1238" t="s">
        <v>4332</v>
      </c>
      <c r="D25" s="1239" t="s">
        <v>1957</v>
      </c>
      <c r="E25" s="1240">
        <f t="shared" si="0"/>
        <v>54000</v>
      </c>
      <c r="F25" s="162"/>
      <c r="G25" s="162"/>
      <c r="H25" s="162"/>
      <c r="I25" s="1240">
        <v>45000</v>
      </c>
      <c r="J25" s="162">
        <f t="shared" si="1"/>
        <v>54000</v>
      </c>
    </row>
    <row r="26" spans="1:10" ht="13.5" customHeight="1">
      <c r="A26" s="1236"/>
      <c r="B26" s="1237" t="s">
        <v>2974</v>
      </c>
      <c r="C26" s="1238" t="s">
        <v>4333</v>
      </c>
      <c r="D26" s="1239" t="s">
        <v>1957</v>
      </c>
      <c r="E26" s="1240">
        <f t="shared" si="0"/>
        <v>66000</v>
      </c>
      <c r="F26" s="162"/>
      <c r="G26" s="162"/>
      <c r="H26" s="162"/>
      <c r="I26" s="1240">
        <v>55000</v>
      </c>
      <c r="J26" s="162">
        <f t="shared" si="1"/>
        <v>66000</v>
      </c>
    </row>
    <row r="27" spans="1:10" ht="13.5" customHeight="1">
      <c r="A27" s="1236"/>
      <c r="B27" s="1237" t="s">
        <v>2976</v>
      </c>
      <c r="C27" s="1238" t="s">
        <v>4334</v>
      </c>
      <c r="D27" s="1239" t="s">
        <v>1957</v>
      </c>
      <c r="E27" s="1240">
        <f t="shared" si="0"/>
        <v>78000</v>
      </c>
      <c r="F27" s="162"/>
      <c r="G27" s="162"/>
      <c r="H27" s="162"/>
      <c r="I27" s="1240">
        <v>65000</v>
      </c>
      <c r="J27" s="162">
        <f t="shared" si="1"/>
        <v>78000</v>
      </c>
    </row>
    <row r="28" spans="1:10" ht="13.5" customHeight="1">
      <c r="A28" s="1236"/>
      <c r="B28" s="1237" t="s">
        <v>2978</v>
      </c>
      <c r="C28" s="1238" t="s">
        <v>4335</v>
      </c>
      <c r="D28" s="1239" t="s">
        <v>4322</v>
      </c>
      <c r="E28" s="1240">
        <f t="shared" si="0"/>
        <v>18000</v>
      </c>
      <c r="F28" s="162"/>
      <c r="G28" s="162"/>
      <c r="H28" s="162"/>
      <c r="I28" s="1240">
        <v>15000</v>
      </c>
      <c r="J28" s="162">
        <f t="shared" si="1"/>
        <v>18000</v>
      </c>
    </row>
    <row r="29" spans="1:10" ht="13.5" customHeight="1">
      <c r="A29" s="1236"/>
      <c r="B29" s="1237" t="s">
        <v>2980</v>
      </c>
      <c r="C29" s="1238" t="s">
        <v>1714</v>
      </c>
      <c r="D29" s="1239" t="s">
        <v>1957</v>
      </c>
      <c r="E29" s="1240">
        <f t="shared" si="0"/>
        <v>42000</v>
      </c>
      <c r="F29" s="162"/>
      <c r="G29" s="162"/>
      <c r="H29" s="162"/>
      <c r="I29" s="1240">
        <f>I30*8</f>
        <v>35000</v>
      </c>
      <c r="J29" s="162">
        <f t="shared" si="1"/>
        <v>42000</v>
      </c>
    </row>
    <row r="30" spans="1:10" ht="13.5" customHeight="1">
      <c r="A30" s="1236"/>
      <c r="B30" s="1237" t="s">
        <v>2982</v>
      </c>
      <c r="C30" s="1238" t="s">
        <v>1714</v>
      </c>
      <c r="D30" s="1239" t="s">
        <v>4322</v>
      </c>
      <c r="E30" s="1240">
        <f t="shared" si="0"/>
        <v>5250</v>
      </c>
      <c r="F30" s="162"/>
      <c r="G30" s="162"/>
      <c r="H30" s="162"/>
      <c r="I30" s="1240">
        <v>4375</v>
      </c>
      <c r="J30" s="162">
        <f t="shared" si="1"/>
        <v>5250</v>
      </c>
    </row>
    <row r="31" spans="1:10" ht="13.5" customHeight="1">
      <c r="A31" s="1236"/>
      <c r="B31" s="1237" t="s">
        <v>2984</v>
      </c>
      <c r="C31" s="1238" t="s">
        <v>4336</v>
      </c>
      <c r="D31" s="1239" t="s">
        <v>1957</v>
      </c>
      <c r="E31" s="1240">
        <f t="shared" si="0"/>
        <v>11400</v>
      </c>
      <c r="F31" s="162"/>
      <c r="G31" s="162"/>
      <c r="H31" s="162"/>
      <c r="I31" s="1240">
        <v>9500</v>
      </c>
      <c r="J31" s="162">
        <f t="shared" si="1"/>
        <v>11400</v>
      </c>
    </row>
    <row r="32" spans="1:10" ht="13.5" customHeight="1">
      <c r="A32" s="1236"/>
      <c r="B32" s="1237" t="s">
        <v>2986</v>
      </c>
      <c r="C32" s="1238" t="s">
        <v>4337</v>
      </c>
      <c r="D32" s="1239" t="s">
        <v>228</v>
      </c>
      <c r="E32" s="1240">
        <f t="shared" si="0"/>
        <v>9060</v>
      </c>
      <c r="F32" s="162"/>
      <c r="G32" s="162"/>
      <c r="H32" s="162"/>
      <c r="I32" s="1240">
        <v>7550</v>
      </c>
      <c r="J32" s="162">
        <f t="shared" si="1"/>
        <v>9060</v>
      </c>
    </row>
    <row r="33" spans="1:10" ht="13.5" customHeight="1">
      <c r="A33" s="1236"/>
      <c r="B33" s="1237" t="s">
        <v>2988</v>
      </c>
      <c r="C33" s="1238" t="s">
        <v>4338</v>
      </c>
      <c r="D33" s="1239" t="s">
        <v>1957</v>
      </c>
      <c r="E33" s="1240">
        <f t="shared" si="0"/>
        <v>49200</v>
      </c>
      <c r="F33" s="162"/>
      <c r="G33" s="162"/>
      <c r="H33" s="162"/>
      <c r="I33" s="1240">
        <v>41000</v>
      </c>
      <c r="J33" s="162">
        <f t="shared" si="1"/>
        <v>49200</v>
      </c>
    </row>
    <row r="34" spans="1:10" ht="13.5" customHeight="1">
      <c r="A34" s="1236"/>
      <c r="B34" s="1237" t="s">
        <v>2990</v>
      </c>
      <c r="C34" s="1238" t="s">
        <v>4339</v>
      </c>
      <c r="D34" s="1239" t="s">
        <v>1957</v>
      </c>
      <c r="E34" s="1240">
        <f t="shared" si="0"/>
        <v>66000</v>
      </c>
      <c r="F34" s="162"/>
      <c r="G34" s="162"/>
      <c r="H34" s="162"/>
      <c r="I34" s="1240">
        <v>55000</v>
      </c>
      <c r="J34" s="162">
        <f t="shared" si="1"/>
        <v>66000</v>
      </c>
    </row>
    <row r="35" spans="1:10" ht="13.5" customHeight="1">
      <c r="A35" s="1236"/>
      <c r="B35" s="1237" t="s">
        <v>2992</v>
      </c>
      <c r="C35" s="1238" t="s">
        <v>4340</v>
      </c>
      <c r="D35" s="1239" t="s">
        <v>127</v>
      </c>
      <c r="E35" s="1240">
        <f t="shared" si="0"/>
        <v>4200</v>
      </c>
      <c r="F35" s="162"/>
      <c r="G35" s="162"/>
      <c r="H35" s="162"/>
      <c r="I35" s="1240">
        <v>3500</v>
      </c>
      <c r="J35" s="162">
        <f t="shared" si="1"/>
        <v>4200</v>
      </c>
    </row>
    <row r="36" spans="1:10" ht="13.5" customHeight="1">
      <c r="A36" s="1236"/>
      <c r="B36" s="1237" t="s">
        <v>2994</v>
      </c>
      <c r="C36" s="1238" t="s">
        <v>4341</v>
      </c>
      <c r="D36" s="1239" t="s">
        <v>127</v>
      </c>
      <c r="E36" s="1240">
        <f t="shared" si="0"/>
        <v>60000</v>
      </c>
      <c r="F36" s="162"/>
      <c r="G36" s="162"/>
      <c r="H36" s="162"/>
      <c r="I36" s="1240">
        <v>50000</v>
      </c>
      <c r="J36" s="162">
        <f t="shared" si="1"/>
        <v>60000</v>
      </c>
    </row>
    <row r="37" spans="1:10" ht="13.5" customHeight="1">
      <c r="A37" s="1236"/>
      <c r="B37" s="1237" t="s">
        <v>2996</v>
      </c>
      <c r="C37" s="1238" t="s">
        <v>4342</v>
      </c>
      <c r="D37" s="1239" t="s">
        <v>1957</v>
      </c>
      <c r="E37" s="1240">
        <f t="shared" si="0"/>
        <v>39600</v>
      </c>
      <c r="F37" s="162"/>
      <c r="G37" s="162"/>
      <c r="H37" s="162"/>
      <c r="I37" s="1240">
        <v>33000</v>
      </c>
      <c r="J37" s="162">
        <f t="shared" si="1"/>
        <v>39600</v>
      </c>
    </row>
    <row r="38" spans="1:10" ht="13.5" customHeight="1">
      <c r="A38" s="1236"/>
      <c r="B38" s="1237" t="s">
        <v>2998</v>
      </c>
      <c r="C38" s="1238" t="s">
        <v>211</v>
      </c>
      <c r="D38" s="1239" t="s">
        <v>1957</v>
      </c>
      <c r="E38" s="1240">
        <f t="shared" si="0"/>
        <v>36000</v>
      </c>
      <c r="F38" s="162"/>
      <c r="G38" s="162"/>
      <c r="H38" s="162"/>
      <c r="I38" s="1240">
        <v>30000</v>
      </c>
      <c r="J38" s="162">
        <f t="shared" si="1"/>
        <v>36000</v>
      </c>
    </row>
    <row r="39" spans="1:10" ht="13.5" customHeight="1">
      <c r="A39" s="1236"/>
      <c r="B39" s="1237" t="s">
        <v>3000</v>
      </c>
      <c r="C39" s="1238" t="s">
        <v>4343</v>
      </c>
      <c r="D39" s="1239" t="s">
        <v>1957</v>
      </c>
      <c r="E39" s="1240">
        <f t="shared" si="0"/>
        <v>43200</v>
      </c>
      <c r="F39" s="162"/>
      <c r="G39" s="162"/>
      <c r="H39" s="162"/>
      <c r="I39" s="1240">
        <v>36000</v>
      </c>
      <c r="J39" s="162">
        <f t="shared" si="1"/>
        <v>43200</v>
      </c>
    </row>
    <row r="40" spans="1:10" ht="13.5" customHeight="1">
      <c r="A40" s="1236"/>
      <c r="B40" s="1237" t="s">
        <v>3002</v>
      </c>
      <c r="C40" s="1238" t="s">
        <v>4344</v>
      </c>
      <c r="D40" s="1239" t="s">
        <v>1957</v>
      </c>
      <c r="E40" s="1240">
        <f t="shared" si="0"/>
        <v>72000</v>
      </c>
      <c r="F40" s="162"/>
      <c r="G40" s="162"/>
      <c r="H40" s="162"/>
      <c r="I40" s="1240">
        <v>60000</v>
      </c>
      <c r="J40" s="162">
        <f t="shared" si="1"/>
        <v>72000</v>
      </c>
    </row>
    <row r="41" spans="1:10" ht="13.5" customHeight="1">
      <c r="A41" s="1236"/>
      <c r="B41" s="1237" t="s">
        <v>3004</v>
      </c>
      <c r="C41" s="1238" t="s">
        <v>4345</v>
      </c>
      <c r="D41" s="1239" t="s">
        <v>1957</v>
      </c>
      <c r="E41" s="1240">
        <f t="shared" si="0"/>
        <v>72000</v>
      </c>
      <c r="F41" s="162"/>
      <c r="G41" s="162"/>
      <c r="H41" s="162"/>
      <c r="I41" s="1240">
        <v>60000</v>
      </c>
      <c r="J41" s="162">
        <f t="shared" si="1"/>
        <v>72000</v>
      </c>
    </row>
    <row r="42" spans="1:10" ht="13.5" customHeight="1">
      <c r="A42" s="1236"/>
      <c r="B42" s="1237" t="s">
        <v>3006</v>
      </c>
      <c r="C42" s="1238" t="s">
        <v>4346</v>
      </c>
      <c r="D42" s="1239" t="s">
        <v>1957</v>
      </c>
      <c r="E42" s="1240">
        <f t="shared" si="0"/>
        <v>72000</v>
      </c>
      <c r="F42" s="162"/>
      <c r="G42" s="162"/>
      <c r="H42" s="162"/>
      <c r="I42" s="1240">
        <v>60000</v>
      </c>
      <c r="J42" s="162">
        <f t="shared" si="1"/>
        <v>72000</v>
      </c>
    </row>
    <row r="43" spans="1:10" ht="13.5" customHeight="1">
      <c r="A43" s="1236"/>
      <c r="B43" s="1237"/>
      <c r="C43" s="1238"/>
      <c r="D43" s="1239"/>
      <c r="E43" s="1240"/>
      <c r="F43" s="162"/>
      <c r="G43" s="162"/>
      <c r="H43" s="162"/>
      <c r="I43" s="1240"/>
      <c r="J43" s="162">
        <f t="shared" si="1"/>
        <v>0</v>
      </c>
    </row>
    <row r="44" spans="1:10" ht="13.5" customHeight="1">
      <c r="A44" s="1306"/>
      <c r="B44" s="1307"/>
      <c r="C44" s="2242"/>
      <c r="D44" s="1601"/>
      <c r="E44" s="1602"/>
      <c r="F44" s="162"/>
      <c r="G44" s="162"/>
      <c r="H44" s="162"/>
      <c r="I44" s="162"/>
      <c r="J44" s="162">
        <f t="shared" si="1"/>
        <v>0</v>
      </c>
    </row>
    <row r="45" spans="1:10" ht="3.75" customHeight="1">
      <c r="A45" s="1254"/>
      <c r="B45" s="1255"/>
      <c r="C45" s="1256"/>
      <c r="D45" s="1257"/>
      <c r="E45" s="1258"/>
      <c r="F45" s="162"/>
      <c r="G45" s="162"/>
      <c r="H45" s="162"/>
      <c r="I45" s="1258"/>
      <c r="J45" s="162">
        <f t="shared" si="1"/>
        <v>0</v>
      </c>
    </row>
    <row r="46" spans="1:10" ht="13.5" customHeight="1">
      <c r="A46" s="1301" t="s">
        <v>4347</v>
      </c>
      <c r="B46" s="1302">
        <v>2</v>
      </c>
      <c r="C46" s="1303" t="s">
        <v>1949</v>
      </c>
      <c r="D46" s="1304"/>
      <c r="E46" s="1305"/>
      <c r="F46" s="162"/>
      <c r="G46" s="162"/>
      <c r="H46" s="162"/>
      <c r="I46" s="1305"/>
      <c r="J46" s="162">
        <f t="shared" si="1"/>
        <v>0</v>
      </c>
    </row>
    <row r="47" spans="1:10" ht="13.5" customHeight="1">
      <c r="A47" s="1236"/>
      <c r="B47" s="1237" t="s">
        <v>18</v>
      </c>
      <c r="C47" s="1238" t="s">
        <v>4348</v>
      </c>
      <c r="D47" s="1239" t="s">
        <v>2867</v>
      </c>
      <c r="E47" s="1240">
        <v>1750</v>
      </c>
      <c r="F47" s="162"/>
      <c r="G47" s="162"/>
      <c r="H47" s="162"/>
      <c r="I47" s="1240">
        <v>1750</v>
      </c>
      <c r="J47" s="162">
        <f t="shared" si="1"/>
        <v>2100</v>
      </c>
    </row>
    <row r="48" spans="1:10" ht="13.5" customHeight="1">
      <c r="A48" s="1236"/>
      <c r="B48" s="1237" t="s">
        <v>21</v>
      </c>
      <c r="C48" s="1238" t="s">
        <v>4349</v>
      </c>
      <c r="D48" s="1239" t="s">
        <v>127</v>
      </c>
      <c r="E48" s="1240">
        <v>4500</v>
      </c>
      <c r="F48" s="162"/>
      <c r="G48" s="162"/>
      <c r="H48" s="162"/>
      <c r="I48" s="1240">
        <v>4500</v>
      </c>
      <c r="J48" s="162">
        <f t="shared" si="1"/>
        <v>5400</v>
      </c>
    </row>
    <row r="49" spans="1:10" ht="13.5" customHeight="1">
      <c r="A49" s="1236"/>
      <c r="B49" s="1237" t="s">
        <v>23</v>
      </c>
      <c r="C49" s="1238" t="s">
        <v>4350</v>
      </c>
      <c r="D49" s="1239" t="s">
        <v>127</v>
      </c>
      <c r="E49" s="1240">
        <v>4150</v>
      </c>
      <c r="F49" s="162"/>
      <c r="G49" s="162"/>
      <c r="H49" s="162"/>
      <c r="I49" s="1240">
        <v>4150</v>
      </c>
      <c r="J49" s="162">
        <f t="shared" si="1"/>
        <v>4980</v>
      </c>
    </row>
    <row r="50" spans="1:10" ht="13.5" customHeight="1">
      <c r="A50" s="1236"/>
      <c r="B50" s="1237" t="s">
        <v>25</v>
      </c>
      <c r="C50" s="1238" t="s">
        <v>4351</v>
      </c>
      <c r="D50" s="1239" t="s">
        <v>116</v>
      </c>
      <c r="E50" s="1240">
        <v>75000</v>
      </c>
      <c r="F50" s="162"/>
      <c r="G50" s="162"/>
      <c r="H50" s="162"/>
      <c r="I50" s="1240">
        <v>75000</v>
      </c>
      <c r="J50" s="162">
        <f t="shared" si="1"/>
        <v>90000</v>
      </c>
    </row>
    <row r="51" spans="1:10" ht="13.5" customHeight="1">
      <c r="A51" s="1236"/>
      <c r="B51" s="1237" t="s">
        <v>27</v>
      </c>
      <c r="C51" s="1238" t="s">
        <v>4352</v>
      </c>
      <c r="D51" s="1239" t="s">
        <v>116</v>
      </c>
      <c r="E51" s="1240">
        <v>125000</v>
      </c>
      <c r="F51" s="162"/>
      <c r="G51" s="162"/>
      <c r="H51" s="162"/>
      <c r="I51" s="1240">
        <v>125000</v>
      </c>
      <c r="J51" s="162">
        <f t="shared" si="1"/>
        <v>150000</v>
      </c>
    </row>
    <row r="52" spans="1:10" ht="13.5" customHeight="1">
      <c r="A52" s="1236"/>
      <c r="B52" s="1237" t="s">
        <v>29</v>
      </c>
      <c r="C52" s="1238" t="s">
        <v>4353</v>
      </c>
      <c r="D52" s="1239" t="s">
        <v>127</v>
      </c>
      <c r="E52" s="1240">
        <v>1750</v>
      </c>
      <c r="F52" s="162"/>
      <c r="G52" s="162"/>
      <c r="H52" s="162"/>
      <c r="I52" s="1240">
        <v>1750</v>
      </c>
      <c r="J52" s="162">
        <f t="shared" si="1"/>
        <v>2100</v>
      </c>
    </row>
    <row r="53" spans="1:10" ht="13.5" customHeight="1">
      <c r="A53" s="1236"/>
      <c r="B53" s="1237" t="s">
        <v>31</v>
      </c>
      <c r="C53" s="1238" t="s">
        <v>4354</v>
      </c>
      <c r="D53" s="1239" t="s">
        <v>127</v>
      </c>
      <c r="E53" s="1240">
        <v>1750</v>
      </c>
      <c r="F53" s="162"/>
      <c r="G53" s="162"/>
      <c r="H53" s="162"/>
      <c r="I53" s="1240">
        <v>1750</v>
      </c>
      <c r="J53" s="162">
        <f t="shared" si="1"/>
        <v>2100</v>
      </c>
    </row>
    <row r="54" spans="1:10" ht="13.5" customHeight="1">
      <c r="A54" s="1236"/>
      <c r="B54" s="1237" t="s">
        <v>33</v>
      </c>
      <c r="C54" s="1238" t="s">
        <v>4355</v>
      </c>
      <c r="D54" s="1239" t="s">
        <v>127</v>
      </c>
      <c r="E54" s="1240">
        <v>20000</v>
      </c>
      <c r="F54" s="162"/>
      <c r="G54" s="162"/>
      <c r="H54" s="162"/>
      <c r="I54" s="1240">
        <v>20000</v>
      </c>
      <c r="J54" s="162">
        <f t="shared" si="1"/>
        <v>24000</v>
      </c>
    </row>
    <row r="55" spans="1:10" ht="13.5" customHeight="1">
      <c r="A55" s="1236"/>
      <c r="B55" s="1237" t="s">
        <v>292</v>
      </c>
      <c r="C55" s="1238" t="s">
        <v>4356</v>
      </c>
      <c r="D55" s="1239" t="s">
        <v>127</v>
      </c>
      <c r="E55" s="1240">
        <v>5000</v>
      </c>
      <c r="F55" s="162"/>
      <c r="G55" s="162"/>
      <c r="H55" s="162"/>
      <c r="I55" s="1240">
        <v>5000</v>
      </c>
      <c r="J55" s="162">
        <f t="shared" si="1"/>
        <v>6000</v>
      </c>
    </row>
    <row r="56" spans="1:10" ht="13.5" customHeight="1">
      <c r="A56" s="1236"/>
      <c r="B56" s="1237" t="s">
        <v>390</v>
      </c>
      <c r="C56" s="1238" t="s">
        <v>4357</v>
      </c>
      <c r="D56" s="1239" t="s">
        <v>116</v>
      </c>
      <c r="E56" s="1240">
        <v>3000</v>
      </c>
      <c r="F56" s="162"/>
      <c r="G56" s="162"/>
      <c r="H56" s="162"/>
      <c r="I56" s="1240">
        <v>3000</v>
      </c>
      <c r="J56" s="162">
        <f t="shared" si="1"/>
        <v>3600</v>
      </c>
    </row>
    <row r="57" spans="1:10" ht="13.5" customHeight="1">
      <c r="A57" s="1236"/>
      <c r="B57" s="1237" t="s">
        <v>391</v>
      </c>
      <c r="C57" s="1238" t="s">
        <v>4358</v>
      </c>
      <c r="D57" s="1239" t="s">
        <v>127</v>
      </c>
      <c r="E57" s="1240">
        <v>25000</v>
      </c>
      <c r="F57" s="162"/>
      <c r="G57" s="162"/>
      <c r="H57" s="162"/>
      <c r="I57" s="1240">
        <v>25000</v>
      </c>
      <c r="J57" s="162">
        <f t="shared" si="1"/>
        <v>30000</v>
      </c>
    </row>
    <row r="58" spans="1:10" ht="13.5" customHeight="1">
      <c r="A58" s="1236"/>
      <c r="B58" s="1237" t="s">
        <v>3174</v>
      </c>
      <c r="C58" s="1238" t="s">
        <v>4359</v>
      </c>
      <c r="D58" s="1239" t="s">
        <v>120</v>
      </c>
      <c r="E58" s="1240">
        <v>1000</v>
      </c>
      <c r="F58" s="162"/>
      <c r="G58" s="162"/>
      <c r="H58" s="162"/>
      <c r="I58" s="1240">
        <v>1000</v>
      </c>
      <c r="J58" s="162">
        <f t="shared" si="1"/>
        <v>1200</v>
      </c>
    </row>
    <row r="59" spans="1:10" ht="13.5" customHeight="1">
      <c r="A59" s="1236"/>
      <c r="B59" s="1237" t="s">
        <v>3176</v>
      </c>
      <c r="C59" s="1238" t="s">
        <v>4360</v>
      </c>
      <c r="D59" s="1239" t="s">
        <v>116</v>
      </c>
      <c r="E59" s="1240">
        <v>110000</v>
      </c>
      <c r="F59" s="162"/>
      <c r="G59" s="162"/>
      <c r="H59" s="162"/>
      <c r="I59" s="1240">
        <v>110000</v>
      </c>
      <c r="J59" s="162">
        <f t="shared" si="1"/>
        <v>132000</v>
      </c>
    </row>
    <row r="60" spans="1:10" ht="13.5" customHeight="1">
      <c r="A60" s="1236"/>
      <c r="B60" s="1237" t="s">
        <v>3178</v>
      </c>
      <c r="C60" s="1238" t="s">
        <v>4361</v>
      </c>
      <c r="D60" s="1239" t="s">
        <v>127</v>
      </c>
      <c r="E60" s="1240">
        <v>15000</v>
      </c>
      <c r="F60" s="162"/>
      <c r="G60" s="162"/>
      <c r="H60" s="162"/>
      <c r="I60" s="1240">
        <v>15000</v>
      </c>
      <c r="J60" s="162">
        <f t="shared" si="1"/>
        <v>18000</v>
      </c>
    </row>
    <row r="61" spans="1:10" ht="13.5" customHeight="1">
      <c r="A61" s="1236"/>
      <c r="B61" s="1237" t="s">
        <v>3180</v>
      </c>
      <c r="C61" s="1238" t="s">
        <v>4362</v>
      </c>
      <c r="D61" s="1239" t="s">
        <v>1957</v>
      </c>
      <c r="E61" s="1240">
        <v>90000</v>
      </c>
      <c r="F61" s="162"/>
      <c r="G61" s="162"/>
      <c r="H61" s="162"/>
      <c r="I61" s="1240">
        <v>90000</v>
      </c>
      <c r="J61" s="162">
        <f t="shared" si="1"/>
        <v>108000</v>
      </c>
    </row>
    <row r="62" spans="1:10" ht="13.5" customHeight="1">
      <c r="A62" s="1236"/>
      <c r="B62" s="1237" t="s">
        <v>3182</v>
      </c>
      <c r="C62" s="1238" t="s">
        <v>4363</v>
      </c>
      <c r="D62" s="1239" t="s">
        <v>116</v>
      </c>
      <c r="E62" s="1240">
        <v>30000</v>
      </c>
      <c r="F62" s="162"/>
      <c r="G62" s="162"/>
      <c r="H62" s="162"/>
      <c r="I62" s="1240">
        <v>30000</v>
      </c>
      <c r="J62" s="162">
        <f t="shared" si="1"/>
        <v>36000</v>
      </c>
    </row>
    <row r="63" spans="1:10" ht="13.5" customHeight="1">
      <c r="A63" s="1236"/>
      <c r="B63" s="1237" t="s">
        <v>3184</v>
      </c>
      <c r="C63" s="1238" t="s">
        <v>4364</v>
      </c>
      <c r="D63" s="1239" t="s">
        <v>116</v>
      </c>
      <c r="E63" s="1240">
        <v>45000</v>
      </c>
      <c r="F63" s="162"/>
      <c r="G63" s="162"/>
      <c r="H63" s="162"/>
      <c r="I63" s="1240">
        <v>45000</v>
      </c>
      <c r="J63" s="162">
        <f t="shared" si="1"/>
        <v>54000</v>
      </c>
    </row>
    <row r="64" spans="1:10" ht="13.5" customHeight="1">
      <c r="A64" s="1236"/>
      <c r="B64" s="1237" t="s">
        <v>3186</v>
      </c>
      <c r="C64" s="1238" t="s">
        <v>4365</v>
      </c>
      <c r="D64" s="1239" t="s">
        <v>116</v>
      </c>
      <c r="E64" s="1240">
        <v>50000</v>
      </c>
      <c r="F64" s="162"/>
      <c r="G64" s="162"/>
      <c r="H64" s="162"/>
      <c r="I64" s="1240">
        <v>50000</v>
      </c>
      <c r="J64" s="162">
        <f t="shared" si="1"/>
        <v>60000</v>
      </c>
    </row>
    <row r="65" spans="1:10" ht="13.5" customHeight="1">
      <c r="A65" s="1236"/>
      <c r="B65" s="1237" t="s">
        <v>3188</v>
      </c>
      <c r="C65" s="1238" t="s">
        <v>4366</v>
      </c>
      <c r="D65" s="1239" t="s">
        <v>116</v>
      </c>
      <c r="E65" s="1240">
        <v>85000</v>
      </c>
      <c r="F65" s="162"/>
      <c r="G65" s="162"/>
      <c r="H65" s="162"/>
      <c r="I65" s="1240">
        <v>85000</v>
      </c>
      <c r="J65" s="162">
        <f t="shared" si="1"/>
        <v>102000</v>
      </c>
    </row>
    <row r="66" spans="1:10" ht="13.5" customHeight="1">
      <c r="A66" s="1236"/>
      <c r="B66" s="1237" t="s">
        <v>3190</v>
      </c>
      <c r="C66" s="1238" t="s">
        <v>4367</v>
      </c>
      <c r="D66" s="1239" t="s">
        <v>116</v>
      </c>
      <c r="E66" s="1240">
        <v>55000</v>
      </c>
      <c r="F66" s="162"/>
      <c r="G66" s="162"/>
      <c r="H66" s="162"/>
      <c r="I66" s="1240">
        <v>55000</v>
      </c>
      <c r="J66" s="162">
        <f t="shared" si="1"/>
        <v>66000</v>
      </c>
    </row>
    <row r="67" spans="1:10" ht="42.75" customHeight="1">
      <c r="A67" s="1236"/>
      <c r="B67" s="1237" t="s">
        <v>3191</v>
      </c>
      <c r="C67" s="1238" t="s">
        <v>4368</v>
      </c>
      <c r="D67" s="1239" t="s">
        <v>116</v>
      </c>
      <c r="E67" s="1240">
        <v>85000</v>
      </c>
      <c r="F67" s="162"/>
      <c r="G67" s="162"/>
      <c r="H67" s="162"/>
      <c r="I67" s="1240">
        <v>85000</v>
      </c>
      <c r="J67" s="162">
        <f t="shared" si="1"/>
        <v>102000</v>
      </c>
    </row>
    <row r="68" spans="1:10" ht="13.5" customHeight="1">
      <c r="A68" s="1236"/>
      <c r="B68" s="1237" t="s">
        <v>3193</v>
      </c>
      <c r="C68" s="1238" t="s">
        <v>4369</v>
      </c>
      <c r="D68" s="1239" t="s">
        <v>116</v>
      </c>
      <c r="E68" s="1240">
        <v>95000</v>
      </c>
      <c r="F68" s="162"/>
      <c r="G68" s="162"/>
      <c r="H68" s="162"/>
      <c r="I68" s="1240">
        <v>95000</v>
      </c>
      <c r="J68" s="162">
        <f t="shared" si="1"/>
        <v>114000</v>
      </c>
    </row>
    <row r="69" spans="1:10" ht="13.5" customHeight="1">
      <c r="A69" s="1236"/>
      <c r="B69" s="1237" t="s">
        <v>3195</v>
      </c>
      <c r="C69" s="1238" t="s">
        <v>4370</v>
      </c>
      <c r="D69" s="1239" t="s">
        <v>116</v>
      </c>
      <c r="E69" s="1240">
        <v>55000</v>
      </c>
      <c r="F69" s="162"/>
      <c r="G69" s="162"/>
      <c r="H69" s="162"/>
      <c r="I69" s="1240">
        <v>55000</v>
      </c>
      <c r="J69" s="162">
        <f t="shared" si="1"/>
        <v>66000</v>
      </c>
    </row>
    <row r="70" spans="1:10" ht="13.5" customHeight="1">
      <c r="A70" s="1236"/>
      <c r="B70" s="1237" t="s">
        <v>3197</v>
      </c>
      <c r="C70" s="1238" t="s">
        <v>2945</v>
      </c>
      <c r="D70" s="1239" t="s">
        <v>228</v>
      </c>
      <c r="E70" s="1240">
        <v>11500</v>
      </c>
      <c r="F70" s="162"/>
      <c r="G70" s="162"/>
      <c r="H70" s="162"/>
      <c r="I70" s="1240">
        <v>11500</v>
      </c>
      <c r="J70" s="162">
        <f t="shared" si="1"/>
        <v>13800</v>
      </c>
    </row>
    <row r="71" spans="1:10" ht="13.5" customHeight="1">
      <c r="A71" s="1236"/>
      <c r="B71" s="1237" t="s">
        <v>3199</v>
      </c>
      <c r="C71" s="1238" t="s">
        <v>4371</v>
      </c>
      <c r="D71" s="1239" t="s">
        <v>116</v>
      </c>
      <c r="E71" s="1240">
        <v>95000</v>
      </c>
      <c r="F71" s="162"/>
      <c r="G71" s="162"/>
      <c r="H71" s="162"/>
      <c r="I71" s="1240">
        <v>95000</v>
      </c>
      <c r="J71" s="162">
        <f t="shared" si="1"/>
        <v>114000</v>
      </c>
    </row>
    <row r="72" spans="1:10" ht="13.5" customHeight="1">
      <c r="A72" s="1236"/>
      <c r="B72" s="1237" t="s">
        <v>3201</v>
      </c>
      <c r="C72" s="1238" t="s">
        <v>212</v>
      </c>
      <c r="D72" s="1239" t="s">
        <v>116</v>
      </c>
      <c r="E72" s="1240">
        <v>15000</v>
      </c>
      <c r="F72" s="162"/>
      <c r="G72" s="162"/>
      <c r="H72" s="162"/>
      <c r="I72" s="1240">
        <v>15000</v>
      </c>
      <c r="J72" s="162">
        <f t="shared" si="1"/>
        <v>18000</v>
      </c>
    </row>
    <row r="73" spans="1:10" ht="13.5" customHeight="1">
      <c r="A73" s="1236"/>
      <c r="B73" s="1237" t="s">
        <v>3203</v>
      </c>
      <c r="C73" s="1238" t="s">
        <v>4372</v>
      </c>
      <c r="D73" s="1239" t="s">
        <v>116</v>
      </c>
      <c r="E73" s="1240">
        <v>180000</v>
      </c>
      <c r="F73" s="162"/>
      <c r="G73" s="162"/>
      <c r="H73" s="162"/>
      <c r="I73" s="1240">
        <v>180000</v>
      </c>
      <c r="J73" s="162">
        <f t="shared" si="1"/>
        <v>216000</v>
      </c>
    </row>
    <row r="74" spans="1:10" ht="13.5" customHeight="1">
      <c r="A74" s="1236"/>
      <c r="B74" s="1237" t="s">
        <v>3205</v>
      </c>
      <c r="C74" s="1238" t="s">
        <v>4373</v>
      </c>
      <c r="D74" s="1239" t="s">
        <v>116</v>
      </c>
      <c r="E74" s="1240">
        <v>125000</v>
      </c>
      <c r="F74" s="162"/>
      <c r="G74" s="162"/>
      <c r="H74" s="162"/>
      <c r="I74" s="1240">
        <v>125000</v>
      </c>
      <c r="J74" s="162">
        <f t="shared" si="1"/>
        <v>150000</v>
      </c>
    </row>
    <row r="75" spans="1:10" ht="13.5" customHeight="1">
      <c r="A75" s="1236"/>
      <c r="B75" s="1237" t="s">
        <v>3207</v>
      </c>
      <c r="C75" s="1238" t="s">
        <v>4374</v>
      </c>
      <c r="D75" s="1239" t="s">
        <v>127</v>
      </c>
      <c r="E75" s="1240">
        <v>4150</v>
      </c>
      <c r="F75" s="162"/>
      <c r="G75" s="162"/>
      <c r="H75" s="162"/>
      <c r="I75" s="1240">
        <v>4150</v>
      </c>
      <c r="J75" s="162">
        <f t="shared" si="1"/>
        <v>4980</v>
      </c>
    </row>
    <row r="76" spans="1:10" ht="13.5" customHeight="1">
      <c r="A76" s="1236"/>
      <c r="B76" s="1237" t="s">
        <v>3209</v>
      </c>
      <c r="C76" s="1238" t="s">
        <v>4375</v>
      </c>
      <c r="D76" s="1239" t="s">
        <v>127</v>
      </c>
      <c r="E76" s="1240">
        <v>1500</v>
      </c>
      <c r="F76" s="162"/>
      <c r="G76" s="162"/>
      <c r="H76" s="162"/>
      <c r="I76" s="1240">
        <v>1500</v>
      </c>
      <c r="J76" s="162">
        <f t="shared" si="1"/>
        <v>1800</v>
      </c>
    </row>
    <row r="77" spans="1:10" ht="13.5" customHeight="1">
      <c r="A77" s="1236"/>
      <c r="B77" s="1237" t="s">
        <v>3211</v>
      </c>
      <c r="C77" s="1238" t="s">
        <v>4376</v>
      </c>
      <c r="D77" s="1239" t="s">
        <v>1957</v>
      </c>
      <c r="E77" s="1240">
        <v>350</v>
      </c>
      <c r="F77" s="162"/>
      <c r="G77" s="162"/>
      <c r="H77" s="162"/>
      <c r="I77" s="1240">
        <v>350</v>
      </c>
      <c r="J77" s="162">
        <f t="shared" si="1"/>
        <v>420</v>
      </c>
    </row>
    <row r="78" spans="1:10" ht="24.75" customHeight="1">
      <c r="A78" s="1236"/>
      <c r="B78" s="1237" t="s">
        <v>3213</v>
      </c>
      <c r="C78" s="1238" t="s">
        <v>2886</v>
      </c>
      <c r="D78" s="1239" t="s">
        <v>4377</v>
      </c>
      <c r="E78" s="1240">
        <v>300</v>
      </c>
      <c r="F78" s="162"/>
      <c r="G78" s="162"/>
      <c r="H78" s="162"/>
      <c r="I78" s="1240">
        <v>300</v>
      </c>
      <c r="J78" s="162">
        <f t="shared" si="1"/>
        <v>360</v>
      </c>
    </row>
    <row r="79" spans="1:10" ht="13.5" customHeight="1">
      <c r="A79" s="1244"/>
      <c r="B79" s="1237" t="s">
        <v>3215</v>
      </c>
      <c r="C79" s="1308" t="s">
        <v>4378</v>
      </c>
      <c r="D79" s="1246" t="s">
        <v>1569</v>
      </c>
      <c r="E79" s="1309">
        <v>7000</v>
      </c>
      <c r="F79" s="162"/>
      <c r="G79" s="162"/>
      <c r="H79" s="162"/>
      <c r="I79" s="1309">
        <v>7000</v>
      </c>
      <c r="J79" s="162">
        <f t="shared" si="1"/>
        <v>8400</v>
      </c>
    </row>
    <row r="80" spans="1:10" ht="13.5" customHeight="1">
      <c r="A80" s="1248"/>
      <c r="B80" s="1249"/>
      <c r="C80" s="1250"/>
      <c r="D80" s="1251"/>
      <c r="E80" s="1252"/>
      <c r="F80" s="162"/>
      <c r="G80" s="162"/>
      <c r="H80" s="162"/>
      <c r="I80" s="1252"/>
      <c r="J80" s="162">
        <f t="shared" si="1"/>
        <v>0</v>
      </c>
    </row>
    <row r="81" spans="1:10" ht="13.5" customHeight="1">
      <c r="A81" s="1306"/>
      <c r="B81" s="1307"/>
      <c r="C81" s="2242"/>
      <c r="D81" s="1601"/>
      <c r="E81" s="1602"/>
      <c r="F81" s="162"/>
      <c r="G81" s="162"/>
      <c r="H81" s="162"/>
      <c r="I81" s="162"/>
      <c r="J81" s="162">
        <f t="shared" si="1"/>
        <v>0</v>
      </c>
    </row>
    <row r="82" spans="1:10" ht="3.75" customHeight="1">
      <c r="A82" s="1254"/>
      <c r="B82" s="1255"/>
      <c r="C82" s="1256"/>
      <c r="D82" s="1257"/>
      <c r="E82" s="1258"/>
      <c r="F82" s="162"/>
      <c r="G82" s="162"/>
      <c r="H82" s="162"/>
      <c r="I82" s="1258"/>
      <c r="J82" s="162">
        <f t="shared" si="1"/>
        <v>0</v>
      </c>
    </row>
    <row r="83" spans="1:10" ht="13.5" customHeight="1">
      <c r="A83" s="1301" t="s">
        <v>4379</v>
      </c>
      <c r="B83" s="1302">
        <v>3</v>
      </c>
      <c r="C83" s="1303" t="s">
        <v>4380</v>
      </c>
      <c r="D83" s="1304"/>
      <c r="E83" s="1305"/>
      <c r="F83" s="162"/>
      <c r="G83" s="162"/>
      <c r="H83" s="162"/>
      <c r="I83" s="1305"/>
      <c r="J83" s="162">
        <f t="shared" si="1"/>
        <v>0</v>
      </c>
    </row>
    <row r="84" spans="1:10" ht="13.5" customHeight="1">
      <c r="A84" s="1231"/>
      <c r="B84" s="1232" t="s">
        <v>36</v>
      </c>
      <c r="C84" s="1233" t="s">
        <v>4381</v>
      </c>
      <c r="D84" s="1234" t="s">
        <v>1957</v>
      </c>
      <c r="E84" s="1235">
        <v>120000</v>
      </c>
      <c r="F84" s="162"/>
      <c r="G84" s="162"/>
      <c r="H84" s="162"/>
      <c r="I84" s="1240">
        <v>120000</v>
      </c>
      <c r="J84" s="162">
        <f t="shared" si="1"/>
        <v>144000</v>
      </c>
    </row>
    <row r="85" spans="1:10" ht="13.5" customHeight="1">
      <c r="A85" s="1236"/>
      <c r="B85" s="1237" t="s">
        <v>38</v>
      </c>
      <c r="C85" s="1238" t="s">
        <v>4381</v>
      </c>
      <c r="D85" s="1239" t="s">
        <v>4322</v>
      </c>
      <c r="E85" s="1240">
        <v>15000</v>
      </c>
      <c r="F85" s="162"/>
      <c r="G85" s="162"/>
      <c r="H85" s="162"/>
      <c r="I85" s="1240">
        <v>15000</v>
      </c>
      <c r="J85" s="162">
        <f t="shared" si="1"/>
        <v>18000</v>
      </c>
    </row>
    <row r="86" spans="1:10" ht="13.5" customHeight="1">
      <c r="A86" s="1236"/>
      <c r="B86" s="1237" t="s">
        <v>40</v>
      </c>
      <c r="C86" s="1238" t="s">
        <v>4382</v>
      </c>
      <c r="D86" s="1239" t="s">
        <v>4322</v>
      </c>
      <c r="E86" s="1240">
        <v>100000</v>
      </c>
      <c r="F86" s="162"/>
      <c r="G86" s="162"/>
      <c r="H86" s="162"/>
      <c r="I86" s="1240">
        <v>100000</v>
      </c>
      <c r="J86" s="162">
        <f t="shared" si="1"/>
        <v>120000</v>
      </c>
    </row>
    <row r="87" spans="1:10" ht="13.5" customHeight="1">
      <c r="A87" s="1236"/>
      <c r="B87" s="1237" t="s">
        <v>42</v>
      </c>
      <c r="C87" s="1238" t="s">
        <v>4383</v>
      </c>
      <c r="D87" s="1239" t="s">
        <v>4322</v>
      </c>
      <c r="E87" s="1240">
        <v>110000</v>
      </c>
      <c r="F87" s="162"/>
      <c r="G87" s="162"/>
      <c r="H87" s="162"/>
      <c r="I87" s="1240">
        <v>110000</v>
      </c>
      <c r="J87" s="162">
        <f t="shared" si="1"/>
        <v>132000</v>
      </c>
    </row>
    <row r="88" spans="1:10" ht="13.5" customHeight="1">
      <c r="A88" s="1236"/>
      <c r="B88" s="1237" t="s">
        <v>45</v>
      </c>
      <c r="C88" s="1238" t="s">
        <v>4384</v>
      </c>
      <c r="D88" s="1239" t="s">
        <v>4322</v>
      </c>
      <c r="E88" s="1240">
        <v>125000</v>
      </c>
      <c r="F88" s="162"/>
      <c r="G88" s="162"/>
      <c r="H88" s="162"/>
      <c r="I88" s="1240">
        <v>125000</v>
      </c>
      <c r="J88" s="162">
        <f t="shared" si="1"/>
        <v>150000</v>
      </c>
    </row>
    <row r="89" spans="1:10" ht="13.5" customHeight="1">
      <c r="A89" s="1236"/>
      <c r="B89" s="1237" t="s">
        <v>155</v>
      </c>
      <c r="C89" s="1238" t="s">
        <v>4385</v>
      </c>
      <c r="D89" s="1262" t="s">
        <v>1957</v>
      </c>
      <c r="E89" s="1240">
        <v>220000</v>
      </c>
      <c r="F89" s="162"/>
      <c r="G89" s="162"/>
      <c r="H89" s="162"/>
      <c r="I89" s="1240">
        <v>220000</v>
      </c>
      <c r="J89" s="162">
        <f t="shared" si="1"/>
        <v>264000</v>
      </c>
    </row>
    <row r="90" spans="1:10" ht="13.5" customHeight="1">
      <c r="A90" s="1236"/>
      <c r="B90" s="1237" t="s">
        <v>393</v>
      </c>
      <c r="C90" s="1238" t="s">
        <v>4386</v>
      </c>
      <c r="D90" s="1239" t="s">
        <v>4322</v>
      </c>
      <c r="E90" s="1240">
        <v>90000</v>
      </c>
      <c r="F90" s="162"/>
      <c r="G90" s="162"/>
      <c r="H90" s="162"/>
      <c r="I90" s="1240">
        <v>90000</v>
      </c>
      <c r="J90" s="162">
        <f t="shared" si="1"/>
        <v>108000</v>
      </c>
    </row>
    <row r="91" spans="1:10" ht="13.5" customHeight="1">
      <c r="A91" s="1236"/>
      <c r="B91" s="1237" t="s">
        <v>394</v>
      </c>
      <c r="C91" s="1238" t="s">
        <v>4387</v>
      </c>
      <c r="D91" s="1239" t="s">
        <v>4322</v>
      </c>
      <c r="E91" s="1240">
        <v>85000</v>
      </c>
      <c r="F91" s="162"/>
      <c r="G91" s="162"/>
      <c r="H91" s="162"/>
      <c r="I91" s="1240">
        <v>85000</v>
      </c>
      <c r="J91" s="162">
        <f t="shared" si="1"/>
        <v>102000</v>
      </c>
    </row>
    <row r="92" spans="1:10" ht="13.5" customHeight="1">
      <c r="A92" s="1236"/>
      <c r="B92" s="1237" t="s">
        <v>395</v>
      </c>
      <c r="C92" s="1238" t="s">
        <v>4388</v>
      </c>
      <c r="D92" s="1239" t="s">
        <v>4322</v>
      </c>
      <c r="E92" s="1240">
        <v>150000</v>
      </c>
      <c r="F92" s="162"/>
      <c r="G92" s="162"/>
      <c r="H92" s="162"/>
      <c r="I92" s="1240">
        <v>150000</v>
      </c>
      <c r="J92" s="162">
        <f t="shared" si="1"/>
        <v>180000</v>
      </c>
    </row>
    <row r="93" spans="1:10" ht="13.5" customHeight="1">
      <c r="A93" s="1236"/>
      <c r="B93" s="1237" t="s">
        <v>396</v>
      </c>
      <c r="C93" s="1238" t="s">
        <v>4388</v>
      </c>
      <c r="D93" s="1239" t="s">
        <v>1957</v>
      </c>
      <c r="E93" s="1240">
        <v>530000</v>
      </c>
      <c r="F93" s="162"/>
      <c r="G93" s="162"/>
      <c r="H93" s="162"/>
      <c r="I93" s="1240">
        <v>530000</v>
      </c>
      <c r="J93" s="162">
        <f t="shared" si="1"/>
        <v>636000</v>
      </c>
    </row>
    <row r="94" spans="1:10" ht="13.5" customHeight="1">
      <c r="A94" s="1236"/>
      <c r="B94" s="1237" t="s">
        <v>397</v>
      </c>
      <c r="C94" s="1238" t="s">
        <v>1644</v>
      </c>
      <c r="D94" s="1239" t="s">
        <v>1957</v>
      </c>
      <c r="E94" s="1240">
        <v>390000</v>
      </c>
      <c r="F94" s="162"/>
      <c r="G94" s="162"/>
      <c r="H94" s="162"/>
      <c r="I94" s="1240">
        <v>390000</v>
      </c>
      <c r="J94" s="162">
        <f t="shared" si="1"/>
        <v>468000</v>
      </c>
    </row>
    <row r="95" spans="1:10" ht="13.5" customHeight="1">
      <c r="A95" s="1236"/>
      <c r="B95" s="1237" t="s">
        <v>401</v>
      </c>
      <c r="C95" s="1238" t="s">
        <v>4389</v>
      </c>
      <c r="D95" s="1262" t="s">
        <v>127</v>
      </c>
      <c r="E95" s="1240">
        <v>3850</v>
      </c>
      <c r="F95" s="162"/>
      <c r="G95" s="162"/>
      <c r="H95" s="162"/>
      <c r="I95" s="1240">
        <v>3850</v>
      </c>
      <c r="J95" s="162">
        <f t="shared" si="1"/>
        <v>4620</v>
      </c>
    </row>
    <row r="96" spans="1:10" ht="13.5" customHeight="1">
      <c r="A96" s="1236"/>
      <c r="B96" s="1237" t="s">
        <v>403</v>
      </c>
      <c r="C96" s="1238" t="s">
        <v>4390</v>
      </c>
      <c r="D96" s="1239" t="s">
        <v>4322</v>
      </c>
      <c r="E96" s="1240">
        <v>55000</v>
      </c>
      <c r="F96" s="162"/>
      <c r="G96" s="162"/>
      <c r="H96" s="162"/>
      <c r="I96" s="1240">
        <v>55000</v>
      </c>
      <c r="J96" s="162">
        <f t="shared" si="1"/>
        <v>66000</v>
      </c>
    </row>
    <row r="97" spans="1:10" ht="13.5" customHeight="1">
      <c r="A97" s="1236"/>
      <c r="B97" s="1237" t="s">
        <v>1431</v>
      </c>
      <c r="C97" s="1238" t="s">
        <v>4391</v>
      </c>
      <c r="D97" s="1239" t="s">
        <v>4322</v>
      </c>
      <c r="E97" s="1240">
        <v>250000</v>
      </c>
      <c r="F97" s="162"/>
      <c r="G97" s="162"/>
      <c r="H97" s="162"/>
      <c r="I97" s="1240">
        <v>250000</v>
      </c>
      <c r="J97" s="162">
        <f t="shared" si="1"/>
        <v>300000</v>
      </c>
    </row>
    <row r="98" spans="1:10" ht="13.5" customHeight="1">
      <c r="A98" s="1236"/>
      <c r="B98" s="1237" t="s">
        <v>1433</v>
      </c>
      <c r="C98" s="1238" t="s">
        <v>4392</v>
      </c>
      <c r="D98" s="1262" t="s">
        <v>4322</v>
      </c>
      <c r="E98" s="1240">
        <v>20000</v>
      </c>
      <c r="F98" s="162"/>
      <c r="G98" s="162"/>
      <c r="H98" s="162"/>
      <c r="I98" s="1240">
        <v>20000</v>
      </c>
      <c r="J98" s="162">
        <f t="shared" si="1"/>
        <v>24000</v>
      </c>
    </row>
    <row r="99" spans="1:10" ht="13.5" customHeight="1">
      <c r="A99" s="1236"/>
      <c r="B99" s="1237" t="s">
        <v>1435</v>
      </c>
      <c r="C99" s="1238" t="s">
        <v>4393</v>
      </c>
      <c r="D99" s="1239" t="s">
        <v>4322</v>
      </c>
      <c r="E99" s="1240">
        <v>55000</v>
      </c>
      <c r="F99" s="162"/>
      <c r="G99" s="162"/>
      <c r="H99" s="162"/>
      <c r="I99" s="1240">
        <v>55000</v>
      </c>
      <c r="J99" s="162">
        <f t="shared" si="1"/>
        <v>66000</v>
      </c>
    </row>
    <row r="100" spans="1:10" ht="13.5" customHeight="1">
      <c r="A100" s="1236"/>
      <c r="B100" s="1237" t="s">
        <v>1437</v>
      </c>
      <c r="C100" s="1238" t="s">
        <v>1642</v>
      </c>
      <c r="D100" s="1239" t="s">
        <v>4322</v>
      </c>
      <c r="E100" s="1240">
        <v>120000</v>
      </c>
      <c r="F100" s="162"/>
      <c r="G100" s="162"/>
      <c r="H100" s="162"/>
      <c r="I100" s="1240">
        <v>120000</v>
      </c>
      <c r="J100" s="162">
        <f t="shared" si="1"/>
        <v>144000</v>
      </c>
    </row>
    <row r="101" spans="1:10" ht="13.5" customHeight="1">
      <c r="A101" s="1236"/>
      <c r="B101" s="1237" t="s">
        <v>1439</v>
      </c>
      <c r="C101" s="1243" t="s">
        <v>4394</v>
      </c>
      <c r="D101" s="1239" t="s">
        <v>4322</v>
      </c>
      <c r="E101" s="1240">
        <v>265000</v>
      </c>
      <c r="F101" s="162"/>
      <c r="G101" s="162"/>
      <c r="H101" s="162"/>
      <c r="I101" s="1240">
        <v>265000</v>
      </c>
      <c r="J101" s="162">
        <f t="shared" si="1"/>
        <v>318000</v>
      </c>
    </row>
    <row r="102" spans="1:10" ht="13.5" customHeight="1">
      <c r="A102" s="1236"/>
      <c r="B102" s="1237" t="s">
        <v>1441</v>
      </c>
      <c r="C102" s="1238" t="s">
        <v>210</v>
      </c>
      <c r="D102" s="1239" t="s">
        <v>4322</v>
      </c>
      <c r="E102" s="1240">
        <v>100000</v>
      </c>
      <c r="F102" s="162"/>
      <c r="G102" s="162"/>
      <c r="H102" s="162"/>
      <c r="I102" s="1240">
        <v>100000</v>
      </c>
      <c r="J102" s="162">
        <f t="shared" si="1"/>
        <v>120000</v>
      </c>
    </row>
    <row r="103" spans="1:10" ht="13.5" customHeight="1">
      <c r="A103" s="1236"/>
      <c r="B103" s="1237" t="s">
        <v>1443</v>
      </c>
      <c r="C103" s="1238" t="s">
        <v>4395</v>
      </c>
      <c r="D103" s="1239" t="s">
        <v>4322</v>
      </c>
      <c r="E103" s="1240">
        <v>125000</v>
      </c>
      <c r="F103" s="162"/>
      <c r="G103" s="162"/>
      <c r="H103" s="162"/>
      <c r="I103" s="1240">
        <v>125000</v>
      </c>
      <c r="J103" s="162">
        <f t="shared" si="1"/>
        <v>150000</v>
      </c>
    </row>
    <row r="104" spans="1:10" ht="13.5" customHeight="1">
      <c r="A104" s="1236"/>
      <c r="B104" s="1237" t="s">
        <v>1445</v>
      </c>
      <c r="C104" s="1238" t="s">
        <v>4396</v>
      </c>
      <c r="D104" s="1239" t="s">
        <v>4322</v>
      </c>
      <c r="E104" s="1240">
        <v>135000</v>
      </c>
      <c r="F104" s="162"/>
      <c r="G104" s="162"/>
      <c r="H104" s="162"/>
      <c r="I104" s="1240">
        <v>135000</v>
      </c>
      <c r="J104" s="162">
        <f t="shared" si="1"/>
        <v>162000</v>
      </c>
    </row>
    <row r="105" spans="1:10" ht="13.5" customHeight="1">
      <c r="A105" s="1236"/>
      <c r="B105" s="1237" t="s">
        <v>1447</v>
      </c>
      <c r="C105" s="1238" t="s">
        <v>4397</v>
      </c>
      <c r="D105" s="1239" t="s">
        <v>4322</v>
      </c>
      <c r="E105" s="1240">
        <v>135000</v>
      </c>
      <c r="F105" s="162"/>
      <c r="G105" s="162"/>
      <c r="H105" s="162"/>
      <c r="I105" s="1240">
        <v>135000</v>
      </c>
      <c r="J105" s="162">
        <f t="shared" si="1"/>
        <v>162000</v>
      </c>
    </row>
    <row r="106" spans="1:10" ht="13.5" customHeight="1">
      <c r="A106" s="1236"/>
      <c r="B106" s="1237" t="s">
        <v>1449</v>
      </c>
      <c r="C106" s="1238" t="s">
        <v>4398</v>
      </c>
      <c r="D106" s="1239" t="s">
        <v>4322</v>
      </c>
      <c r="E106" s="1240">
        <v>140000</v>
      </c>
      <c r="F106" s="162"/>
      <c r="G106" s="162"/>
      <c r="H106" s="162"/>
      <c r="I106" s="1240">
        <v>140000</v>
      </c>
      <c r="J106" s="162">
        <f t="shared" si="1"/>
        <v>168000</v>
      </c>
    </row>
    <row r="107" spans="1:10" ht="15" customHeight="1">
      <c r="A107" s="1236"/>
      <c r="B107" s="1237" t="s">
        <v>1451</v>
      </c>
      <c r="C107" s="1238" t="s">
        <v>4399</v>
      </c>
      <c r="D107" s="1239" t="s">
        <v>4322</v>
      </c>
      <c r="E107" s="1240">
        <v>40000</v>
      </c>
      <c r="F107" s="162"/>
      <c r="G107" s="162"/>
      <c r="H107" s="162"/>
      <c r="I107" s="1240">
        <v>40000</v>
      </c>
      <c r="J107" s="162">
        <f t="shared" si="1"/>
        <v>48000</v>
      </c>
    </row>
    <row r="108" spans="1:10" ht="14.25" customHeight="1">
      <c r="A108" s="1236"/>
      <c r="B108" s="1237" t="s">
        <v>1453</v>
      </c>
      <c r="C108" s="1238" t="s">
        <v>4400</v>
      </c>
      <c r="D108" s="1239" t="s">
        <v>4322</v>
      </c>
      <c r="E108" s="1240">
        <v>55000</v>
      </c>
      <c r="F108" s="162"/>
      <c r="G108" s="162"/>
      <c r="H108" s="162"/>
      <c r="I108" s="1240">
        <v>55000</v>
      </c>
      <c r="J108" s="162">
        <f t="shared" si="1"/>
        <v>66000</v>
      </c>
    </row>
    <row r="109" spans="1:10" ht="27" customHeight="1">
      <c r="A109" s="1236"/>
      <c r="B109" s="1237" t="s">
        <v>1455</v>
      </c>
      <c r="C109" s="1238" t="s">
        <v>4401</v>
      </c>
      <c r="D109" s="1239" t="s">
        <v>4322</v>
      </c>
      <c r="E109" s="1240">
        <v>55000</v>
      </c>
      <c r="F109" s="162"/>
      <c r="G109" s="162"/>
      <c r="H109" s="162"/>
      <c r="I109" s="1240">
        <v>55000</v>
      </c>
      <c r="J109" s="162">
        <f t="shared" si="1"/>
        <v>66000</v>
      </c>
    </row>
    <row r="110" spans="1:10" ht="28.5" customHeight="1">
      <c r="A110" s="1236"/>
      <c r="B110" s="1237" t="s">
        <v>1457</v>
      </c>
      <c r="C110" s="1238" t="s">
        <v>4402</v>
      </c>
      <c r="D110" s="1239" t="s">
        <v>4403</v>
      </c>
      <c r="E110" s="1240">
        <v>2400000</v>
      </c>
      <c r="F110" s="162"/>
      <c r="G110" s="162"/>
      <c r="H110" s="162"/>
      <c r="I110" s="1240">
        <v>2400000</v>
      </c>
      <c r="J110" s="162">
        <f t="shared" si="1"/>
        <v>2880000</v>
      </c>
    </row>
    <row r="111" spans="1:10" ht="28.5" customHeight="1">
      <c r="A111" s="1236"/>
      <c r="B111" s="1237" t="s">
        <v>1459</v>
      </c>
      <c r="C111" s="1238" t="s">
        <v>4404</v>
      </c>
      <c r="D111" s="1239" t="s">
        <v>4403</v>
      </c>
      <c r="E111" s="1240">
        <v>1200000</v>
      </c>
      <c r="F111" s="162"/>
      <c r="G111" s="162"/>
      <c r="H111" s="162"/>
      <c r="I111" s="1240">
        <v>1200000</v>
      </c>
      <c r="J111" s="162">
        <f t="shared" si="1"/>
        <v>1440000</v>
      </c>
    </row>
    <row r="112" spans="1:10" ht="29.25" customHeight="1">
      <c r="A112" s="1236"/>
      <c r="B112" s="1237" t="s">
        <v>1461</v>
      </c>
      <c r="C112" s="1238" t="s">
        <v>4405</v>
      </c>
      <c r="D112" s="1239" t="s">
        <v>4403</v>
      </c>
      <c r="E112" s="1240">
        <v>1600000</v>
      </c>
      <c r="F112" s="162"/>
      <c r="G112" s="162"/>
      <c r="H112" s="162"/>
      <c r="I112" s="1240">
        <v>1600000</v>
      </c>
      <c r="J112" s="162">
        <f t="shared" si="1"/>
        <v>1920000</v>
      </c>
    </row>
    <row r="113" spans="1:10" ht="27" customHeight="1">
      <c r="A113" s="1236"/>
      <c r="B113" s="1237" t="s">
        <v>1463</v>
      </c>
      <c r="C113" s="1238" t="s">
        <v>4406</v>
      </c>
      <c r="D113" s="1239" t="s">
        <v>4403</v>
      </c>
      <c r="E113" s="1240">
        <v>2000000</v>
      </c>
      <c r="F113" s="162"/>
      <c r="G113" s="162"/>
      <c r="H113" s="162"/>
      <c r="I113" s="1240">
        <v>2000000</v>
      </c>
      <c r="J113" s="162">
        <f t="shared" si="1"/>
        <v>2400000</v>
      </c>
    </row>
    <row r="114" spans="1:10" ht="27.75" customHeight="1">
      <c r="A114" s="1236"/>
      <c r="B114" s="1237" t="s">
        <v>1465</v>
      </c>
      <c r="C114" s="1238" t="s">
        <v>4407</v>
      </c>
      <c r="D114" s="1239" t="s">
        <v>4403</v>
      </c>
      <c r="E114" s="1240">
        <v>800000</v>
      </c>
      <c r="F114" s="162"/>
      <c r="G114" s="162"/>
      <c r="H114" s="162"/>
      <c r="I114" s="1240">
        <v>800000</v>
      </c>
      <c r="J114" s="162">
        <f t="shared" si="1"/>
        <v>960000</v>
      </c>
    </row>
    <row r="115" spans="1:10" ht="13.5" customHeight="1">
      <c r="A115" s="1236"/>
      <c r="B115" s="1237" t="s">
        <v>1467</v>
      </c>
      <c r="C115" s="1238" t="s">
        <v>4408</v>
      </c>
      <c r="D115" s="1239" t="s">
        <v>1957</v>
      </c>
      <c r="E115" s="1240">
        <v>55000</v>
      </c>
      <c r="F115" s="162"/>
      <c r="G115" s="162"/>
      <c r="H115" s="162"/>
      <c r="I115" s="1240">
        <v>55000</v>
      </c>
      <c r="J115" s="162">
        <f t="shared" si="1"/>
        <v>66000</v>
      </c>
    </row>
    <row r="116" spans="1:10" ht="13.5" customHeight="1">
      <c r="A116" s="1236"/>
      <c r="B116" s="1237" t="s">
        <v>1469</v>
      </c>
      <c r="C116" s="1238" t="s">
        <v>4409</v>
      </c>
      <c r="D116" s="1239" t="s">
        <v>4322</v>
      </c>
      <c r="E116" s="1240">
        <v>140000</v>
      </c>
      <c r="F116" s="162"/>
      <c r="G116" s="162"/>
      <c r="H116" s="162"/>
      <c r="I116" s="1240">
        <v>140000</v>
      </c>
      <c r="J116" s="162">
        <f t="shared" si="1"/>
        <v>168000</v>
      </c>
    </row>
    <row r="117" spans="1:10" ht="13.5" customHeight="1">
      <c r="A117" s="1236"/>
      <c r="B117" s="1237" t="s">
        <v>1471</v>
      </c>
      <c r="C117" s="1238" t="s">
        <v>4410</v>
      </c>
      <c r="D117" s="1262" t="s">
        <v>1639</v>
      </c>
      <c r="E117" s="1240">
        <v>194500</v>
      </c>
      <c r="F117" s="162"/>
      <c r="G117" s="162"/>
      <c r="H117" s="162"/>
      <c r="I117" s="1240">
        <v>75000</v>
      </c>
      <c r="J117" s="162">
        <f t="shared" si="1"/>
        <v>90000</v>
      </c>
    </row>
    <row r="118" spans="1:10" ht="13.5" customHeight="1">
      <c r="A118" s="1236"/>
      <c r="B118" s="1237" t="s">
        <v>1473</v>
      </c>
      <c r="C118" s="1238" t="s">
        <v>1643</v>
      </c>
      <c r="D118" s="1239" t="s">
        <v>4322</v>
      </c>
      <c r="E118" s="1240">
        <v>100000</v>
      </c>
      <c r="F118" s="162"/>
      <c r="G118" s="162"/>
      <c r="H118" s="162"/>
      <c r="I118" s="1263">
        <v>100000</v>
      </c>
      <c r="J118" s="162">
        <f t="shared" si="1"/>
        <v>120000</v>
      </c>
    </row>
    <row r="119" spans="1:10" ht="13.5" customHeight="1">
      <c r="A119" s="1236"/>
      <c r="B119" s="1237" t="s">
        <v>1475</v>
      </c>
      <c r="C119" s="1238" t="s">
        <v>4411</v>
      </c>
      <c r="D119" s="1239" t="s">
        <v>1957</v>
      </c>
      <c r="E119" s="1240">
        <v>500000</v>
      </c>
      <c r="F119" s="162"/>
      <c r="G119" s="162"/>
      <c r="H119" s="162"/>
      <c r="I119" s="1263">
        <v>500000</v>
      </c>
      <c r="J119" s="162">
        <f t="shared" si="1"/>
        <v>600000</v>
      </c>
    </row>
    <row r="120" spans="1:10" ht="13.5" customHeight="1">
      <c r="A120" s="1236"/>
      <c r="B120" s="1237" t="s">
        <v>1477</v>
      </c>
      <c r="C120" s="1238" t="s">
        <v>4412</v>
      </c>
      <c r="D120" s="1239" t="s">
        <v>1957</v>
      </c>
      <c r="E120" s="1240">
        <v>500000</v>
      </c>
      <c r="F120" s="162"/>
      <c r="G120" s="162"/>
      <c r="H120" s="162"/>
      <c r="I120" s="1263">
        <v>500000</v>
      </c>
      <c r="J120" s="162">
        <f t="shared" si="1"/>
        <v>600000</v>
      </c>
    </row>
    <row r="121" spans="1:10" ht="13.5" customHeight="1">
      <c r="A121" s="1236"/>
      <c r="B121" s="1237" t="s">
        <v>1479</v>
      </c>
      <c r="C121" s="1243" t="s">
        <v>1547</v>
      </c>
      <c r="D121" s="1239" t="s">
        <v>1957</v>
      </c>
      <c r="E121" s="1240">
        <v>425000</v>
      </c>
      <c r="F121" s="162"/>
      <c r="G121" s="162"/>
      <c r="H121" s="162"/>
      <c r="I121" s="1263">
        <v>425000</v>
      </c>
      <c r="J121" s="162">
        <f t="shared" si="1"/>
        <v>510000</v>
      </c>
    </row>
    <row r="122" spans="1:10" ht="13.5" customHeight="1">
      <c r="A122" s="1236"/>
      <c r="B122" s="1237" t="s">
        <v>1481</v>
      </c>
      <c r="C122" s="1243" t="s">
        <v>4413</v>
      </c>
      <c r="D122" s="1239" t="s">
        <v>1957</v>
      </c>
      <c r="E122" s="1240">
        <v>530000</v>
      </c>
      <c r="F122" s="162"/>
      <c r="G122" s="162"/>
      <c r="H122" s="162"/>
      <c r="I122" s="1263">
        <v>530000</v>
      </c>
      <c r="J122" s="162">
        <f t="shared" si="1"/>
        <v>636000</v>
      </c>
    </row>
    <row r="123" spans="1:10" ht="13.5" customHeight="1">
      <c r="A123" s="1236"/>
      <c r="B123" s="1237" t="s">
        <v>3298</v>
      </c>
      <c r="C123" s="1238" t="s">
        <v>4411</v>
      </c>
      <c r="D123" s="1239" t="s">
        <v>1639</v>
      </c>
      <c r="E123" s="1240">
        <v>71429</v>
      </c>
      <c r="F123" s="162"/>
      <c r="G123" s="162"/>
      <c r="H123" s="162"/>
      <c r="I123" s="1263">
        <v>71429</v>
      </c>
      <c r="J123" s="162">
        <f t="shared" si="1"/>
        <v>85715</v>
      </c>
    </row>
    <row r="124" spans="1:10" ht="13.5" customHeight="1">
      <c r="A124" s="1236"/>
      <c r="B124" s="1237" t="s">
        <v>3300</v>
      </c>
      <c r="C124" s="1238" t="s">
        <v>4414</v>
      </c>
      <c r="D124" s="1239" t="s">
        <v>1639</v>
      </c>
      <c r="E124" s="1240">
        <v>80000</v>
      </c>
      <c r="F124" s="162"/>
      <c r="G124" s="162"/>
      <c r="H124" s="162"/>
      <c r="I124" s="1263">
        <v>80000</v>
      </c>
      <c r="J124" s="162">
        <f t="shared" si="1"/>
        <v>96000</v>
      </c>
    </row>
    <row r="125" spans="1:10" ht="13.5" customHeight="1">
      <c r="A125" s="1236"/>
      <c r="B125" s="1237" t="s">
        <v>3302</v>
      </c>
      <c r="C125" s="1243" t="s">
        <v>1645</v>
      </c>
      <c r="D125" s="1239" t="s">
        <v>1639</v>
      </c>
      <c r="E125" s="1240">
        <v>90000</v>
      </c>
      <c r="F125" s="162"/>
      <c r="G125" s="162"/>
      <c r="H125" s="162"/>
      <c r="I125" s="1263">
        <v>90000</v>
      </c>
      <c r="J125" s="162">
        <f t="shared" si="1"/>
        <v>108000</v>
      </c>
    </row>
    <row r="126" spans="1:10" ht="13.5" customHeight="1">
      <c r="A126" s="1236"/>
      <c r="B126" s="1237" t="s">
        <v>3304</v>
      </c>
      <c r="C126" s="1243" t="s">
        <v>4415</v>
      </c>
      <c r="D126" s="1239" t="s">
        <v>1639</v>
      </c>
      <c r="E126" s="1240">
        <v>75714</v>
      </c>
      <c r="F126" s="162"/>
      <c r="G126" s="162"/>
      <c r="H126" s="162"/>
      <c r="I126" s="1263">
        <v>75714</v>
      </c>
      <c r="J126" s="162">
        <f t="shared" si="1"/>
        <v>90857</v>
      </c>
    </row>
    <row r="127" spans="1:10" ht="13.5" customHeight="1">
      <c r="A127" s="1248"/>
      <c r="B127" s="1294" t="s">
        <v>3306</v>
      </c>
      <c r="C127" s="1310" t="s">
        <v>4416</v>
      </c>
      <c r="D127" s="1251" t="s">
        <v>1957</v>
      </c>
      <c r="E127" s="1252">
        <v>220000</v>
      </c>
      <c r="F127" s="162"/>
      <c r="G127" s="162"/>
      <c r="H127" s="162"/>
      <c r="I127" s="1263">
        <v>220000</v>
      </c>
      <c r="J127" s="162">
        <f t="shared" si="1"/>
        <v>264000</v>
      </c>
    </row>
    <row r="131" spans="2:2" ht="13.5" customHeight="1">
      <c r="B131" s="1299" t="s">
        <v>4315</v>
      </c>
    </row>
    <row r="132" spans="2:2" ht="13.5" customHeight="1">
      <c r="B132" s="76" t="s">
        <v>4316</v>
      </c>
    </row>
  </sheetData>
  <mergeCells count="8">
    <mergeCell ref="A6:E6"/>
    <mergeCell ref="C44:E44"/>
    <mergeCell ref="C81:E81"/>
    <mergeCell ref="A1:E1"/>
    <mergeCell ref="A2:E2"/>
    <mergeCell ref="A3:E3"/>
    <mergeCell ref="A4:E4"/>
    <mergeCell ref="A5:E5"/>
  </mergeCells>
  <pageMargins left="0.78740157480314965" right="0.51181102362204722" top="0.6692913385826772" bottom="0.55118110236220474"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46</vt:i4>
      </vt:variant>
      <vt:variant>
        <vt:lpstr>Rangos con nombre</vt:lpstr>
      </vt:variant>
      <vt:variant>
        <vt:i4>5</vt:i4>
      </vt:variant>
    </vt:vector>
  </HeadingPairs>
  <TitlesOfParts>
    <vt:vector size="51" baseType="lpstr">
      <vt:lpstr>PPTOETAPAS</vt:lpstr>
      <vt:lpstr>COTIZACIÓN MATERIALES</vt:lpstr>
      <vt:lpstr>Hoja1</vt:lpstr>
      <vt:lpstr>PRESUPUESTO OFICIAL (Entidad)</vt:lpstr>
      <vt:lpstr>PROPUESTA ECONOMICA(Proponente)</vt:lpstr>
      <vt:lpstr>INDICAR CÓDIGO DEL ITEM DE PAGO</vt:lpstr>
      <vt:lpstr>LISTA TRANSPORTES</vt:lpstr>
      <vt:lpstr>PROGRAMACION</vt:lpstr>
      <vt:lpstr>PRESUPUESTO Bloque 1</vt:lpstr>
      <vt:lpstr>MEMORIA DE CANTIDADES BLOQUE 1</vt:lpstr>
      <vt:lpstr>PRESUPUESTO Bloque 2</vt:lpstr>
      <vt:lpstr>MEMORIA DE CANTIDADES BLOQUE 2</vt:lpstr>
      <vt:lpstr>MEMORIA DE CANTIDADES BLOQUE 3</vt:lpstr>
      <vt:lpstr>PRESUPUESTO Bloque 3</vt:lpstr>
      <vt:lpstr>MEMORIA DE CANTIDADES GENER (2)</vt:lpstr>
      <vt:lpstr>CANT ESTRUCUT</vt:lpstr>
      <vt:lpstr>DESPIECE ACERO</vt:lpstr>
      <vt:lpstr>PGIO (0,5%)</vt:lpstr>
      <vt:lpstr>PRESUP. INTERVENTORIA</vt:lpstr>
      <vt:lpstr>F.M.</vt:lpstr>
      <vt:lpstr>PRESUPUESTO DOTACIÓN</vt:lpstr>
      <vt:lpstr>ESTUDIO DE MERCADO - DOTACIÓN</vt:lpstr>
      <vt:lpstr>M.O</vt:lpstr>
      <vt:lpstr>TRASIEGO</vt:lpstr>
      <vt:lpstr>apu trasiego</vt:lpstr>
      <vt:lpstr>2 - DEMOLICIONES</vt:lpstr>
      <vt:lpstr>4 - CIMENTACIÓN - CONCRETOS</vt:lpstr>
      <vt:lpstr>6 - MAMPOSTERIA - ESTRUCT. ESP.</vt:lpstr>
      <vt:lpstr>7 - ESTRUCTURA CUBIERTA</vt:lpstr>
      <vt:lpstr>10-ACABADOS</vt:lpstr>
      <vt:lpstr>11 - HIDROSANITARIOS</vt:lpstr>
      <vt:lpstr>12- ACCESORIOS VARIAS</vt:lpstr>
      <vt:lpstr> CANCHA - </vt:lpstr>
      <vt:lpstr>14. RED CONTRAINCENDIO</vt:lpstr>
      <vt:lpstr>8 - PISOS - CONCRETO-ENCHAPES</vt:lpstr>
      <vt:lpstr>9 - PAÑETES - PINTURA</vt:lpstr>
      <vt:lpstr>13 - INST ELECTRICAS</vt:lpstr>
      <vt:lpstr>MANO DE OBRA</vt:lpstr>
      <vt:lpstr>CRONOGRAMA DE OBRA</vt:lpstr>
      <vt:lpstr>PRESUPUESTO PMT</vt:lpstr>
      <vt:lpstr>insumos ELÉCTRICOS </vt:lpstr>
      <vt:lpstr>INSUMOS</vt:lpstr>
      <vt:lpstr>PRESUPUESTO OPERACIÓN TK</vt:lpstr>
      <vt:lpstr>ANALISIS BASICOS</vt:lpstr>
      <vt:lpstr>LISTADO MATERIALES</vt:lpstr>
      <vt:lpstr>LISTADO EQUIPOS</vt:lpstr>
      <vt:lpstr>'PROPUESTA ECONOMICA(Proponente)'!_GoBack</vt:lpstr>
      <vt:lpstr>'CRONOGRAMA DE OBRA'!Área_de_impresión</vt:lpstr>
      <vt:lpstr>'INDICAR CÓDIGO DEL ITEM DE PAGO'!Área_de_impresión</vt:lpstr>
      <vt:lpstr>'PRESUPUESTO OFICIAL (Entidad)'!Área_de_impresión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www.intercambiosvirtuales.org</dc:creator>
  <cp:lastModifiedBy>Jorge Fernando Ramos</cp:lastModifiedBy>
  <cp:lastPrinted>2026-08-12T21:35:53Z</cp:lastPrinted>
  <dcterms:created xsi:type="dcterms:W3CDTF">2010-05-15T19:47:52Z</dcterms:created>
  <dcterms:modified xsi:type="dcterms:W3CDTF">2026-09-15T00:19:35Z</dcterms:modified>
</cp:coreProperties>
</file>